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baddi" sheetId="1" r:id="rId4"/>
    <sheet state="visible" name="Chess" sheetId="2" r:id="rId5"/>
    <sheet state="visible" name="Kho kho" sheetId="3" r:id="rId6"/>
    <sheet state="visible" name="Musti Yuddha" sheetId="4" r:id="rId7"/>
    <sheet state="visible" name="Lagori" sheetId="5" r:id="rId8"/>
    <sheet state="visible" name="Pambaram" sheetId="6" r:id="rId9"/>
    <sheet state="visible" name="Dhop Khel" sheetId="7" r:id="rId10"/>
    <sheet state="visible" name="Kanche" sheetId="8" r:id="rId11"/>
    <sheet state="visible" name="Carrom" sheetId="9" r:id="rId12"/>
    <sheet state="visible" name="Kalaripayattu" sheetId="10" r:id="rId13"/>
    <sheet state="visible" name="Silambam" sheetId="11" r:id="rId14"/>
    <sheet state="visible" name="Malakhamb" sheetId="12" r:id="rId15"/>
    <sheet state="visible" name="Gilli Danda" sheetId="13" r:id="rId16"/>
    <sheet state="visible" name="Thang Ta" sheetId="14" r:id="rId17"/>
    <sheet state="visible" name="Mukna" sheetId="15" r:id="rId18"/>
  </sheets>
  <definedNames/>
  <calcPr/>
</workbook>
</file>

<file path=xl/sharedStrings.xml><?xml version="1.0" encoding="utf-8"?>
<sst xmlns="http://schemas.openxmlformats.org/spreadsheetml/2006/main" count="22269" uniqueCount="14207">
  <si>
    <t>Question No.</t>
  </si>
  <si>
    <t>Question</t>
  </si>
  <si>
    <t>Options</t>
  </si>
  <si>
    <t>Answer</t>
  </si>
  <si>
    <t>प्रश्न सं.</t>
  </si>
  <si>
    <t>सवाल</t>
  </si>
  <si>
    <t>विकल्प</t>
  </si>
  <si>
    <t>उत्तर</t>
  </si>
  <si>
    <t>Who is considered the father of modern kabaddi?</t>
  </si>
  <si>
    <t>A) Ghulam Mohammad, B) Harishchandra Bhide, C) Kishore Kumar, D) Ramesh Sharma</t>
  </si>
  <si>
    <t>B) Harishchandra Bhide</t>
  </si>
  <si>
    <t>Which Indian state is credited with the formalization of the rules of kabaddi?</t>
  </si>
  <si>
    <t>A) Andhra Pradesh, B) Punjab, C) Tamil Nadu, D) Maharashtra</t>
  </si>
  <si>
    <t>D) Maharashtra</t>
  </si>
  <si>
    <t>In which year was kabaddi first included in the Asian Games?</t>
  </si>
  <si>
    <t>A) 1958, B) 1962, C) 1966, D) 1970</t>
  </si>
  <si>
    <t>B) 1962</t>
  </si>
  <si>
    <t>Who was the first kabaddi player to be awarded the Padma Bhushan?</t>
  </si>
  <si>
    <t>A) Babu Ghosh, B) Rameshwar Singh, C) K.B. Chandrasekhar, D) D.P. Yadav</t>
  </si>
  <si>
    <t>C) K.B. Chandrasekhar</t>
  </si>
  <si>
    <t>Which kabaddi tournament is considered the oldest in India?</t>
  </si>
  <si>
    <t>A) All India Kabaddi Tournament, B) Maharashtra State Kabaddi Tournament, C) Punjab Kabaddi League, D) Southern India Kabaddi Championship</t>
  </si>
  <si>
    <t>A) All India Kabaddi Tournament</t>
  </si>
  <si>
    <t>Which year saw the first International Kabaddi Championship?</t>
  </si>
  <si>
    <t>A) 1980, B) 1985, C) 1990, D) 1995</t>
  </si>
  <si>
    <t>B) 1985</t>
  </si>
  <si>
    <t>The Kabaddi Federation of which country was the first to be established outside India?</t>
  </si>
  <si>
    <t>A) Nepal, B) Pakistan, C) Bangladesh, D) Sri Lanka</t>
  </si>
  <si>
    <t>B) Pakistan</t>
  </si>
  <si>
    <t>Which prominent figure played a significant role in the popularization of kabaddi in rural India during the 20th century?</t>
  </si>
  <si>
    <t>A) Shankar Patil, B) Raj Kumar, C) K.K. Sharma, D) G.K. Sinha</t>
  </si>
  <si>
    <t>A) Shankar Patil</t>
  </si>
  <si>
    <t>Which Indian state has a traditional variant of kabaddi known as 'Satoliya'?</t>
  </si>
  <si>
    <t>A) Gujarat, B) Rajasthan, C) Haryana, D) Uttarakhand</t>
  </si>
  <si>
    <t>D) Uttarakhand</t>
  </si>
  <si>
    <t>Who won the first kabaddi World Cup held in 2004?</t>
  </si>
  <si>
    <t>A) India, B) Pakistan, C) Bangladesh, D) Nepal</t>
  </si>
  <si>
    <t>A) India</t>
  </si>
  <si>
    <t>Which Indian Prime Minister is known to have promoted kabaddi during their tenure?</t>
  </si>
  <si>
    <t>A) Jawaharlal Nehru, B) Indira Gandhi, C) Rajiv Gandhi, D) Atal Bihari Vajpayee</t>
  </si>
  <si>
    <t>C) Rajiv Gandhi</t>
  </si>
  <si>
    <t>Which kabaddi legend is known for his contributions to the development of kabaddi rules and training methods in the late 20th century?</t>
  </si>
  <si>
    <t>A) V.K. Rao, B) Surjit Singh, C) Prakash K. Sharma, D) L. Gopal</t>
  </si>
  <si>
    <t>B) Surjit Singh</t>
  </si>
  <si>
    <t>In which year did kabaddi make its debut in the South Asian Games?</t>
  </si>
  <si>
    <t>A) 1984, B) 1985, C) 1986, D) 1990</t>
  </si>
  <si>
    <t>C) 1986</t>
  </si>
  <si>
    <t>Which Indian state is known for the unique style of kabaddi called 'Gujarat Kabaddi'?</t>
  </si>
  <si>
    <t>A) Gujarat, B) Maharashtra, C) Rajasthan, D) Uttar Pradesh</t>
  </si>
  <si>
    <t>A) Gujarat</t>
  </si>
  <si>
    <t>Which prominent Indian kabaddi player was known for his exceptional raiding skills in the 1980s?</t>
  </si>
  <si>
    <t>A) K.K. Sharma, B) P.K. Sinha, C) Jagat Singh, D) Manjeet Singh</t>
  </si>
  <si>
    <t>C) Jagat Singh</t>
  </si>
  <si>
    <t>In which decade did kabaddi see significant international growth and expansion?</t>
  </si>
  <si>
    <t>A) 1970s, B) 1980s, C) 1990s, D) 2000s</t>
  </si>
  <si>
    <t>C) 1990s</t>
  </si>
  <si>
    <t>Which kabaddi tournament is considered a major event in the Indian kabaddi calendar, attracting teams from across the country?</t>
  </si>
  <si>
    <t>A) National Kabaddi Championship, B) All India Kabaddi Tournament, C) Inter-State Kabaddi Championship, D) Indian Kabaddi League</t>
  </si>
  <si>
    <t>B) All India Kabaddi Tournament</t>
  </si>
  <si>
    <t>Which country won the gold medal in kabaddi at the 2010 Asian Games?</t>
  </si>
  <si>
    <t>A) India, B) Pakistan, C) Bangladesh, D) Sri Lanka</t>
  </si>
  <si>
    <t>Which kabaddi player was the first to receive the Arjuna Award for excellence in the sport?</t>
  </si>
  <si>
    <t>A) K.K. Sharma, B) Rameshwar Singh, C) Ghulam Mohammad, D) D.P. Yadav</t>
  </si>
  <si>
    <t>B) Rameshwar Singh</t>
  </si>
  <si>
    <t>Which Indian state is known for the traditional kabaddi style called 'Sahibzada Kabaddi'?</t>
  </si>
  <si>
    <t>A) Punjab, B) Haryana, C) Uttar Pradesh, D) Himachal Pradesh</t>
  </si>
  <si>
    <t>A) Punjab</t>
  </si>
  <si>
    <t>Which famous kabaddi coach was instrumental in coaching the Indian kabaddi team during the 2000s?</t>
  </si>
  <si>
    <t>A) K.B. Chandrasekhar, B) Surjit Singh, C) Jagat Singh, D) Ramesh Kumar</t>
  </si>
  <si>
    <t>What year did kabaddi make its debut in the Indian Premier League (IPL) format as a league sport?</t>
  </si>
  <si>
    <t>A) 2008, B) 2010, C) 2012, D) 2014</t>
  </si>
  <si>
    <t>B) 2010</t>
  </si>
  <si>
    <t>Which kabaddi event is held annually and features international teams competing in a series of matches?</t>
  </si>
  <si>
    <t>A) Kabaddi World Cup, B) Kabaddi Championship League, C) International Kabaddi Tournament, D) World Kabaddi Series</t>
  </si>
  <si>
    <t>A) Kabaddi World Cup</t>
  </si>
  <si>
    <t>In which Indian city was the first National Kabaddi Championship held?</t>
  </si>
  <si>
    <t>A) Delhi, B) Mumbai, C) Chennai, D) Kolkata</t>
  </si>
  <si>
    <t>B) Mumbai</t>
  </si>
  <si>
    <t>Which historical figure is known for their contributions to the early development of kabaddi in ancient India?</t>
  </si>
  <si>
    <t>A) Maharaja Ranjit Singh, B) Ashoka the Great, C) Chandragupta Maurya, D) Akbar the Great</t>
  </si>
  <si>
    <t>B) Ashoka the Great</t>
  </si>
  <si>
    <t>Which Indian state has a kabaddi variant known as 'Chhattisgarhi Kabaddi'?</t>
  </si>
  <si>
    <t>A) Chhattisgarh, B) Odisha, C) Jharkhand, D) Madhya Pradesh</t>
  </si>
  <si>
    <t>A) Chhattisgarh</t>
  </si>
  <si>
    <t>Which kabaddi player is renowned for their defensive skills and has been a key player in several international tournaments?</t>
  </si>
  <si>
    <t>A) Pardeep Narwal, B) Anup Kumar, C) Manjeet Chhillar, D) Deepak Niwas Hooda</t>
  </si>
  <si>
    <t>C) Manjeet Chhillar</t>
  </si>
  <si>
    <t>In which year was the first Pro Kabaddi League (PKL) season held?</t>
  </si>
  <si>
    <t>A) 2012, B) 2013, C) 2014, D) 2015</t>
  </si>
  <si>
    <t>C) 2014</t>
  </si>
  <si>
    <t>Which Indian state is known for its traditional kabaddi tournament called 'Adivasi Kabaddi Tournament'?</t>
  </si>
  <si>
    <t>A) Gujarat, B) Madhya Pradesh, C) Jharkhand, D) Bihar</t>
  </si>
  <si>
    <t>C) Jharkhand</t>
  </si>
  <si>
    <t>Which kabaddi player became the first to score 300 points in a single season of the Pro Kabaddi League?</t>
  </si>
  <si>
    <t>A) Pardeep Narwal, B) Rahul Chaudhari, C) Rishank Devadiga, D) Ajay Thakur</t>
  </si>
  <si>
    <t>A) Pardeep Narwal</t>
  </si>
  <si>
    <t>Which Indian state was the first to introduce kabaddi as a part of its school sports curriculum?</t>
  </si>
  <si>
    <t>A) Punjab, B) Maharashtra, C) Karnataka, D) Haryana</t>
  </si>
  <si>
    <t>B) Maharashtra</t>
  </si>
  <si>
    <t>Which international kabaddi player is known for their outstanding performance in the 2016 Kabaddi World Cup?</t>
  </si>
  <si>
    <t>A) Jang Kun Lee, B) Sandeep Narwal, C) Ajay Thakur, D) Pardeep Narwal</t>
  </si>
  <si>
    <t>A) Jang Kun Lee</t>
  </si>
  <si>
    <t>Which kabaddi tournament was the first to adopt a professional format and include franchises?</t>
  </si>
  <si>
    <t>A) Pro Kabaddi League, B) World Kabaddi League, C) Kabaddi Masters, D) Indian Kabaddi League</t>
  </si>
  <si>
    <t>A) Pro Kabaddi League</t>
  </si>
  <si>
    <t>Which Indian kabaddi player is known for their exceptional performance in the 2018 Kabaddi World Cup?</t>
  </si>
  <si>
    <t>A) Manjeet Chhillar, B) Nitin Tomar, C) Deepak Niwas Hooda, D) Rahul Chaudhari</t>
  </si>
  <si>
    <t>C) Deepak Niwas Hooda</t>
  </si>
  <si>
    <t>Which state in India is known for the kabaddi variant called 'Uttar Pradesh Kabaddi'?</t>
  </si>
  <si>
    <t>A) Uttar Pradesh, B) Bihar, C) West Bengal, D) Assam</t>
  </si>
  <si>
    <t>A) Uttar Pradesh</t>
  </si>
  <si>
    <t>Which kabaddi player is renowned for their leadership and was captain of the Indian kabaddi team during the 2014 Asian Games?</t>
  </si>
  <si>
    <t>A) Anup Kumar, B) Pardeep Narwal, C) Ajay Thakur, D) Manjeet Chhillar</t>
  </si>
  <si>
    <t>A) Anup Kumar</t>
  </si>
  <si>
    <t>Which Indian state has a kabaddi variant known as 'Karnataka Kabaddi'?</t>
  </si>
  <si>
    <t>A) Karnataka, B) Kerala, C) Andhra Pradesh, D) Telangana</t>
  </si>
  <si>
    <t>A) Karnataka</t>
  </si>
  <si>
    <t>Which international kabaddi tournament is known for featuring teams from both traditional and non-traditional kabaddi countries?</t>
  </si>
  <si>
    <t>A) Kabaddi Masters, B) World Kabaddi League, C) International Kabaddi Championship, D) Kabaddi World Cup</t>
  </si>
  <si>
    <t>B) World Kabaddi League</t>
  </si>
  <si>
    <t>Which kabaddi player is known for being the top scorer in the inaugural season of the Pro Kabaddi League?</t>
  </si>
  <si>
    <t>A) Rahul Chaudhari, B) Pardeep Narwal, C) Rishank Devadiga, D) Ajay Thakur</t>
  </si>
  <si>
    <t>A) Rahul Chaudhari</t>
  </si>
  <si>
    <t>Which state in India has a unique kabaddi style known as 'Rajasthan Kabaddi'?</t>
  </si>
  <si>
    <t>A) Rajasthan, B) Haryana, C) Punjab, D) Uttar Pradesh</t>
  </si>
  <si>
    <t>A) Rajasthan</t>
  </si>
  <si>
    <t>Which Indian city hosted the 2016 Kabaddi World Cup?</t>
  </si>
  <si>
    <t>A) Mumbai, B) Ahmedabad, C) Delhi, D) Kolkata</t>
  </si>
  <si>
    <t>B) Ahmedabad</t>
  </si>
  <si>
    <t>Which kabaddi player is known for their exceptional performance and scoring abilities in the 2012 Kabaddi World Cup?</t>
  </si>
  <si>
    <t>A) Manjeet Chhillar, B) Anup Kumar, C) Pardeep Narwal, D) Deepak Niwas Hooda</t>
  </si>
  <si>
    <t>B) Anup Kumar</t>
  </si>
  <si>
    <t>Which country is known for hosting the Kabaddi Masters tournament that features teams from various countries?</t>
  </si>
  <si>
    <t>A) India, B) Pakistan, C) UAE, D) Bangladesh</t>
  </si>
  <si>
    <t>C) UAE</t>
  </si>
  <si>
    <t>Which Indian state is known for having a unique kabaddi variant called 'Gujarat Kabaddi'?</t>
  </si>
  <si>
    <t>A) Gujarat, B) Maharashtra, C) Tamil Nadu, D) Karnataka</t>
  </si>
  <si>
    <t>Who was the first kabaddi player to be inducted into the Hall of Fame of the Pro Kabaddi League?</t>
  </si>
  <si>
    <t>A) Anup Kumar, B) Manjeet Chhillar, C) Pardeep Narwal, D) Rahul Chaudhari</t>
  </si>
  <si>
    <t>B) Manjeet Chhillar</t>
  </si>
  <si>
    <t>Which kabaddi player is known for setting a record for the highest number of tackle points in a single Pro Kabaddi League season?</t>
  </si>
  <si>
    <t>A) Sandeep Narwal, B) Deepak Niwas Hooda, C) Manjeet Chhillar, D) Nitin Tomar</t>
  </si>
  <si>
    <t>A) Sandeep Narwal</t>
  </si>
  <si>
    <t>Which kabaddi team won the inaugural season of the Pro Kabaddi League?</t>
  </si>
  <si>
    <t>A) Jaipur Pink Panthers, B) U Mumba, C) Bengaluru Bulls, D) Patna Pirates</t>
  </si>
  <si>
    <t>A) Jaipur Pink Panthers</t>
  </si>
  <si>
    <t>Which Indian state is known for a traditional kabaddi style called 'Karnataka Kabaddi'?</t>
  </si>
  <si>
    <t>A) Karnataka, B) Andhra Pradesh, C) Tamil Nadu, D) Kerala</t>
  </si>
  <si>
    <t>Which Indian state has a kabaddi style called 'Haryana Kabaddi'?</t>
  </si>
  <si>
    <t>A) Haryana, B) Punjab, C) Uttar Pradesh, D) Himachal Pradesh</t>
  </si>
  <si>
    <t>A) Haryana</t>
  </si>
  <si>
    <t>Which kabaddi player became the first to achieve 500 raid points in Pro Kabaddi League history?</t>
  </si>
  <si>
    <t>A) Pardeep Narwal, B) Rahul Chaudhari, C) Deepak Niwas Hooda, D) Nitin Tomar</t>
  </si>
  <si>
    <t>Which kabaddi player is renowned for their outstanding defensive skills and was a key player in the Indian team’s success at the 2018 Kabaddi World Cup?</t>
  </si>
  <si>
    <t>A) Manjeet Chhillar, B) Sandeep Narwal, C) Deepak Niwas Hooda, D) Rahul Chaudhari</t>
  </si>
  <si>
    <t>B) Sandeep Narwal</t>
  </si>
  <si>
    <t>Which state in India has a traditional kabaddi tournament known as 'Maharashtra Kabaddi Championship'?</t>
  </si>
  <si>
    <t>A) Maharashtra, B) Gujarat, C) Karnataka, D) Tamil Nadu</t>
  </si>
  <si>
    <t>A) Maharashtra</t>
  </si>
  <si>
    <t>Which Indian city is known for hosting the annual Kabaddi Championship League?</t>
  </si>
  <si>
    <t>A) Delhi, B) Mumbai, C) Chennai, D) Bangalore</t>
  </si>
  <si>
    <t>Which kabaddi player is known for their leadership and was captain of the Indian team in the 2016 Kabaddi World Cup?</t>
  </si>
  <si>
    <t>A) Anup Kumar, B) Pardeep Narwal, C) Ajay Thakur, D) Deepak Niwas Hooda</t>
  </si>
  <si>
    <t>C) Ajay Thakur</t>
  </si>
  <si>
    <t>Which country is known for having a strong kabaddi presence and has won multiple Kabaddi World Cups?</t>
  </si>
  <si>
    <t>Which kabaddi player set the record for the most points in a single Pro Kabaddi League match?</t>
  </si>
  <si>
    <t>A) Pardeep Narwal, B) Rahul Chaudhari, C) Rishank Devadiga, D) Deepak Niwas Hooda</t>
  </si>
  <si>
    <t>Which kabaddi event features teams from various countries and is known for its high level of competition?</t>
  </si>
  <si>
    <t>A) Kabaddi World Cup, B) World Kabaddi League, C) Kabaddi Masters, D) Asian Kabaddi Championship</t>
  </si>
  <si>
    <t>C) Kabaddi Masters</t>
  </si>
  <si>
    <t>Which Indian state is known for its unique kabaddi style called 'Kerala Kabaddi'?</t>
  </si>
  <si>
    <t>A) Kerala, B) Tamil Nadu, C) Karnataka, D) Andhra Pradesh</t>
  </si>
  <si>
    <t>A) Kerala</t>
  </si>
  <si>
    <t>Which kabaddi player was the first to be named the Most Valuable Player (MVP) in the Pro Kabaddi League?</t>
  </si>
  <si>
    <t>A) Anup Kumar, B) Pardeep Narwal, C) Manjeet Chhillar, D) Rahul Chaudhari</t>
  </si>
  <si>
    <t>Which kabaddi player is renowned for their raiding skills and has been a key player in the Pro Kabaddi League?</t>
  </si>
  <si>
    <t>A) Pardeep Narwal, B) Ajay Thakur, C) Rahul Chaudhari, D) Rishank Devadiga</t>
  </si>
  <si>
    <t>Which Indian state has a kabaddi variant known as 'West Bengal Kabaddi'?</t>
  </si>
  <si>
    <t>A) West Bengal, B) Odisha, C) Jharkhand, D) Assam</t>
  </si>
  <si>
    <t>A) West Bengal</t>
  </si>
  <si>
    <t>Which kabaddi player achieved the highest number of tackle points in a single season of the Pro Kabaddi League?</t>
  </si>
  <si>
    <t>A) Sandeep Narwal, B) Manjeet Chhillar, C) Deepak Niwas Hooda, D) Nitin Tomar</t>
  </si>
  <si>
    <t>Which kabaddi tournament is known for featuring teams from traditional kabaddi countries as well as non-traditional ones?</t>
  </si>
  <si>
    <t>A) World Kabaddi League, B) Kabaddi Masters, C) Kabaddi World Cup, D) International Kabaddi Championship</t>
  </si>
  <si>
    <t>A) World Kabaddi League</t>
  </si>
  <si>
    <t>Which Indian state is renowned for its traditional kabaddi tournament called 'Bihar Kabaddi Championship'?</t>
  </si>
  <si>
    <t>A) Bihar, B) Jharkhand, C) Uttar Pradesh, D) Madhya Pradesh</t>
  </si>
  <si>
    <t>A) Bihar</t>
  </si>
  <si>
    <t>Which kabaddi player set the record for the most points scored in a single match in the Pro Kabaddi League?</t>
  </si>
  <si>
    <t>A) Pardeep Narwal, B) Rahul Chaudhari, C) Deepak Niwas Hooda, D) Ajay Thakur</t>
  </si>
  <si>
    <t>Which Indian city is known for hosting the annual Kabaddi World Cup?</t>
  </si>
  <si>
    <t>A) Delhi, B) Mumbai, C) Ahmedabad, D) Kolkata</t>
  </si>
  <si>
    <t>C) Ahmedabad</t>
  </si>
  <si>
    <t>Which kabaddi player is renowned for their exceptional performance in the 2014 Kabaddi World Cup?</t>
  </si>
  <si>
    <t>A) Manjeet Chhillar, B) Pardeep Narwal, C) Rahul Chaudhari, D) Deepak Niwas Hooda</t>
  </si>
  <si>
    <t>A) Manjeet Chhillar</t>
  </si>
  <si>
    <t>Which state in India has a traditional kabaddi style known as 'Maharashtra Kabaddi'?</t>
  </si>
  <si>
    <t>A) Maharashtra, B) Gujarat, C) Karnataka, D) Andhra Pradesh</t>
  </si>
  <si>
    <t>Which kabaddi player became the first to score 400 points in Pro Kabaddi League history?</t>
  </si>
  <si>
    <t>Which kabaddi player is known for their exceptional raiding abilities and has been a top scorer in multiple Pro Kabaddi League seasons?</t>
  </si>
  <si>
    <t>A) Pardeep Narwal, B) Rahul Chaudhari, C) Nitin Tomar, D) Deepak Niwas Hooda</t>
  </si>
  <si>
    <t>Which country is known for its strong kabaddi presence and has hosted several international kabaddi events?</t>
  </si>
  <si>
    <t>Which kabaddi player was awarded the Best Raider title in the 2018 Pro Kabaddi League season?</t>
  </si>
  <si>
    <t>Which Indian state has a kabaddi variant known as 'Tamil Nadu Kabaddi'?</t>
  </si>
  <si>
    <t>A) Tamil Nadu, B) Karnataka, C) Andhra Pradesh, D) Kerala</t>
  </si>
  <si>
    <t>A) Tamil Nadu</t>
  </si>
  <si>
    <t>Which kabaddi player achieved the highest number of raid points in the 2019 Pro Kabaddi League season?</t>
  </si>
  <si>
    <t>Which kabaddi tournament features teams from various countries and is known for its high level of competition?</t>
  </si>
  <si>
    <t>A) Kabaddi World Cup, B) World Kabaddi League, C) Kabaddi Masters, D) International Kabaddi Championship</t>
  </si>
  <si>
    <t>A) Ahmedabad, B) Mumbai, C) Delhi, D) Kolkata</t>
  </si>
  <si>
    <t>A) Ahmedabad</t>
  </si>
  <si>
    <t>Which kabaddi player set a record for the highest number of raid points in a single Pro Kabaddi League match?</t>
  </si>
  <si>
    <t>Which kabaddi player is known for their leadership and was captain of the Indian team in the 2018 Kabaddi World Cup?</t>
  </si>
  <si>
    <t>A) Ajay Thakur, B) Anup Kumar, C) Deepak Niwas Hooda, D) Manjeet Chhillar</t>
  </si>
  <si>
    <t>A) Ajay Thakur</t>
  </si>
  <si>
    <t>Which Indian state is known for having a traditional kabaddi tournament called 'Bihar Kabaddi Championship'?</t>
  </si>
  <si>
    <t>Which kabaddi player achieved the most number of tackle points in a single Pro Kabaddi League season?</t>
  </si>
  <si>
    <t>Which kabaddi event features teams from traditional kabaddi countries as well as non-traditional ones?</t>
  </si>
  <si>
    <t>B) Kabaddi Masters</t>
  </si>
  <si>
    <t>Which Indian state has a kabaddi variant known as 'Maharashtra Kabaddi'?</t>
  </si>
  <si>
    <t>Which ancient Indian text mentions a sport similar to kabaddi?</t>
  </si>
  <si>
    <t>A) Mahabharata, B) Ramayana, C) Vedas, D) Puranas</t>
  </si>
  <si>
    <t>A) Mahabharata</t>
  </si>
  <si>
    <t>In which year did the first official kabaddi World Cup take place?</t>
  </si>
  <si>
    <t>A) 2004, B) 2007, C) 2010, D) 2012</t>
  </si>
  <si>
    <t>B) 2007</t>
  </si>
  <si>
    <t>Which Indian kabaddi player is known for leading the team to victory in the 2004 Kabaddi World Cup?</t>
  </si>
  <si>
    <t>A) Anup Kumar, B) Rajesh Narwal, C) Rakesh Kumar, D) Pardeep Narwal</t>
  </si>
  <si>
    <t>C) Rakesh Kumar</t>
  </si>
  <si>
    <t>Which kabaddi league was established in 2014 and revolutionized the sport's professional scene?</t>
  </si>
  <si>
    <t>A) Pro Kabaddi League, B) Kabaddi World League, C) Super Kabaddi League, D) Kabaddi Champions League</t>
  </si>
  <si>
    <t>Who was the coach of the Indian kabaddi team that won the gold medal at the 2010 Asian Games?</t>
  </si>
  <si>
    <t>A) Om Prakash, B) Balwan Singh, C) Chhatr Singh, D) Mahender Singh</t>
  </si>
  <si>
    <t>B) Balwan Singh</t>
  </si>
  <si>
    <t>Which Indian city hosted the first ever Kabaddi World Cup for men in 2007?</t>
  </si>
  <si>
    <t>A) Chennai, B) Delhi, C) Mumbai, D) Amritsar</t>
  </si>
  <si>
    <t>B) Delhi</t>
  </si>
  <si>
    <t>Which kabaddi player was known for their dominance in the raiding department during the 2016 Kabaddi World Cup?</t>
  </si>
  <si>
    <t>A) Pardeep Narwal, B) Rahul Chaudhari, C) Ajay Thakur, D) Manjeet Chhillar</t>
  </si>
  <si>
    <t>Which country won the Kabaddi World Cup for the first time in 2007?</t>
  </si>
  <si>
    <t>Which kabaddi team won the most titles in the inaugural seasons of the Pro Kabaddi League?</t>
  </si>
  <si>
    <t>Which kabaddi player is known for having the highest number of successful raids in a single Pro Kabaddi League season?</t>
  </si>
  <si>
    <t>A) Pardeep Narwal, B) Rahul Chaudhari, C) Deepak Niwas Hooda, D) Rishank Devadiga</t>
  </si>
  <si>
    <t>Which kabaddi league was the first to include international teams and gain significant popularity outside India?</t>
  </si>
  <si>
    <t>A) World Kabaddi League, B) Kabaddi Masters, C) Pro Kabaddi League, D) Kabaddi Champions League</t>
  </si>
  <si>
    <t>Who is credited with popularizing kabaddi in South Korea and Japan during the early 2000s?</t>
  </si>
  <si>
    <t>A) Anup Kumar, B) Pardeep Narwal, C) Ajay Thakur, D) Jang Kun Lee</t>
  </si>
  <si>
    <t>D) Jang Kun Lee</t>
  </si>
  <si>
    <t>Which Indian state is known for producing legendary kabaddi players such as Kabaddi Guru Chhatr Singh?</t>
  </si>
  <si>
    <t>A) Haryana, B) Punjab, C) Maharashtra, D) Uttar Pradesh</t>
  </si>
  <si>
    <t>Which year did the Kabaddi Masters tournament first take place in Dubai?</t>
  </si>
  <si>
    <t>A) 2016, B) 2017, C) 2018, D) 2019</t>
  </si>
  <si>
    <t>A) 2016</t>
  </si>
  <si>
    <t>Which kabaddi team was the runner-up in the inaugural season of the Pro Kabaddi League?</t>
  </si>
  <si>
    <t>A) U Mumba, B) Jaipur Pink Panthers, C) Patna Pirates, D) Bengaluru Bulls</t>
  </si>
  <si>
    <t>A) U Mumba</t>
  </si>
  <si>
    <t>Which kabaddi player became the youngest to win the MVP award in the Pro Kabaddi League?</t>
  </si>
  <si>
    <t>Which Indian state is famous for its kabaddi tradition and hosted the 2016 Kabaddi World Cup?</t>
  </si>
  <si>
    <t>A) Gujarat, B) Maharashtra, C) Punjab, D) Haryana</t>
  </si>
  <si>
    <t>Which kabaddi player is known for their all-round abilities and was a key contributor in the 2016 Kabaddi World Cup?</t>
  </si>
  <si>
    <t>A) Manjeet Chhillar, B) Sandeep Narwal, C) Ajay Thakur, D) Pardeep Narwal</t>
  </si>
  <si>
    <t>Which kabaddi player is known for their impressive performance in the 2010 Kabaddi World Cup held in India?</t>
  </si>
  <si>
    <t>A) Anup Kumar, B) Rakesh Kumar, C) Pardeep Narwal, D) Deepak Niwas Hooda</t>
  </si>
  <si>
    <t>B) Rakesh Kumar</t>
  </si>
  <si>
    <t>Which kabaddi player set the record for the most number of points in a single Pro Kabaddi League match?</t>
  </si>
  <si>
    <t>A) Pardeep Narwal, B) Rahul Chaudhari, C) Rishank Devadiga, D) Nitin Tomar</t>
  </si>
  <si>
    <t>Which Indian city is known for hosting the annual Kabaddi World Cup for both men and women?</t>
  </si>
  <si>
    <t>A) Ahmedabad, B) Mumbai, C) Delhi, D) Chennai</t>
  </si>
  <si>
    <t>Which kabaddi tournament is held annually and features teams from South Asia and other regions?</t>
  </si>
  <si>
    <t>A) Kabaddi World Cup, B) Kabaddi Masters, C) World Kabaddi League, D) Kabaddi Championship</t>
  </si>
  <si>
    <t>Which Indian state is renowned for hosting the traditional kabaddi tournament known as 'Sangrur Kabaddi Tournament'?</t>
  </si>
  <si>
    <t>A) Punjab, B) Haryana, C) Maharashtra, D) Uttar Pradesh</t>
  </si>
  <si>
    <t>Which kabaddi player became the first to achieve 1000 points in Pro Kabaddi League history?</t>
  </si>
  <si>
    <t>Which kabaddi player is known for their exceptional defensive skills and was a key player in the 2012 Kabaddi World Cup?</t>
  </si>
  <si>
    <t>A) Manjeet Chhillar, B) Sandeep Narwal, C) Anup Kumar, D) Pardeep Narwal</t>
  </si>
  <si>
    <t>Which country hosted the Kabaddi Masters tournament in 2018?</t>
  </si>
  <si>
    <t>Which Indian state is recognized for its unique kabaddi style known as 'Uttar Pradesh Kabaddi'?</t>
  </si>
  <si>
    <t>Which kabaddi league is known for featuring teams from both traditional and non-traditional kabaddi nations?</t>
  </si>
  <si>
    <t>A) World Kabaddi League, B) Kabaddi Masters, C) Pro Kabaddi League, D) Kabaddi Championship</t>
  </si>
  <si>
    <t>Which kabaddi player is celebrated for their outstanding raiding performances in the 2017 Pro Kabaddi League?</t>
  </si>
  <si>
    <t>Which kabaddi player became the highest point scorer in the history of the Pro Kabaddi League?</t>
  </si>
  <si>
    <t>Which Indian state is known for its contribution to the development of modern kabaddi techniques and strategies?</t>
  </si>
  <si>
    <t>A) Haryana, B) Punjab, C) Maharashtra, D) Gujarat</t>
  </si>
  <si>
    <t>Which kabaddi team won the title in the 2019 Pro Kabaddi League season?</t>
  </si>
  <si>
    <t>A) Bengaluru Bulls, B) Patna Pirates, C) Dabang Delhi, D) U Mumba</t>
  </si>
  <si>
    <t>A) Bengaluru Bulls</t>
  </si>
  <si>
    <t>Which kabaddi player was honored with the 'Best Defensive Player' award in the 2018 Pro Kabaddi League season?</t>
  </si>
  <si>
    <t>A) Sandeep Narwal, B) Manjeet Chhillar, C) Nitin Tomar, D) Ajay Thakur</t>
  </si>
  <si>
    <t>Which kabaddi tournament is known for its competitive matches and features teams from various countries?</t>
  </si>
  <si>
    <t>A) Kabaddi Masters, B) Kabaddi World Cup, C) World Kabaddi League, D) Kabaddi Championship</t>
  </si>
  <si>
    <t>B) Kabaddi World Cup</t>
  </si>
  <si>
    <t>Which kabaddi player achieved the most raid points in the 2015 Pro Kabaddi League season?</t>
  </si>
  <si>
    <t>A) Rahul Chaudhari, B) Pardeep Narwal, C) Deepak Niwas Hooda, D) Rishank Devadiga</t>
  </si>
  <si>
    <t>Which kabaddi league was the first to introduce a draft system for player selection?</t>
  </si>
  <si>
    <t>A) Pro Kabaddi League, B) Kabaddi World League, C) Super Kabaddi League, D) World Kabaddi League</t>
  </si>
  <si>
    <t>Which Indian city is renowned for its historic kabaddi tournaments and is known as the kabaddi capital of India?</t>
  </si>
  <si>
    <t>A) Panipat, B) Delhi, C) Chennai, D) Ahmedabad</t>
  </si>
  <si>
    <t>A) Panipat</t>
  </si>
  <si>
    <t>Which kabaddi player was recognized as the 'Best Raider' in the 2019 Kabaddi World Cup?</t>
  </si>
  <si>
    <t>Which Indian state is known for hosting the annual 'Kumbh Mela Kabaddi Tournament'?</t>
  </si>
  <si>
    <t>A) Uttar Pradesh, B) Punjab, C) Haryana, D) Maharashtra</t>
  </si>
  <si>
    <t>Which kabaddi league introduced the concept of 'Home-and-Away' matches?</t>
  </si>
  <si>
    <t>Which kabaddi player is known for their record-breaking performance in the 2018 Kabaddi World Cup?</t>
  </si>
  <si>
    <t>A) Pardeep Narwal, B) Manjeet Chhillar, C) Rahul Chaudhari, D) Ajay Thakur</t>
  </si>
  <si>
    <t>Which Indian state is famous for its traditional kabaddi tournaments known as 'Dandia Kabaddi'?</t>
  </si>
  <si>
    <t>A) Gujarat, B) Maharashtra, C) Rajasthan, D) Karnataka</t>
  </si>
  <si>
    <t>Which kabaddi team won the title in the 2020 Pro Kabaddi League season?</t>
  </si>
  <si>
    <t>A) Patna Pirates, B) Bengaluru Bulls, C) U Mumba, D) Dabang Delhi</t>
  </si>
  <si>
    <t>D) Dabang Delhi</t>
  </si>
  <si>
    <t>Which kabaddi player set the record for the highest number of points in the history of the Kabaddi World Cup?</t>
  </si>
  <si>
    <t>A) Pardeep Narwal, B) Rahul Chaudhari, C) Deepak Niwas Hooda, D) Manjeet Chhillar</t>
  </si>
  <si>
    <t>Which kabaddi tournament is known for featuring teams from both professional and amateur levels?</t>
  </si>
  <si>
    <t>A) Pro Kabaddi League, B) Kabaddi World Cup, C) World Kabaddi League, D) Kabaddi Championship</t>
  </si>
  <si>
    <t>C) World Kabaddi League</t>
  </si>
  <si>
    <t>Which kabaddi player became the youngest captain to lead their team in the Pro Kabaddi League?</t>
  </si>
  <si>
    <t>Which kabaddi player was awarded the 'Best Defender' title in the 2017 Pro Kabaddi League season?</t>
  </si>
  <si>
    <t>A) Kabaddi Masters</t>
  </si>
  <si>
    <t>Which kabaddi tournament features a unique format with a mix of round-robin and knockout stages?</t>
  </si>
  <si>
    <t>A) Kabaddi Masters, B) Pro Kabaddi League, C) Kabaddi World Cup, D) World Kabaddi League</t>
  </si>
  <si>
    <t>B) Pro Kabaddi League</t>
  </si>
  <si>
    <t>Which kabaddi player became the first to achieve 500 points in Pro Kabaddi League history?</t>
  </si>
  <si>
    <t>Which Indian state is renowned for its traditional kabaddi tournaments and was home to the famous 'Gurgaon Kabaddi Tournament'?</t>
  </si>
  <si>
    <t>A) Haryana, B) Punjab, C) Maharashtra, D) Rajasthan</t>
  </si>
  <si>
    <t>Which kabaddi player is known for their strategic defensive plays and was a key player in the 2016 Kabaddi World Cup?</t>
  </si>
  <si>
    <t>Which kabaddi player is known for their exceptional raiding skills and has been a top scorer in multiple Pro Kabaddi League seasons?</t>
  </si>
  <si>
    <t>Which country has a kabaddi league known as the 'Korean Kabaddi League'?</t>
  </si>
  <si>
    <t>A) South Korea, B) Japan, C) Thailand, D) Malaysia</t>
  </si>
  <si>
    <t>A) South Korea</t>
  </si>
  <si>
    <t>Which Indian city is known for hosting the annual 'Kabaddi Masters' tournament?</t>
  </si>
  <si>
    <t>A) Dubai, B) Mumbai, C) Delhi, D) Ahmedabad</t>
  </si>
  <si>
    <t>A) Dubai</t>
  </si>
  <si>
    <t>Which kabaddi player set a record for the highest number of points in a single Kabaddi World Cup match?</t>
  </si>
  <si>
    <t>Which kabaddi player is known for their leadership and was captain of the Indian team in the 2014 Kabaddi World Cup?</t>
  </si>
  <si>
    <t>A) Anup Kumar, B) Ajay Thakur, C) Rakesh Kumar, D) Pardeep Narwal</t>
  </si>
  <si>
    <t>Which kabaddi team won the most titles in the first five seasons of the Pro Kabaddi League?</t>
  </si>
  <si>
    <t>A) Patna Pirates, B) Jaipur Pink Panthers, C) Bengaluru Bulls, D) U Mumba</t>
  </si>
  <si>
    <t>A) Patna Pirates</t>
  </si>
  <si>
    <t>Which kabaddi player achieved the most successful tackles in the 2019 Pro Kabaddi League season?</t>
  </si>
  <si>
    <t>A) Manjeet Chhillar, B) Sandeep Narwal, C) Nitin Tomar, D) Ajay Thakur</t>
  </si>
  <si>
    <t>Which kabaddi tournament is renowned for featuring both professional and semi-professional teams?</t>
  </si>
  <si>
    <t>A) Pro Kabaddi League, B) Kabaddi World Cup, C) World Kabaddi League, D) Kabaddi Masters</t>
  </si>
  <si>
    <t>Which Indian state is known for its traditional kabaddi tournament known as 'Bajrang Kabaddi Tournament'?</t>
  </si>
  <si>
    <t>Which kabaddi league was the first to feature teams from multiple countries?</t>
  </si>
  <si>
    <t>Which kabaddi player is celebrated for their raiding performances in the 2015 Kabaddi World Cup?</t>
  </si>
  <si>
    <t>Which kabaddi player was awarded the 'Best Raider' title in the 2016 Pro Kabaddi League season?</t>
  </si>
  <si>
    <t>Which kabaddi league is known for its unique format and inclusion of international teams?</t>
  </si>
  <si>
    <t>A) Kabaddi Masters, B) Pro Kabaddi League, C) World Kabaddi League, D) Kabaddi Championship</t>
  </si>
  <si>
    <t>Which kabaddi player became the first to achieve 200 points in a single Pro Kabaddi League season?</t>
  </si>
  <si>
    <t>Which kabaddi tournament features a mix of round-robin and knockout stages and is known for its competitive nature?</t>
  </si>
  <si>
    <t>A) Pro Kabaddi League, B) Kabaddi Masters, C) Kabaddi World Cup, D) World Kabaddi League</t>
  </si>
  <si>
    <t>Which kabaddi player was known for their exceptional defensive strategies in the 2017 Kabaddi World Cup?</t>
  </si>
  <si>
    <t>Which kabaddi player became the first to achieve 300 raid points in a single Pro Kabaddi League season?</t>
  </si>
  <si>
    <t>Which Indian state is renowned for its traditional kabaddi tournaments and is known for the 'Ludhiana Kabaddi Tournament'?</t>
  </si>
  <si>
    <t>A) Punjab, B) Haryana, C) Maharashtra, D) Rajasthan</t>
  </si>
  <si>
    <t>Which kabaddi player set the record for the most successful raids in a single Pro Kabaddi League season?</t>
  </si>
  <si>
    <t>Which kabaddi tournament features teams from both traditional kabaddi nations and emerging markets?</t>
  </si>
  <si>
    <t>A) Kabaddi Masters, B) World Kabaddi League, C) Pro Kabaddi League, D) Kabaddi Championship</t>
  </si>
  <si>
    <t>Which kabaddi player is celebrated for their leadership and performance in the 2018 Kabaddi World Cup?</t>
  </si>
  <si>
    <t>A) Ajay Thakur, B) Anup Kumar, C) Pardeep Narwal, D) Deepak Niwas Hooda</t>
  </si>
  <si>
    <t>Which Indian state is known for its traditional kabaddi tournament known as 'Gujarat Kabaddi Championship'?</t>
  </si>
  <si>
    <t>Which kabaddi player was awarded the 'Best All-Rounder' title in the 2019 Pro Kabaddi League season?</t>
  </si>
  <si>
    <t>A) Deepak Niwas Hooda, B) Pardeep Narwal, C) Rahul Chaudhari, D) Manjeet Chhillar</t>
  </si>
  <si>
    <t>A) Deepak Niwas Hooda</t>
  </si>
  <si>
    <t>Which kabaddi player is known for their exceptional defensive skills and was a key contributor in the 2019 Kabaddi World Cup?</t>
  </si>
  <si>
    <t>Which kabaddi league is known for its international presence and diverse team participation?</t>
  </si>
  <si>
    <t>Which kabaddi player achieved the most number of points in the 2016 Kabaddi World Cup?</t>
  </si>
  <si>
    <t>Which kabaddi tournament is known for its format that includes both league and knockout stages?</t>
  </si>
  <si>
    <t>Which kabaddi player is known for their record-breaking performances in the 2018 Pro Kabaddi League?</t>
  </si>
  <si>
    <t>Which Indian state is renowned for its traditional kabaddi tournaments and is home to the 'Patna Kabaddi Tournament'?</t>
  </si>
  <si>
    <t>A) Bihar, B) Uttar Pradesh, C) Punjab, D) Maharashtra</t>
  </si>
  <si>
    <t>Which kabaddi player set a record for the most number of successful tackles in a single Pro Kabaddi League match?</t>
  </si>
  <si>
    <t>Which kabaddi tournament is known for its high level of competition and features teams from both traditional and emerging kabaddi markets?</t>
  </si>
  <si>
    <t>A) Kabaddi World Cup, B) Kabaddi Masters, C) Pro Kabaddi League, D) World Kabaddi League</t>
  </si>
  <si>
    <t>Which kabaddi player became the first to achieve 100 successful raids in a single Pro Kabaddi League season?</t>
  </si>
  <si>
    <t>Who was the captain of the Indian kabaddi team that won the gold medal at the 2010 Asian Games?</t>
  </si>
  <si>
    <t>A) Anup Kumar, B) Rakesh Kumar, C) Ajay Thakur, D) Manjeet Chhillar</t>
  </si>
  <si>
    <t>In which year was kabaddi included as an official sport in the Asian Games?</t>
  </si>
  <si>
    <t>A) 1982, B) 1990, C) 1994, D) 2002</t>
  </si>
  <si>
    <t>A) 1982</t>
  </si>
  <si>
    <t>Which kabaddi player is known for setting a record for the most successful raids in a single season of the Pro Kabaddi League?</t>
  </si>
  <si>
    <t>Which Indian city hosted the inaugural Kabaddi World Cup in 2004?</t>
  </si>
  <si>
    <t>A) Amritsar, B) Delhi, C) Mumbai, D) Chennai</t>
  </si>
  <si>
    <t>Which Indian state is credited with popularizing the sport of kabaddi in the early 20th century?</t>
  </si>
  <si>
    <t>A) Punjab, B) Haryana, C) Maharashtra, D) Tamil Nadu</t>
  </si>
  <si>
    <t>Which kabaddi player was the top scorer in the 2016 Kabaddi World Cup?</t>
  </si>
  <si>
    <t>Which kabaddi tournament is known for its emphasis on both traditional and modern kabaddi styles?</t>
  </si>
  <si>
    <t>Which team won the first-ever Kabaddi World Cup held in 2004?</t>
  </si>
  <si>
    <t>Which kabaddi player became the youngest player to win the 'Best Raider' award in Pro Kabaddi League history?</t>
  </si>
  <si>
    <t>Which Indian state hosted the Kabaddi World Cup in 2016?</t>
  </si>
  <si>
    <t>A) Punjab, B) Haryana, C) Maharashtra, D) Karnataka</t>
  </si>
  <si>
    <t>Which kabaddi player was known for their defensive skills and was named 'Best Defender' in the 2018 Kabaddi World Cup?</t>
  </si>
  <si>
    <t>Which kabaddi league features teams from various countries and was established in 2014?</t>
  </si>
  <si>
    <t>A) Pro Kabaddi League, B) Kabaddi Masters, C) World Kabaddi League, D) Kabaddi Championship</t>
  </si>
  <si>
    <t>Which kabaddi player set a record for the highest number of points in a single match in the 2017 Pro Kabaddi League?</t>
  </si>
  <si>
    <t>Which Indian state is famous for hosting the annual 'Patna Kabaddi Tournament'?</t>
  </si>
  <si>
    <t>A) Bihar, B) Uttar Pradesh, C) Punjab, D) Haryana</t>
  </si>
  <si>
    <t>Which kabaddi player was awarded the 'Best All-Rounder' in the 2016 Kabaddi World Cup?</t>
  </si>
  <si>
    <t>D) Manjeet Chhillar</t>
  </si>
  <si>
    <t>Which kabaddi tournament is known for its format featuring both league and knockout stages?</t>
  </si>
  <si>
    <t>Which kabaddi player was the first to achieve 1000 raid points in Pro Kabaddi League history?</t>
  </si>
  <si>
    <t>Which kabaddi player was known for their exceptional leadership and led India to victory in the 2014 Kabaddi World Cup?</t>
  </si>
  <si>
    <t>Which Indian state is known for its traditional kabaddi tournament called 'Gurgaon Kabaddi Tournament'?</t>
  </si>
  <si>
    <t>Which kabaddi player achieved the most successful tackles in a single season of the Pro Kabaddi League?</t>
  </si>
  <si>
    <t>Which kabaddi player is known for their strategic raiding and was a key player in the 2019 Pro Kabaddi League?</t>
  </si>
  <si>
    <t>Which kabaddi player was awarded the 'Best Raider' title in the 2018 Pro Kabaddi League season?</t>
  </si>
  <si>
    <t>Which country has a kabaddi league known as the 'Japanese Kabaddi League'?</t>
  </si>
  <si>
    <t>A) Japan, B) South Korea, C) Thailand, D) Malaysia</t>
  </si>
  <si>
    <t>A) Japan</t>
  </si>
  <si>
    <t>Which kabaddi player set a record for the highest number of successful raids in a single match in the 2018 Pro Kabaddi League?</t>
  </si>
  <si>
    <t>Which Indian city is known for hosting the annual 'Kabaddi Championship'?</t>
  </si>
  <si>
    <t>A) Mumbai, B) Delhi, C) Ahmedabad, D) Panipat</t>
  </si>
  <si>
    <t>D) Panipat</t>
  </si>
  <si>
    <t>Which kabaddi player was known for their exceptional defensive skills and was awarded 'Best Defender' in the 2019 Kabaddi World Cup?</t>
  </si>
  <si>
    <t>A) Manjeet Chhillar, B) Sandeep Narwal, C) Ajay Thakur, D) Deepak Niwas Hooda</t>
  </si>
  <si>
    <t>Which kabaddi player became the first to achieve 200 successful tackles in a single Pro Kabaddi League season?</t>
  </si>
  <si>
    <t>Which kabaddi player was the top scorer in the 2014 Pro Kabaddi League season?</t>
  </si>
  <si>
    <t>Which kabaddi league is known for its participation of teams from South Asian countries?</t>
  </si>
  <si>
    <t>Which kabaddi tournament is known for its format that includes a round-robin phase followed by knockout rounds?</t>
  </si>
  <si>
    <t>A) Pro Kabaddi League, B) Kabaddi World Cup, C) Kabaddi Masters, D) World Kabaddi League</t>
  </si>
  <si>
    <t>Which Indian state is renowned for its traditional kabaddi tournaments and is known for the 'Jaipur Kabaddi Tournament'?</t>
  </si>
  <si>
    <t>A) Rajasthan, B) Punjab, C) Haryana, D) Uttar Pradesh</t>
  </si>
  <si>
    <t>Which kabaddi player was awarded the 'Best All-Rounder' title in the 2017 Kabaddi World Cup?</t>
  </si>
  <si>
    <t>A) Manjeet Chhillar, B) Deepak Niwas Hooda, C) Pardeep Narwal, D) Rahul Chaudhari</t>
  </si>
  <si>
    <t>Which kabaddi player set the record for the most number of raid points in a single Pro Kabaddi League match?</t>
  </si>
  <si>
    <t>Which kabaddi tournament is famous for its competitive nature and features teams from various Indian states?</t>
  </si>
  <si>
    <t>A) Kabaddi World Cup, B) Pro Kabaddi League, C) Kabaddi Masters, D) World Kabaddi League</t>
  </si>
  <si>
    <t>Which kabaddi player achieved the most number of successful tackles in the 2016 Kabaddi World Cup?</t>
  </si>
  <si>
    <t>Which kabaddi league is known for its inclusion of international teams and was established in 2018?</t>
  </si>
  <si>
    <t>Which Indian state is known for its traditional kabaddi tournament called 'Maharashtra Kabaddi Championship'?</t>
  </si>
  <si>
    <t>Which kabaddi player was known for their strategic raiding and was awarded 'Best Raider' in the 2017 Pro Kabaddi League?</t>
  </si>
  <si>
    <t>Which kabaddi player was the top scorer in the 2015 Kabaddi World Cup?</t>
  </si>
  <si>
    <t>Which Indian state is known for its traditional kabaddi tournament called 'Bangalore Kabaddi Championship'?</t>
  </si>
  <si>
    <t>A) Karnataka, B) Tamil Nadu, C) Andhra Pradesh, D) Kerala</t>
  </si>
  <si>
    <t>Which kabaddi player became the first to score 100 points in a single Pro Kabaddi League season?</t>
  </si>
  <si>
    <t>Which kabaddi player set a record for the most successful tackles in a single Pro Kabaddi League season?</t>
  </si>
  <si>
    <t>Which kabaddi player is known for their exceptional raiding skills and was awarded 'Best Raider' in the 2019 Pro Kabaddi League?</t>
  </si>
  <si>
    <t>Which Indian state is renowned for its traditional kabaddi tournaments and is home to the 'Uttar Pradesh Kabaddi Tournament'?</t>
  </si>
  <si>
    <t>A) Uttar Pradesh, B) Bihar, C) Punjab, D) Haryana</t>
  </si>
  <si>
    <t>Which kabaddi player was known for their strategic defensive skills and was awarded 'Best Defender' in the 2017 Pro Kabaddi League?</t>
  </si>
  <si>
    <t>Which kabaddi player was the top scorer in the inaugural Pro Kabaddi League season in 2014?</t>
  </si>
  <si>
    <t>Which kabaddi player was awarded the 'Best Raider' title in the 2019 Kabaddi World Cup?</t>
  </si>
  <si>
    <t>Which kabaddi player set the record for the most number of raid points in a single match in the 2016 Pro Kabaddi League?</t>
  </si>
  <si>
    <t>Which kabaddi tournament features a mix of traditional and modern kabaddi teams from around the world?</t>
  </si>
  <si>
    <t>D) World Kabaddi League</t>
  </si>
  <si>
    <t>Which kabaddi player was known for their exceptional all-round performance in the 2019 Pro Kabaddi League?</t>
  </si>
  <si>
    <t>Which kabaddi player was awarded the 'Best Defender' title in the 2019 Pro Kabaddi League?</t>
  </si>
  <si>
    <t>Which Indian city is known for hosting the 'Kolkata Kabaddi Championship'?</t>
  </si>
  <si>
    <t>A) Kolkata, B) Chennai, C) Mumbai, D) Delhi</t>
  </si>
  <si>
    <t>A) Kolkata</t>
  </si>
  <si>
    <t>Which kabaddi player achieved the most number of successful tackles in the 2018 Pro Kabaddi League season?</t>
  </si>
  <si>
    <t>Which kabaddi tournament features a combination of league and knockout stages and is known for its competitive nature?</t>
  </si>
  <si>
    <t>Which kabaddi player was known for their exceptional raiding skills and was awarded 'Best Raider' in the 2018 Kabaddi World Cup?</t>
  </si>
  <si>
    <t>Which kabaddi player became the first to achieve 300 points in a single Pro Kabaddi League season?</t>
  </si>
  <si>
    <t>Which kabaddi player was awarded the 'Best All-Rounder' title in the 2019 Kabaddi World Cup?</t>
  </si>
  <si>
    <t>Which Indian state is known for hosting the annual 'Kabaddi Championship' in the city of Panipat?</t>
  </si>
  <si>
    <t>A) Haryana, B) Punjab, C) Uttar Pradesh, D) Rajasthan</t>
  </si>
  <si>
    <t>Which kabaddi player was known for their exceptional leadership and led India to victory in the 2018 Kabaddi World Cup?</t>
  </si>
  <si>
    <t>B) Ajay Thakur</t>
  </si>
  <si>
    <t>Which kabaddi league features teams from various South Asian countries and was established in 2014?</t>
  </si>
  <si>
    <t>Which kabaddi player set the record for the most successful raids in the 2019 Pro Kabaddi League season?</t>
  </si>
  <si>
    <t>Which Indian city is known for hosting the 'Bangalore Kabaddi Championship'?</t>
  </si>
  <si>
    <t>A) Bangalore, B) Chennai, C) Mumbai, D) Delhi</t>
  </si>
  <si>
    <t>A) Bangalore</t>
  </si>
  <si>
    <t>Which kabaddi player became the first to score 200 raid points in a single Pro Kabaddi League season?</t>
  </si>
  <si>
    <t>Which kabaddi tournament is known for its combination of traditional kabaddi and modern rules?</t>
  </si>
  <si>
    <t>Which kabaddi player was awarded the 'Best Raider' title in the 2016 Kabaddi World Cup?</t>
  </si>
  <si>
    <t>Which kabaddi player set the record for the most number of successful tackles in a single match in the 2019 Pro Kabaddi League?</t>
  </si>
  <si>
    <t>Which Indian state is renowned for its traditional kabaddi tournament known as 'Jaipur Kabaddi Tournament'?</t>
  </si>
  <si>
    <t>Which kabaddi league was the first to feature teams from multiple countries and was established in 2014?</t>
  </si>
  <si>
    <t>Which kabaddi player was known for their exceptional defensive skills and was awarded 'Best Defender' in the 2016 Pro Kabaddi League?</t>
  </si>
  <si>
    <t>Which kabaddi player became the first to achieve 100 successful tackles in a single Pro Kabaddi League season?</t>
  </si>
  <si>
    <t>Which kabaddi player was the top scorer in the 2018 Kabaddi World Cup?</t>
  </si>
  <si>
    <t>Which Indian city is known for hosting the annual 'Patna Kabaddi Tournament'?</t>
  </si>
  <si>
    <t>A) Patna, B) Delhi, C) Mumbai, D) Kolkata</t>
  </si>
  <si>
    <t>A) Patna</t>
  </si>
  <si>
    <t>Which kabaddi player was known for their strategic raiding and was awarded 'Best Raider' in the 2017 Kabaddi World Cup?</t>
  </si>
  <si>
    <t>Which kabaddi tournament features teams from both traditional kabaddi countries and emerging markets?</t>
  </si>
  <si>
    <t>Which kabaddi player set the record for the most number of raid points in a single match in the 2018 Pro Kabaddi League?</t>
  </si>
  <si>
    <t>Which kabaddi player was awarded the 'Best All-Rounder' title in the 2016 Kabaddi World Cup?</t>
  </si>
  <si>
    <t>Which kabaddi player achieved the most number of successful tackles in the 2019 Pro Kabaddi League season?</t>
  </si>
  <si>
    <t>Which Indian state is known for hosting the 'Jaipur Kabaddi Tournament'?</t>
  </si>
  <si>
    <t>Which ancient Indian epic contains references to a game similar to kabaddi?</t>
  </si>
  <si>
    <t>A) Mahabharata, B) Ramayana, C) Vedas, D) Upanishads</t>
  </si>
  <si>
    <t>In which year was the Kabaddi Federation of India established?</t>
  </si>
  <si>
    <t>A) 1950, B) 1965, C) 1972, D) 1980</t>
  </si>
  <si>
    <t>C) 1972</t>
  </si>
  <si>
    <t>Which Indian state is credited with being a major originator of modern kabaddi?</t>
  </si>
  <si>
    <t>A) Punjab, B) Maharashtra, C) Tamil Nadu, D) Haryana</t>
  </si>
  <si>
    <t>Which international kabaddi tournament was first held in 2004?</t>
  </si>
  <si>
    <t>Which Indian kabaddi player is known for popularizing the sport internationally through the Pro Kabaddi League?</t>
  </si>
  <si>
    <t>A) Anup Kumar, B) Pardeep Narwal, C) Rahul Chaudhari, D) Manjeet Chhillar</t>
  </si>
  <si>
    <t>B) Pardeep Narwal</t>
  </si>
  <si>
    <t>Which city hosted the inaugural Kabaddi World Cup in 2004?</t>
  </si>
  <si>
    <t>A) New Delhi, B) Mumbai, C) Patna, D) Amritsar</t>
  </si>
  <si>
    <t>A) New Delhi</t>
  </si>
  <si>
    <t>Which year marked the beginning of the Pro Kabaddi League?</t>
  </si>
  <si>
    <t>Which player was the first to score 1000 points in Pro Kabaddi League history?</t>
  </si>
  <si>
    <t>Which kabaddi tournament is known for its involvement of teams from around the world, including non-traditional kabaddi countries?</t>
  </si>
  <si>
    <t>A) World Kabaddi League, B) Kabaddi Masters, C) Pro Kabaddi League, D) Kabaddi World Cup</t>
  </si>
  <si>
    <t>Which Indian state has a notable traditional kabaddi event called the 'Maharashtra Kabaddi Championship'?</t>
  </si>
  <si>
    <t>A) Maharashtra, B) Gujarat, C) Rajasthan, D) Uttar Pradesh</t>
  </si>
  <si>
    <t>Who was the captain of the Indian kabaddi team that won the Kabaddi World Cup in 2004?</t>
  </si>
  <si>
    <t>A) Rakesh Kumar, B) Anup Kumar, C) Ajay Thakur, D) Manjeet Chhillar</t>
  </si>
  <si>
    <t>A) Rakesh Kumar</t>
  </si>
  <si>
    <t>Which player won the 'Best Raider' award in the 2016 Kabaddi World Cup?</t>
  </si>
  <si>
    <t>Which kabaddi league was established in 2018 and is known for featuring international teams?</t>
  </si>
  <si>
    <t>Which kabaddi tournament is renowned for its round-robin and knockout stages?</t>
  </si>
  <si>
    <t>Which kabaddi player set the record for the most raid points in a single Pro Kabaddi League season?</t>
  </si>
  <si>
    <t>Which kabaddi tournament features teams from multiple countries and is known for its competitive nature?</t>
  </si>
  <si>
    <t>Which Indian state is known for the 'Uttar Pradesh Kabaddi Tournament'?</t>
  </si>
  <si>
    <t>Which kabaddi player was awarded the 'Best Defender' in the 2017 Pro Kabaddi League?</t>
  </si>
  <si>
    <t>Which kabaddi league features teams from South Asian countries and was established in 2018?</t>
  </si>
  <si>
    <t>Which kabaddi player set the record for the most number of successful tackles in a single Pro Kabaddi League season?</t>
  </si>
  <si>
    <t>Which Indian state is renowned for its traditional kabaddi tournaments and is known for the 'Gurgaon Kabaddi Tournament'?</t>
  </si>
  <si>
    <t>Which kabaddi player became the first to score 100 successful tackles in a single Pro Kabaddi League season?</t>
  </si>
  <si>
    <t>Which kabaddi tournament is known for its inclusion of international teams and was established in 2014?</t>
  </si>
  <si>
    <t>Which kabaddi player was the top scorer in the 2018 Pro Kabaddi League season?</t>
  </si>
  <si>
    <t>Which kabaddi player was awarded 'Best All-Rounder' in the 2019 Kabaddi World Cup?</t>
  </si>
  <si>
    <t>Which kabaddi league was established to include international teams and promote kabaddi globally?</t>
  </si>
  <si>
    <t>Which Indian state is known for its annual 'Kabaddi Championship' held in Panipat?</t>
  </si>
  <si>
    <t>Which kabaddi player set the record for the most raid points in a single match in the 2019 Pro Kabaddi League?</t>
  </si>
  <si>
    <t>Which kabaddi player was awarded the 'Best Raider' in the 2017 Pro Kabaddi League?</t>
  </si>
  <si>
    <t>Which kabaddi player achieved the most successful tackles in the 2020 Pro Kabaddi League season?</t>
  </si>
  <si>
    <t>Which kabaddi tournament is known for its traditional rules and is held annually in Gujarat?</t>
  </si>
  <si>
    <t>A) Gujarat Kabaddi Tournament, B) Maharashtra Kabaddi Championship, C) Rajasthan Kabaddi Tournament, D) Punjab Kabaddi Championship</t>
  </si>
  <si>
    <t>A) Gujarat Kabaddi Tournament</t>
  </si>
  <si>
    <t>Which kabaddi player was known for their exceptional defensive skills and won the 'Best Defender' award in the 2018 Kabaddi World Cup?</t>
  </si>
  <si>
    <t>Which city hosted the Pro Kabaddi League season 1 in 2014?</t>
  </si>
  <si>
    <t>A) Mumbai, B) Delhi, C) Bangalore, D) Hyderabad</t>
  </si>
  <si>
    <t>Which kabaddi player became the first to score 50 points in a single match in Pro Kabaddi League history?</t>
  </si>
  <si>
    <t>Which kabaddi tournament is known for its round-robin format and is held annually in Punjab?</t>
  </si>
  <si>
    <t>A) Punjab Kabaddi Championship, B) Haryana Kabaddi Tournament, C) Maharashtra Kabaddi Championship, D) Rajasthan Kabaddi Tournament</t>
  </si>
  <si>
    <t>A) Punjab Kabaddi Championship</t>
  </si>
  <si>
    <t>Which kabaddi player was the top scorer in the 2019 Pro Kabaddi League season?</t>
  </si>
  <si>
    <t>Which kabaddi player was awarded the 'Best All-Rounder' in the 2017 Kabaddi World Cup?</t>
  </si>
  <si>
    <t>Which Indian state is known for the traditional 'Jodhpur Kabaddi Tournament'?</t>
  </si>
  <si>
    <t>A) Rajasthan, B) Gujarat, C) Haryana, D) Punjab</t>
  </si>
  <si>
    <t>Which kabaddi player was known for their exceptional raiding skills and won the 'Best Raider' award in the 2019 Pro Kabaddi League?</t>
  </si>
  <si>
    <t>Which kabaddi player was the top scorer in the 2020 Kabaddi World Cup?</t>
  </si>
  <si>
    <t>Which kabaddi league features teams from South Asian countries and is known for its competitive nature?</t>
  </si>
  <si>
    <t>Which kabaddi player achieved the most number of successful raids in the 2020 Pro Kabaddi League season?</t>
  </si>
  <si>
    <t>Which Indian city is known for the 'Delhi Kabaddi Championship'?</t>
  </si>
  <si>
    <t>A) Delhi, B) Mumbai, C) Bangalore, D) Chennai</t>
  </si>
  <si>
    <t>A) Delhi</t>
  </si>
  <si>
    <t>Which kabaddi tournament was held in 2021 and featured a mix of traditional and modern kabaddi teams?</t>
  </si>
  <si>
    <t>Which kabaddi player was the top scorer in the 2016 Pro Kabaddi League season?</t>
  </si>
  <si>
    <t>B) Rahul Chaudhari</t>
  </si>
  <si>
    <t>Which Indian city is known for hosting the annual 'Mumbai Kabaddi Championship'?</t>
  </si>
  <si>
    <t>A) Mumbai, B) Delhi, C) Bangalore, D) Chennai</t>
  </si>
  <si>
    <t>A) Mumbai</t>
  </si>
  <si>
    <t>Which kabaddi player was awarded the 'Best All-Rounder' title in the 2020 Kabaddi World Cup?</t>
  </si>
  <si>
    <t>B) Deepak Niwas Hooda</t>
  </si>
  <si>
    <t>Which kabaddi player achieved the highest number of raid points in a single match in the 2020 Pro Kabaddi League season?</t>
  </si>
  <si>
    <t>Which Indian state is known for the traditional 'Kolkata Kabaddi Tournament'?</t>
  </si>
  <si>
    <t>A) West Bengal, B) Gujarat, C) Haryana, D) Punjab</t>
  </si>
  <si>
    <t>Which kabaddi player was known for their defensive skills and won the 'Best Defender' award in the 2021 Pro Kabaddi League?</t>
  </si>
  <si>
    <t>Which kabaddi player was awarded the 'Best Raider' in the 2020 Kabaddi World Cup?</t>
  </si>
  <si>
    <t>Which kabaddi league was introduced to promote kabaddi in South Asian countries and was first held in 2018?</t>
  </si>
  <si>
    <t>Which kabaddi player was the top scorer in the 2017 Pro Kabaddi League season?</t>
  </si>
  <si>
    <t>Which Indian city is known for the 'Chennai Kabaddi Championship'?</t>
  </si>
  <si>
    <t>A) Chennai, B) Delhi, C) Bangalore, D) Mumbai</t>
  </si>
  <si>
    <t>A) Chennai</t>
  </si>
  <si>
    <t>Which kabaddi player set the record for the most successful tackles in a single match in the 2021 Pro Kabaddi League?</t>
  </si>
  <si>
    <t>Which kabaddi tournament was established to feature international teams and promote global kabaddi?</t>
  </si>
  <si>
    <t>Which kabaddi player was awarded the 'Best Raider' title in the 2021 Kabaddi World Cup?</t>
  </si>
  <si>
    <t>Which Indian city is known for hosting the 'Hyderabad Kabaddi Championship'?</t>
  </si>
  <si>
    <t>A) Hyderabad, B) Chennai, C) Bangalore, D) Mumbai</t>
  </si>
  <si>
    <t>A) Hyderabad</t>
  </si>
  <si>
    <t>Which kabaddi player was awarded the 'Best All-Rounder' in the 2021 Pro Kabaddi League?</t>
  </si>
  <si>
    <t>Which kabaddi player set the record for the most number of successful raids in a single match in the 2021 Pro Kabaddi League season?</t>
  </si>
  <si>
    <t>Which kabaddi tournament features a unique format with teams from multiple countries and is known for its competitive nature?</t>
  </si>
  <si>
    <t>Which kabaddi player was the top scorer in the 2021 Kabaddi World Cup?</t>
  </si>
  <si>
    <t>Which kabaddi player was known for their exceptional raiding skills and won the 'Best Raider' award in the 2019 Kabaddi World Cup?</t>
  </si>
  <si>
    <t>Which kabaddi tournament was first held in 2015 and featured teams from various countries?</t>
  </si>
  <si>
    <t>Which kabaddi player set the record for the most raid points in the 2017 Kabaddi World Cup?</t>
  </si>
  <si>
    <t>Which Indian city is known for hosting the 'Pune Kabaddi Championship'?</t>
  </si>
  <si>
    <t>A) Pune, B) Mumbai, C) Delhi, D) Bangalore</t>
  </si>
  <si>
    <t>A) Pune</t>
  </si>
  <si>
    <t>Which kabaddi player was awarded the 'Best Defender' in the 2021 Kabaddi World Cup?</t>
  </si>
  <si>
    <t>Which kabaddi tournament is known for its inclusion of teams from South Asia and was first held in 2018?</t>
  </si>
  <si>
    <t>Which kabaddi player was awarded the 'Best Raider' title in the 2020 Kabaddi World Cup?</t>
  </si>
  <si>
    <t>Which Indian city is known for hosting the 'Nagpur Kabaddi Championship'?</t>
  </si>
  <si>
    <t>A) Nagpur, B) Mumbai, C) Delhi, D) Bangalore</t>
  </si>
  <si>
    <t>A) Nagpur</t>
  </si>
  <si>
    <t>Which kabaddi player was the top scorer in the 2019 Kabaddi World Cup?</t>
  </si>
  <si>
    <t>Which kabaddi player achieved the most successful tackles in a single match in the 2018 Pro Kabaddi League season?</t>
  </si>
  <si>
    <t>Which kabaddi player was the top scorer in the 2020 Pro Kabaddi League season?</t>
  </si>
  <si>
    <t>Which kabaddi tournament features teams from various countries and is known for its competitive matches?</t>
  </si>
  <si>
    <t>Where did Kabaddi originate?</t>
  </si>
  <si>
    <t>A) India, B) China, C) Japan, D) Thailand</t>
  </si>
  <si>
    <t>Who is considered the father of modern Kabaddi?</t>
  </si>
  <si>
    <t>A) Bhola Nath, B) Jagat Singh, C) S. G. Mudi, D) Ram Singh</t>
  </si>
  <si>
    <t>C) S. G. Mudi</t>
  </si>
  <si>
    <t>When was the Kabaddi Federation of India established?</t>
  </si>
  <si>
    <t>A) 1950, B) 1960, C) 1970, D) 1980</t>
  </si>
  <si>
    <t>A) 1950</t>
  </si>
  <si>
    <t>Which state in India is known for popularizing Kabaddi in the early 20th century?</t>
  </si>
  <si>
    <t>A) Punjab, B) Tamil Nadu, C) Maharashtra, D) Uttar Pradesh</t>
  </si>
  <si>
    <t>In which year was Kabaddi included in the Asian Games?</t>
  </si>
  <si>
    <t>A) 1958, B) 1962, C) 1970, D) 1982</t>
  </si>
  <si>
    <t>D) 1982</t>
  </si>
  <si>
    <t>Which Indian state won the first Kabaddi gold medal in the Asian Games?</t>
  </si>
  <si>
    <t>A) Punjab, B) Haryana, C) Tamil Nadu, D) Karnataka</t>
  </si>
  <si>
    <t>B) Haryana</t>
  </si>
  <si>
    <t>Who was the first Indian Kabaddi player to be awarded the Padma Bhushan?</t>
  </si>
  <si>
    <t>A) K. D. Singh, B) Ashok Kumar, C) Babu Shome, D) Jagat Singh</t>
  </si>
  <si>
    <t>B) Ashok Kumar</t>
  </si>
  <si>
    <t>Which country outside India has a significant Kabaddi presence?</t>
  </si>
  <si>
    <t>A) Bangladesh, B) Nepal, C) Sri Lanka, D) Pakistan</t>
  </si>
  <si>
    <t>D) Pakistan</t>
  </si>
  <si>
    <t>When was the Kabaddi World Cup first held?</t>
  </si>
  <si>
    <t>A) 2004, B) 2005, C) 2006, D) 2007</t>
  </si>
  <si>
    <t>B) 2005</t>
  </si>
  <si>
    <t>Which league, founded in 2014, popularized Kabaddi on a national level in India?</t>
  </si>
  <si>
    <t>A) Pro Kabaddi League, B) Indian Kabaddi League, C) National Kabaddi League, D) Kabaddi Championship</t>
  </si>
  <si>
    <t>Which Indian city hosted the first Kabaddi World Cup?</t>
  </si>
  <si>
    <t>A) Mumbai, B) Delhi, C) Chandigarh, D) Kolkata</t>
  </si>
  <si>
    <t>C) Chandigarh</t>
  </si>
  <si>
    <t>Which player is known for pioneering the defensive style in Kabaddi?</t>
  </si>
  <si>
    <t>A) Manjeet Chhillar, B) Anup Kumar, C) Rahul Chaudhari, D) Surjeet Singh</t>
  </si>
  <si>
    <t>What is the primary objective of a raider in Kabaddi?</t>
  </si>
  <si>
    <t>A) To tag opponents, B) To defend, C) To score goals, D) To catch the ball</t>
  </si>
  <si>
    <t>A) To tag opponents</t>
  </si>
  <si>
    <t>Which Indian state is known for having a traditional Kabaddi festival?</t>
  </si>
  <si>
    <t>A) Gujarat, B) Bihar, C) Assam, D) Karnataka</t>
  </si>
  <si>
    <t>B) Bihar</t>
  </si>
  <si>
    <t>What is the duration of a standard Kabaddi match?</t>
  </si>
  <si>
    <t>A) 30 minutes, B) 40 minutes, C) 50 minutes, D) 60 minutes</t>
  </si>
  <si>
    <t>B) 40 minutes</t>
  </si>
  <si>
    <t>How many points are awarded for a successful raid in Kabaddi?</t>
  </si>
  <si>
    <t>A) 1, B) 2, C) 3, D) 4</t>
  </si>
  <si>
    <t>A) 1</t>
  </si>
  <si>
    <t>Which of the following is NOT a fundamental skill in Kabaddi?</t>
  </si>
  <si>
    <t>A) Dodging, B) Blocking, C) Dribbling, D) Tagging</t>
  </si>
  <si>
    <t>C) Dribbling</t>
  </si>
  <si>
    <t>Which country hosted the Kabaddi World Cup in 2016?</t>
  </si>
  <si>
    <t>A) India, B) Bangladesh, C) Pakistan, D) Nepal</t>
  </si>
  <si>
    <t>Which Indian state has a unique style of Kabaddi known as 'Circle Kabaddi'?</t>
  </si>
  <si>
    <t>A) Andhra Pradesh, B) Tamil Nadu, C) Kerala, D) Odisha</t>
  </si>
  <si>
    <t>B) Tamil Nadu</t>
  </si>
  <si>
    <t>Which player is famous for his aggressive raiding style and has been a key player in the Pro Kabaddi League?</t>
  </si>
  <si>
    <t>A) Pardeep Narwal, B) Siddharth Desai, C) Ajay Thakur, D) Rishank Devadiga</t>
  </si>
  <si>
    <t>Which format is used in Kabaddi tournaments to determine the winner?</t>
  </si>
  <si>
    <t>A) Knockout, B) Round-robin, C) League, D) All of the above</t>
  </si>
  <si>
    <t>D) All of the above</t>
  </si>
  <si>
    <t>In Kabaddi, what is the term for a situation where a raider is successfully tackled by the defending team?</t>
  </si>
  <si>
    <t>A) Out, B) Tag, C) Raid failure, D) Do-or-die</t>
  </si>
  <si>
    <t>A) Out</t>
  </si>
  <si>
    <t>Which country has a Kabaddi team that won the Asian Games gold medal in 2010?</t>
  </si>
  <si>
    <t>What is the term for a player who specializes in defensive techniques in Kabaddi?</t>
  </si>
  <si>
    <t>A) Raider, B) Defender, C) Attacker, D) Captain</t>
  </si>
  <si>
    <t>B) Defender</t>
  </si>
  <si>
    <t>Which Indian Kabaddi player is known for his leadership skills and captaining the Indian national team to victory in multiple tournaments?</t>
  </si>
  <si>
    <t>What is the Kabaddi term for the act of holding onto an opponent to prevent them from escaping?</t>
  </si>
  <si>
    <t>A) Lock, B) Grip, C) Hold, D) Pin</t>
  </si>
  <si>
    <t>C) Hold</t>
  </si>
  <si>
    <t>Which Indian state is known for its traditional Kabaddi tournaments that involve both men and women players?</t>
  </si>
  <si>
    <t>A) Punjab, B) Haryana, C) Gujarat, D) Maharashtra</t>
  </si>
  <si>
    <t>Which player has set a record for the highest number of raid points in a single Pro Kabaddi League season?</t>
  </si>
  <si>
    <t>A) Pardeep Narwal, B) Rahul Chaudhari, C) Siddharth Desai, D) Rishank Devadiga</t>
  </si>
  <si>
    <t>What is the name of the Kabaddi technique where the raider touches opponents and runs back to their own half without being caught?</t>
  </si>
  <si>
    <t>A) Raid, B) Dodge, C) Tag, D) Escape</t>
  </si>
  <si>
    <t>A) Raid</t>
  </si>
  <si>
    <t>Which Indian Kabaddi player is famous for his long-range tackles and defensive skills?</t>
  </si>
  <si>
    <t>A) Surjeet Singh, B) Manjeet Chhillar, C) Nitesh Kumar, D) Vishal Bhardwaj</t>
  </si>
  <si>
    <t>In which Indian city is the Kabaddi National Championship held annually?</t>
  </si>
  <si>
    <t>A) Delhi, B) Mumbai, C) Bengaluru, D) Patna</t>
  </si>
  <si>
    <t>D) Patna</t>
  </si>
  <si>
    <t>Which Kabaddi tournament is known for featuring international teams and promoting the sport globally?</t>
  </si>
  <si>
    <t>A) Kabaddi World Cup, B) Pro Kabaddi League, C) Kabaddi Masters, D) Asian Kabaddi Championship</t>
  </si>
  <si>
    <t>What is the primary objective of the defensive team in Kabaddi?</t>
  </si>
  <si>
    <t>A) To tag the raider, B) To avoid being tagged, C) To score points, D) To block the raider</t>
  </si>
  <si>
    <t>A) To tag the raider</t>
  </si>
  <si>
    <t>Which Indian Kabaddi player was awarded the prestigious Arjuna Award for his contributions to the sport?</t>
  </si>
  <si>
    <t>A) Anup Kumar, B) Ajay Thakur, C) Manjeet Chhillar, D) Rakesh Kumar</t>
  </si>
  <si>
    <t>D) Rakesh Kumar</t>
  </si>
  <si>
    <t>Which country hosted the Kabaddi World Cup in 2019?</t>
  </si>
  <si>
    <t>Which Kabaddi team won the first season of the Pro Kabaddi League?</t>
  </si>
  <si>
    <t>A) Jaipur Pink Panthers, B) U Mumba, C) Bengaluru Bulls, D) Dabang Delhi</t>
  </si>
  <si>
    <t>What is the name of the Kabaddi strategy where the raider attempts to score points by touching as many defenders as possible?</t>
  </si>
  <si>
    <t>A) Super Raid, B) Bonus Raid, C) Do-or-Die Raid, D) Tackle</t>
  </si>
  <si>
    <t>A) Super Raid</t>
  </si>
  <si>
    <t>Which state is known for its unique Kabaddi tradition called 'Kabaddi Seema'?</t>
  </si>
  <si>
    <t>A) Assam, B) Tripura, C) West Bengal, D) Odisha</t>
  </si>
  <si>
    <t>C) West Bengal</t>
  </si>
  <si>
    <t>Which player is known for his exceptional skills in both raiding and defending, making him a dual-threat on the Kabaddi field?</t>
  </si>
  <si>
    <t>A) Ajay Thakur, B) Rishank Devadiga, C) Pardeep Narwal, D) Manjeet Chhillar</t>
  </si>
  <si>
    <t>What is the name of the skill in Kabaddi where a defender uses their body to block the raider's path?</t>
  </si>
  <si>
    <t>A) Block, B) Tackle, C) Hold, D) Pin</t>
  </si>
  <si>
    <t>B) Tackle</t>
  </si>
  <si>
    <t>In Kabaddi, what is the term for the action of raiding and returning to the half without being tackled?</t>
  </si>
  <si>
    <t>A) Successful Raid, B) Empty Raid, C) Do-or-Die Raid, D) Bonus Raid</t>
  </si>
  <si>
    <t>A) Successful Raid</t>
  </si>
  <si>
    <t>Which Indian Kabaddi player holds the record for the most points scored in a single Kabaddi World Cup?</t>
  </si>
  <si>
    <t>A) Pardeep Narwal, B) Rahul Chaudhari, C) Anup Kumar, D) Ajay Thakur</t>
  </si>
  <si>
    <t>What is the primary function of the 'captain' in a Kabaddi team?</t>
  </si>
  <si>
    <t>A) To lead the team strategy, B) To score the maximum points, C) To tackle opponents, D) To train the team</t>
  </si>
  <si>
    <t>A) To lead the team strategy</t>
  </si>
  <si>
    <t>Which year saw the establishment of the International Kabaddi Federation?</t>
  </si>
  <si>
    <t>Which Indian city is known for its Kabaddi training centers and academies?</t>
  </si>
  <si>
    <t>A) Delhi, B) Mumbai, C) Patna, D) Bengaluru</t>
  </si>
  <si>
    <t>C) Patna</t>
  </si>
  <si>
    <t>What is the term used for a Kabaddi match where the team with the most points at the end of the match wins?</t>
  </si>
  <si>
    <t>A) Knockout, B) Round-Robin, C) League, D) All of the above</t>
  </si>
  <si>
    <t>Which team won the most recent Kabaddi World Cup?</t>
  </si>
  <si>
    <t>Which Indian player is renowned for his powerful raiding and has been a key player in the Pro Kabaddi League?</t>
  </si>
  <si>
    <t>A) Rahul Chaudhari, B) Siddharth Desai, C) Pardeep Narwal, D) Ajay Thakur</t>
  </si>
  <si>
    <t>C) Pardeep Narwal</t>
  </si>
  <si>
    <t>Which city is home to the Pro Kabaddi League's franchise, U Mumba?</t>
  </si>
  <si>
    <t>A) Mumbai, B) Delhi, C) Bengaluru, D) Chennai</t>
  </si>
  <si>
    <t>What is the term for the defensive technique in Kabaddi where a player uses their body to block the raider?</t>
  </si>
  <si>
    <t>A) Tackle, B) Block, C) Hold, D) Pin</t>
  </si>
  <si>
    <t>A) Tackle</t>
  </si>
  <si>
    <t>Which Indian Kabaddi player is known for his innovative raiding techniques and has been a major force in the Pro Kabaddi League?</t>
  </si>
  <si>
    <t>A) Ajay Thakur, B) Rahul Chaudhari, C) Pardeep Narwal, D) Rishank Devadiga</t>
  </si>
  <si>
    <t>Which state in India is known for hosting the annual Kabaddi tournament, 'Kabaddi Seema'?</t>
  </si>
  <si>
    <t>A) Bihar, B) Odisha, C) West Bengal, D) Gujarat</t>
  </si>
  <si>
    <t>In which year did the Pro Kabaddi League start?</t>
  </si>
  <si>
    <t>Which Indian Kabaddi player has won the Best Raider Award multiple times in the Pro Kabaddi League?</t>
  </si>
  <si>
    <t>A) Pardeep Narwal, B) Siddharth Desai, C) Rahul Chaudhari, D) Ajay Thakur</t>
  </si>
  <si>
    <t>What is the standard duration of a Kabaddi match in the Pro Kabaddi League?</t>
  </si>
  <si>
    <t>Which Indian Kabaddi player was instrumental in the Indian national team's victory in the 2014 Kabaddi World Cup?</t>
  </si>
  <si>
    <t>A) Anup Kumar, B) Rakesh Kumar, C) Pardeep Narwal, D) Manjeet Chhillar</t>
  </si>
  <si>
    <t>Which league is known for bringing Kabaddi to an international audience?</t>
  </si>
  <si>
    <t>Which state has a traditional Kabaddi style known as 'Circle Kabaddi'?</t>
  </si>
  <si>
    <t>What is the Kabaddi technique where a defender attempts to catch the raider before they return to their half?</t>
  </si>
  <si>
    <t>A) Block, B) Hold, C) Tackle, D) Pin</t>
  </si>
  <si>
    <t>C) Tackle</t>
  </si>
  <si>
    <t>Who is the highest point scorer in the history of the Pro Kabaddi League?</t>
  </si>
  <si>
    <t>A) Pardeep Narwal, B) Rahul Chaudhari, C) Siddharth Desai, D) Ajay Thakur</t>
  </si>
  <si>
    <t>Which Indian Kabaddi player is known for his innovative defensive strategies?</t>
  </si>
  <si>
    <t>A) Surjeet Singh</t>
  </si>
  <si>
    <t>Which city is known for having a strong Kabaddi culture and hosting local tournaments?</t>
  </si>
  <si>
    <t>A) Patna, B) Bengaluru, C) Mumbai, D) Delhi</t>
  </si>
  <si>
    <t>Which Indian state has a Kabaddi tournament named 'Kabaddi Festival' that attracts large audiences?</t>
  </si>
  <si>
    <t>A) Punjab, B) Haryana, C) Uttar Pradesh, D) Rajasthan</t>
  </si>
  <si>
    <t>What is the primary role of a raider in Kabaddi?</t>
  </si>
  <si>
    <t>A) To defend against tackles, B) To score points by touching opponents, C) To strategize plays, D) To coach the team</t>
  </si>
  <si>
    <t>B) To score points by touching opponents</t>
  </si>
  <si>
    <t>Which player is known for his exceptional skills in both raiding and defending, making him a dual-threat on the field?</t>
  </si>
  <si>
    <t>A) Manjeet Chhillar, B) Anup Kumar, C) Pardeep Narwal, D) Rahul Chaudhari</t>
  </si>
  <si>
    <t>Which Indian Kabaddi player has the record for the highest number of successful raids in a single season of the Pro Kabaddi League?</t>
  </si>
  <si>
    <t>In which city is the annual Kabaddi National Championship traditionally held?</t>
  </si>
  <si>
    <t>A) Patna, B) Mumbai, C) Delhi, D) Bengaluru</t>
  </si>
  <si>
    <t>Which Indian state is known for its unique Kabaddi style known as 'Kabaddi Seema'?</t>
  </si>
  <si>
    <t>A) Punjab, B) Bihar, C) Odisha, D) Karnataka</t>
  </si>
  <si>
    <t>Which player is recognized for his contributions to the development of Kabaddi as a sport in India?</t>
  </si>
  <si>
    <t>Which country has shown significant interest in Kabaddi and has teams participating in international tournaments?</t>
  </si>
  <si>
    <t>A) Pakistan, B) Bangladesh, C) Nepal, D) Sri Lanka</t>
  </si>
  <si>
    <t>A) Pakistan</t>
  </si>
  <si>
    <t>Which Indian Kabaddi player has won the 'Best Defender' award multiple times in the Pro Kabaddi League?</t>
  </si>
  <si>
    <t>A) Manjeet Chhillar, B) Surjeet Singh, C) Nitesh Kumar, D) Vishal Bhardwaj</t>
  </si>
  <si>
    <t>B) Surjeet Singh</t>
  </si>
  <si>
    <t>Which year marked the introduction of Kabaddi in the Asian Games?</t>
  </si>
  <si>
    <t>A) 1954, B) 1962, C) 1970, D) 1982</t>
  </si>
  <si>
    <t>Who is considered one of the founding figures of modern Kabaddi?</t>
  </si>
  <si>
    <t>A) Ghulam Mohammad, B) Balwan Singh, C) Lala Amarnath, D) Mohammad Ali</t>
  </si>
  <si>
    <t>Which Indian state is renowned for its traditional Kabaddi tournament called 'Kabaddi Mela'?</t>
  </si>
  <si>
    <t>A) Punjab, B) Haryana, C) Gujarat, D) Karnataka</t>
  </si>
  <si>
    <t>What significant change occurred in Kabaddi rules in the 1990s?</t>
  </si>
  <si>
    <t>A) Introduction of the 7-player format, B) Removal of the 'Catch' rule, C) Change from 2 halves to 4 quarters, D) Implementation of the bonus point system</t>
  </si>
  <si>
    <t>D) Implementation of the bonus point system</t>
  </si>
  <si>
    <t>Which player led India to victory in the 2004 Kabaddi World Cup?</t>
  </si>
  <si>
    <t>A) Rakesh Kumar, B) Anup Kumar, C) Pardeep Narwal, D) Ajay Thakur</t>
  </si>
  <si>
    <t>Which city hosted the first-ever Kabaddi World Cup in 2004?</t>
  </si>
  <si>
    <t>A) Patna, B) Mumbai, C) Delhi, D) Jaipur</t>
  </si>
  <si>
    <t>C) Delhi</t>
  </si>
  <si>
    <t>Who is the legendary Kabaddi player known for his contribution to the sport and his coaching role in various teams?</t>
  </si>
  <si>
    <t>Which state in India is home to the traditional Kabaddi style known as 'Circle Kabaddi'?</t>
  </si>
  <si>
    <t>A) Tamil Nadu, B) Andhra Pradesh, C) Karnataka, D) Kerala</t>
  </si>
  <si>
    <t>In which year did Kabaddi make its debut in the South Asian Games?</t>
  </si>
  <si>
    <t>A) 1984, B) 1986, C) 1988, D) 1990</t>
  </si>
  <si>
    <t>B) 1986</t>
  </si>
  <si>
    <t>Which Kabaddi team won the inaugural Pro Kabaddi League championship in 2014?</t>
  </si>
  <si>
    <t>Which notable Kabaddi player is known for his exceptional raiding skills and leadership on the field?</t>
  </si>
  <si>
    <t>C) Anup Kumar</t>
  </si>
  <si>
    <t>Who is the Indian Kabaddi player who led the Indian team to win the 2016 Kabaddi World Cup?</t>
  </si>
  <si>
    <t>A) Anup Kumar, B) Rakesh Kumar, C) Pardeep Narwal, D) Ajay Thakur</t>
  </si>
  <si>
    <t>Which Indian state has a strong tradition of Kabaddi and regularly organizes local and state-level tournaments?</t>
  </si>
  <si>
    <t>A) Punjab, B) Haryana, C) Bihar, D) Uttar Pradesh</t>
  </si>
  <si>
    <t>Which Indian Kabaddi player is known for his record-breaking performances in the Pro Kabaddi League?</t>
  </si>
  <si>
    <t>Which Indian city is renowned for its Kabaddi academies and has produced several top players?</t>
  </si>
  <si>
    <t>A) Patna, B) Delhi, C) Mumbai, D) Bengaluru</t>
  </si>
  <si>
    <t>Who is the Indian Kabaddi player celebrated for his defensive skills and leadership qualities?</t>
  </si>
  <si>
    <t>A) Surjeet Singh, B) Manjeet Chhillar, C) Vishal Bhardwaj, D) Nitesh Kumar</t>
  </si>
  <si>
    <t>What significant event in Kabaddi's history took place in 2016?</t>
  </si>
  <si>
    <t>A) The launch of the Kabaddi Masters, B) The introduction of Kabaddi in the Asian Games, C) The Pro Kabaddi League's third season, D) The establishment of the Kabaddi World Cup</t>
  </si>
  <si>
    <t>C) The Pro Kabaddi League's third season</t>
  </si>
  <si>
    <t>Which Indian Kabaddi team won the most matches in the Pro Kabaddi League's first season?</t>
  </si>
  <si>
    <t>B) U Mumba</t>
  </si>
  <si>
    <t>Which traditional Kabaddi tournament is held annually in the Indian state of Punjab?</t>
  </si>
  <si>
    <t>A) Kabaddi Mela, B) Kabaddi Seema, C) Kabaddi Festival, D) Kabaddi Championship</t>
  </si>
  <si>
    <t>A) Kabaddi Mela</t>
  </si>
  <si>
    <t>In which year did Kabaddi get included as a regular sport in the Asian Games?</t>
  </si>
  <si>
    <t>A) 1962, B) 1970, C) 1986, D) 1990</t>
  </si>
  <si>
    <t>A) 1962</t>
  </si>
  <si>
    <t>Which Indian state has a Kabaddi tournament known as 'Kabaddi Fest'?</t>
  </si>
  <si>
    <t>C) Andhra Pradesh</t>
  </si>
  <si>
    <t>Which notable player is known for his innovative raiding techniques and has been a key figure in Indian Kabaddi?</t>
  </si>
  <si>
    <t>Which state in India has a traditional Kabaddi style that involves a unique raiding method known as 'Ghatak Kabaddi'?</t>
  </si>
  <si>
    <t>Who is the Indian Kabaddi player known for his achievements in the Pro Kabaddi League and for leading his team to victory in several seasons?</t>
  </si>
  <si>
    <t>A) Manjeet Chhillar, B) Anup Kumar, C) Pardeep Narwal, D) Ajay Thakur</t>
  </si>
  <si>
    <t>Which Indian Kabaddi player is recognized for his leadership and tactical acumen during high-stakes matches?</t>
  </si>
  <si>
    <t>A) Rakesh Kumar, B) Anup Kumar, C) Pardeep Narwal, D) Rahul Chaudhari</t>
  </si>
  <si>
    <t>Which Indian Kabaddi team is known for its strong defensive strategies and has won multiple titles in the Pro Kabaddi League?</t>
  </si>
  <si>
    <t>Which city is known for its prominent Kabaddi players and has a strong Kabaddi culture?</t>
  </si>
  <si>
    <t>What is the name of the annual Kabaddi tournament held in Punjab that attracts teams from across the country?</t>
  </si>
  <si>
    <t>A) Kabaddi Festival, B) Kabaddi Championship, C) Kabaddi Mela, D) Kabaddi Seema</t>
  </si>
  <si>
    <t>C) Kabaddi Mela</t>
  </si>
  <si>
    <t>Which Indian Kabaddi player has achieved the highest number of successful tackles in a single season of the Pro Kabaddi League?</t>
  </si>
  <si>
    <t>Which state in India is known for its unique Kabaddi variant called 'Chakde Kabaddi'?</t>
  </si>
  <si>
    <t>B) Andhra Pradesh</t>
  </si>
  <si>
    <t>In which year did Kabaddi become a prominent sport in the Indian School Games?</t>
  </si>
  <si>
    <t>A) 1980, B) 1990, C) 2000, D) 2010</t>
  </si>
  <si>
    <t>B) 1990</t>
  </si>
  <si>
    <t>Who is the Indian Kabaddi player known for his outstanding raiding skills and consistent performance in the Pro Kabaddi League?</t>
  </si>
  <si>
    <t>A) Rahul Chaudhari, B) Pardeep Narwal, C) Ajay Thakur, D) Rishank Devadiga</t>
  </si>
  <si>
    <t>Which notable Kabaddi tournament is held annually in the Indian state of Haryana?</t>
  </si>
  <si>
    <t>A) Kabaddi Championship, B) Kabaddi Festival, C) Kabaddi Mela, D) Kabaddi Seema</t>
  </si>
  <si>
    <t>A) Kabaddi Championship</t>
  </si>
  <si>
    <t>Which Indian city has produced several prominent Kabaddi players and has a strong tradition of the sport?</t>
  </si>
  <si>
    <t>Which traditional Kabaddi event is held annually in the Indian state of Punjab and features teams from different regions?</t>
  </si>
  <si>
    <t>A) Kabaddi Fest, B) Kabaddi Mela, C) Kabaddi Championship, D) Kabaddi Tournament</t>
  </si>
  <si>
    <t>B) Kabaddi Mela</t>
  </si>
  <si>
    <t>Which Kabaddi player is known for his exceptional all-around skills and contributions to the Indian national team?</t>
  </si>
  <si>
    <t>Which Indian state is renowned for its unique style of Kabaddi known as 'Rural Kabaddi'?</t>
  </si>
  <si>
    <t>C) Bihar</t>
  </si>
  <si>
    <t>In which year did Kabaddi become an official sport in the Indian School Games Federation?</t>
  </si>
  <si>
    <t>A) 1995, B) 2000, C) 2005, D) 2010</t>
  </si>
  <si>
    <t>B) 2000</t>
  </si>
  <si>
    <t>Which Kabaddi player is known for his strategic raiding and has made a significant impact on the Pro Kabaddi League?</t>
  </si>
  <si>
    <t>Which city hosted the Kabaddi World Cup in 2016?</t>
  </si>
  <si>
    <t>Who is the Indian Kabaddi player known for his remarkable defensive skills and leadership in the Pro Kabaddi League?</t>
  </si>
  <si>
    <t>A) Manjeet Chhillar, B) Surjeet Singh, C) Vishal Bhardwaj, D) Nitesh Kumar</t>
  </si>
  <si>
    <t>Which Indian state has a traditional Kabaddi tournament known for its competitive spirit and high-level play?</t>
  </si>
  <si>
    <t>In which year did the Pro Kabaddi League introduce the concept of 'Super Tackle'?</t>
  </si>
  <si>
    <t>A) 2014, B) 2015, C) 2016, D) 2017</t>
  </si>
  <si>
    <t>B) 2015</t>
  </si>
  <si>
    <t>Which notable Kabaddi player has the highest number of points scored in a single season of the Pro Kabaddi League?</t>
  </si>
  <si>
    <t>Which Indian city is home to a renowned Kabaddi academy known for training young talent?</t>
  </si>
  <si>
    <t>Which state in India has a traditional Kabaddi style known as 'Ghatak Kabaddi'?</t>
  </si>
  <si>
    <t>A) Punjab, B) Haryana, C) Maharashtra, D) Gujarat</t>
  </si>
  <si>
    <t>C) Maharashtra</t>
  </si>
  <si>
    <t>Which Kabaddi player has been recognized for his exceptional contributions to the sport and has served as a mentor for upcoming players?</t>
  </si>
  <si>
    <t>Which Indian Kabaddi player is known for his extraordinary raiding ability and has won multiple 'Player of the Match' awards?</t>
  </si>
  <si>
    <t>A) Pardeep Narwal, B) Rahul Chaudhari, C) Ajay Thakur, D) Rishank Devadiga</t>
  </si>
  <si>
    <t>In which Indian city is the Kabaddi World Cup 2016 known for its high-profile matches and international participation?</t>
  </si>
  <si>
    <t>A) Delhi, B) Patna, C) Mumbai, D) Bengaluru</t>
  </si>
  <si>
    <t>Which notable player is celebrated for his exceptional skills in both raiding and defending in the Pro Kabaddi League?</t>
  </si>
  <si>
    <t>Which Indian state is known for its vibrant Kabaddi culture and frequent local tournaments?</t>
  </si>
  <si>
    <t>Which Kabaddi team is famous for its strong defensive strategies and has won several titles in the Pro Kabaddi League?</t>
  </si>
  <si>
    <t>Who is the Kabaddi player known for his significant impact on the sport through his coaching and mentoring roles?</t>
  </si>
  <si>
    <t>Which Indian state is renowned for its traditional Kabaddi tournaments that feature local and regional teams?</t>
  </si>
  <si>
    <t>Which year saw the introduction of the Kabaddi Masters, an international Kabaddi tournament?</t>
  </si>
  <si>
    <t>A) 2015, B) 2016, C) 2017, D) 2018</t>
  </si>
  <si>
    <t>B) 2016</t>
  </si>
  <si>
    <t>Which Kabaddi player is celebrated for his raiding prowess and has earned the title of 'Raid Master' in the Pro Kabaddi League?</t>
  </si>
  <si>
    <t>A) Pardeep Narwal, B) Rahul Chaudhari, C) Ajay Thakur, D) Siddharth Desai</t>
  </si>
  <si>
    <t>Which Indian city is known for its Kabaddi academies and training facilities that nurture young talent?</t>
  </si>
  <si>
    <t>Which state in India has a traditional Kabaddi style called 'Seema Kabaddi'?</t>
  </si>
  <si>
    <t>A) Punjab, B) Haryana, C) Bihar, D) Gujarat</t>
  </si>
  <si>
    <t>D) Gujarat</t>
  </si>
  <si>
    <t>Which player is recognized for his outstanding contributions to the development of Kabaddi in India and his leadership skills?</t>
  </si>
  <si>
    <t>Which Indian state is famous for its Kabaddi tournament known as 'Kabaddi Seema'?</t>
  </si>
  <si>
    <t>In which year did the Pro Kabaddi League implement the 'Elimination Round' format?</t>
  </si>
  <si>
    <t>Which Kabaddi player is known for his exceptional performance in the Pro Kabaddi League and has won the 'Best Raider' award multiple times?</t>
  </si>
  <si>
    <t>Which city is known for its significant contribution to the development of Kabaddi and has produced several top players?</t>
  </si>
  <si>
    <t>Which Indian Kabaddi tournament features teams from different states and is known for its competitive matches?</t>
  </si>
  <si>
    <t>A) Kabaddi Fest, B) Kabaddi Mela, C) Kabaddi Championship, D) Kabaddi Seema</t>
  </si>
  <si>
    <t>Which Indian Kabaddi player is celebrated for his leadership and tactical acumen during high-profile matches?</t>
  </si>
  <si>
    <t>Which state in India is known for its unique Kabaddi variant called 'Circle Kabaddi'?</t>
  </si>
  <si>
    <t>In which year did Kabaddi get included as a regular sport in the Indian School Games?</t>
  </si>
  <si>
    <t>Which Kabaddi player is known for his innovative raiding techniques and has made a significant impact on the sport?</t>
  </si>
  <si>
    <t>Which Indian city hosted the Kabaddi World Cup in 2016 and is known for its contribution to the sport?</t>
  </si>
  <si>
    <t>Which state in India is home to the 'Kabaddi Championship' tournament, which attracts teams from across the country?</t>
  </si>
  <si>
    <t>A) Haryana, B) Punjab, C) Karnataka, D) Tamil Nadu</t>
  </si>
  <si>
    <t>Who is considered the first official World Chess Champion?</t>
  </si>
  <si>
    <t>A) Paul Morphy, B) Wilhelm Steinitz, C) Emanuel Lasker, D) José Raúl Capablanca</t>
  </si>
  <si>
    <t>B) Wilhelm Steinitz</t>
  </si>
  <si>
    <t>In which year did the first official World Chess Championship take place?</t>
  </si>
  <si>
    <t>A) 1886, B) 1894, C) 1901, D) 1910</t>
  </si>
  <si>
    <t>A) 1886</t>
  </si>
  <si>
    <t>Which city hosted the first official World Chess Championship in 1886?</t>
  </si>
  <si>
    <t>A) New York, B) London, C) Vienna, D) Paris</t>
  </si>
  <si>
    <t>A) New York</t>
  </si>
  <si>
    <t>Who did Garry Kasparov defeat to become the youngest ever World Chess Champion in 1985?</t>
  </si>
  <si>
    <t>A) Anatoly Karpov, B) Bobby Fischer, C) Mikhail Tal, D) Viktor Korchnoi</t>
  </si>
  <si>
    <t>A) Anatoly Karpov</t>
  </si>
  <si>
    <t>Which famous chess player is known for the 'Immortal Game' played in 1851?</t>
  </si>
  <si>
    <t>A) Adolf Anderssen, B) Paul Morphy, C) Mikhail Chigorin, D) Wilhelm Steinitz</t>
  </si>
  <si>
    <t>A) Adolf Anderssen</t>
  </si>
  <si>
    <t>Who was the first American to win the World Chess Championship?</t>
  </si>
  <si>
    <t>A) Paul Morphy, B) Bobby Fischer, C) Frank Marshall, D) Samuel Reshevsky</t>
  </si>
  <si>
    <t>B) Bobby Fischer</t>
  </si>
  <si>
    <t>Which country has produced the most World Chess Champions?</t>
  </si>
  <si>
    <t>A) Russia, B) Germany, C) USA, D) India</t>
  </si>
  <si>
    <t>A) Russia</t>
  </si>
  <si>
    <t>Who was the first official female World Chess Champion?</t>
  </si>
  <si>
    <t>A) Nona Gaprindashvili, B) Maia Chiburdanidze, C) Vera Menchik, D) Susan Polgar</t>
  </si>
  <si>
    <t>C) Vera Menchik</t>
  </si>
  <si>
    <t>In which year was the Fédération Internationale des Échecs (FIDE) founded?</t>
  </si>
  <si>
    <t>A) 1920, B) 1924, C) 1930, D) 1945</t>
  </si>
  <si>
    <t>B) 1924</t>
  </si>
  <si>
    <t>Who was the first computer to beat a reigning World Chess Champion under standard chess tournament time controls?</t>
  </si>
  <si>
    <t>A) Deep Blue, B) Stockfish, C) AlphaZero, D) Fritz</t>
  </si>
  <si>
    <t>A) Deep Blue</t>
  </si>
  <si>
    <t>Which World Chess Champion was nicknamed 'The Magician from Riga'?</t>
  </si>
  <si>
    <t>A) Mikhail Tal, B) Garry Kasparov, C) Boris Spassky, D) Anatoly Karpov</t>
  </si>
  <si>
    <t>A) Mikhail Tal</t>
  </si>
  <si>
    <t>Which chess player is known for the 'Game of the Century' played in 1956?</t>
  </si>
  <si>
    <t>A) Bobby Fischer, B) Garry Kasparov, C) Mikhail Tal, D) Anatoly Karpov</t>
  </si>
  <si>
    <t>A) Bobby Fischer</t>
  </si>
  <si>
    <t>Which World Chess Champion was dethroned by Anatoly Karpov in 1975 due to the challenger refusing to defend his title?</t>
  </si>
  <si>
    <t>A) Mikhail Botvinnik, B) Boris Spassky, C) Bobby Fischer, D) Tigran Petrosian</t>
  </si>
  <si>
    <t>C) Bobby Fischer</t>
  </si>
  <si>
    <t>Who won the first official World Chess Championship match held under FIDE rules?</t>
  </si>
  <si>
    <t>A) José Raúl Capablanca, B) Alexander Alekhine, C) Max Euwe, D) Mikhail Botvinnik</t>
  </si>
  <si>
    <t>D) Mikhail Botvinnik</t>
  </si>
  <si>
    <t>Which chess player was known as 'The Chess Machine' for his deep calculations?</t>
  </si>
  <si>
    <t>A) Anatoly Karpov, B) Garry Kasparov, C) José Raúl Capablanca, D) Mikhail Tal</t>
  </si>
  <si>
    <t>C) José Raúl Capablanca</t>
  </si>
  <si>
    <t>Which former World Chess Champion was exiled from his home country and lived much of his life in Paris?</t>
  </si>
  <si>
    <t>A) Alexander Alekhine, B) Wilhelm Steinitz, C) Emanuel Lasker, D) Max Euwe</t>
  </si>
  <si>
    <t>A) Alexander Alekhine</t>
  </si>
  <si>
    <t>Which female chess player was the first to compete in a World Chess Championship cycle?</t>
  </si>
  <si>
    <t>A) Nona Gaprindashvili, B) Maia Chiburdanidze, C) Judit Polgar, D) Susan Polgar</t>
  </si>
  <si>
    <t>C) Judit Polgar</t>
  </si>
  <si>
    <t>Who won the World Chess Championship in 1927, defeating José Raúl Capablanca?</t>
  </si>
  <si>
    <t>A) Alexander Alekhine, B) Max Euwe, C) Emanuel Lasker, D) Mikhail Botvinnik</t>
  </si>
  <si>
    <t>Which World Chess Champion is known for introducing the concept of 'chess as art'?</t>
  </si>
  <si>
    <t>A) Mikhail Tal, B) Alexander Alekhine, C) Garry Kasparov, D) Emanuel Lasker</t>
  </si>
  <si>
    <t>B) Alexander Alekhine</t>
  </si>
  <si>
    <t>Who was the first World Chess Champion to regain the title after losing it?</t>
  </si>
  <si>
    <t>A) Emanuel Lasker, B) Mikhail Botvinnik, C) Anatoly Karpov, D) Garry Kasparov</t>
  </si>
  <si>
    <t>B) Mikhail Botvinnik</t>
  </si>
  <si>
    <t>In which year did the historic Spassky vs. Fischer World Chess Championship match take place?</t>
  </si>
  <si>
    <t>A) 1969, B) 1972, C) 1975, D) 1978</t>
  </si>
  <si>
    <t>B) 1972</t>
  </si>
  <si>
    <t>Which Soviet World Chess Champion was known for his rivalry with Viktor Korchnoi?</t>
  </si>
  <si>
    <t>A) Mikhail Botvinnik, B) Anatoly Karpov, C) Garry Kasparov, D) Boris Spassky</t>
  </si>
  <si>
    <t>B) Anatoly Karpov</t>
  </si>
  <si>
    <t>Who won the World Chess Championship in 1993, creating a split in the chess world?</t>
  </si>
  <si>
    <t>A) Garry Kasparov, B) Anatoly Karpov, C) Nigel Short, D) Vladimir Kramnik</t>
  </si>
  <si>
    <t>A) Garry Kasparov</t>
  </si>
  <si>
    <t>Which chess player was the first to win both the Junior and Senior World Chess Championships?</t>
  </si>
  <si>
    <t>A) Garry Kasparov, B) Anatoly Karpov, C) Boris Spassky, D) Viswanathan Anand</t>
  </si>
  <si>
    <t>Who defeated Garry Kasparov in the 2000 World Chess Championship?</t>
  </si>
  <si>
    <t>A) Vladimir Kramnik, B) Viswanathan Anand, C) Anatoly Karpov, D) Veselin Topalov</t>
  </si>
  <si>
    <t>A) Vladimir Kramnik</t>
  </si>
  <si>
    <t>Which chess player was known for his brilliant sacrifices and attacking style, earning him the nickname 'The Magician from Riga'?</t>
  </si>
  <si>
    <t>A) Mikhail Tal, B) Garry Kasparov, C) Boris Spassky, D) Emanuel Lasker</t>
  </si>
  <si>
    <t>Who was the first World Chess Champion from India?</t>
  </si>
  <si>
    <t>A) Krishnan Sasikiran, B) Viswanathan Anand, C) Pentala Harikrishna, D) Parimarjan Negi</t>
  </si>
  <si>
    <t>B) Viswanathan Anand</t>
  </si>
  <si>
    <t>Which chess player was the first woman to be awarded the title of Grandmaster by FIDE?</t>
  </si>
  <si>
    <t>Who was the first World Chess Champion to lose the title by forfeit?</t>
  </si>
  <si>
    <t>A) Bobby Fischer, B) Wilhelm Steinitz, C) José Raúl Capablanca, D) Mikhail Botvinnik</t>
  </si>
  <si>
    <t>Which city hosted the famous 1972 World Chess Championship match between Spassky and Fischer?</t>
  </si>
  <si>
    <t>A) Reykjavik, B) Moscow, C) New York, D) London</t>
  </si>
  <si>
    <t>A) Reykjavik</t>
  </si>
  <si>
    <t>Who was the first World Chess Champion to play a title match in a foreign country?</t>
  </si>
  <si>
    <t>A) Wilhelm Steinitz, B) Emanuel Lasker, C) José Raúl Capablanca, D) Alexander Alekhine</t>
  </si>
  <si>
    <t>A) Wilhelm Steinitz</t>
  </si>
  <si>
    <t>Which World Chess Champion was known for his extensive work on the Ruy Lopez opening?</t>
  </si>
  <si>
    <t>A) José Raúl Capablanca, B) Emanuel Lasker, C) Bobby Fischer, D) Garry Kasparov</t>
  </si>
  <si>
    <t>Which World Chess Champion was known for his proficiency in endgames, earning him the title 'The Chess Machine'?</t>
  </si>
  <si>
    <t>A) José Raúl Capablanca, B) Anatoly Karpov, C) Garry Kasparov, D) Emanuel Lasker</t>
  </si>
  <si>
    <t>A) José Raúl Capablanca</t>
  </si>
  <si>
    <t>Which World Chess Champion was the first to die while still holding the title?</t>
  </si>
  <si>
    <t>A) Alexander Alekhine, B) Mikhail Tal, C) Emanuel Lasker, D) Boris Spassky</t>
  </si>
  <si>
    <t>Who was the last non-Soviet World Chess Champion before Bobby Fischer?</t>
  </si>
  <si>
    <t>A) José Raúl Capablanca, B) Max Euwe, C) Mikhail Botvinnik, D) Boris Spassky</t>
  </si>
  <si>
    <t>B) Max Euwe</t>
  </si>
  <si>
    <t>Which World Chess Champion was known for his contributions to the King's Indian Defense?</t>
  </si>
  <si>
    <t>A) Garry Kasparov, B) Bobby Fischer, C) Mikhail Botvinnik, D) Tigran Petrosian</t>
  </si>
  <si>
    <t>Who was the first World Chess Champion to be born in the 20th century?</t>
  </si>
  <si>
    <t>A) José Raúl Capablanca, B) Alexander Alekhine, C) Mikhail Botvinnik, D) Anatoly Karpov</t>
  </si>
  <si>
    <t>C) Mikhail Botvinnik</t>
  </si>
  <si>
    <t>Which World Chess Champion is known for having the longest reign, holding the title for 27 years?</t>
  </si>
  <si>
    <t>A) Emanuel Lasker, B) Garry Kasparov, C) Anatoly Karpov, D) José Raúl Capablanca</t>
  </si>
  <si>
    <t>A) Emanuel Lasker</t>
  </si>
  <si>
    <t>Which World Chess Champion was a mathematician and wrote a book on differential equations?</t>
  </si>
  <si>
    <t>A) Emanuel Lasker, B) Max Euwe, C) Mikhail Botvinnik, D) Alexander Alekhine</t>
  </si>
  <si>
    <t>Which World Chess Champion was also a trained engineer and contributed to the design of electrical equipment?</t>
  </si>
  <si>
    <t>A) Mikhail Botvinnik, B) Anatoly Karpov, C) Garry Kasparov, D) Alexander Alekhine</t>
  </si>
  <si>
    <t>A) Mikhail Botvinnik</t>
  </si>
  <si>
    <t>Which World Chess Champion was known for his rivalry with Mikhail Botvinnik and had a career in politics?</t>
  </si>
  <si>
    <t>A) Tigran Petrosian, B) Boris Spassky, C) Max Euwe, D) Alexander Alekhine</t>
  </si>
  <si>
    <t>A) Tigran Petrosian</t>
  </si>
  <si>
    <t>Which World Chess Champion was known for his contributions to chess literature, including the book 'My 60 Memorable Games'?</t>
  </si>
  <si>
    <t>A) Bobby Fischer, B) Garry Kasparov, C) Mikhail Tal, D) José Raúl Capablanca</t>
  </si>
  <si>
    <t>Which World Chess Champion was the first to introduce psychological preparation as part of his training regimen?</t>
  </si>
  <si>
    <t>A) Garry Kasparov, B) Anatoly Karpov, C) Mikhail Botvinnik, D) Emanuel Lasker</t>
  </si>
  <si>
    <t>Who was the first World Chess Champion to compete in a Candidates Tournament?</t>
  </si>
  <si>
    <t>A) Wilhelm Steinitz, B) Emanuel Lasker, C) Alexander Alekhine, D) José Raúl Capablanca</t>
  </si>
  <si>
    <t>C) Alexander Alekhine</t>
  </si>
  <si>
    <t>Which World Chess Champion was also a notable chemist, known for his work on synthetic materials?</t>
  </si>
  <si>
    <t>A) Mikhail Botvinnik, B) Emanuel Lasker, C) Anatoly Karpov, D) Boris Spassky</t>
  </si>
  <si>
    <t>Which World Chess Champion was known for his contributions to the development of chess engines?</t>
  </si>
  <si>
    <t>A) Garry Kasparov, B) Mikhail Botvinnik, C) Anatoly Karpov, D) Vladimir Kramnik</t>
  </si>
  <si>
    <t>Which World Chess Champion famously defeated Garry Kasparov in the 2000 World Chess Championship?</t>
  </si>
  <si>
    <t>Which World Chess Champion was the first to hold the title after the dissolution of the Soviet Union?</t>
  </si>
  <si>
    <t>A) Garry Kasparov, B) Anatoly Karpov, C) Vladimir Kramnik, D) Boris Spassky</t>
  </si>
  <si>
    <t>Who was the first World Chess Champion to lose his title by a decision from the FIDE General Assembly?</t>
  </si>
  <si>
    <t>A) Anatoly Karpov, B) Garry Kasparov, C) Vladimir Kramnik, D) Bobby Fischer</t>
  </si>
  <si>
    <t>D) Bobby Fischer</t>
  </si>
  <si>
    <t>Which World Chess Champion was known for his contributions to the theory of chess, including the development of the Queen's Gambit Declined?</t>
  </si>
  <si>
    <t>A) Mikhail Botvinnik, B) José Raúl Capablanca, C) Garry Kasparov, D) Tigran Petrosian</t>
  </si>
  <si>
    <t>Which World Chess Champion was the first to write a comprehensive biography of another World Champion?</t>
  </si>
  <si>
    <t>A) Garry Kasparov, B) Emanuel Lasker, C) Anatoly Karpov, D) Vladimir Kramnik</t>
  </si>
  <si>
    <t>Which World Chess Champion was also a lawyer and wrote extensively on legal matters?</t>
  </si>
  <si>
    <t>Which World Chess Champion is known for his deep positional understanding and contributions to the theory of prophylaxis in chess?</t>
  </si>
  <si>
    <t>A) Tigran Petrosian, B) Anatoly Karpov, C) Garry Kasparov, D) Mikhail Botvinnik</t>
  </si>
  <si>
    <t>Which World Chess Champion was known for his contributions to the Sicilian Defense, particularly the Najdorf variation?</t>
  </si>
  <si>
    <t>A) Garry Kasparov, B) Bobby Fischer, C) Mikhail Tal, D) José Raúl Capablanca</t>
  </si>
  <si>
    <t>Which World Chess Champion was the first to regain his title after a Candidates Tournament victory?</t>
  </si>
  <si>
    <t>A) Emanuel Lasker, B) Alexander Alekhine, C) Mikhail Botvinnik, D) Anatoly Karpov</t>
  </si>
  <si>
    <t>Who was the first World Chess Champion to win a title match by default?</t>
  </si>
  <si>
    <t>A) Anatoly Karpov, B) Garry Kasparov, C) Bobby Fischer, D) Mikhail Tal</t>
  </si>
  <si>
    <t>Which World Chess Champion was the first to retire while still holding the title?</t>
  </si>
  <si>
    <t>A) Emanuel Lasker, B) José Raúl Capablanca, C) Anatoly Karpov, D) Garry Kasparov</t>
  </si>
  <si>
    <t>D) Garry Kasparov</t>
  </si>
  <si>
    <t>Which World Chess Champion was the first to regain the title after losing it?</t>
  </si>
  <si>
    <t>Who was the first World Chess Champion to be awarded the title of Grandmaster by FIDE?</t>
  </si>
  <si>
    <t>A) Emanuel Lasker, B) José Raúl Capablanca, C) Alexander Alekhine, D) Mikhail Botvinnik</t>
  </si>
  <si>
    <t>Which World Chess Champion was the first to win the title in a tournament rather than a match?</t>
  </si>
  <si>
    <t>A) Wilhelm Steinitz, B) José Raúl Capablanca, C) Max Euwe, D) Mikhail Botvinnik</t>
  </si>
  <si>
    <t>Which World Chess Champion was the first to hold the title after the introduction of the Elo rating system?</t>
  </si>
  <si>
    <t>A) Bobby Fischer, B) Anatoly Karpov, C) Garry Kasparov, D) Mikhail Botvinnik</t>
  </si>
  <si>
    <t>Who was the first World Chess Champion to lose his title in a rematch?</t>
  </si>
  <si>
    <t>A) José Raúl Capablanca, B) Max Euwe, C) Mikhail Botvinnik, D) Alexander Alekhine</t>
  </si>
  <si>
    <t>Which World Chess Champion was the first to win the title after a Candidates Tournament victory?</t>
  </si>
  <si>
    <t>Who was the first World Chess Champion to lose his title in a match decided by tiebreaks?</t>
  </si>
  <si>
    <t>A) Garry Kasparov, B) Anatoly Karpov, C) Vladimir Kramnik, D) Viswanathan Anand</t>
  </si>
  <si>
    <t>D) Viswanathan Anand</t>
  </si>
  <si>
    <t>Which World Chess Champion was the first to regain his title after a rematch?</t>
  </si>
  <si>
    <t>Which World Chess Champion was the first to regain the title after losing it in a match?</t>
  </si>
  <si>
    <t>Who was the first World Chess Champion to lose his title by default?</t>
  </si>
  <si>
    <t>Who was the first World Chess Champion to be born in the 21st century?</t>
  </si>
  <si>
    <t>A) Magnus Carlsen, B) Alireza Firouzja, C) Ian Nepomniachtchi, D) Fabiano Caruana</t>
  </si>
  <si>
    <t>B) Alireza Firouzja</t>
  </si>
  <si>
    <t>Which chess player is known for his undefeated streak of 55 classical games in 2018-2019?</t>
  </si>
  <si>
    <t>A) Garry Kasparov, B) Magnus Carlsen, C) Bobby Fischer, D) Vladimir Kramnik</t>
  </si>
  <si>
    <t>B) Magnus Carlsen</t>
  </si>
  <si>
    <t>Which chess grandmaster was the youngest to achieve the title at 12 years and 7 months?</t>
  </si>
  <si>
    <t>A) Sergey Karjakin, B) Magnus Carlsen, C) Alireza Firouzja, D) Wei Yi</t>
  </si>
  <si>
    <t>A) Sergey Karjakin</t>
  </si>
  <si>
    <t>Which chess champion became the first to defend his title in a World Championship decided by rapid tiebreaks?</t>
  </si>
  <si>
    <t>A) Garry Kasparov, B) Viswanathan Anand, C) Magnus Carlsen, D) Vladimir Kramnik</t>
  </si>
  <si>
    <t>C) Magnus Carlsen</t>
  </si>
  <si>
    <t>Who was the first female player to participate in a men's World Chess Championship cycle?</t>
  </si>
  <si>
    <t>A) Vera Menchik, B) Nona Gaprindashvili, C) Judit Polgár, D) Maia Chiburdanidze</t>
  </si>
  <si>
    <t>C) Judit Polgár</t>
  </si>
  <si>
    <t>Who was the first non-European World Chess Champion?</t>
  </si>
  <si>
    <t>A) Bobby Fischer, B) Viswanathan Anand, C) José Raúl Capablanca, D) Garry Kasparov</t>
  </si>
  <si>
    <t>In which city was the first official World Chess Championship held in 1886?</t>
  </si>
  <si>
    <t>A) New York, B) Paris, C) London, D) Vienna</t>
  </si>
  <si>
    <t>Which chess opening is named after a 16th-century Spanish priest?</t>
  </si>
  <si>
    <t>A) King's Gambit, B) Ruy Lopez, C) Sicilian Defense, D) Queen's Gambit</t>
  </si>
  <si>
    <t>B) Ruy Lopez</t>
  </si>
  <si>
    <t>Who was the first World Chess Champion to be awarded the title of International Master by FIDE?</t>
  </si>
  <si>
    <t>A) Max Euwe, B) Alexander Alekhine, C) Emanuel Lasker, D) José Raúl Capablanca</t>
  </si>
  <si>
    <t>A) Max Euwe</t>
  </si>
  <si>
    <t>Which World Chess Champion was known for his contributions to the Caro-Kann Defense?</t>
  </si>
  <si>
    <t>A) Anatoly Karpov, B) Mikhail Botvinnik, C) Bobby Fischer, D) Garry Kasparov</t>
  </si>
  <si>
    <t>Which World Chess Championship match was famously interrupted by World War II?</t>
  </si>
  <si>
    <t>A) Alekhine vs. Capablanca, B) Lasker vs. Capablanca, C) Alekhine vs. Euwe, D) Botvinnik vs. Smyslov</t>
  </si>
  <si>
    <t>C) Alekhine vs. Euwe</t>
  </si>
  <si>
    <t>Who was the first World Chess Champion to officially retire and later return to the title match?</t>
  </si>
  <si>
    <t>A) Wilhelm Steinitz, B) Emanuel Lasker, C) Mikhail Botvinnik, D) Garry Kasparov</t>
  </si>
  <si>
    <t>Which World Chess Champion was known for popularizing the Grünfeld Defense?</t>
  </si>
  <si>
    <t>A) Garry Kasparov, B) Vladimir Kramnik, C) Bobby Fischer, D) Anatoly Karpov</t>
  </si>
  <si>
    <t>B) Vladimir Kramnik</t>
  </si>
  <si>
    <t>Which World Chess Champion was the first to lose his title in a FIDE World Championship Knockout Tournament?</t>
  </si>
  <si>
    <t>A) Anatoly Karpov, B) Garry Kasparov, C) Viswanathan Anand, D) Vladimir Kramnik</t>
  </si>
  <si>
    <t>C) Viswanathan Anand</t>
  </si>
  <si>
    <t>Which World Chess Champion is known for his work on the 'Middlegame' volumes?</t>
  </si>
  <si>
    <t>A) Emanuel Lasker, B) Mikhail Botvinnik, C) Max Euwe, D) Tigran Petrosian</t>
  </si>
  <si>
    <t>C) Max Euwe</t>
  </si>
  <si>
    <t>Which chess opening is often associated with Anatoly Karpov's solid, positional style?</t>
  </si>
  <si>
    <t>A) King's Indian Defense, B) Sicilian Defense, C) Caro-Kann Defense, D) French Defense</t>
  </si>
  <si>
    <t>C) Caro-Kann Defense</t>
  </si>
  <si>
    <t>Who was the first American-born player to win the World Chess Championship?</t>
  </si>
  <si>
    <t>Which World Chess Champion was known for his contributions to the theory of the Queen's Indian Defense?</t>
  </si>
  <si>
    <t>A) José Raúl Capablanca, B) Garry Kasparov, C) Mikhail Botvinnik, D) Tigran Petrosian</t>
  </si>
  <si>
    <t>Which World Chess Champion was also a professor of mathematics and physics?</t>
  </si>
  <si>
    <t>Which World Chess Champion was known for his dynamic attacking style and contributions to the Sicilian Defense?</t>
  </si>
  <si>
    <t>A) Garry Kasparov, B) Mikhail Tal, C) José Raúl Capablanca, D) Alexander Alekhine</t>
  </si>
  <si>
    <t>Which chess player was the first to defeat a reigning World Champion in a non-title match while still a teenager?</t>
  </si>
  <si>
    <t>A) Bobby Fischer, B) Garry Kasparov, C) Magnus Carlsen, D) Sergey Karjakin</t>
  </si>
  <si>
    <t>Which World Chess Championship match is known as the 'Match of the Century'?</t>
  </si>
  <si>
    <t>A) Kasparov vs. Karpov (1984), B) Fischer vs. Spassky (1972), C) Capablanca vs. Alekhine (1927), D) Botvinnik vs. Tal (1960)</t>
  </si>
  <si>
    <t>B) Fischer vs. Spassky (1972)</t>
  </si>
  <si>
    <t>Which World Chess Champion was the first to hold the title for over a decade in the 20th century?</t>
  </si>
  <si>
    <t>A) Garry Kasparov, B) Emanuel Lasker, C) Anatoly Karpov, D) José Raúl Capablanca</t>
  </si>
  <si>
    <t>C) Anatoly Karpov</t>
  </si>
  <si>
    <t>Which chess grandmaster was known for his contributions to the King's Indian Defense, particularly the Samisch variation?</t>
  </si>
  <si>
    <t>A) Tigran Petrosian, B) Mikhail Botvinnik, C) Bobby Fischer, D) Boris Spassky</t>
  </si>
  <si>
    <t>Which World Chess Champion was the first to be crowned after a World Chess Championship tournament rather than a match?</t>
  </si>
  <si>
    <t>Which World Chess Champion was known for his rivalry with Viktor Korchnoi?</t>
  </si>
  <si>
    <t>A) Anatoly Karpov, B) Garry Kasparov, C) Tigran Petrosian, D) Boris Spassky</t>
  </si>
  <si>
    <t>Which chess player became the first to achieve a perfect score in a Candidates Tournament?</t>
  </si>
  <si>
    <t>A) Bobby Fischer, B) Garry Kasparov, C) Tigran Petrosian, D) Anatoly Karpov</t>
  </si>
  <si>
    <t>Who was the first World Chess Champion to lose the title in a match decided by sudden death blitz games?</t>
  </si>
  <si>
    <t>A) Garry Kasparov, B) Viswanathan Anand, C) Vladimir Kramnik, D) Magnus Carlsen</t>
  </si>
  <si>
    <t>C) Vladimir Kramnik</t>
  </si>
  <si>
    <t>Which World Chess Champion wrote the book 'My 60 Memorable Games'?</t>
  </si>
  <si>
    <t>A) Garry Kasparov, B) Anatoly Karpov, C) Bobby Fischer, D) Mikhail Tal</t>
  </si>
  <si>
    <t>Which World Chess Champion was the first to lose his title in a match without winning a single game?</t>
  </si>
  <si>
    <t>A) Wilhelm Steinitz, B) José Raúl Capablanca, C) Mikhail Botvinnik, D) Garry Kasparov</t>
  </si>
  <si>
    <t>B) José Raúl Capablanca</t>
  </si>
  <si>
    <t>Which World Chess Champion was known for his deep strategic understanding and defensive skills, earning the nickname 'Iron Tigran'?</t>
  </si>
  <si>
    <t>A) Tigran Petrosian, B) Mikhail Tal, C) Anatoly Karpov, D) Garry Kasparov</t>
  </si>
  <si>
    <t>Who was the first World Chess Champion to win the title after a match decided by Armageddon rules?</t>
  </si>
  <si>
    <t>A) Garry Kasparov, B) Vladimir Kramnik, C) Magnus Carlsen, D) Viswanathan Anand</t>
  </si>
  <si>
    <t>Which World Chess Champion was the first to introduce computer-assisted analysis into his training regime?</t>
  </si>
  <si>
    <t>A) Bobby Fischer, B) Garry Kasparov, C) Anatoly Karpov, D) Mikhail Botvinnik</t>
  </si>
  <si>
    <t>B) Garry Kasparov</t>
  </si>
  <si>
    <t>Which chess player was the first to hold the titles of both World Chess Champion and World Rapid Chess Champion simultaneously?</t>
  </si>
  <si>
    <t>A) Bobby Fischer, B) Garry Kasparov, C) Magnus Carlsen, D) Viswanathan Anand</t>
  </si>
  <si>
    <t>Which World Chess Champion was known for his contributions to the Sicilian Defense, particularly the Scheveningen variation?</t>
  </si>
  <si>
    <t>A) Garry Kasparov, B) Bobby Fischer, C) Mikhail Botvinnik, D) Alexander Alekhine</t>
  </si>
  <si>
    <t>Which chess player is considered to be the first unofficial World Chess Champion, before the title was formalized?</t>
  </si>
  <si>
    <t>A) Paul Morphy, B) Adolf Anderssen, C) Howard Staunton, D) Wilhelm Steinitz</t>
  </si>
  <si>
    <t>A) Paul Morphy</t>
  </si>
  <si>
    <t>Who was the first World Chess Champion to win the title after defeating an incumbent champion in two separate matches?</t>
  </si>
  <si>
    <t>A) Garry Kasparov, B) Mikhail Botvinnik, C) Anatoly Karpov, D) Alexander Alekhine</t>
  </si>
  <si>
    <t>Which World Chess Champion was the first to win the title under the new FIDE knockout format introduced in 1998?</t>
  </si>
  <si>
    <t>A) Garry Kasparov, B) Vladimir Kramnik, C) Viswanathan Anand, D) Anatoly Karpov</t>
  </si>
  <si>
    <t>D) Anatoly Karpov</t>
  </si>
  <si>
    <t>Who was the first World Chess Champion to win a title match with a score of 6.5-0.5?</t>
  </si>
  <si>
    <t>A) Bobby Fischer, B) Anatoly Karpov, C) Mikhail Botvinnik, D) José Raúl Capablanca</t>
  </si>
  <si>
    <t>Which World Chess Champion was the first to hold the title after winning it in a World Championship match held in a former Soviet republic?</t>
  </si>
  <si>
    <t>Which World Chess Champion was known for his psychological warfare and unusual chessboard antics?</t>
  </si>
  <si>
    <t>A) Garry Kasparov, B) Mikhail Tal, C) José Raúl Capablanca, D) Bobby Fischer</t>
  </si>
  <si>
    <t>Who was the first World Chess Champion to be defeated in a World Chess Championship match after having previously defeated the same opponent in a title match?</t>
  </si>
  <si>
    <t>A) Wilhelm Steinitz, B) Emanuel Lasker, C) Alexander Alekhine, D) Garry Kasparov</t>
  </si>
  <si>
    <t>Which World Chess Champion was the first to regain the title after a rematch against the same opponent?</t>
  </si>
  <si>
    <t>Who was the first World Chess Champion to lose his title by a unanimous decision of the FIDE General Assembly?</t>
  </si>
  <si>
    <t>Which World Chess Champion was known for his innovative use of the Queen's Gambit Accepted?</t>
  </si>
  <si>
    <t>A) Mikhail Botvinnik, B) Garry Kasparov, C) Bobby Fischer, D) Tigran Petrosian</t>
  </si>
  <si>
    <t>Who was the first World Chess Champion to lose his title to a player more than 10 years his junior?</t>
  </si>
  <si>
    <t>B) Emanuel Lasker</t>
  </si>
  <si>
    <t>Which World Chess Champion was the first to win the title after a match decided by tiebreaks in rapid and blitz games?</t>
  </si>
  <si>
    <t>D) Magnus Carlsen</t>
  </si>
  <si>
    <t>Which World Chess Champion was the first to win the title after a match with a former student?</t>
  </si>
  <si>
    <t>A) Mikhail Botvinnik, B) Anatoly Karpov, C) Garry Kasparov, D) José Raúl Capablanca</t>
  </si>
  <si>
    <t>Which World Chess Champion was the first to win the title after a match held in Asia?</t>
  </si>
  <si>
    <t>A) Garry Kasparov, B) Anatoly Karpov, C) Viswanathan Anand, D) Vladimir Kramnik</t>
  </si>
  <si>
    <t>Who was the first World Chess Champion to lose his title to a challenger in his first title defense?</t>
  </si>
  <si>
    <t>A) José Raúl Capablanca, B) Max Euwe, C) Mikhail Tal, D) Alexander Alekhine</t>
  </si>
  <si>
    <t>C) Mikhail Tal</t>
  </si>
  <si>
    <t>Which World Chess Champion was the first to win the title after a Candidates Match rather than a tournament?</t>
  </si>
  <si>
    <t>A) Mikhail Botvinnik, B) Garry Kasparov, C) Anatoly Karpov, D) José Raúl Capablanca</t>
  </si>
  <si>
    <t>Which World Chess Champion was the first to defeat a reigning champion in a match held in a country where neither was born?</t>
  </si>
  <si>
    <t>A) Wilhelm Steinitz, B) Garry Kasparov, C) Mikhail Botvinnik, D) José Raúl Capablanca</t>
  </si>
  <si>
    <t>Who was the first World Chess Champion to retain his title in a match that ended in a draw?</t>
  </si>
  <si>
    <t>Which World Chess Champion was known for popularizing the Nimzo-Indian Defense?</t>
  </si>
  <si>
    <t>A) Garry Kasparov, B) Emanuel Lasker, C) José Raúl Capablanca, D) Mikhail Botvinnik</t>
  </si>
  <si>
    <t>Which World Chess Champion was the first to win the title after a match with no adjournments?</t>
  </si>
  <si>
    <t>A) Garry Kasparov, B) Magnus Carlsen, C) Viswanathan Anand, D) Vladimir Kramnik</t>
  </si>
  <si>
    <t>Which World Chess Champion was the first to win the title after a match held in the 21st century?</t>
  </si>
  <si>
    <t>A) Garry Kasparov, B) Vladimir Kramnik, C) Viswanathan Anand, D) Magnus Carlsen</t>
  </si>
  <si>
    <t>Which World Chess Champion was the first to win the title after a match held outside Europe?</t>
  </si>
  <si>
    <t>Who was the first World Chess Champion to win the title after a match held in Russia?</t>
  </si>
  <si>
    <t>A) Mikhail Botvinnik, B) Garry Kasparov, C) Vladimir Kramnik, D) Anatoly Karpov</t>
  </si>
  <si>
    <t>Which World Chess Champion was known for his contributions to the Nimzowitsch Defense?</t>
  </si>
  <si>
    <t>Who was the first World Chess Champion to win the title after a match held in a neutral country?</t>
  </si>
  <si>
    <t>D) Vladimir Kramnik</t>
  </si>
  <si>
    <t>Which World Chess Champion was the first to win the title after a match held in a country other than the Soviet Union?</t>
  </si>
  <si>
    <t>Which World Chess Champion was the first to win the title after a match held in a country where neither player was a citizen?</t>
  </si>
  <si>
    <t>Who was the first World Chess Champion to lose his title in a match held in his home country?</t>
  </si>
  <si>
    <t>A) José Raúl Capablanca, B) Max Euwe, C) Mikhail Botvinnik, D) Garry Kasparov</t>
  </si>
  <si>
    <t>Which World Chess Champion was the first to win the title after a match held in the United States?</t>
  </si>
  <si>
    <t>A) Garry Kasparov, B) José Raúl Capablanca, C) Mikhail Botvinnik, D) Anatoly Karpov</t>
  </si>
  <si>
    <t>Which World Chess Champion was the first to win the title after a match held in a country where he was not born?</t>
  </si>
  <si>
    <t>A) Garry Kasparov, B) Mikhail Botvinnik, C) Vladimir Kramnik, D) Anatoly Karpov</t>
  </si>
  <si>
    <t>Which World Chess Champion was the first to win the title after a match held in a city where neither player was born?</t>
  </si>
  <si>
    <t>Which World Chess Champion was the first to win the title after a match held in a city where both players were born?</t>
  </si>
  <si>
    <t>Which World Chess Champion was the first to win the title after a match held in a city where neither player had previously competed?</t>
  </si>
  <si>
    <t>Which World Chess Champion was the first to win the title after a match held in a city where both players had previously competed?</t>
  </si>
  <si>
    <t>Which World Chess Champion was the first to win the title after a match held in a city where neither player was a resident?</t>
  </si>
  <si>
    <t>Who was the first World Chess Champion to win the title after a match held in a city where both players were residents?</t>
  </si>
  <si>
    <t>Who was the first woman to achieve the title of International Master in chess?</t>
  </si>
  <si>
    <t>A) Vera Menchik, B) Nona Gaprindashvili, C) Maia Chiburdanidze, D) Judit Polgar</t>
  </si>
  <si>
    <t>B) Nona Gaprindashvili</t>
  </si>
  <si>
    <t>Which chess player was known for his contributions to endgame theory, particularly in the areas of pawn endings?</t>
  </si>
  <si>
    <t>A) José Raúl Capablanca, B) Emanuel Lasker, C) Siegbert Tarrasch, D) Aron Nimzowitsch</t>
  </si>
  <si>
    <t>Which Soviet chess grandmaster famously defected to the West in 1976?</t>
  </si>
  <si>
    <t>A) Viktor Korchnoi, B) Boris Spassky, C) Anatoly Karpov, D) Lev Polugaevsky</t>
  </si>
  <si>
    <t>A) Viktor Korchnoi</t>
  </si>
  <si>
    <t>Who was the first official Women's World Chess Champion?</t>
  </si>
  <si>
    <t>A) Vera Menchik</t>
  </si>
  <si>
    <t>Which chess player was the first to defeat Garry Kasparov in a World Chess Championship match?</t>
  </si>
  <si>
    <t>A) Anatoly Karpov, B) Vladimir Kramnik, C) Viswanathan Anand, D) Nigel Short</t>
  </si>
  <si>
    <t>Which World Chess Champion famously introduced the King's Indian Defense into high-level competition?</t>
  </si>
  <si>
    <t>A) Garry Kasparov, B) Tigran Petrosian, C) Bobby Fischer, D) Mikhail Tal</t>
  </si>
  <si>
    <t>Who was the first player to win the World Junior Chess Championship?</t>
  </si>
  <si>
    <t>A) Boris Spassky, B) Garry Kasparov, C) Anatoly Karpov, D) Bobby Fischer</t>
  </si>
  <si>
    <t>A) Boris Spassky</t>
  </si>
  <si>
    <t>Which chess grandmaster was known as 'The Magician from Riga'?</t>
  </si>
  <si>
    <t>A) Mikhail Botvinnik, B) Tigran Petrosian, C) Mikhail Tal, D) Viktor Korchnoi</t>
  </si>
  <si>
    <t>Which chess player was the first to achieve a perfect score in a chess tournament with all victories and no draws or losses?</t>
  </si>
  <si>
    <t>A) José Raúl Capablanca, B) Garry Kasparov, C) Bobby Fischer, D) Alexander Alekhine</t>
  </si>
  <si>
    <t>Which World Chess Champion was the first to defend his title in a match held outside of Europe?</t>
  </si>
  <si>
    <t>Which chess opening is named after the 19th-century German grandmaster who was also a leading theorist and writer?</t>
  </si>
  <si>
    <t>A) Nimzo-Indian Defense, B) Ruy Lopez, C) Philidor Defense, D) Tarrasch Defense</t>
  </si>
  <si>
    <t>D) Tarrasch Defense</t>
  </si>
  <si>
    <t>Which player became the youngest grandmaster in history in 1958, a record later broken by others?</t>
  </si>
  <si>
    <t>A) Anatoly Karpov, B) Bobby Fischer, C) Garry Kasparov, D) Magnus Carlsen</t>
  </si>
  <si>
    <t>Which chess event marked the first time a World Chess Championship match was televised live?</t>
  </si>
  <si>
    <t>A) 1972 Fischer-Spassky, B) 1984 Karpov-Kasparov, C) 1993 Kasparov-Short, D) 2000 Kramnik-Kasparov</t>
  </si>
  <si>
    <t>A) 1972 Fischer-Spassky</t>
  </si>
  <si>
    <t>Which World Chess Champion was the first to have a computer programmed with his playing style?</t>
  </si>
  <si>
    <t>A) Garry Kasparov, B) Bobby Fischer, C) Anatoly Karpov, D) Vladimir Kramnik</t>
  </si>
  <si>
    <t>Who was the first chess player to achieve a FIDE rating over 2800?</t>
  </si>
  <si>
    <t>A) Garry Kasparov, B) Bobby Fischer, C) Anatoly Karpov, D) Magnus Carlsen</t>
  </si>
  <si>
    <t>Which chess player defeated six former or future World Chess Champions during his career, a record among non-champions?</t>
  </si>
  <si>
    <t>A) Viktor Korchnoi, B) Paul Keres, C) Efim Geller, D) David Bronstein</t>
  </si>
  <si>
    <t>C) Efim Geller</t>
  </si>
  <si>
    <t>Who was the first African-American chess grandmaster?</t>
  </si>
  <si>
    <t>A) Maurice Ashley, B) Emory Tate, C) William Morrison, D) Pontus Carlsson</t>
  </si>
  <si>
    <t>A) Maurice Ashley</t>
  </si>
  <si>
    <t>Which World Chess Champion was the first to lose his title and then later reclaim it?</t>
  </si>
  <si>
    <t>A) Wilhelm Steinitz, B) Emanuel Lasker, C) Mikhail Botvinnik, D) Alexander Alekhine</t>
  </si>
  <si>
    <t>Which World Chess Champion was known for his contributions to the development of the French Defense?</t>
  </si>
  <si>
    <t>A) Anatoly Karpov, B) Garry Kasparov, C) Alexander Alekhine, D) Tigran Petrosian</t>
  </si>
  <si>
    <t>D) Tigran Petrosian</t>
  </si>
  <si>
    <t>Which player was the first to hold both the World Chess Championship and the U.S. Chess Championship titles simultaneously?</t>
  </si>
  <si>
    <t>A) Paul Morphy, B) Bobby Fischer, C) Fabiano Caruana, D) Hikaru Nakamura</t>
  </si>
  <si>
    <t>A) Emanuel Lasker, B) Alexander Alekhine, C) Garry Kasparov, D) Bobby Fischer</t>
  </si>
  <si>
    <t>Which player was the first to hold the title of both World Chess Champion and World Blitz Chess Champion simultaneously?</t>
  </si>
  <si>
    <t>Which World Chess Champion was known for his contributions to the Grünfeld Defense?</t>
  </si>
  <si>
    <t>A) Bobby Fischer, B) Garry Kasparov, C) Mikhail Botvinnik, D) Tigran Petrosian</t>
  </si>
  <si>
    <t>Who was the first player to win the World Chess Championship without ever having played a qualifying Candidates Tournament?</t>
  </si>
  <si>
    <t>Which World Chess Champion was the first to win the title after defeating the reigning champion in the shortest match (in terms of number of games)?</t>
  </si>
  <si>
    <t>A) Mikhail Tal, B) Anatoly Karpov, C) Garry Kasparov, D) José Raúl Capablanca</t>
  </si>
  <si>
    <t>D) José Raúl Capablanca</t>
  </si>
  <si>
    <t>Which Soviet chess player was the first to defect and seek political asylum in the United States?</t>
  </si>
  <si>
    <t>A) Viktor Korchnoi, B) Boris Spassky, C) Anatoly Karpov, D) Lev Alburt</t>
  </si>
  <si>
    <t>D) Lev Alburt</t>
  </si>
  <si>
    <t>Who was the first woman to win a game against a reigning World Chess Champion in a classical tournament game?</t>
  </si>
  <si>
    <t>A) Judit Polgar, B) Nona Gaprindashvili, C) Maia Chiburdanidze, D) Pia Cramling</t>
  </si>
  <si>
    <t>A) Judit Polgar</t>
  </si>
  <si>
    <t>Which player was the first to defeat Garry Kasparov in a classical game after he became World Chess Champion?</t>
  </si>
  <si>
    <t>A) Nigel Short, B) Viswanathan Anand, C) Vladimir Kramnik, D) Alexei Shirov</t>
  </si>
  <si>
    <t>D) Alexei Shirov</t>
  </si>
  <si>
    <t>Which World Chess Champion was known for his contributions to the development of the Caro-Kann Defense?</t>
  </si>
  <si>
    <t>A) Tigran Petrosian, B) Anatoly Karpov, C) Bobby Fischer, D) Mikhail Tal</t>
  </si>
  <si>
    <t>Which chess player was the first to win the World Chess Championship in a knockout format tournament?</t>
  </si>
  <si>
    <t>Who was the first player to win the World Chess Championship without losing a single game in the final match?</t>
  </si>
  <si>
    <t>A) José Raúl Capablanca, B) Bobby Fischer, C) Garry Kasparov, D) Mikhail Tal</t>
  </si>
  <si>
    <t>Which player was the first to hold the titles of World Chess Champion and World Rapid Chess Champion at the same time?</t>
  </si>
  <si>
    <t>Which World Chess Champion was the first to win the title after a match held in the Soviet Union?</t>
  </si>
  <si>
    <t>A) Mikhail Botvinnik, B) Anatoly Karpov, C) Tigran Petrosian, D) Garry Kasparov</t>
  </si>
  <si>
    <t>Which World Chess Champion was the first to lose his title in a match where all games were drawn?</t>
  </si>
  <si>
    <t>A) Emanuel Lasker, B) Alexander Alekhine, C) Mikhail Botvinnik, D) Boris Spassky</t>
  </si>
  <si>
    <t>Which World Chess Champion was the first to win the title after defeating a reigning champion who had held the title for more than 25 years?</t>
  </si>
  <si>
    <t>A) Garry Kasparov, B) Anatoly Karpov, C) Alexander Alekhine, D) Boris Spassky</t>
  </si>
  <si>
    <t>Which World Chess Champion was the first to win the title after a match held in the Soviet Union, but who was not born in the Soviet Union?</t>
  </si>
  <si>
    <t>A) Anatoly Karpov, B) Boris Spassky, C) Alexander Alekhine, D) Garry Kasparov</t>
  </si>
  <si>
    <t>Who was the first player to win the World Chess Championship and World Blitz Chess Championship in the same year?</t>
  </si>
  <si>
    <t>Which World Chess Champion was the first to win the title after a match held in a country that had not previously hosted a World Chess Championship?</t>
  </si>
  <si>
    <t>Which World Chess Champion was the first to win the title after a match held in a city that had not previously hosted a World Chess Championship?</t>
  </si>
  <si>
    <t>Which World Chess Champion was the first to win the title after a match held in a city that had previously hosted a World Chess Championship?</t>
  </si>
  <si>
    <t>Who was the first chess player to be officially awarded the title of 'Grandmaster' by FIDE?</t>
  </si>
  <si>
    <t>A) José Raúl Capablanca, B) Alexander Alekhine, C) Mikhail Botvinnik, D) Savielly Tartakower</t>
  </si>
  <si>
    <t>Which chess player was the first to defeat the reigning World Chess Champion in a match after World War II?</t>
  </si>
  <si>
    <t>A) Mikhail Botvinnik, B) Tigran Petrosian, C) Bobby Fischer, D) Boris Spassky</t>
  </si>
  <si>
    <t>B) Tigran Petrosian</t>
  </si>
  <si>
    <t>Which World Chess Champion was known for his contributions to the development of the Sicilian Defense?</t>
  </si>
  <si>
    <t>A) Garry Kasparov, B) Bobby Fischer, C) Mikhail Tal, D) Tigran Petrosian</t>
  </si>
  <si>
    <t>Which World Chess Champion was the first to win the title after defeating a reigning champion in a rematch?</t>
  </si>
  <si>
    <t>Which chess player was the first to achieve a FIDE rating over 2900 in blitz chess?</t>
  </si>
  <si>
    <t>A) Magnus Carlsen, B) Garry Kasparov, C) Hikaru Nakamura, D) Viswanathan Anand</t>
  </si>
  <si>
    <t>A) Magnus Carlsen</t>
  </si>
  <si>
    <t>Which World Chess Champion was the first to win the title after a match held in a country where the reigning champion was not a citizen?</t>
  </si>
  <si>
    <t>Which World Chess Champion was the first to win the title after a match held in a city where neither player was a resident or a citizen?</t>
  </si>
  <si>
    <t>Which chess player was the first to achieve a FIDE rating over 2700?</t>
  </si>
  <si>
    <t>A) Anatoly Karpov, B) Garry Kasparov, C) Bobby Fischer, D) Vladimir Kramnik</t>
  </si>
  <si>
    <t>Which World Chess Champion was the first to win the title after a match held in a country where neither player was a citizen or a resident?</t>
  </si>
  <si>
    <t>Which World Chess Champion was the first to win the title after a match held in a city where neither player was a citizen or a resident?</t>
  </si>
  <si>
    <t>Which chess player was the first to achieve a FIDE rating over 2800 in blitz chess?</t>
  </si>
  <si>
    <t>A) Garry Kasparov, B) Bobby Fischer, C) Magnus Carlsen, D) Hikaru Nakamura</t>
  </si>
  <si>
    <t>Which World Chess Champion was the first to win the title after a match held in a country where neither player was a resident?</t>
  </si>
  <si>
    <t>Which World Chess Champion was the first to win the title after a match held in a city where neither player was a citizen?</t>
  </si>
  <si>
    <t>Which chess player was the first to achieve a FIDE rating over 2700 in blitz chess?</t>
  </si>
  <si>
    <t>Which chess player was the first to become a Grandmaster under the modern FIDE title system?</t>
  </si>
  <si>
    <t>A) José Raúl Capablanca, B) Alexander Alekhine, C) Mikhail Botvinnik, D) Paul Keres</t>
  </si>
  <si>
    <t>Who was the first woman to achieve the title of International Grandmaster?</t>
  </si>
  <si>
    <t>A) Judit Polgar, B) Maia Chiburdanidze, C) Nona Gaprindashvili, D) Pia Cramling</t>
  </si>
  <si>
    <t>Which World Chess Champion is known for his contributions to the development of the Queen's Gambit?</t>
  </si>
  <si>
    <t>A) Emanuel Lasker, B) José Raúl Capablanca, C) Alexander Alekhine, D) Garry Kasparov</t>
  </si>
  <si>
    <t>Which chess player famously introduced the 'poisoned pawn' variation in the Najdorf Sicilian Defense?</t>
  </si>
  <si>
    <t>A) Bobby Fischer, B) Mikhail Tal, C) Garry Kasparov, D) Miguel Najdorf</t>
  </si>
  <si>
    <t>B) Mikhail Tal</t>
  </si>
  <si>
    <t>Who was the first chess player to win the World Championship title by defeating a reigning champion in the Soviet Union?</t>
  </si>
  <si>
    <t>A) Boris Spassky, B) Garry Kasparov, C) Vladimir Kramnik, D) Anatoly Karpov</t>
  </si>
  <si>
    <t>Which player was known for his use of the 'Ruy López' opening in his World Championship matches?</t>
  </si>
  <si>
    <t>A) Anatoly Karpov, B) José Raúl Capablanca, C) Bobby Fischer, D) Garry Kasparov</t>
  </si>
  <si>
    <t>Who was the first chess player to win the World Chess Championship match without losing a single game?</t>
  </si>
  <si>
    <t>A) José Raúl Capablanca, B) Bobby Fischer, C) Garry Kasparov, D) Emanuel Lasker</t>
  </si>
  <si>
    <t>Which chess player was famous for his 'Tal Attack' and aggressive style of play?</t>
  </si>
  <si>
    <t>A) Anatoly Karpov, B) Mikhail Tal, C) Viktor Korchnoi, D) Paul Keres</t>
  </si>
  <si>
    <t>Which chess player introduced the 'Giuoco Piano' opening in his games during the early 20th century?</t>
  </si>
  <si>
    <t>A) Emanuel Lasker, B) Alexander Alekhine, C) José Raúl Capablanca, D) Boris Spassky</t>
  </si>
  <si>
    <t>Who was the first World Chess Champion to be defeated in a title match held outside of Europe?</t>
  </si>
  <si>
    <t>A) Emanuel Lasker, B) Alexander Alekhine, C) Boris Spassky, D) Bobby Fischer</t>
  </si>
  <si>
    <t>Which player was known for his mastery of the endgame and the 'Capablanca Method'?</t>
  </si>
  <si>
    <t>A) José Raúl Capablanca, B) Anatoly Karpov, C) Garry Kasparov, D) Mikhail Botvinnik</t>
  </si>
  <si>
    <t>Who was the first chess player to win the World Championship after the title was split into classical and rapid formats?</t>
  </si>
  <si>
    <t>Which chess player was known for his contributions to the 'Benko Gambit'?</t>
  </si>
  <si>
    <t>A) Pal Benko, B) Bobby Fischer, C) Garry Kasparov, D) Viktor Korchnoi</t>
  </si>
  <si>
    <t>A) Pal Benko</t>
  </si>
  <si>
    <t>Which World Chess Champion was known for his defensive prowess and the concept of 'Petrosian Defense'?</t>
  </si>
  <si>
    <t>A) Anatoly Karpov, B) Tigran Petrosian, C) Mikhail Tal, D) Garry Kasparov</t>
  </si>
  <si>
    <t>Who was the first chess player to win a World Championship match in a country where the opponent was from?</t>
  </si>
  <si>
    <t>A) Garry Kasparov, B) Vladimir Kramnik, C) Anatoly Karpov, D) Viswanathan Anand</t>
  </si>
  <si>
    <t>Which chess player was the first to successfully defend his title in a rematch after losing the initial match?</t>
  </si>
  <si>
    <t>A) Emanuel Lasker, B) Alexander Alekhine, C) Mikhail Botvinnik, D) Garry Kasparov</t>
  </si>
  <si>
    <t>Which player was known for his contributions to the 'English Opening' and its various variations?</t>
  </si>
  <si>
    <t>A) Garry Kasparov, B) Viktor Korchnoi, C) Michael Adams, D) Howard Staunton</t>
  </si>
  <si>
    <t>D) Howard Staunton</t>
  </si>
  <si>
    <t>Who was the first chess player to win the World Chess Championship title in a tournament format?</t>
  </si>
  <si>
    <t>Which World Chess Champion was known for his aggressive style and contributions to the 'Sicilian Defense'?</t>
  </si>
  <si>
    <t>Which player was the first to win the World Chess Championship in a match with a time control that included increments?</t>
  </si>
  <si>
    <t>Who was the first chess player to win a World Championship title by defeating a reigning champion in a country where neither player was a citizen?</t>
  </si>
  <si>
    <t>Which chess player was famous for his use of the 'King's Indian Defense' in his games?</t>
  </si>
  <si>
    <t>A) Garry Kasparov, B) Bobby Fischer, C) Viktor Korchnoi, D) Tigran Petrosian</t>
  </si>
  <si>
    <t>Who was the first player to achieve a FIDE rating of 2800 or more?</t>
  </si>
  <si>
    <t>Which player was known for his expertise in the 'Benoni Defense' and its various lines?</t>
  </si>
  <si>
    <t>A) Viktor Korchnoi, B) Bobby Fischer, C) Garry Kasparov, D) Paul Keres</t>
  </si>
  <si>
    <t>Who was the first chess player to win the World Championship title in a city that had not previously hosted a World Championship match?</t>
  </si>
  <si>
    <t>Which World Chess Champion was known for his contributions to the 'Sveshnikov Variation' of the Sicilian Defense?</t>
  </si>
  <si>
    <t>A) Garry Kasparov, B) Viktor Korchnoi, C) Alexander Sveshnikov, D) Anatoly Karpov</t>
  </si>
  <si>
    <t>C) Alexander Sveshnikov</t>
  </si>
  <si>
    <t>Which chess player was known for his innovative use of the 'French Defense' in his games?</t>
  </si>
  <si>
    <t>A) Paul Keres, B) Viktor Korchnoi, C) Bobby Fischer, D) Garry Kasparov</t>
  </si>
  <si>
    <t>B) Viktor Korchnoi</t>
  </si>
  <si>
    <t>Who was the first chess player to win the World Championship title by defeating a reigning champion in a match held in a city that had previously hosted the title match?</t>
  </si>
  <si>
    <t>Which chess player was known for his contributions to the 'Petroff Defense' and its variations?</t>
  </si>
  <si>
    <t>A) Alexander Petrov, B) Garry Kasparov, C) Viktor Korchnoi, D) Paul Keres</t>
  </si>
  <si>
    <t>A) Alexander Petrov</t>
  </si>
  <si>
    <t>Who was the first chess player to win the World Championship title in a tournament format with a round-robin structure?</t>
  </si>
  <si>
    <t>Which World Chess Champion was known for his use of the 'King's Gambit' in his games?</t>
  </si>
  <si>
    <t>A) Garry Kasparov, B) Bobby Fischer, C) Alexander Alekhine, D) Emanuel Lasker</t>
  </si>
  <si>
    <t>Who was the first chess player to win a World Championship match without losing a single game?</t>
  </si>
  <si>
    <t>A) José Raúl Capablanca, B) Garry Kasparov, C) Anatoly Karpov, D) Emanuel Lasker</t>
  </si>
  <si>
    <t>Which chess player was known for his expertise in the 'Catalan Opening'?</t>
  </si>
  <si>
    <t>A) Garry Kasparov, B) Viktor Korchnoi, C) Tigran Petrosian, D) Anatoly Karpov</t>
  </si>
  <si>
    <t>Who was the first player to win the World Championship title after a match that included rapid and blitz games?</t>
  </si>
  <si>
    <t>A) Vladimir Kramnik, B) Viswanathan Anand, C) Magnus Carlsen, D) Garry Kasparov</t>
  </si>
  <si>
    <t>Which chess player was known for his contributions to the 'Nimzo-Indian Defense'?</t>
  </si>
  <si>
    <t>A) Aron Nimzowitsch, B) Garry Kasparov, C) Bobby Fischer, D) Viktor Korchnoi</t>
  </si>
  <si>
    <t>A) Aron Nimzowitsch</t>
  </si>
  <si>
    <t>Who was the first chess player to win the World Championship title in a city that had not previously hosted a match in the 20th century?</t>
  </si>
  <si>
    <t>A) Emanuel Lasker, B) Alexander Alekhine, C) Garry Kasparov, D) Viswanathan Anand</t>
  </si>
  <si>
    <t>Which World Chess Champion was known for his aggressive play and innovative strategies in the 'French Defense'?</t>
  </si>
  <si>
    <t>A) Viktor Korchnoi, B) Garry Kasparov, C) Anatoly Karpov, D) Bobby Fischer</t>
  </si>
  <si>
    <t>Who was the first chess player to win the World Championship title with a dominant performance in a series of games?</t>
  </si>
  <si>
    <t>Which chess player was known for his expertise in the 'Queen's Gambit Declined' opening?</t>
  </si>
  <si>
    <t>A) Garry Kasparov, B) Viktor Korchnoi, C) José Raúl Capablanca, D) Tigran Petrosian</t>
  </si>
  <si>
    <t>Who was the first chess player to win the World Championship title by defeating a reigning champion in a match with a time control that included increments?</t>
  </si>
  <si>
    <t>Which World Chess Champion was known for his contributions to the 'Queen's Indian Defense'?</t>
  </si>
  <si>
    <t>A) Garry Kasparov, B) Viktor Korchnoi, C) Alexander Alekhine, D) Aron Nimzowitsch</t>
  </si>
  <si>
    <t>D) Aron Nimzowitsch</t>
  </si>
  <si>
    <t>Who was the first player to win the World Championship title in a match that included rapid and blitz games?</t>
  </si>
  <si>
    <t>Which chess player was known for his contributions to the 'English Opening'?</t>
  </si>
  <si>
    <t>A) Howard Staunton, B) Garry Kasparov, C) Viktor Korchnoi, D) Tigran Petrosian</t>
  </si>
  <si>
    <t>A) Howard Staunton</t>
  </si>
  <si>
    <t>Who was the first chess player to win the World Championship title with a series of victories in classical time control games?</t>
  </si>
  <si>
    <t>A) Garry Kasparov, B) Emanuel Lasker, C) Alexander Alekhine, D) José Raúl Capablanca</t>
  </si>
  <si>
    <t>Which World Chess Champion was known for his contributions to the 'Sicilian Defense'?</t>
  </si>
  <si>
    <t>A) Garry Kasparov, B) Viktor Korchnoi, C) Bobby Fischer, D) Emanuel Lasker</t>
  </si>
  <si>
    <t>Who was the first chess player to win the World Championship title in a city that had not previously hosted a match in the 21st century?</t>
  </si>
  <si>
    <t>Which chess player was known for his innovative use of the 'Philidor Defense'?</t>
  </si>
  <si>
    <t>A) François-André Danican Philidor, B) Garry Kasparov, C) Viktor Korchnoi, D) Bobby Fischer</t>
  </si>
  <si>
    <t>A) François-André Danican Philidor</t>
  </si>
  <si>
    <t>Who was the first chess player to win the World Championship title with a dominant performance in a rapid and blitz format?</t>
  </si>
  <si>
    <t>Which World Chess Champion was known for his use of the 'King's Indian Attack'?</t>
  </si>
  <si>
    <t>A) Garry Kasparov, B) Viktor Korchnoi, C) Bobby Fischer, D) Paul Keres</t>
  </si>
  <si>
    <t>Who was the first chess player to win the World Championship title in a city that had not previously hosted a title match?</t>
  </si>
  <si>
    <t>A) Wilhelm Steinitz, B) Alexander Alekhine, C) José Raúl Capablanca, D) Magnus Carlsen</t>
  </si>
  <si>
    <t>Which chess player was known for his contributions to the 'Grunfeld Defense'?</t>
  </si>
  <si>
    <t>A) Ernst Grunfeld, B) Garry Kasparov, C) Viktor Korchnoi, D) Bobby Fischer</t>
  </si>
  <si>
    <t>A) Ernst Grunfeld</t>
  </si>
  <si>
    <t>Who was the first player to achieve a FIDE rating of 2900 or more?</t>
  </si>
  <si>
    <t>A) Garry Kasparov, B) Magnus Carlsen, C) Vladimir Kramnik, D) Viswanathan Anand</t>
  </si>
  <si>
    <t>Which World Chess Champion was known for his use of the 'Ruy López' opening in his games?</t>
  </si>
  <si>
    <t>A) Garry Kasparov, B) Bobby Fischer, C) José Raúl Capablanca, D) Alexander Alekhine</t>
  </si>
  <si>
    <t>D) Alexander Alekhine</t>
  </si>
  <si>
    <t>Which chess player was known for his contributions to the 'Dutch Defense'?</t>
  </si>
  <si>
    <t>A) Hugh Alexander, B) Garry Kasparov, C) Viktor Korchnoi, D) Lodewijk Prins</t>
  </si>
  <si>
    <t>D) Lodewijk Prins</t>
  </si>
  <si>
    <t>Which World Chess Champion was known for his innovative use of the 'Sicilian Dragon'?</t>
  </si>
  <si>
    <t>A) Garry Kasparov, B) Viktor Korchnoi, C) Bobby Fischer, D) Mikhail Tal</t>
  </si>
  <si>
    <t>D) Mikhail Tal</t>
  </si>
  <si>
    <t>Who was the first chess player to win the World Championship title in a city that had not previously hosted a title match in the 20th century?</t>
  </si>
  <si>
    <t>A) Wilhelm Steinitz, B) Alexander Alekhine, C) José Raúl Capablanca, D) Garry Kasparov</t>
  </si>
  <si>
    <t>Which chess player was known for his contributions to the 'Albin Counter-Gambit'?</t>
  </si>
  <si>
    <t>A) Adolf Albin, B) Garry Kasparov, C) Viktor Korchnoi, D) Bobby Fischer</t>
  </si>
  <si>
    <t>A) Adolf Albin</t>
  </si>
  <si>
    <t>Who was the first player to win the World Championship title by defeating a reigning champion in a match held outside of Europe?</t>
  </si>
  <si>
    <t>A) Emanuel Lasker, B) Alexander Alekhine, C) Bobby Fischer, D) Viswanathan Anand</t>
  </si>
  <si>
    <t>Which World Chess Champion was known for his use of the 'King's Indian Defense'?</t>
  </si>
  <si>
    <t>Who was the first chess player to achieve a FIDE rating of 3000 or more?</t>
  </si>
  <si>
    <t>Which chess player was known for his innovative use of the 'Scotch Game'?</t>
  </si>
  <si>
    <t>A) Garry Kasparov, B) Viktor Korchnoi, C) Bobby Fischer, D) Mikhail Botvinnik</t>
  </si>
  <si>
    <t>Who was the first player to win the World Championship title in a match held with a time control including increments?</t>
  </si>
  <si>
    <t>Which chess player was known for his contributions to the 'Philidor Defense'?</t>
  </si>
  <si>
    <t>Who was the first player to win the World Championship title in a city that had not previously hosted a title match in the 20th century?</t>
  </si>
  <si>
    <t>Who was the first chess player to win the World Championship title in a city that had not previously hosted a title match in the 21st century?</t>
  </si>
  <si>
    <t>Which World Chess Champion was known for his use of the 'Sicilian Dragon'?</t>
  </si>
  <si>
    <t>Who was the first player to win the World Championship title in a city that had not previously hosted a match in the 21st century?</t>
  </si>
  <si>
    <t>Which World Chess Champion was known for his innovative use of the 'Philidor Defense'?</t>
  </si>
  <si>
    <t>Who was the first chess player to win the World Championship title with a dominant performance in classical and rapid formats?</t>
  </si>
  <si>
    <t>Which World Chess Champion was known for his contributions to the 'Sicilian Dragon'?</t>
  </si>
  <si>
    <t>Who was the first chess player to achieve a FIDE rating of 2900 or more?</t>
  </si>
  <si>
    <t>Who was the first chess player to win the World Championship title with a dominant performance in rapid and blitz formats?</t>
  </si>
  <si>
    <t>Which chess piece was originally known as the 'elephant' in earlier versions of chess?</t>
  </si>
  <si>
    <t>A) Bishop, B) Knight, C) Rook, D) Queen</t>
  </si>
  <si>
    <t>A) Bishop</t>
  </si>
  <si>
    <t>Who was the youngest player to win the World Chess Championship?</t>
  </si>
  <si>
    <t>Which chess player is known for his revolutionary ideas in the Catalan Opening?</t>
  </si>
  <si>
    <t>A) Garry Kasparov, B) Bobby Fischer, C) Vladimir Kramnik, D) José Raúl Capablanca</t>
  </si>
  <si>
    <t>What was the first international chess tournament held in the Soviet Union?</t>
  </si>
  <si>
    <t>A) Moscow Tournament, B) Leningrad Tournament, C) Tbilisi Tournament, D) Odessa Tournament</t>
  </si>
  <si>
    <t>A) Moscow Tournament</t>
  </si>
  <si>
    <t>Which chess player is credited with popularizing the 'Giuoco Piano' opening?</t>
  </si>
  <si>
    <t>A) Paul Morphy, B) Howard Staunton, C) Wilhelm Steinitz, D) Emanuel Lasker</t>
  </si>
  <si>
    <t>Which famous chess player had the nickname 'The Polish Hawk'?</t>
  </si>
  <si>
    <t>A) Samuel Reshevsky, B) Akiba Rubinstein, C) Paul Keres, D) Mikhail Tal</t>
  </si>
  <si>
    <t>B) Akiba Rubinstein</t>
  </si>
  <si>
    <t>Who was the first World Chess Champion to be defeated by a computer in a match?</t>
  </si>
  <si>
    <t>A) Garry Kasparov, B) Anatoly Karpov, C) Vladimir Kramnik, D) Bobby Fischer</t>
  </si>
  <si>
    <t>Which chess player was the subject of the biography 'Life and Games of Mikhail Tal'?</t>
  </si>
  <si>
    <t>A) Mikhail Tal, B) Garry Kasparov, C) Bobby Fischer, D) Anatoly Karpov</t>
  </si>
  <si>
    <t>What year was the International Chess Federation (FIDE) founded?</t>
  </si>
  <si>
    <t>A) 1918, B) 1924, C) 1932, D) 1946</t>
  </si>
  <si>
    <t>Which chess player is known for his work on the 'Lasker Method'?</t>
  </si>
  <si>
    <t>Which famous chess player was known for his brilliant combinatorial play and sacrifices?</t>
  </si>
  <si>
    <t>A) Paul Morphy, B) Garry Kasparov, C) Bobby Fischer, D) Viktor Korchnoi</t>
  </si>
  <si>
    <t>Who was the World Chess Champion before José Raúl Capablanca?</t>
  </si>
  <si>
    <t>A) Alexander Alekhine, B) Emanuel Lasker, C) Wilhelm Steinitz, D) Mikhail Botvinnik</t>
  </si>
  <si>
    <t>Which chess player is known for his work on the 'Zaitsev Variation' of the Sicilian Defense?</t>
  </si>
  <si>
    <t>A) Garry Kasparov, B) Bobby Fischer, C) Anatoly Karpov, D) Viktor Korchnoi</t>
  </si>
  <si>
    <t>A) Howard Staunton, B) Garry Kasparov, C) Paul Keres, D) Benjamin Blumenfeld</t>
  </si>
  <si>
    <t>D) Benjamin Blumenfeld</t>
  </si>
  <si>
    <t>Which chess tournament is renowned for featuring a round-robin format with many of the world’s top players?</t>
  </si>
  <si>
    <t>A) Candidates Tournament, B) Sinquefield Cup, C) Tata Steel Tournament, D) London Chess Classic</t>
  </si>
  <si>
    <t>C) Tata Steel Tournament</t>
  </si>
  <si>
    <t>What is the name of the chess player who created the 'Sveshnikov Variation' of the Sicilian Defense?</t>
  </si>
  <si>
    <t>A) Alexander Sveshnikov, B) Garry Kasparov, C) Viktor Korchnoi, D) Paul Keres</t>
  </si>
  <si>
    <t>A) Alexander Sveshnikov</t>
  </si>
  <si>
    <t>Who was the World Chess Champion immediately before Anatoly Karpov?</t>
  </si>
  <si>
    <t>A) Garry Kasparov, B) Vladimir Kramnik, C) Mikhail Botvinnik, D) José Raúl Capablanca</t>
  </si>
  <si>
    <t>Which chess player is known for his book 'My Best Games of Chess'?</t>
  </si>
  <si>
    <t>A) Bobby Fischer, B) Garry Kasparov, C) Paul Keres, D) Mikhail Tal</t>
  </si>
  <si>
    <t>What was the name of the first World Chess Championship match between Bobby Fischer and Boris Spassky?</t>
  </si>
  <si>
    <t>A) The Match of the Century, B) The Great Match, C) The World Championship Showdown, D) The Spassky-Fischer Duel</t>
  </si>
  <si>
    <t>A) The Match of the Century</t>
  </si>
  <si>
    <t>Who is considered the inventor of the 'Anti-Sicilian' strategies?</t>
  </si>
  <si>
    <t>A) Garry Kasparov, B) Bobby Fischer, C) Viktor Korchnoi, D) Paul Keres</t>
  </si>
  <si>
    <t>D) Paul Keres</t>
  </si>
  <si>
    <t>Which chess player is known for his work on the 'Nimzo-Indian Defense'?</t>
  </si>
  <si>
    <t>A) Aron Nimzowitsch, B) Garry Kasparov, C) Vladimir Kramnik, D) Bobby Fischer</t>
  </si>
  <si>
    <t>Which chess player was known for his contributions to the 'Benoni Defense'?</t>
  </si>
  <si>
    <t>A) Benjamin Blumenfeld, B) Garry Kasparov, C) Paul Keres, D) Viktor Korchnoi</t>
  </si>
  <si>
    <t>A) Benjamin Blumenfeld</t>
  </si>
  <si>
    <t>What is the name of the chess opening that begins with 1.d4 d5 2.c4 e6?</t>
  </si>
  <si>
    <t>A) King's Gambit, B) Queen's Gambit Declined, C) King's Indian Defense, D) Nimzo-Indian Defense</t>
  </si>
  <si>
    <t>B) Queen's Gambit Declined</t>
  </si>
  <si>
    <t>Which famous chess player was known as 'The Tiger of Madras'?</t>
  </si>
  <si>
    <t>A) Viswanathan Anand, B) Garry Kasparov, C) Bobby Fischer, D) Mikhail Tal</t>
  </si>
  <si>
    <t>A) Viswanathan Anand</t>
  </si>
  <si>
    <t>Who was the World Chess Champion before Garry Kasparov?</t>
  </si>
  <si>
    <t>A) Anatoly Karpov, B) Vladimir Kramnik, C) José Raúl Capablanca, D) Mikhail Botvinnik</t>
  </si>
  <si>
    <t>Which chess player is known for his work on the 'Dutch Defense'?</t>
  </si>
  <si>
    <t>A) Abraham de Moivre, B) Garry Kasparov, C) Viktor Korchnoi, D) Lodewijk Prins</t>
  </si>
  <si>
    <t>Who was the World Chess Champion in the year 2000?</t>
  </si>
  <si>
    <t>A) Garry Kasparov, B) Vladimir Kramnik, C) Anatoly Karpov, D) Magnus Carlsen</t>
  </si>
  <si>
    <t>Which chess player is known for the 'Karpov Variation' in the King's Indian Defense?</t>
  </si>
  <si>
    <t>A) Anatoly Karpov, B) Garry Kasparov, C) Viktor Korchnoi, D) Mikhail Botvinnik</t>
  </si>
  <si>
    <t>Which famous chess player is known for his contributions to the 'Najdorf Variation' of the Sicilian Defense?</t>
  </si>
  <si>
    <t>A) Miguel Najdorf, B) Garry Kasparov, C) Bobby Fischer, D) Paul Keres</t>
  </si>
  <si>
    <t>A) Miguel Najdorf</t>
  </si>
  <si>
    <t>Who was the World Chess Champion during the period known as 'The Fischer Era'?</t>
  </si>
  <si>
    <t>A) Bobby Fischer, B) Garry Kasparov, C) Anatoly Karpov, D) Vladimir Kramnik</t>
  </si>
  <si>
    <t>Which chess player is known for his work on the 'Two Knights Defense'?</t>
  </si>
  <si>
    <t>Which chess player is famous for his tactical prowess and known as 'The Magician from Riga'?</t>
  </si>
  <si>
    <t>A) Mikhail Tal, B) Garry Kasparov, C) Viktor Korchnoi, D) Bobby Fischer</t>
  </si>
  <si>
    <t>What is the name of the opening that starts with 1.e4 e5 2.Nf3 Nc6 3.Bb5?</t>
  </si>
  <si>
    <t>A) King's Gambit, B) Ruy López, C) Sicilian Defense, D) French Defense</t>
  </si>
  <si>
    <t>B) Ruy López</t>
  </si>
  <si>
    <t>Which chess player won the World Chess Championship in 1972?</t>
  </si>
  <si>
    <t>A) Bobby Fischer, B) Anatoly Karpov, C) Garry Kasparov, D) Vladimir Kramnik</t>
  </si>
  <si>
    <t>Who was the World Chess Champion from 1960 to 1969?</t>
  </si>
  <si>
    <t>A) Anatoly Karpov, B) Garry Kasparov, C) Mikhail Botvinnik, D) José Raúl Capablanca</t>
  </si>
  <si>
    <t>Which chess player was known for his 'Hypermodern' approach to chess?</t>
  </si>
  <si>
    <t>A) Aron Nimzowitsch, B) Garry Kasparov, C) Paul Keres, D) Bobby Fischer</t>
  </si>
  <si>
    <t>Which chess player had the nickname 'The Old Lion'?</t>
  </si>
  <si>
    <t>A) Emanuel Lasker, B) Wilhelm Steinitz, C) José Raúl Capablanca, D) Alexander Alekhine</t>
  </si>
  <si>
    <t>Which chess player is known for the 'Sveshnikov Variation' of the Sicilian Defense?</t>
  </si>
  <si>
    <t>Which chess opening is named after a German player and begins with 1.e4 e5 2.Nf3 Nc6 3.Bb5 a6?</t>
  </si>
  <si>
    <t>A) Ruy López, B) King's Indian Defense, C) French Defense, D) Nimzo-Indian Defense</t>
  </si>
  <si>
    <t>A) Ruy López</t>
  </si>
  <si>
    <t>Which chess player is famous for his book 'My Great Predecessors'?</t>
  </si>
  <si>
    <t>A) Garry Kasparov, B) Bobby Fischer, C) Vladimir Kramnik, D) Anatoly Karpov</t>
  </si>
  <si>
    <t>Which chess player is known for his deep knowledge of endgames and is considered one of the greatest endgame theorists?</t>
  </si>
  <si>
    <t>A) Mikhail Botvinnik, B) Garry Kasparov, C) Paul Keres, D) Emanuel Lasker</t>
  </si>
  <si>
    <t>Which chess tournament is renowned for its prestigious history and is held annually in Wijk aan Zee?</t>
  </si>
  <si>
    <t>A) Tata Steel Tournament, B) Sinquefield Cup, C) Candidates Tournament, D) London Chess Classic</t>
  </si>
  <si>
    <t>A) Tata Steel Tournament</t>
  </si>
  <si>
    <t>Which chess player is credited with the 'Fischer Random Chess' variant?</t>
  </si>
  <si>
    <t>A) Bobby Fischer, B) Garry Kasparov, C) Magnus Carlsen, D) Vladimir Kramnik</t>
  </si>
  <si>
    <t>Which chess player was the first to achieve a rating of 2800?</t>
  </si>
  <si>
    <t>A) Garry Kasparov, B) Magnus Carlsen, C) Vladimir Kramnik, D) Anatoly Karpov</t>
  </si>
  <si>
    <t>Which chess player was known for his groundbreaking analysis of the King's Indian Defense?</t>
  </si>
  <si>
    <t>Which chess player is known for the 'Capablanca Variation' of the Queen's Gambit Declined?</t>
  </si>
  <si>
    <t>A) José Raúl Capablanca, B) Garry Kasparov, C) Bobby Fischer, D) Vladimir Kramnik</t>
  </si>
  <si>
    <t>Who was the World Chess Champion in 1948?</t>
  </si>
  <si>
    <t>A) Mikhail Botvinnik, B) José Raúl Capablanca, C) Alexander Alekhine, D) Emanuel Lasker</t>
  </si>
  <si>
    <t>Which chess player is known for his contributions to the 'Queen's Gambit Accepted'?</t>
  </si>
  <si>
    <t>A) Garry Kasparov, B) Paul Keres, C) Viktor Korchnoi, D) Benjamin Blumenfeld</t>
  </si>
  <si>
    <t>Which chess player is known for his achievements in simultaneous exhibitions?</t>
  </si>
  <si>
    <t>Which chess player was famous for his opening theories and known as 'The Dean of Chess'?</t>
  </si>
  <si>
    <t>A) Emanuel Lasker, B) Garry Kasparov, C) Paul Keres, D) Wilhelm Steinitz</t>
  </si>
  <si>
    <t>D) Wilhelm Steinitz</t>
  </si>
  <si>
    <t>Which chess player is renowned for his contributions to the 'Dutch Defense'?</t>
  </si>
  <si>
    <t>A) Lodewijk Prins, B) Garry Kasparov, C) Viktor Korchnoi, D) Bobby Fischer</t>
  </si>
  <si>
    <t>A) Lodewijk Prins</t>
  </si>
  <si>
    <t>Which chess player is associated with the 'Be7 Variation' in the King's Indian Defense?</t>
  </si>
  <si>
    <t>Who was the World Chess Champion in 1927?</t>
  </si>
  <si>
    <t>A) José Raúl Capablanca, B) Alexander Alekhine, C) Emanuel Lasker, D) Mikhail Botvinnik</t>
  </si>
  <si>
    <t>Which chess player is known for the 'Grunfeld Defense'?</t>
  </si>
  <si>
    <t>A) Ernst Grünfeld, B) Garry Kasparov, C) Viktor Korchnoi, D) Bobby Fischer</t>
  </si>
  <si>
    <t>A) Ernst Grünfeld</t>
  </si>
  <si>
    <t>Which chess player was known for his 'Russian Defense'?</t>
  </si>
  <si>
    <t>A) Alexander Alekhine, B) Garry Kasparov, C) Viktor Korchnoi, D) Paul Keres</t>
  </si>
  <si>
    <t>C) Viktor Korchnoi</t>
  </si>
  <si>
    <t>Which chess player had the nickname 'The Great Soviet Master'?</t>
  </si>
  <si>
    <t>A) Mikhail Botvinnik, B) Garry Kasparov, C) Anatoly Karpov, D) Viktor Korchnoi</t>
  </si>
  <si>
    <t>Who was the World Chess Champion from 2000 to 2006?</t>
  </si>
  <si>
    <t>A) Vladimir Kramnik, B) Garry Kasparov, C) Anatoly Karpov, D) Magnus Carlsen</t>
  </si>
  <si>
    <t>Which chess player is known for the 'Najdorf Variation' of the Sicilian Defense?</t>
  </si>
  <si>
    <t>Which chess player is credited with the development of the 'Fischer Random Chess' (Chess960)?</t>
  </si>
  <si>
    <t>Which chess player was the first to hold the title of World Chess Champion and was also a writer?</t>
  </si>
  <si>
    <t>A) Emanuel Lasker, B) Garry Kasparov, C) Paul Keres, D) Alexander Alekhine</t>
  </si>
  <si>
    <t>Which chess player is known for the 'Kasparov Variation' of the King's Indian Defense?</t>
  </si>
  <si>
    <t>Who was the World Chess Champion in 2013?</t>
  </si>
  <si>
    <t>A) Magnus Carlsen, B) Garry Kasparov, C) Vladimir Kramnik, D) Anatoly Karpov</t>
  </si>
  <si>
    <t>Which chess player was known for the 'Albin Counter-Gambit'?</t>
  </si>
  <si>
    <t>A) Adolf Albin, B) Garry Kasparov, C) Bobby Fischer, D) Paul Keres</t>
  </si>
  <si>
    <t>Which chess player is known for his work on the 'Marshall Attack'?</t>
  </si>
  <si>
    <t>A) Frank Marshall, B) Garry Kasparov, C) Viktor Korchnoi, D) Bobby Fischer</t>
  </si>
  <si>
    <t>A) Frank Marshall</t>
  </si>
  <si>
    <t>Who was the World Chess Champion in 1966?</t>
  </si>
  <si>
    <t>Which chess player is known for his contributions to the 'Caro-Kann Defense'?</t>
  </si>
  <si>
    <t>A) Horatio Caro and Marcus Kann, B) Garry Kasparov, C) Viktor Korchnoi, D) Bobby Fischer</t>
  </si>
  <si>
    <t>A) Horatio Caro and Marcus Kann</t>
  </si>
  <si>
    <t>Which chess player was known for his famous game against Paul Morphy in the Paris 1858 tournament?</t>
  </si>
  <si>
    <t>A) Howard Staunton, B) Garry Kasparov, C) Bobby Fischer, D) Viktor Korchnoi</t>
  </si>
  <si>
    <t>Who is known as the 'father of chess'?</t>
  </si>
  <si>
    <t>A) Wilhelm Steinitz, B) Garry Kasparov, C) Bobby Fischer, D) Emanuel Lasker</t>
  </si>
  <si>
    <t>In which country did chess originate?</t>
  </si>
  <si>
    <t>A) India, B) Persia, C) China, D) Egypt</t>
  </si>
  <si>
    <t>What is the name of the game that is considered the precursor to chess?</t>
  </si>
  <si>
    <t>A) Shogi, B) Chaturanga, C) Xiangqi, D) Go</t>
  </si>
  <si>
    <t>B) Chaturanga</t>
  </si>
  <si>
    <t>Who was the first official World Chess Champion?</t>
  </si>
  <si>
    <t>A) Wilhelm Steinitz, B) Emanuel Lasker, C) Alexander Alekhine, D) Paul Morphy</t>
  </si>
  <si>
    <t>In what year was the first modern chess tournament held?</t>
  </si>
  <si>
    <t>A) 1851, B) 1866, C) 1872, D) 1886</t>
  </si>
  <si>
    <t>A) 1851</t>
  </si>
  <si>
    <t>Who was the World Chess Champion before Bobby Fischer?</t>
  </si>
  <si>
    <t>A) Mikhail Botvinnik, B) Boris Spassky, C) Tigran Petrosian, D) Anatoly Karpov</t>
  </si>
  <si>
    <t>B) Boris Spassky</t>
  </si>
  <si>
    <t>Which chess piece was introduced in the 15th century in Europe and is known for its powerful diagonal movement?</t>
  </si>
  <si>
    <t>A) Queen, B) Bishop, C) Rook, D) Knight</t>
  </si>
  <si>
    <t>A) Queen</t>
  </si>
  <si>
    <t>What was the original name of the modern chess piece now called the 'bishop'?</t>
  </si>
  <si>
    <t>A) Elephant, B) Camel, C) Horse, D) Chariot</t>
  </si>
  <si>
    <t>A) Elephant</t>
  </si>
  <si>
    <t>Which famous chess player was known as 'The Genius of Riga'?</t>
  </si>
  <si>
    <t>A) Mikhail Tal, B) Paul Keres, C) Alexander Alekhine, D) Viktor Korchnoi</t>
  </si>
  <si>
    <t>B) Paul Keres</t>
  </si>
  <si>
    <t>Who won the famous 1972 World Chess Championship against Boris Spassky?</t>
  </si>
  <si>
    <t>In what year did the first official FIDE World Chess Championship take place?</t>
  </si>
  <si>
    <t>A) 1886, B) 1907, C) 1927, D) 1948</t>
  </si>
  <si>
    <t>Who was the World Chess Champion during World War II?</t>
  </si>
  <si>
    <t>A) Alexander Alekhine, B) Emanuel Lasker, C) Mikhail Botvinnik, D) José Raúl Capablanca</t>
  </si>
  <si>
    <t>What is the name of the chess opening that starts with 1.e4 e5 2.Nf3 Nc6 3.Bb5?</t>
  </si>
  <si>
    <t>A) Sicilian Defense, B) King's Gambit, C) Ruy López, D) French Defense</t>
  </si>
  <si>
    <t>C) Ruy López</t>
  </si>
  <si>
    <t>Who was known as 'The Red Hurricane' in the chess world?</t>
  </si>
  <si>
    <t>A) Garry Kasparov, B) Mikhail Tal, C) Bobby Fischer, D) Viktor Korchnoi</t>
  </si>
  <si>
    <t>Which chess player is famous for the quote 'Chess is a game of mistakes'?</t>
  </si>
  <si>
    <t>A) Garry Kasparov, B) Bobby Fischer, C) José Raúl Capablanca, D) Emanuel Lasker</t>
  </si>
  <si>
    <t>D) Emanuel Lasker</t>
  </si>
  <si>
    <t>Who was the youngest grandmaster in history as of 2024?</t>
  </si>
  <si>
    <t>A) Sergey Karjakin, B) Magnus Carlsen, C) Anish Giri, D) Fabiano Caruana</t>
  </si>
  <si>
    <t>Which chess player was known for his endgame prowess and authored several books on the subject?</t>
  </si>
  <si>
    <t>A) Mikhail Botvinnik, B) Paul Keres, C) Mark Dvoretsky, D) Garry Kasparov</t>
  </si>
  <si>
    <t>C) Mark Dvoretsky</t>
  </si>
  <si>
    <t>Which chess opening is also known as the 'Queen's Pawn Opening'?</t>
  </si>
  <si>
    <t>A) King's Indian Defense, B) English Opening, C) King's Gambit, D) Queen's Gambit</t>
  </si>
  <si>
    <t>D) Queen's Gambit</t>
  </si>
  <si>
    <t>Who was the first African-American to become a chess International Master?</t>
  </si>
  <si>
    <t>A) Maurice Ashley, B) Emory Tate, C) James Coleman, D) Robert Harris</t>
  </si>
  <si>
    <t>What was the name of the famous chess tournament held in 1948 to determine the new World Chess Champion?</t>
  </si>
  <si>
    <t>A) Zurich Tournament, B) Candidates Tournament, C) Moscow Tournament, D) London Tournament</t>
  </si>
  <si>
    <t>C) Moscow Tournament</t>
  </si>
  <si>
    <t>Which chess piece was traditionally called the 'castle' in earlier versions of the game?</t>
  </si>
  <si>
    <t>C) Rook</t>
  </si>
  <si>
    <t>Who was the World Chess Champion from 1921 to 1927?</t>
  </si>
  <si>
    <t>What famous chess game is known as the 'Immortal Game'?</t>
  </si>
  <si>
    <t>A) Anderssen vs. Kieseritzky, B) Fischer vs. Spassky, C) Tal vs. Botvinnik, D) Kasparov vs. Karpov</t>
  </si>
  <si>
    <t>A) Anderssen vs. Kieseritzky</t>
  </si>
  <si>
    <t>Which country is home to the famous chess player José Raúl Capablanca?</t>
  </si>
  <si>
    <t>A) Argentina, B) Spain, C) Cuba, D) Mexico</t>
  </si>
  <si>
    <t>C) Cuba</t>
  </si>
  <si>
    <t>Which chess player became the youngest ever World Chess Champion in 2013?</t>
  </si>
  <si>
    <t>A) Vishwanathan Anand, B) Magnus Carlsen, C) Garry Kasparov, D) Vladimir Kramnik</t>
  </si>
  <si>
    <t>Who was known as 'The Turk' and was famous for his mechanical chess-playing machine?</t>
  </si>
  <si>
    <t>A) Wolfgang von Kempelen, B) Charles Babbage, C) Richard Reti, D) Wilhelm Steinitz</t>
  </si>
  <si>
    <t>A) Wolfgang von Kempelen</t>
  </si>
  <si>
    <t>What was the name of the chess player who defeated Garry Kasparov in a game played against IBM's Deep Blue in 1997?</t>
  </si>
  <si>
    <t>A) Vladimir Kramnik, B) Boris Spassky, C) Anatoly Karpov, D) Garry Kasparov</t>
  </si>
  <si>
    <t>Who was the World Chess Champion who held the title for over 20 years, from 1969 to 1985?</t>
  </si>
  <si>
    <t>A) Bobby Fischer, B) Garry Kasparov, C) Anatoly Karpov, D) Emanuel Lasker</t>
  </si>
  <si>
    <t>Which chess tournament is known for its high number of world-class participants and is held annually in Wijk aan Zee, Netherlands?</t>
  </si>
  <si>
    <t>A) Tata Steel Chess Tournament, B) Sinquefield Cup, C) London Chess Classic, D) Candidates Tournament</t>
  </si>
  <si>
    <t>A) Tata Steel Chess Tournament</t>
  </si>
  <si>
    <t>Which chess player was known as 'The Pride of Riga'?</t>
  </si>
  <si>
    <t>A) Paul Keres, B) Mikhail Tal, C) Viktor Korchnoi, D) Alexander Alekhine</t>
  </si>
  <si>
    <t>A) Paul Keres</t>
  </si>
  <si>
    <t>In what century did chess start to gain popularity in Europe?</t>
  </si>
  <si>
    <t>A) 12th century, B) 14th century, C) 16th century, D) 18th century</t>
  </si>
  <si>
    <t>C) 16th century</t>
  </si>
  <si>
    <t>Which famous chess player was known for his book 'My Great Predecessors' series?</t>
  </si>
  <si>
    <t>A) Garry Kasparov, B) Bobby Fischer, C) Emanuel Lasker, D) José Raúl Capablanca</t>
  </si>
  <si>
    <t>What was the name of the computer that famously defeated Garry Kasparov in a series of matches in 1996 and 1997?</t>
  </si>
  <si>
    <t>A) Deep Blue, B) Deep Mind, C) Watson, D) AlphaGo</t>
  </si>
  <si>
    <t>Which chess player was known for his contributions to chess theory and was a leading figure in the Soviet chess school?</t>
  </si>
  <si>
    <t>A) Mikhail Botvinnik, B) Alexander Alekhine, C) Paul Keres, D) Boris Spassky</t>
  </si>
  <si>
    <t>Which famous chess player was the subject of the 2020 Netflix series 'The Queen's Gambit'?</t>
  </si>
  <si>
    <t>A) Beth Harmon, B) Garry Kasparov, C) Bobby Fischer, D) Magnus Carlsen</t>
  </si>
  <si>
    <t>A) Beth Harmon</t>
  </si>
  <si>
    <t>Who is known for the creation of the opening known as the 'Sicilian Defense'?</t>
  </si>
  <si>
    <t>A) Garry Kasparov, B) Bobby Fischer, C) Paul Keres, D) Pietro Carrera</t>
  </si>
  <si>
    <t>D) Pietro Carrera</t>
  </si>
  <si>
    <t>What is the name of the chess piece that was known as 'the chariot' in earlier versions of the game?</t>
  </si>
  <si>
    <t>A) Knight, B) Rook, C) Bishop, D) Queen</t>
  </si>
  <si>
    <t>B) Rook</t>
  </si>
  <si>
    <t>Which World Chess Champion is known for his deep and complex endgame techniques and was also a prominent writer and teacher?</t>
  </si>
  <si>
    <t>What year did the first official FIDE World Chess Championship take place?</t>
  </si>
  <si>
    <t>A) 1927, B) 1948, C) 1955, D) 1969</t>
  </si>
  <si>
    <t>B) 1948</t>
  </si>
  <si>
    <t>Which chess player was known for his deep opening preparation and is often associated with the 'Kasparov School' of chess?</t>
  </si>
  <si>
    <t>A) Garry Kasparov, B) Anatoly Karpov, C) Vladimir Kramnik, D) Vishwanathan Anand</t>
  </si>
  <si>
    <t>Which famous chess player was nicknamed 'The Sphinx of Riga'?</t>
  </si>
  <si>
    <t>A) Paul Keres, B) Mikhail Tal, C) Viktor Korchnoi, D) Anatoly Karpov</t>
  </si>
  <si>
    <t>What was the name of the chess tournament held in 1953 that was one of the most prestigious events of its time?</t>
  </si>
  <si>
    <t>A) Zurich Tournament</t>
  </si>
  <si>
    <t>Which chess player famously defeated the computer Deep Blue in a match in 1996?</t>
  </si>
  <si>
    <t>A) Garry Kasparov, B) Vladimir Kramnik, C) Anatoly Karpov, D) Bobby Fischer</t>
  </si>
  <si>
    <t>Who was the World Chess Champion from 1907 to 1921?</t>
  </si>
  <si>
    <t>Which chess player was known as 'The Magician from Riga'?</t>
  </si>
  <si>
    <t>A) Mikhail Tal, B) Paul Keres, C) Viktor Korchnoi, D) Alexander Alekhine</t>
  </si>
  <si>
    <t>Who was the World Chess Champion immediately after Alexander Alekhine?</t>
  </si>
  <si>
    <t>A) Emanuel Lasker, B) José Raúl Capablanca, C) Anatoly Karpov, D) Mikhail Botvinnik</t>
  </si>
  <si>
    <t>Which famous chess player was known for his book 'The Art of Attack in Chess'?</t>
  </si>
  <si>
    <t>A) Garry Kasparov, B) Mikhail Tal, C) Paul Keres, D) Emanuel Lasker</t>
  </si>
  <si>
    <t>What was the name of the chess player who was the first to win the World Chess Championship by defeating a reigning champion in a title match?</t>
  </si>
  <si>
    <t>Which famous chess player is known for the quote 'Chess is the struggle against the error'?</t>
  </si>
  <si>
    <t>A) Garry Kasparov, B) Bobby Fischer, C) Emanuel Lasker, D) Mikhail Tal</t>
  </si>
  <si>
    <t>C) Emanuel Lasker</t>
  </si>
  <si>
    <t>Which chess player was known for his contributions to the development of the King's Indian Defense?</t>
  </si>
  <si>
    <t>A) Garry Kasparov, B) Bobby Fischer, C) Viktor Korchnoi, D) Mikhail Botvinnik</t>
  </si>
  <si>
    <t>Which chess player is known for the creation of the 'Sicilian Dragon' opening?</t>
  </si>
  <si>
    <t>A) Garry Kasparov, B) Bobby Fischer, C) Robert Fischer, D) Dragon Fischer</t>
  </si>
  <si>
    <t>C) Robert Fischer</t>
  </si>
  <si>
    <t>What was the name of the chess player known for his book 'My Great Predecessors'?</t>
  </si>
  <si>
    <t>Which chess player was known as 'The Beast from Baku'?</t>
  </si>
  <si>
    <t>A) Garry Kasparov, B) Vladimir Kramnik, C) Shakhriyar Mamedyarov, D) Sergey Karjakin</t>
  </si>
  <si>
    <t>C) Shakhriyar Mamedyarov</t>
  </si>
  <si>
    <t>Who was the World Chess Champion from 2013 to 2021?</t>
  </si>
  <si>
    <t>A) Garry Kasparov, B) Vladimir Kramnik, C) Magnus Carlsen, D) Anatoly Karpov</t>
  </si>
  <si>
    <t>What is the name of the chess opening that starts with 1.e4 e5 2.Nf3 d6?</t>
  </si>
  <si>
    <t>A) King's Gambit, B) French Defense, C) King's Indian Defense, D) Philidor Defense</t>
  </si>
  <si>
    <t>D) Philidor Defense</t>
  </si>
  <si>
    <t>Who was the World Chess Champion known for his work on the 'Art of the Endgame'?</t>
  </si>
  <si>
    <t>Which famous chess player is known for his series of books titled 'The Life and Games of Mikhail Tal'?</t>
  </si>
  <si>
    <t>What is the name of the chess opening that begins with 1.e4 e5 2.Nf3 Nc6 3.d4 exd4 4.Nxd4 Nf6?</t>
  </si>
  <si>
    <t>A) Italian Game, B) Scotch Game, C) Four Knights Game, D) Ruy López</t>
  </si>
  <si>
    <t>C) Four Knights Game</t>
  </si>
  <si>
    <t>Who was the first woman to earn the title of Grandmaster (GM) from FIDE?</t>
  </si>
  <si>
    <t>Which chess player was known for his contributions to the development of the Queen's Gambit?</t>
  </si>
  <si>
    <t>A) Garry Kasparov, B) Wilhelm Steinitz, C) Bobby Fischer, D) José Raúl Capablanca</t>
  </si>
  <si>
    <t>Which famous chess player is known for his book 'My Great Predecessors'?</t>
  </si>
  <si>
    <t>Who was the first chess player to win the title of World Chess Champion in a tournament format rather than a match?</t>
  </si>
  <si>
    <t>Which chess player is known for his contributions to the theory of the King's Indian Defense?</t>
  </si>
  <si>
    <t>A) Garry Kasparov, B) Viktor Korchnoi, C) Mikhail Tal, D) Bobby Fischer</t>
  </si>
  <si>
    <t>Who is the only player to have been World Chess Champion in both classical and rapid formats?</t>
  </si>
  <si>
    <t>Which famous chess player was known for his deep opening preparation and is often associated with the 'Kasparov School' of chess?</t>
  </si>
  <si>
    <t>Which chess player is known for his legendary battles against Garry Kasparov during the 1990s?</t>
  </si>
  <si>
    <t>A) Anatoly Karpov, B) Vladimir Kramnik, C) Magnus Carlsen, D) Bobby Fischer</t>
  </si>
  <si>
    <t>Who was the World Chess Champion before Emanuel Lasker?</t>
  </si>
  <si>
    <t>A) Wilhelm Steinitz, B) José Raúl Capablanca, C) Alexander Alekhine, D) Mikhail Botvinnik</t>
  </si>
  <si>
    <t>Which chess player is known for his book 'The Art of Attack in Chess'?</t>
  </si>
  <si>
    <t>A) Mikhail Tal, B) Garry Kasparov, C) Paul Keres, D) Emanuel Lasker</t>
  </si>
  <si>
    <t>Who was the World Chess Champion from 1985 to 2000?</t>
  </si>
  <si>
    <t>Which chess player is known for his innovations in the Sicilian Defense?</t>
  </si>
  <si>
    <t>A) Bobby Fischer, B) Garry Kasparov, C) Viktor Korchnoi, D) Paul Keres</t>
  </si>
  <si>
    <t>Who was the World Chess Champion before Anatoly Karpov?</t>
  </si>
  <si>
    <t>A) Bobby Fischer, B) Garry Kasparov, C) Vladimir Kramnik, D) Mikhail Botvinnik</t>
  </si>
  <si>
    <t>Which chess player is known for his development of the 'Nimzo-Indian Defense'?</t>
  </si>
  <si>
    <t>A) Aron Nimzowitsch, B) Garry Kasparov, C) Paul Keres, D) Viktor Korchnoi</t>
  </si>
  <si>
    <t>Which chess player was known for his contribution to the 'Philidor Defense'?</t>
  </si>
  <si>
    <t>A) François-André Danican Philidor, B) Garry Kasparov, C) Bobby Fischer, D) Paul Keres</t>
  </si>
  <si>
    <t>Who won the World Chess Championship in 1984?</t>
  </si>
  <si>
    <t>Which chess player is known for his 'Bogo-Indian Defense'?</t>
  </si>
  <si>
    <t>A) Efim Bogoljubov, B) Garry Kasparov, C) Viktor Korchnoi, D) Bobby Fischer</t>
  </si>
  <si>
    <t>A) Efim Bogoljubov</t>
  </si>
  <si>
    <t>Which chess player was known for his book 'My Great Predecessors'?</t>
  </si>
  <si>
    <t>Who was the World Chess Champion from 1995 to 2000?</t>
  </si>
  <si>
    <t>Which chess player is known for his contributions to the 'H4 Opening'?</t>
  </si>
  <si>
    <t>A) Harry Nelson Pillsbury, B) Garry Kasparov, C) Bobby Fischer, D) Paul Keres</t>
  </si>
  <si>
    <t>A) Harry Nelson Pillsbury</t>
  </si>
  <si>
    <t>Which chess player was known for his famous endgame study, 'The Golden Game'?</t>
  </si>
  <si>
    <t>A) Mikhail Botvinnik, B) Garry Kasparov, C) Bobby Fischer, D) Emanuel Lasker</t>
  </si>
  <si>
    <t>Which chess player won the World Chess Championship in 2006?</t>
  </si>
  <si>
    <t>A) Vladimir Kramnik, B) Garry Kasparov, C) Magnus Carlsen, D) Anatoly Karpov</t>
  </si>
  <si>
    <t>A) Alexander Alekhine, B) Mikhail Botvinnik, C) Anatoly Karpov, D) Garry Kasparov</t>
  </si>
  <si>
    <t>Which chess player is known for the 'Schliemann Defense'?</t>
  </si>
  <si>
    <t>A) Ernst Schliemann, B) Garry Kasparov, C) Viktor Korchnoi, D) Bobby Fischer</t>
  </si>
  <si>
    <t>A) Ernst Schliemann</t>
  </si>
  <si>
    <t>Which chess player was known for his 'Venetian Game'?</t>
  </si>
  <si>
    <t>A) Domenico Ponziani, B) Garry Kasparov, C) Viktor Korchnoi, D) Paul Keres</t>
  </si>
  <si>
    <t>A) Domenico Ponziani</t>
  </si>
  <si>
    <t>Who was the World Chess Champion in 1986?</t>
  </si>
  <si>
    <t>A) Garry Kasparov, B) Anatoly Karpov, C) Vladimir Kramnik, D) Magnus Carlsen</t>
  </si>
  <si>
    <t>Which chess player was known for the 'Marshall Attack'?</t>
  </si>
  <si>
    <t>Which chess player is known for the 'Sicilian Dragon' variation?</t>
  </si>
  <si>
    <t>A) Viktor Korchnoi, B) Garry Kasparov, C) Bobby Fischer, D) Dragon Sicilian</t>
  </si>
  <si>
    <t>D) Dragon Sicilian</t>
  </si>
  <si>
    <t>Which chess player was famous for his book 'My Best Games of Chess'?</t>
  </si>
  <si>
    <t>A) Alexander Alekhine, B) Garry Kasparov, C) Bobby Fischer, D) Paul Keres</t>
  </si>
  <si>
    <t>Which chess player won the World Chess Championship in 1993?</t>
  </si>
  <si>
    <t>Who was the World Chess Champion in 2018?</t>
  </si>
  <si>
    <t>Which chess player is known for the 'Caro-Kann Defense'?</t>
  </si>
  <si>
    <t>Which chess player was known for his development of the 'Daring Knight' opening?</t>
  </si>
  <si>
    <t>Which chess player was the first to achieve a 2700 rating?</t>
  </si>
  <si>
    <t>Who was the World Chess Champion in 1910?</t>
  </si>
  <si>
    <t>Which chess player was known for his contributions to the 'King's Indian Attack'?</t>
  </si>
  <si>
    <t>A) Garry Kasparov, B) Viktor Korchnoi, C) Paul Keres, D) Bobby Fischer</t>
  </si>
  <si>
    <t>Which chess player was known for his famous book 'The Art of Sacrifice'?</t>
  </si>
  <si>
    <t>A) Rudolf Spielmann, B) Garry Kasparov, C) Bobby Fischer, D) Viktor Korchnoi</t>
  </si>
  <si>
    <t>A) Rudolf Spielmann</t>
  </si>
  <si>
    <t>Which chess player is known for his 'Polish Opening'?</t>
  </si>
  <si>
    <t>A) George Koltanowski, B) Garry Kasparov, C) Viktor Korchnoi, D) Paul Keres</t>
  </si>
  <si>
    <t>A) George Koltanowski</t>
  </si>
  <si>
    <t>Who was the World Chess Champion in 2012?</t>
  </si>
  <si>
    <t>Which chess player is known for his famous game against Viktor Korchnoi in 1978?</t>
  </si>
  <si>
    <t>A) Anatoly Karpov, B) Garry Kasparov, C) Bobby Fischer, D) Paul Keres</t>
  </si>
  <si>
    <t>Which chess player is known for the 'Sveshnikov Variation' in the Sicilian Defense?</t>
  </si>
  <si>
    <t>Which chess player was known for his famous 1957 game against Mikhail Tal?</t>
  </si>
  <si>
    <t>A) Paul Keres, B) Garry Kasparov, C) Bobby Fischer, D) Viktor Korchnoi</t>
  </si>
  <si>
    <t>Which chess player was famous for his 'Torre Attack'?</t>
  </si>
  <si>
    <t>A) Francisco Torre, B) Garry Kasparov, C) Viktor Korchnoi, D) Bobby Fischer</t>
  </si>
  <si>
    <t>A) Francisco Torre</t>
  </si>
  <si>
    <t>Which chess player is known for his development of the 'Two Knights Defense'?</t>
  </si>
  <si>
    <t>A) Howard Staunton, B) Garry Kasparov, C) Viktor Korchnoi, D) Paul Keres</t>
  </si>
  <si>
    <t>Which chess player was known for his famous game against Garry Kasparov in the 1995 PCA World Chess Championship?</t>
  </si>
  <si>
    <t>A) Viswanathan Anand, B) Garry Kasparov, C) Vladimir Kramnik, D) Anatoly Karpov</t>
  </si>
  <si>
    <t>Which chess player is known for the 'Berlin Defense'?</t>
  </si>
  <si>
    <t>A) Horatio Caro and Marcus Kann, B) Garry Kasparov, C) Viktor Korchnoi, D) Paul Keres</t>
  </si>
  <si>
    <t>Who was the World Chess Champion in 2004?</t>
  </si>
  <si>
    <t>Which chess player is known for his work on the 'Modern Benoni Defense'?</t>
  </si>
  <si>
    <t>A) Benoni, B) Garry Kasparov, C) Viktor Korchnoi, D) Bobby Fischer</t>
  </si>
  <si>
    <t>A) Benoni</t>
  </si>
  <si>
    <t>Which chess player was known for his famous 1950 game against José Raúl Capablanca?</t>
  </si>
  <si>
    <t>A) Mikhail Botvinnik, B) Garry Kasparov, C) Bobby Fischer, D) Viktor Korchnoi</t>
  </si>
  <si>
    <t>Which chess player was the first to win the World Chess Championship twice?</t>
  </si>
  <si>
    <t>A) Emanuel Lasker, B) Garry Kasparov, C) Vladimir Kramnik, D) Anatoly Karpov</t>
  </si>
  <si>
    <t>Which chess player was known for his 'King's Indian Defense'?</t>
  </si>
  <si>
    <t>A) Aron Nimzowitsch, B) Garry Kasparov, C) Viktor Korchnoi, D) Bobby Fischer</t>
  </si>
  <si>
    <t>Who was the World Chess Champion in 1980?</t>
  </si>
  <si>
    <t>A) Anatoly Karpov, B) Garry Kasparov, C) Vladimir Kramnik, D) Magnus Carlsen</t>
  </si>
  <si>
    <t>Which chess player was known for his development of the 'Pirc Defense'?</t>
  </si>
  <si>
    <t>A) Vasja Pirc, B) Garry Kasparov, C) Viktor Korchnoi, D) Paul Keres</t>
  </si>
  <si>
    <t>A) Vasja Pirc</t>
  </si>
  <si>
    <t>Which chess player was known for his famous 1999 game against Veselin Topalov?</t>
  </si>
  <si>
    <t>Which chess player was known for his contributions to the 'Queen's Gambit Declined'?</t>
  </si>
  <si>
    <t>A) Wilhelm Steinitz, B) Garry Kasparov, C) Viktor Korchnoi, D) Bobby Fischer</t>
  </si>
  <si>
    <t>Who was the World Chess Champion in 1999?</t>
  </si>
  <si>
    <t>Which chess player is known for his work on the 'Accelerated Dragon'?</t>
  </si>
  <si>
    <t>Which chess player was known for his famous 1956 game against Mikhail Tal?</t>
  </si>
  <si>
    <t>Which chess player was known for his famous 'Dutch Defense'?</t>
  </si>
  <si>
    <t>A) Elias Stein, B) Garry Kasparov, C) Viktor Korchnoi, D) Paul Keres</t>
  </si>
  <si>
    <t>A) Elias Stein</t>
  </si>
  <si>
    <t>Which chess player won the World Chess Championship in 1998?</t>
  </si>
  <si>
    <t>Which chess player was known for his famous game against Viktor Korchnoi in 1978?</t>
  </si>
  <si>
    <t>Which chess player is known for his contributions to the 'Benoni Defense'?</t>
  </si>
  <si>
    <t>In which ancient Indian text is a form of Kho-Kho mentioned as part of physical education?</t>
  </si>
  <si>
    <t>A) Mahabharata, B) Ramayana, C) Manusmriti, D) Arthashastra</t>
  </si>
  <si>
    <t>Who was the first president of the Kho-Kho Federation of India?</t>
  </si>
  <si>
    <t>A) V.G. Kher, B) B. S. Babu, C) P. K. Sharma, D) M. R. Singh</t>
  </si>
  <si>
    <t>A) V.G. Kher</t>
  </si>
  <si>
    <t>In which year did Kho-Kho gain official recognition from the Indian Olympic Association?</t>
  </si>
  <si>
    <t>A) 1962, B) 1965, C) 1970, D) 1975</t>
  </si>
  <si>
    <t>B) 1965</t>
  </si>
  <si>
    <t>What significant change in Kho-Kho rules was introduced in 1982?</t>
  </si>
  <si>
    <t>A) Introduction of new scoring system, B) Change in field dimensions, C) Standardization of game duration, D) Addition of new positions</t>
  </si>
  <si>
    <t>C) Standardization of game duration</t>
  </si>
  <si>
    <t>Which Indian state hosted the first international Kho-Kho tournament in 1980?</t>
  </si>
  <si>
    <t>A) Maharashtra, B) Delhi, C) Punjab, D) Karnataka</t>
  </si>
  <si>
    <t>Who is credited with the introduction of modern Kho-Kho coaching methods?</t>
  </si>
  <si>
    <t>A) A.R. Sunder, B) V.K. Joshi, C) M.K. Rao, D) H.P. Singh</t>
  </si>
  <si>
    <t>B) V.K. Joshi</t>
  </si>
  <si>
    <t>Which year did the Kho-Kho Federation of India become a full member of the International Kho-Kho Federation?</t>
  </si>
  <si>
    <t>A) 1978, B) 1982, C) 1986, D) 1990</t>
  </si>
  <si>
    <t>B) 1982</t>
  </si>
  <si>
    <t>What historical event in 1991 significantly impacted the popularity of Kho-Kho?</t>
  </si>
  <si>
    <t>A) First Kho-Kho World Cup, B) Kho-Kho introduced in Asian Games, C) Establishment of Kho-Kho Development Fund, D) Introduction of Women's Kho-Kho</t>
  </si>
  <si>
    <t>A) First Kho-Kho World Cup</t>
  </si>
  <si>
    <t>Which country has won the most number of Kho-Kho World Cups as of 2023?</t>
  </si>
  <si>
    <t>A) India, B) Pakistan, C) Sri Lanka, D) Nepal</t>
  </si>
  <si>
    <t>What was the primary reason for the formation of the All India Kho-Kho Federation in 1955?</t>
  </si>
  <si>
    <t>A) To standardize rules, B) To organize national tournaments, C) To promote Kho-Kho in schools, D) To establish an international presence</t>
  </si>
  <si>
    <t>B) To organize national tournaments</t>
  </si>
  <si>
    <t>Which Indian player was the first to receive the Padma Bhushan award for contributions to Kho-Kho?</t>
  </si>
  <si>
    <t>A) P.K. Sharma, B) S. Kumar, C) R. N. Rao, D) H. P. Singh</t>
  </si>
  <si>
    <t>D) H. P. Singh</t>
  </si>
  <si>
    <t>In which year was the first Kho-Kho National Championship held?</t>
  </si>
  <si>
    <t>A) 1950, B) 1955, C) 1960, D) 1965</t>
  </si>
  <si>
    <t>B) 1955</t>
  </si>
  <si>
    <t>Which notable event in 1987 marked a turning point for Kho-Kho's international presence?</t>
  </si>
  <si>
    <t>A) First Kho-Kho World Cup, B) Introduction of Kho-Kho in the Commonwealth Games, C) Formation of the Asian Kho-Kho Federation, D) Establishment of Kho-Kho in Olympic Games</t>
  </si>
  <si>
    <t>What is the historical significance of the year 2000 for Kho-Kho?</t>
  </si>
  <si>
    <t>A) Introduction of new playing rules, B) Hosting of the first Kho-Kho International Tournament, C) Establishment of Kho-Kho as a recognized sport in the South Asian Games, D) Implementation of video review system</t>
  </si>
  <si>
    <t>C) Establishment of Kho-Kho as a recognized sport in the South Asian Games</t>
  </si>
  <si>
    <t>Which Indian state is known for producing the highest number of national Kho-Kho players?</t>
  </si>
  <si>
    <t>A) Uttar Pradesh, B) Haryana, C) Gujarat, D) West Bengal</t>
  </si>
  <si>
    <t>What is the historical origin of the Kho-Kho field dimensions?</t>
  </si>
  <si>
    <t>A) Based on ancient Indian military training grounds, B) Adapted from traditional village games, C) Standardized by British colonial administrators, D) Derived from early 20th-century sports fields</t>
  </si>
  <si>
    <t>A) Based on ancient Indian military training grounds</t>
  </si>
  <si>
    <t>Who was the primary organizer of the first Kho-Kho World Cup held in Mumbai?</t>
  </si>
  <si>
    <t>A) N.K. Rao, B) V.K. Joshi, C) M.K. Sharma, D) H.P. Singh</t>
  </si>
  <si>
    <t>A) N.K. Rao</t>
  </si>
  <si>
    <t>What major rule change in Kho-Kho occurred in 1975?</t>
  </si>
  <si>
    <t>A) Introduction of electronic scoring, B) Change in the number of players, C) Modification of field dimensions, D) Standardization of game duration</t>
  </si>
  <si>
    <t>D) Standardization of game duration</t>
  </si>
  <si>
    <t>Which year marked the introduction of Kho-Kho for women at the national level?</t>
  </si>
  <si>
    <t>A) 1970, B) 1980, C) 1990, D) 2000</t>
  </si>
  <si>
    <t>C) 1990</t>
  </si>
  <si>
    <t>Which city hosted the first Asian Kho-Kho Championship in 1988?</t>
  </si>
  <si>
    <t>A) Delhi, B) Mumbai, C) Kolkata, D) Bangalore</t>
  </si>
  <si>
    <t>In which year did Kho-Kho officially become a part of the Indian School Games Federation curriculum?</t>
  </si>
  <si>
    <t>A) 1965, B) 1975, C) 1985, D) 1995</t>
  </si>
  <si>
    <t>B) 1975</t>
  </si>
  <si>
    <t>Which prominent Kho-Kho player was awarded the Rajiv Gandhi Khel Ratna award in 2004?</t>
  </si>
  <si>
    <t>A) R.S. Kumar, B) M.K. Rao, C) S.P. Singh, D) H.P. Singh</t>
  </si>
  <si>
    <t>D) H.P. Singh</t>
  </si>
  <si>
    <t>What historical event led to the formation of the International Kho-Kho Federation in 1982?</t>
  </si>
  <si>
    <t>A) Establishment of the Kho-Kho World Cup, B) Formation of Asian Kho-Kho Federation, C) First Kho-Kho international tournament, D) Standardization of rules</t>
  </si>
  <si>
    <t>C) First Kho-Kho international tournament</t>
  </si>
  <si>
    <t>Which historical figure is credited with popularizing Kho-Kho in the early 20th century?</t>
  </si>
  <si>
    <t>A) V.G. Kher, B) A.R. Sunder, C) M.K. Sharma, D) H.P. Singh</t>
  </si>
  <si>
    <t>What is the length of the Kho-Kho field as standardized in 1965?</t>
  </si>
  <si>
    <t>A) 40 meters, B) 50 meters, C) 60 meters, D) 70 meters</t>
  </si>
  <si>
    <t>C) 60 meters</t>
  </si>
  <si>
    <t>Which year marked the introduction of Kho-Kho in the Indian College Games?</t>
  </si>
  <si>
    <t>A) 1960, B) 1965, C) 1970, D) 1975</t>
  </si>
  <si>
    <t>D) 1975</t>
  </si>
  <si>
    <t>Which Indian state was the first to establish a Kho-Kho academy in the early 1980s?</t>
  </si>
  <si>
    <t>A) Maharashtra, B) Punjab, C) Haryana, D) Uttar Pradesh</t>
  </si>
  <si>
    <t>C) Haryana</t>
  </si>
  <si>
    <t>In which year did Kho-Kho make its debut in the South Asian Games?</t>
  </si>
  <si>
    <t>Which country introduced the Kho-Kho game to the international arena in the 1970s?</t>
  </si>
  <si>
    <t>A) India, B) Pakistan, C) Sri Lanka, D) Bangladesh</t>
  </si>
  <si>
    <t>What is the historical significance of the year 2010 for Kho-Kho?</t>
  </si>
  <si>
    <t>A) Introduction of new coaching methods, B) Hosting of the Asian Kho-Kho Championship, C) Establishment of Kho-Kho as a recognized sport in the Commonwealth Games, D) Launch of the Kho-Kho Development Program</t>
  </si>
  <si>
    <t>D) Launch of the Kho-Kho Development Program</t>
  </si>
  <si>
    <t>Who was the first female Kho-Kho player to receive the Arjuna Award?</t>
  </si>
  <si>
    <t>A) P.K. Sharma, B) A.R. Sunder, C) R. N. Rao, D) S. Singh</t>
  </si>
  <si>
    <t>D) S. Singh</t>
  </si>
  <si>
    <t>Which city is known for hosting the annual National Kho-Kho Championship since 2000?</t>
  </si>
  <si>
    <t>A) Mumbai, B) Delhi, C) Pune, D) Bangalore</t>
  </si>
  <si>
    <t>C) Pune</t>
  </si>
  <si>
    <t>What was the primary reason for the creation of the Kho-Kho Development Fund in 1995?</t>
  </si>
  <si>
    <t>A) To promote international tournaments, B) To support grassroots development, C) To establish new field dimensions, D) To introduce technology in the game</t>
  </si>
  <si>
    <t>B) To support grassroots development</t>
  </si>
  <si>
    <t>Which Indian state hosted the first Kho-Kho School Games in 1980?</t>
  </si>
  <si>
    <t>A) Punjab, B) Haryana, C) Uttar Pradesh, D) Maharashtra</t>
  </si>
  <si>
    <t>In which year was the Kho-Kho World Cup held for the first time?</t>
  </si>
  <si>
    <t>A) 1980, B) 1982, C) 1984, D) 1986</t>
  </si>
  <si>
    <t>Who was the leading scorer in the 2002 Kho-Kho World Cup?</t>
  </si>
  <si>
    <t>A) R. Kumar, B) S. Verma, C) A. Patel, D) H. Singh</t>
  </si>
  <si>
    <t>B) S. Verma</t>
  </si>
  <si>
    <t>Which year saw the introduction of the Kho-Kho National League?</t>
  </si>
  <si>
    <t>A) 1985, B) 1990, C) 1995, D) 2000</t>
  </si>
  <si>
    <t>C) 1995</t>
  </si>
  <si>
    <t>What was the significant change in Kho-Kho rules introduced in 1998?</t>
  </si>
  <si>
    <t>A) Addition of new scoring methods, B) Introduction of time limits for tagging, C) Modification of field boundaries, D) Standardization of player uniforms</t>
  </si>
  <si>
    <t>B) Introduction of time limits for tagging</t>
  </si>
  <si>
    <t>Who was the first president of the International Kho-Kho Federation?</t>
  </si>
  <si>
    <t>A) B.K. Sharma, B) V. K. Joshi, C) M.R. Rao, D) P.K. Patel</t>
  </si>
  <si>
    <t>B) V. K. Joshi</t>
  </si>
  <si>
    <t>Which city was the venue for the first Kho-Kho Asian Championship in 1988?</t>
  </si>
  <si>
    <t>What is the significance of the year 1978 for the sport of Kho-Kho?</t>
  </si>
  <si>
    <t>A) Formation of the Asian Kho-Kho Federation, B) Establishment of the Kho-Kho World Cup, C) Introduction of the Kho-Kho Development Fund, D) Hosting of the South Asian Games</t>
  </si>
  <si>
    <t>A) Formation of the Asian Kho-Kho Federation</t>
  </si>
  <si>
    <t>Who was the first Kho-Kho player to be inducted into the Indian Sports Hall of Fame?</t>
  </si>
  <si>
    <t>A) H.P. Singh, B) R. Kumar, C) S. Singh, D) M.K. Sharma</t>
  </si>
  <si>
    <t>A) H.P. Singh</t>
  </si>
  <si>
    <t>Which year marked the introduction of Kho-Kho in the Indian College Games Federation?</t>
  </si>
  <si>
    <t>What is the historical significance of the Kho-Kho National Championship held in 1995?</t>
  </si>
  <si>
    <t>A) Introduction of new field dimensions, B) First time national teams competed, C) Establishment of the Kho-Kho League, D) Addition of women's teams</t>
  </si>
  <si>
    <t>D) Addition of women's teams</t>
  </si>
  <si>
    <t>Who was the first international coach for Kho-Kho appointed in 2000?</t>
  </si>
  <si>
    <t>A) A.R. Sunder</t>
  </si>
  <si>
    <t>Which Indian state was the first to host an international Kho-Kho tournament in the 1980s?</t>
  </si>
  <si>
    <t>A) Maharashtra, B) Haryana, C) Punjab, D) Uttar Pradesh</t>
  </si>
  <si>
    <t>C) Punjab</t>
  </si>
  <si>
    <t>What was the key rule change in Kho-Kho implemented in 2005?</t>
  </si>
  <si>
    <t>A) Introduction of electronic scoring systems, B) Standardization of game duration, C) Modification of tagging rules, D) Change in field size</t>
  </si>
  <si>
    <t>C) Modification of tagging rules</t>
  </si>
  <si>
    <t>Which player holds the record for the highest number of successful tags in a single Kho-Kho match as of 2023?</t>
  </si>
  <si>
    <t>A) M.K. Sharma, B) R.S. Kumar, C) S.P. Singh, D) H.P. Singh</t>
  </si>
  <si>
    <t>Which Kho-Kho player was the first to receive the Padma Shri award?</t>
  </si>
  <si>
    <t>A) R.S. Kumar, B) M.K. Sharma, C) S.P. Singh, D) H.P. Singh</t>
  </si>
  <si>
    <t>In which year did Kho-Kho first appear in the Asian Games?</t>
  </si>
  <si>
    <t>D) 1990</t>
  </si>
  <si>
    <t>Which city hosted the first Kho-Kho World Cup in 1982?</t>
  </si>
  <si>
    <t>A) Mumbai, B) Delhi, C) Bangalore, D) Kolkata</t>
  </si>
  <si>
    <t>What was the key focus of the Kho-Kho Development Program launched in 2010?</t>
  </si>
  <si>
    <t>A) To enhance international competition, B) To improve grassroots training, C) To standardize field dimensions, D) To introduce new technology</t>
  </si>
  <si>
    <t>B) To improve grassroots training</t>
  </si>
  <si>
    <t>Who was the chief organizer of the 2002 Kho-Kho World Cup?</t>
  </si>
  <si>
    <t>A) R. Kumar, B) V.K. Joshi, C) M.K. Sharma, D) H.P. Singh</t>
  </si>
  <si>
    <t>What is the historical significance of the year 2015 for Kho-Kho?</t>
  </si>
  <si>
    <t>A) Introduction of the Kho-Kho League, B) Hosting of the first Kho-Kho Asian Championship, C) Establishment of Kho-Kho as a school sport in all Indian states, D) Launch of the Kho-Kho Excellence Program</t>
  </si>
  <si>
    <t>A) Introduction of the Kho-Kho League</t>
  </si>
  <si>
    <t>Which Indian state has the oldest Kho-Kho club?</t>
  </si>
  <si>
    <t>What is the length of each side of the Kho-Kho field as per historical standards?</t>
  </si>
  <si>
    <t>A) 30 meters, B) 40 meters, C) 50 meters, D) 60 meters</t>
  </si>
  <si>
    <t>D) 60 meters</t>
  </si>
  <si>
    <t>Which year did Kho-Kho first become part of the National School Games Federation curriculum?</t>
  </si>
  <si>
    <t>A) 1965, B) 1970, C) 1975, D) 1980</t>
  </si>
  <si>
    <t>C) 1975</t>
  </si>
  <si>
    <t>Who was the leading scorer in the Kho-Kho World Cup held in 2010?</t>
  </si>
  <si>
    <t>A) M.K. Sharma, B) H.P. Singh, C) S.P. Singh, D) R.S. Kumar</t>
  </si>
  <si>
    <t>B) H.P. Singh</t>
  </si>
  <si>
    <t>Which year marked the introduction of Kho-Kho in the South Asian Games?</t>
  </si>
  <si>
    <t>A) 1986, B) 1990, C) 1994, D) 1998</t>
  </si>
  <si>
    <t>What major development in Kho-Kho occurred in 1995?</t>
  </si>
  <si>
    <t>A) Establishment of the Kho-Kho Development Fund, B) Introduction of electronic scoring, C) Formation of the Asian Kho-Kho Federation, D) Hosting of the first Kho-Kho World Cup</t>
  </si>
  <si>
    <t>A) Establishment of the Kho-Kho Development Fund</t>
  </si>
  <si>
    <t>Which city was known for hosting the annual National Kho-Kho Championship in the late 1990s?</t>
  </si>
  <si>
    <t>A) Delhi, B) Mumbai, C) Pune, D) Bangalore</t>
  </si>
  <si>
    <t>Which Indian player set a record for the highest number of tags in a single Kho-Kho match in 2015?</t>
  </si>
  <si>
    <t>A) R. Kumar, B) H.P. Singh, C) S.P. Singh, D) M.K. Sharma</t>
  </si>
  <si>
    <t>What was the major rule change introduced in Kho-Kho in 2005?</t>
  </si>
  <si>
    <t>A) Addition of new positions, B) Standardization of game duration, C) Modification of tagging rules, D) Introduction of video review</t>
  </si>
  <si>
    <t>Which prominent Kho-Kho player was awarded the Padma Bhushan in 2000?</t>
  </si>
  <si>
    <t>A) H.P. Singh, B) R.S. Kumar, C) M.K. Sharma, D) S.P. Singh</t>
  </si>
  <si>
    <t>Which state was the first to host an international Kho-Kho tournament?</t>
  </si>
  <si>
    <t>B) Punjab</t>
  </si>
  <si>
    <t>What was the primary objective of the Kho-Kho World Cup introduced in 1982?</t>
  </si>
  <si>
    <t>A) To promote international competition, B) To standardize rules, C) To enhance grassroots training, D) To establish new playing fields</t>
  </si>
  <si>
    <t>A) To promote international competition</t>
  </si>
  <si>
    <t>Who was the chief organizer of the Kho-Kho World Cup held in 2002?</t>
  </si>
  <si>
    <t>A) V.K. Joshi, B) H.P. Singh, C) M.K. Sharma, D) R. Kumar</t>
  </si>
  <si>
    <t>A) V.K. Joshi</t>
  </si>
  <si>
    <t>Which Indian state was the first to establish a Kho-Kho academy in the early 1990s?</t>
  </si>
  <si>
    <t>What was the major rule change introduced in Kho-Kho in 1990?</t>
  </si>
  <si>
    <t>A) Addition of electronic scoring, B) Standardization of game duration, C) Modification of field dimensions, D) Introduction of new tagging rules</t>
  </si>
  <si>
    <t>D) Introduction of new tagging rules</t>
  </si>
  <si>
    <t>Who was the leading scorer in the Kho-Kho World Cup held in 1998?</t>
  </si>
  <si>
    <t>B) R.S. Kumar</t>
  </si>
  <si>
    <t>What was the significant rule change in Kho-Kho introduced in 2000?</t>
  </si>
  <si>
    <t>A) Standardization of field dimensions, B) Introduction of time limits for tagging, C) Establishment of new scoring systems, D) Addition of new player positions</t>
  </si>
  <si>
    <t>Who was the first Kho-Kho player to receive the Rajiv Gandhi Khel Ratna award?</t>
  </si>
  <si>
    <t>A) H.P. Singh, B) M.K. Sharma, C) R.S. Kumar, D) S.P. Singh</t>
  </si>
  <si>
    <t>What was the historical significance of the Kho-Kho Development Fund established in 1995?</t>
  </si>
  <si>
    <t>A) To promote international tournaments, B) To support grassroots development, C) To standardize field dimensions, D) To introduce new technology</t>
  </si>
  <si>
    <t>Who was the chief organizer of the Kho-Kho World Cup held in 2010?</t>
  </si>
  <si>
    <t>A) V.K. Joshi, B) H.P. Singh, C) M.K. Sharma, D) R.S. Kumar</t>
  </si>
  <si>
    <t>What was the major change in Kho-Kho rules introduced in 1987?</t>
  </si>
  <si>
    <t>A) Introduction of electronic scoring, B) Establishment of the Kho-Kho World Cup, C) Formation of the Asian Kho-Kho Federation, D) Modification of field boundaries</t>
  </si>
  <si>
    <t>B) Establishment of the Kho-Kho World Cup</t>
  </si>
  <si>
    <t>A) 1990, B) 1994, C) 1998, D) 2002</t>
  </si>
  <si>
    <t>A) 1990</t>
  </si>
  <si>
    <t>What was the primary objective of the Kho-Kho World Cup held in 1982?</t>
  </si>
  <si>
    <t>A) To enhance international competition, B) To standardize rules, C) To promote grassroots training, D) To establish new playing fields</t>
  </si>
  <si>
    <t>A) To enhance international competition</t>
  </si>
  <si>
    <t>Which city hosted the Kho-Kho World Cup in 2010?</t>
  </si>
  <si>
    <t>A) Delhi, B) Mumbai, C) Bangalore, D) Kolkata</t>
  </si>
  <si>
    <t>A) To enhance international competition, B) To support grassroots development, C) To standardize field dimensions, D) To introduce new technology</t>
  </si>
  <si>
    <t>Which year marked the introduction of the Kho-Kho League?</t>
  </si>
  <si>
    <t>A) 2000, B) 2005, C) 2010, D) 2015</t>
  </si>
  <si>
    <t>C) 2010</t>
  </si>
  <si>
    <t>Which city is known for hosting the National Kho-Kho Championship since the early 2000s?</t>
  </si>
  <si>
    <t>What was the key rule change in Kho-Kho introduced in 1998?</t>
  </si>
  <si>
    <t>A) Addition of new positions, B) Introduction of electronic scoring systems, C) Modification of tagging rules, D) Standardization of field dimensions</t>
  </si>
  <si>
    <t>Which Indian state was the first to host a Kho-Kho academy in the early 1990s?</t>
  </si>
  <si>
    <t>What was the significant rule change in Kho-Kho introduced in 2005?</t>
  </si>
  <si>
    <t>Which year did Kho-Kho first appear in the South Asian Games?</t>
  </si>
  <si>
    <t>What was the primary focus of the Kho-Kho Development Fund established in 1995?</t>
  </si>
  <si>
    <t>Who was the founder of the Kho-Kho Federation of India?</t>
  </si>
  <si>
    <t>A) R. Kumar, B) H.P. Singh, C) V.K. Joshi, D) M.K. Sharma</t>
  </si>
  <si>
    <t>C) V.K. Joshi</t>
  </si>
  <si>
    <t>In which year did Kho-Kho make its debut in the South Asian Federation Games?</t>
  </si>
  <si>
    <t>Which Indian state is known for pioneering Kho-Kho training programs since the 1980s?</t>
  </si>
  <si>
    <t>Which year marked the introduction of the Kho-Kho National League?</t>
  </si>
  <si>
    <t>A) 1995</t>
  </si>
  <si>
    <t>What was the primary focus of the Kho-Kho Development Program launched in 2010?</t>
  </si>
  <si>
    <t>Which city hosted the Kho-Kho World Cup in 1986?</t>
  </si>
  <si>
    <t>In which year was the first Kho-Kho World Cup held?</t>
  </si>
  <si>
    <t>A) 1982, B) 1984, C) 1986, D) 1988</t>
  </si>
  <si>
    <t>Who was the first Kho-Kho player to receive the Padma Bhushan award?</t>
  </si>
  <si>
    <t>Which Indian state was the first to establish a Kho-Kho academy in the 1980s?</t>
  </si>
  <si>
    <t>A) Punjab, B) Maharashtra, C) Haryana, D) Uttar Pradesh</t>
  </si>
  <si>
    <t>What significant change in Kho-Kho rules occurred in 1998?</t>
  </si>
  <si>
    <t>A) Introduction of electronic scoring, B) Standardization of game duration, C) Modification of tagging rules, D) Establishment of new field dimensions</t>
  </si>
  <si>
    <t>Who was the chief organizer of the Kho-Kho World Cup in 1998?</t>
  </si>
  <si>
    <t>Which year saw the introduction of Kho-Kho as an official sport in the Indian School Games Federation?</t>
  </si>
  <si>
    <t>A) 1975, B) 1980, C) 1985, D) 1990</t>
  </si>
  <si>
    <t>A) 1975</t>
  </si>
  <si>
    <t>Which city hosted the first Kho-Kho National Championship in 1990?</t>
  </si>
  <si>
    <t>A) Delhi, B) Mumbai, C) Bangalore, D) Pune</t>
  </si>
  <si>
    <t>What was the key focus of the Kho-Kho Development Fund established in 1995?</t>
  </si>
  <si>
    <t>A) To promote international tournaments, B) To support grassroots development, C) To establish new field dimensions, D) To introduce new technology</t>
  </si>
  <si>
    <t>Who was the leading scorer in the Kho-Kho World Cup held in 2002?</t>
  </si>
  <si>
    <t>A) 1982, B) 1986, C) 1990, D) 1994</t>
  </si>
  <si>
    <t>Which Indian state was the first to host an international Kho-Kho tournament?</t>
  </si>
  <si>
    <t>Who was the chief organizer of the Kho-Kho Asian Championship held in 1990?</t>
  </si>
  <si>
    <t>What was the key rule change in Kho-Kho introduced in 2005?</t>
  </si>
  <si>
    <t>A) Addition of new player positions, B) Introduction of video review, C) Modification of tagging rules, D) Standardization of game duration</t>
  </si>
  <si>
    <t>Which state is known for its pioneering efforts in Kho-Kho training since the 1970s?</t>
  </si>
  <si>
    <t>A) Introduction of time limits for tagging, B) Standardization of field dimensions, C) Establishment of new scoring systems, D) Addition of new player positions</t>
  </si>
  <si>
    <t>A) Introduction of time limits for tagging</t>
  </si>
  <si>
    <t>Which Indian player set the record for the most successful tags in a single Kho-Kho match in 2015?</t>
  </si>
  <si>
    <t>Which city hosted the Kho-Kho World Cup in 1982?</t>
  </si>
  <si>
    <t>Who was the first female Kho-Kho player to receive the Rajiv Gandhi Khel Ratna award?</t>
  </si>
  <si>
    <t>A) S.P. Singh, B) A.R. Sunder, C) P.K. Sharma, D) R.N. Rao</t>
  </si>
  <si>
    <t>A) S.P. Singh</t>
  </si>
  <si>
    <t>What was the significant change in Kho-Kho rules introduced in 1990?</t>
  </si>
  <si>
    <t>A) Introduction of new player positions, B) Standardization of game duration, C) Modification of tagging rules, D) Establishment of electronic scoring</t>
  </si>
  <si>
    <t>Which year marked the introduction of Kho-Kho in the Indian College Games Federation curriculum?</t>
  </si>
  <si>
    <t>What was the major development in Kho-Kho that occurred in 2015?</t>
  </si>
  <si>
    <t>A) Introduction of the Kho-Kho League, B) Establishment of the Kho-Kho Development Fund, C) Hosting of the first Kho-Kho World Cup, D) Introduction of new game technology</t>
  </si>
  <si>
    <t>Which city was known for hosting the National Kho-Kho Championship in the late 1990s?</t>
  </si>
  <si>
    <t>What was the significant rule change in Kho-Kho introduced in 1987?</t>
  </si>
  <si>
    <t>A) Formation of the Asian Kho-Kho Federation, B) Introduction of electronic scoring, C) Establishment of the Kho-Kho World Cup, D) Modification of field dimensions</t>
  </si>
  <si>
    <t>C) Establishment of the Kho-Kho World Cup</t>
  </si>
  <si>
    <t>Which Indian player was awarded the Padma Shri in 2005 for their contribution to Kho-Kho?</t>
  </si>
  <si>
    <t>A) M.K. Sharma, B) H.P. Singh, C) R.S. Kumar, D) S.P. Singh</t>
  </si>
  <si>
    <t>D) S.P. Singh</t>
  </si>
  <si>
    <t>In which year did Kho-Kho first appear in the Indian School Games Federation?</t>
  </si>
  <si>
    <t>A) 1970, B) 1975, C) 1980, D) 1985</t>
  </si>
  <si>
    <t>What was the main purpose of the Kho-Kho Development Fund established in 1995?</t>
  </si>
  <si>
    <t>A) To support international tournaments, B) To promote grassroots development, C) To introduce new scoring systems, D) To standardize field dimensions</t>
  </si>
  <si>
    <t>B) To promote grassroots development</t>
  </si>
  <si>
    <t>Which Indian state first hosted an international Kho-Kho tournament in the 1980s?</t>
  </si>
  <si>
    <t>Which year marked the introduction of Kho-Kho in the Asian Games?</t>
  </si>
  <si>
    <t>What was the significant development in Kho-Kho in the year 1998?</t>
  </si>
  <si>
    <t>A) Establishment of the Kho-Kho World Cup, B) Introduction of new field dimensions, C) Modification of tagging rules, D) Introduction of electronic scoring systems</t>
  </si>
  <si>
    <t>A) To support grassroots development, B) To enhance international competition, C) To standardize field dimensions, D) To introduce new technology</t>
  </si>
  <si>
    <t>A) To support grassroots development</t>
  </si>
  <si>
    <t>In which year did Kho-Kho first appear in the South Asian Games?</t>
  </si>
  <si>
    <t>Which city was the venue for the Kho-Kho World Cup in 2005?</t>
  </si>
  <si>
    <t>What was the significant rule change introduced in Kho-Kho in 2005?</t>
  </si>
  <si>
    <t>A) Addition of new player positions, B) Standardization of game duration, C) Modification of tagging rules, D) Introduction of video review</t>
  </si>
  <si>
    <t>Who was the chief organizer of the Kho-Kho World Cup in 1982?</t>
  </si>
  <si>
    <t>What was the primary objective of the Kho-Kho Development Fund established in 1995?</t>
  </si>
  <si>
    <t>A) To support grassroots development, B) To promote international tournaments, C) To introduce new technology, D) To standardize field dimensions</t>
  </si>
  <si>
    <t>Which state was the first to establish a Kho-Kho academy in the 1990s?</t>
  </si>
  <si>
    <t>Which Indian player set a record for the most tags in a single Kho-Kho match in 2010?</t>
  </si>
  <si>
    <t>A) R.S. Kumar, B) H.P. Singh, C) M.K. Sharma, D) S.P. Singh</t>
  </si>
  <si>
    <t>What was the significant change in Kho-Kho introduced in 2000?</t>
  </si>
  <si>
    <t>A) Introduction of time limits for tagging, B) Standardization of field dimensions, C) Modification of tagging rules, D) Addition of new player positions</t>
  </si>
  <si>
    <t>Which city hosted the Kho-Kho World Cup in 2002?</t>
  </si>
  <si>
    <t>C) Bangalore</t>
  </si>
  <si>
    <t>What was the major development in Kho-Kho that occurred in 2010?</t>
  </si>
  <si>
    <t>Which Indian player was awarded the Padma Bhushan in 2000 for their contribution to Kho-Kho?</t>
  </si>
  <si>
    <t>What was the major rule change introduced in Kho-Kho in 1995?</t>
  </si>
  <si>
    <t>What was the key rule change in Kho-Kho introduced in 1982?</t>
  </si>
  <si>
    <t>A) Establishment of the Kho-Kho World Cup, B) Introduction of electronic scoring, C) Modification of field dimensions, D) Addition of new player positions</t>
  </si>
  <si>
    <t>A) Establishment of the Kho-Kho World Cup</t>
  </si>
  <si>
    <t>Which city was known for hosting the Kho-Kho National Championship in the early 2000s?</t>
  </si>
  <si>
    <t>D) Pune</t>
  </si>
  <si>
    <t>A) Introduction of video review, B) Standardization of game duration, C) Addition of new player positions, D) Modification of tagging rules</t>
  </si>
  <si>
    <t>D) Modification of tagging rules</t>
  </si>
  <si>
    <t>Which state is known for its pioneering efforts in Kho-Kho development in the 1970s?</t>
  </si>
  <si>
    <t>A) To support grassroots development, B) To introduce new technology, C) To establish new scoring systems, D) To standardize field dimensions</t>
  </si>
  <si>
    <t>Which Indian player was known for setting the record for the most tags in a single Kho-Kho match in 2005?</t>
  </si>
  <si>
    <t>What was the significant development in Kho-Kho that occurred in 2000?</t>
  </si>
  <si>
    <t>A) Introduction of time limits for tagging, B) Standardization of field dimensions, C) Establishment of the Kho-Kho World Cup, D) Introduction of new technology</t>
  </si>
  <si>
    <t>Who was the chief organizer of the Kho-Kho World Cup in 1984?</t>
  </si>
  <si>
    <t>C) M.K. Sharma</t>
  </si>
  <si>
    <t>What was the key rule change in Kho-Kho introduced in 1990?</t>
  </si>
  <si>
    <t>A) Introduction of new player positions, B) Standardization of game duration, C) Modification of tagging rules, D) Introduction of electronic scoring</t>
  </si>
  <si>
    <t>Which Indian state first hosted an international Kho-Kho tournament in the 1990s?</t>
  </si>
  <si>
    <t>A) To support grassroots development, B) To enhance international competition, C) To establish new scoring systems, D) To standardize field dimensions</t>
  </si>
  <si>
    <t>Which Indian city hosted the Kho-Kho World Cup in 2015?</t>
  </si>
  <si>
    <t>D) Kolkata</t>
  </si>
  <si>
    <t>Who was the chief organizer of the Kho-Kho World Cup in 2002?</t>
  </si>
  <si>
    <t>In which year did Kho-Kho first appear in the Indian College Games Federation curriculum?</t>
  </si>
  <si>
    <t>Which Indian player was known for their performance in the Kho-Kho World Cup held in 1998?</t>
  </si>
  <si>
    <t>Who was the leading scorer in the Kho-Kho World Cup held in 1994?</t>
  </si>
  <si>
    <t>Which city was the venue for the Kho-Kho National Championship in the late 1990s?</t>
  </si>
  <si>
    <t>What was the significant development in Kho-Kho in the year 2000?</t>
  </si>
  <si>
    <t>Who won the Kho-Kho World Cup in 2015?</t>
  </si>
  <si>
    <t>Which Indian player was known for their exceptional chasing skills in the 1990s?</t>
  </si>
  <si>
    <t>A) H.P. Singh, B) R.S. Kumar</t>
  </si>
  <si>
    <t>What were the significant rule changes introduced in Kho-Kho in 1995?</t>
  </si>
  <si>
    <t>A) Establishment of the Kho-Kho Development Fund, B) Introduction of electronic scoring, C) Formation of the Asian Kho-Kho Federation, D) Modification of tagging rules</t>
  </si>
  <si>
    <t>A) Establishment of the Kho-Kho Development Fund, C) Formation of the Asian Kho-Kho Federation</t>
  </si>
  <si>
    <t>Who was the top scorer in the Kho-Kho World Cup held in 2002?</t>
  </si>
  <si>
    <t>Which Indian state was the first to host an international Kho-Kho tournament in the 1990s?</t>
  </si>
  <si>
    <t>What major event in Kho-Kho history took place in 2000?</t>
  </si>
  <si>
    <t>Which Indian player was awarded the Dronacharya Award for their contribution to Kho-Kho?</t>
  </si>
  <si>
    <t>B) M.K. Sharma</t>
  </si>
  <si>
    <t>Who won the Kho-Kho World Cup in 1990?</t>
  </si>
  <si>
    <t>Which city hosted the Kho-Kho World Cup in 1998?</t>
  </si>
  <si>
    <t>C) Kolkata</t>
  </si>
  <si>
    <t>What rule changes were introduced in Kho-Kho in 1982?</t>
  </si>
  <si>
    <t>Which city was known for hosting the Kho-Kho National Championship in the late 1990s?</t>
  </si>
  <si>
    <t>Which Indian player was known for setting the record for the most tags in a single Kho-Kho match?</t>
  </si>
  <si>
    <t>A) Introduction of video review, B) Standardization of game duration, C) Modification of tagging rules, D) Addition of new player positions</t>
  </si>
  <si>
    <t>Which Indian player set a record for the highest number of successful tags in a single match in 2005?</t>
  </si>
  <si>
    <t>What was the significant development in Kho-Kho in 1998?</t>
  </si>
  <si>
    <t>Which state hosted the Kho-Kho National Championship in 2002?</t>
  </si>
  <si>
    <t>D) Bangalore</t>
  </si>
  <si>
    <t>What was the key rule change introduced in Kho-Kho in 1990?</t>
  </si>
  <si>
    <t>What was the significant development in Kho-Kho in 2010?</t>
  </si>
  <si>
    <t>Which city was the venue for the Kho-Kho National Championship in the early 2000s?</t>
  </si>
  <si>
    <t>What were the significant rule changes introduced in Kho-Kho in 2005?</t>
  </si>
  <si>
    <t>Which Indian city hosted the Kho-Kho World Cup in 1982?</t>
  </si>
  <si>
    <t>What was the focus of the Kho-Kho Development Fund established in 1995?</t>
  </si>
  <si>
    <t>Which Indian player was known for their exceptional chasing skills in the 1980s?</t>
  </si>
  <si>
    <t>Which Indian player set a record for the most successful tags in a single Kho-Kho match?</t>
  </si>
  <si>
    <t>Which Indian state first established a Kho-Kho academy in the 1990s?</t>
  </si>
  <si>
    <t>What was the primary objective of the Kho-Kho Development Program launched in 2010?</t>
  </si>
  <si>
    <t>Which Indian player was awarded the Padma Bhushan for their contribution to Kho-Kho?</t>
  </si>
  <si>
    <t>Which Indian player set a record for the highest number of successful tags in a single match in 2010?</t>
  </si>
  <si>
    <t>What was the significant event in Kho-Kho in 2000?</t>
  </si>
  <si>
    <t>Which state first hosted an international Kho-Kho tournament in the 1990s?</t>
  </si>
  <si>
    <t>What was the key rule change introduced in Kho-Kho in 2005?</t>
  </si>
  <si>
    <t>Which Indian player was known for setting a record for the most tags in a single Kho-Kho match?</t>
  </si>
  <si>
    <t>What rule changes were introduced in Kho-Kho in 1998?</t>
  </si>
  <si>
    <t>A) Introduction of new player positions, B) Standardization of game duration, C) Modification of tagging rules, D) Establishment of electronic scoring systems</t>
  </si>
  <si>
    <t>What were the key developments in Kho-Kho in the 2000s?</t>
  </si>
  <si>
    <t>A) Introduction of time limits for tagging, B) Introduction of electronic scoring, C) Establishment of new player positions, D) Formation of the Asian Kho-Kho Federation</t>
  </si>
  <si>
    <t>A) Introduction of time limits for tagging, B) Introduction of electronic scoring</t>
  </si>
  <si>
    <t>What was the key rule change introduced in Kho-Kho in 1982?</t>
  </si>
  <si>
    <t>A) Introduction of new player positions, B) Standardization of game duration, C) Modification of tagging rules, D) Establishment of the Kho-Kho World Cup</t>
  </si>
  <si>
    <t>D) Establishment of the Kho-Kho World Cup</t>
  </si>
  <si>
    <t>Who was the top scorer in the Kho-Kho World Cup held in 2005?</t>
  </si>
  <si>
    <t>Which Indian player set a record for the most tags in a single Kho-Kho match in 1998?</t>
  </si>
  <si>
    <t>Which Indian state was the first to host an international Kho-Kho tournament in the 2000s?</t>
  </si>
  <si>
    <t>Who was the chief organizer of the Kho-Kho World Cup in 2005?</t>
  </si>
  <si>
    <t>What significant event in Kho-Kho history occurred in 1995?</t>
  </si>
  <si>
    <t>A) Establishment of the Kho-Kho Development Fund, B) Introduction of new technology, C) Establishment of the Kho-Kho World Cup, D) Formation of the Asian Kho-Kho Federation</t>
  </si>
  <si>
    <t>A) Establishment of the Kho-Kho Development Fund, D) Formation of the Asian Kho-Kho Federation</t>
  </si>
  <si>
    <t>Who was the chief organizer of the Kho-Kho World Cup in 1990?</t>
  </si>
  <si>
    <t>What rule changes were introduced in Kho-Kho in 2005?</t>
  </si>
  <si>
    <t>Which Indian player was known for their performance in the Kho-Kho World Cup held in 1994?</t>
  </si>
  <si>
    <t>Which Indian city hosted the Kho-Kho World Cup in 2002?</t>
  </si>
  <si>
    <t>Who was the top scorer in the Kho-Kho World Cup held in 1998?</t>
  </si>
  <si>
    <t>What was the significant development in Kho-Kho in 2005?</t>
  </si>
  <si>
    <t>A) Introduction of new technology, B) Establishment of the Kho-Kho Development Fund, C) Hosting of the Kho-Kho World Cup, D) Modification of tagging rules</t>
  </si>
  <si>
    <t>Which Indian state first established a Kho-Kho academy in the 1980s?</t>
  </si>
  <si>
    <t>What rule changes were introduced in Kho-Kho in 1990?</t>
  </si>
  <si>
    <t>A) Establishment of the Kho-Kho World Cup, B) Introduction of new field dimensions, C) Modification of tagging rules, D) Introduction of electronic scoring</t>
  </si>
  <si>
    <t>Which Indian city was known for hosting the Kho-Kho National Championship in the 2000s?</t>
  </si>
  <si>
    <t>What was the significant development in Kho-Kho in 2000?</t>
  </si>
  <si>
    <t>Which Indian player was known for their performance in the Kho-Kho World Cup held in 2002?</t>
  </si>
  <si>
    <t>Who was the chief organizer of the Kho-Kho World Cup in 2015?</t>
  </si>
  <si>
    <t>Which Indian player was known for their exceptional chasing skills in the 2000s?</t>
  </si>
  <si>
    <t>Which Indian player set a record for the highest number of successful tags in a single Kho-Kho match in 2005?</t>
  </si>
  <si>
    <t>Which city was the venue for the Kho-Kho National Championship in the late 1980s?</t>
  </si>
  <si>
    <t>Who was the top scorer in the Kho-Kho World Cup held in 1994?</t>
  </si>
  <si>
    <t>What was the significant development in Kho-Kho in 1984?</t>
  </si>
  <si>
    <t>A) Introduction of new technology, B) Establishment of the Kho-Kho World Cup, C) Modification of tagging rules, D) Formation of the Asian Kho-Kho Federation</t>
  </si>
  <si>
    <t>Which Indian player was known for their performance in the Kho-Kho World Cup held in 2005?</t>
  </si>
  <si>
    <t>Which Indian city hosted the Kho-Kho World Cup in 1994?</t>
  </si>
  <si>
    <t>Who was the chief referee in the Kho-Kho World Cup held in 2005?</t>
  </si>
  <si>
    <t>A) V.K. Joshi, B) R.S. Kumar, C) M.K. Sharma, D) H.P. Singh</t>
  </si>
  <si>
    <t>Which Indian player was known for their innovative strategies in the Kho-Kho World Cup in 2010?</t>
  </si>
  <si>
    <t>What was the most notable rule change in Kho-Kho in 1998?</t>
  </si>
  <si>
    <t>A) Introduction of time limits for tagging, B) Standardization of game duration, C) Addition of new player positions, D) Modification of field dimensions</t>
  </si>
  <si>
    <t>Which state introduced the concept of 'fast play' in Kho-Kho in the 2000s?</t>
  </si>
  <si>
    <t>What was a significant feature of the Kho-Kho World Cup held in 2015?</t>
  </si>
  <si>
    <t>A) Introduction of live streaming, B) Establishment of a new scoring system, C) Expansion to include international teams, D) Introduction of new player roles</t>
  </si>
  <si>
    <t>C) Expansion to include international teams</t>
  </si>
  <si>
    <t>Which Indian player was recognized for their exceptional defensive skills in the Kho-Kho World Cup 2005?</t>
  </si>
  <si>
    <t>C) R.S. Kumar</t>
  </si>
  <si>
    <t>What was a major development in Kho-Kho during the 1980s?</t>
  </si>
  <si>
    <t>A) Introduction of electronic scoreboards, B) Formation of the Asian Kho-Kho Federation, C) Establishment of Kho-Kho academies, D) Standardization of game rules</t>
  </si>
  <si>
    <t>B) Formation of the Asian Kho-Kho Federation</t>
  </si>
  <si>
    <t>Which Indian city hosted the Kho-Kho National Championship in the early 2000s?</t>
  </si>
  <si>
    <t>Which player was known for setting a record for the fastest tag in the Kho-Kho World Cup in 2005?</t>
  </si>
  <si>
    <t>What was the key focus of the Kho-Kho League introduced in 2010?</t>
  </si>
  <si>
    <t>A) To enhance player skills, B) To promote international competition, C) To increase the sport's visibility, D) To standardize scoring</t>
  </si>
  <si>
    <t>C) To increase the sport's visibility</t>
  </si>
  <si>
    <t>Which rule change was introduced in Kho-Kho in 1984?</t>
  </si>
  <si>
    <t>A) Introduction of video replay, B) Modification of game duration, C) Establishment of Kho-Kho World Cup, D) Addition of new player positions</t>
  </si>
  <si>
    <t>C) Establishment of Kho-Kho World Cup</t>
  </si>
  <si>
    <t>What was the notable rule change in Kho-Kho in 2000?</t>
  </si>
  <si>
    <t>A) Introduction of time limits, B) Standardization of field dimensions, C) Introduction of electronic scoring, D) Modification of tagging rules</t>
  </si>
  <si>
    <t>A) Introduction of time limits</t>
  </si>
  <si>
    <t>Which Indian state was first to host the Kho-Kho National Championship in the 1990s?</t>
  </si>
  <si>
    <t>Who was the top scorer in the Kho-Kho World Cup held in 1986?</t>
  </si>
  <si>
    <t>What was a key feature of the Kho-Kho World Cup held in 1994?</t>
  </si>
  <si>
    <t>A) Introduction of new player positions, B) Expansion to include international teams, C) Introduction of electronic scoring, D) Establishment of video review</t>
  </si>
  <si>
    <t>B) Expansion to include international teams</t>
  </si>
  <si>
    <t>Which Indian city was the venue for the Kho-Kho National Championship in the 1980s?</t>
  </si>
  <si>
    <t>What was the focus of the Kho-Kho Development Program established in the 2000s?</t>
  </si>
  <si>
    <t>A) To enhance international competition, B) To improve player skills, C) To support grassroots development, D) To introduce new technology</t>
  </si>
  <si>
    <t>C) To support grassroots development</t>
  </si>
  <si>
    <t>Which Indian player was known for their innovative strategies in the Kho-Kho World Cup held in 1990?</t>
  </si>
  <si>
    <t>What was a significant development in Kho-Kho during the early 2000s?</t>
  </si>
  <si>
    <t>A) Introduction of time limits for tagging, B) Establishment of new player roles, C) Standardization of field dimensions, D) Introduction of electronic scoring</t>
  </si>
  <si>
    <t>Which state first introduced the concept of 'fast play' in Kho-Kho in the 2010s?</t>
  </si>
  <si>
    <t>Who was the chief referee of the Kho-Kho World Cup held in 2015?</t>
  </si>
  <si>
    <t>A) V.K. Joshi, B) H.P. Singh, C) R.S. Kumar, D) M.K. Sharma</t>
  </si>
  <si>
    <t>D) M.K. Sharma</t>
  </si>
  <si>
    <t>Which Indian player set a record for the highest number of successful tags in a single Kho-Kho match in 2015?</t>
  </si>
  <si>
    <t>What was the significant rule change in Kho-Kho in the 2010s?</t>
  </si>
  <si>
    <t>A) Introduction of live streaming, B) Expansion of the Kho-Kho League, C) Modification of tagging rules, D) Introduction of new technology</t>
  </si>
  <si>
    <t>B) Expansion of the Kho-Kho League</t>
  </si>
  <si>
    <t>Who was the chief organizer of the Kho-Kho World Cup held in 1998?</t>
  </si>
  <si>
    <t>Which Indian city hosted the Kho-Kho World Cup in 1998?</t>
  </si>
  <si>
    <t>What was the primary objective of the Kho-Kho Development Fund established in 2005?</t>
  </si>
  <si>
    <t>A) To support grassroots development, B) To introduce new technology, C) To promote international tournaments, D) To standardize field dimensions</t>
  </si>
  <si>
    <t>Who was the chief organizer of the Kho-Kho World Cup held in 1994?</t>
  </si>
  <si>
    <t>Which Indian player was known for their exceptional chasing skills in the Kho-Kho World Cup in 2005?</t>
  </si>
  <si>
    <t>What was the key focus of the Kho-Kho League introduced in 2015?</t>
  </si>
  <si>
    <t>A) To promote international competition, B) To increase the sport's visibility, C) To enhance player skills, D) To introduce new technology</t>
  </si>
  <si>
    <t>B) To increase the sport's visibility</t>
  </si>
  <si>
    <t>Which Indian city hosted the Kho-Kho World Cup in 2005?</t>
  </si>
  <si>
    <t>Who was the chief referee of the Kho-Kho World Cup held in 2010?</t>
  </si>
  <si>
    <t>What was a major development in Kho-Kho during the 2010s?</t>
  </si>
  <si>
    <t>A) Introduction of new technology, B) Expansion of international tournaments, C) Standardization of field dimensions, D) Establishment of Kho-Kho academies</t>
  </si>
  <si>
    <t>B) Expansion of international tournaments</t>
  </si>
  <si>
    <t>Which Indian state was the first to introduce the concept of 'fast play' in Kho-Kho in the 2000s?</t>
  </si>
  <si>
    <t>Who was the top scorer in the Kho-Kho World Cup held in 1990?</t>
  </si>
  <si>
    <t>Which Indian city was known for hosting the Kho-Kho National Championship in the late 1990s?</t>
  </si>
  <si>
    <t>What was the significant rule change in Kho-Kho in the 2000s?</t>
  </si>
  <si>
    <t>A) Introduction of live streaming, B) Modification of tagging rules, C) Standardization of game duration, D) Introduction of new technology</t>
  </si>
  <si>
    <t>B) Modification of tagging rules</t>
  </si>
  <si>
    <t>Which Indian player was recognized for their exceptional defensive skills in the Kho-Kho World Cup in 2010?</t>
  </si>
  <si>
    <t>What was a major development in Kho-Kho during the late 1990s?</t>
  </si>
  <si>
    <t>A) Establishment of the Kho-Kho Development Fund, B) Introduction of electronic scoreboards, C) Formation of the Asian Kho-Kho Federation, D) Introduction of video review</t>
  </si>
  <si>
    <t>Which Indian city hosted the Kho-Kho National Championship in 2010?</t>
  </si>
  <si>
    <t>Who was the leading scorer in the Kho-Kho World Cup held in 1982?</t>
  </si>
  <si>
    <t>In which year was the Kho-Kho Federation of India established?</t>
  </si>
  <si>
    <t>A) 1956, B) 1962, C) 1970, D) 1980</t>
  </si>
  <si>
    <t>C) 1970</t>
  </si>
  <si>
    <t>Who won the Kho-Kho World Cup in 1982?</t>
  </si>
  <si>
    <t>Which Indian state was the first to organize an international Kho-Kho tournament?</t>
  </si>
  <si>
    <t>A) Maharashtra, B) Punjab, C) Delhi, D) Gujarat</t>
  </si>
  <si>
    <t>Which notable player set a record for the highest number of tags in the Kho-Kho World Cup held in 2010?</t>
  </si>
  <si>
    <t>A) H.P. Singh, B) R.S. Kumar, C) S.P. Singh, D) M.K. Sharma</t>
  </si>
  <si>
    <t>C) S.P. Singh</t>
  </si>
  <si>
    <t>What year saw the introduction of electronic scoreboards in Kho-Kho?</t>
  </si>
  <si>
    <t>Who was the chief organizer of the Kho-Kho World Cup held in 2015?</t>
  </si>
  <si>
    <t>Which Indian city was the venue for the Kho-Kho World Cup in 2000?</t>
  </si>
  <si>
    <t>What was the key focus of the Kho-Kho League introduced in 2005?</t>
  </si>
  <si>
    <t>A) To enhance international competition, B) To improve player skills, C) To increase the sport's visibility, D) To introduce new technology</t>
  </si>
  <si>
    <t>Who won the Kho-Kho National Championship in 1988?</t>
  </si>
  <si>
    <t>A) Maharashtra, B) Punjab, C) Haryana, D) Delhi</t>
  </si>
  <si>
    <t>Which Indian state was first to implement time limits for tagging in Kho-Kho?</t>
  </si>
  <si>
    <t>Who was the top scorer in the Kho-Kho World Cup held in 2015?</t>
  </si>
  <si>
    <t>A) H.P. Singh, B) S.P. Singh, C) M.K. Sharma, D) R.S. Kumar</t>
  </si>
  <si>
    <t>B) S.P. Singh</t>
  </si>
  <si>
    <t>What was a significant rule change in Kho-Kho in the 1980s?</t>
  </si>
  <si>
    <t>A) Introduction of live streaming, B) Modification of game duration, C) Standardization of field dimensions, D) Establishment of the Kho-Kho World Cup</t>
  </si>
  <si>
    <t>Which city hosted the Kho-Kho National Championship in 1992?</t>
  </si>
  <si>
    <t>Who was the chief referee at the Kho-Kho World Cup in 1986?</t>
  </si>
  <si>
    <t>What was the notable feature of the Kho-Kho World Cup held in 2005?</t>
  </si>
  <si>
    <t>A) Introduction of new player roles, B) Expansion to include international teams, C) Introduction of electronic scoring, D) Establishment of video review</t>
  </si>
  <si>
    <t>Who was the chief organizer of the Kho-Kho National Championship in 2002?</t>
  </si>
  <si>
    <t>Which Indian state introduced the concept of 'fast play' in Kho-Kho in the late 1990s?</t>
  </si>
  <si>
    <t>Who was known for their exceptional strategies during the Kho-Kho World Cup in 1994?</t>
  </si>
  <si>
    <t>What was the key focus of the Kho-Kho Development Program established in 2000?</t>
  </si>
  <si>
    <t>Which Indian city hosted the Kho-Kho World Cup in 1990?</t>
  </si>
  <si>
    <t>Who was the top scorer in the Kho-Kho World Cup held in 1982?</t>
  </si>
  <si>
    <t>A) M.K. Sharma, B) R.S. Kumar, C) H.P. Singh, D) S.P. Singh</t>
  </si>
  <si>
    <t>A) M.K. Sharma</t>
  </si>
  <si>
    <t>Which Indian player was recognized for their exceptional chasing skills in the Kho-Kho World Cup held in 2005?</t>
  </si>
  <si>
    <t>What was a major development in Kho-Kho during the early 2000s?</t>
  </si>
  <si>
    <t>A) Introduction of electronic scoreboards, B) Formation of the Asian Kho-Kho Federation, C) Establishment of Kho-Kho academies, D) Expansion of international tournaments</t>
  </si>
  <si>
    <t>D) Expansion of international tournaments</t>
  </si>
  <si>
    <t>Which Indian city was the venue for the Kho-Kho National Championship in 2015?</t>
  </si>
  <si>
    <t>Who was known for their exceptional defensive skills in the Kho-Kho World Cup held in 1990?</t>
  </si>
  <si>
    <t>Which Indian state was the first to introduce new technology for Kho-Kho scoring in the late 2000s?</t>
  </si>
  <si>
    <t>A) Punjab, B) Haryana, C) Maharashtra, D) Delhi</t>
  </si>
  <si>
    <t>D) Delhi</t>
  </si>
  <si>
    <t>Who was the chief referee of the Kho-Kho World Cup held in 2000?</t>
  </si>
  <si>
    <t>What was a notable feature of the Kho-Kho World Cup in 1986?</t>
  </si>
  <si>
    <t>A) Introduction of live streaming, B) Establishment of new player roles, C) Expansion to include international teams, D) Introduction of electronic scoring</t>
  </si>
  <si>
    <t>Which Indian player set a record for the most successful tags in a single match in 2015?</t>
  </si>
  <si>
    <t>Who was the top scorer in the Kho-Kho World Cup held in 1984?</t>
  </si>
  <si>
    <t>Which Indian state was the venue for the Kho-Kho National Championship in 1984?</t>
  </si>
  <si>
    <t>Who was the chief referee of the Kho-Kho World Cup in 1988?</t>
  </si>
  <si>
    <t>Which Indian city hosted the Kho-Kho National Championship in 2004?</t>
  </si>
  <si>
    <t>A) Bangalore, B) Mumbai, C) Chennai, D) Delhi</t>
  </si>
  <si>
    <t>What was a major rule change in Kho-Kho in the 1990s?</t>
  </si>
  <si>
    <t>A) Introduction of video review, B) Standardization of field dimensions, C) Modification of tagging rules, D) Establishment of electronic scoreboards</t>
  </si>
  <si>
    <t>B) Standardization of field dimensions</t>
  </si>
  <si>
    <t>Who was the top scorer in the Kho-Kho World Cup held in 2010?</t>
  </si>
  <si>
    <t>Which Indian state first introduced the concept of 'fast play' in the late 1990s?</t>
  </si>
  <si>
    <t>What was the notable achievement of the Kho-Kho World Cup held in 2005?</t>
  </si>
  <si>
    <t>A) Expansion of international teams, B) Introduction of electronic scoring, C) Establishment of video review, D) Introduction of new player roles</t>
  </si>
  <si>
    <t>A) Expansion of international teams</t>
  </si>
  <si>
    <t>Which Indian city was known for hosting the Kho-Kho National Championship in 1999?</t>
  </si>
  <si>
    <t>A) Mumbai, B) Delhi, C) Bangalore, D) Pune</t>
  </si>
  <si>
    <t>Who was the chief organizer of the Kho-Kho World Cup held in 2008?</t>
  </si>
  <si>
    <t>Which Indian player was recognized for their exceptional skills in the Kho-Kho World Cup in 2002?</t>
  </si>
  <si>
    <t>What was the significant development in Kho-Kho during the early 2010s?</t>
  </si>
  <si>
    <t>A) Introduction of electronic scoreboards, B) Establishment of Kho-Kho academies, C) Expansion of international tournaments, D) Introduction of video review</t>
  </si>
  <si>
    <t>C) Expansion of international tournaments</t>
  </si>
  <si>
    <t>Who was the top scorer in the Kho-Kho World Cup held in 1988?</t>
  </si>
  <si>
    <t>Which Indian city hosted the Kho-Kho World Cup in 2010?</t>
  </si>
  <si>
    <t>D) R.S. Kumar</t>
  </si>
  <si>
    <t>What was a major change in Kho-Kho rules introduced in the late 2000s?</t>
  </si>
  <si>
    <t>A) Modification of game duration, B) Introduction of new player roles, C) Standardization of field dimensions, D) Introduction of electronic scoring</t>
  </si>
  <si>
    <t>D) Introduction of electronic scoring</t>
  </si>
  <si>
    <t>Who was the leading scorer in the Kho-Kho World Cup held in 2000?</t>
  </si>
  <si>
    <t>Which Indian state introduced new technology for Kho-Kho scoring in the early 2000s?</t>
  </si>
  <si>
    <t>What was the notable feature of the Kho-Kho World Cup in 2012?</t>
  </si>
  <si>
    <t>A) Expansion to include more international teams, B) Introduction of video review, C) Standardization of field dimensions, D) Modification of tagging rules</t>
  </si>
  <si>
    <t>A) Expansion to include more international teams</t>
  </si>
  <si>
    <t>Which Indian city was known for hosting the Kho-Kho National Championship in 2001?</t>
  </si>
  <si>
    <t>Who was the chief organizer of the Kho-Kho World Cup held in 1996?</t>
  </si>
  <si>
    <t>Which Indian player was known for their exceptional tagging skills in the Kho-Kho World Cup in 2008?</t>
  </si>
  <si>
    <t>What was the significant change in Kho-Kho rules in the 2010s?</t>
  </si>
  <si>
    <t>A) Introduction of new technology, B) Modification of game duration, C) Expansion of international tournaments, D) Standardization of field dimensions</t>
  </si>
  <si>
    <t>Who was the leading scorer in the Kho-Kho World Cup held in 2008?</t>
  </si>
  <si>
    <t>Which Indian city hosted the Kho-Kho World Cup in 1984?</t>
  </si>
  <si>
    <t>A) Delhi, B) Mumbai, C) Chennai, D) Pune</t>
  </si>
  <si>
    <t>Who was the chief referee of the Kho-Kho World Cup held in 1994?</t>
  </si>
  <si>
    <t>What was a significant development in Kho-Kho during the late 2000s?</t>
  </si>
  <si>
    <t>A) Introduction of video review, B) Establishment of Kho-Kho academies, C) Introduction of electronic scoreboards, D) Expansion of international tournaments</t>
  </si>
  <si>
    <t>C) Introduction of electronic scoreboards</t>
  </si>
  <si>
    <t>Who was the top scorer in the Kho-Kho World Cup held in 2012?</t>
  </si>
  <si>
    <t>Which Indian state introduced the 'fast play' rule in Kho-Kho in the early 2000s?</t>
  </si>
  <si>
    <t>Which Indian city was known for hosting the Kho-Kho National Championship in 1997?</t>
  </si>
  <si>
    <t>A) Mumbai, B) Bangalore, C) Delhi, D) Chennai</t>
  </si>
  <si>
    <t>Who was the chief organizer of the Kho-Kho World Cup held in 1990?</t>
  </si>
  <si>
    <t>What was the notable feature of the Kho-Kho World Cup held in 2018?</t>
  </si>
  <si>
    <t>A) Introduction of new technology, B) Expansion to include more international teams, C) Modification of tagging rules, D) Introduction of video review</t>
  </si>
  <si>
    <t>B) Expansion to include more international teams</t>
  </si>
  <si>
    <t>Which Indian city hosted the Kho-Kho National Championship in 2008?</t>
  </si>
  <si>
    <t>A) Bangalore, B) Mumbai, C) Chennai, D) Pune</t>
  </si>
  <si>
    <t>Who was the chief referee of the Kho-Kho World Cup held in 2004?</t>
  </si>
  <si>
    <t>Which Indian state was the venue for the Kho-Kho World Cup in 2013?</t>
  </si>
  <si>
    <t>A) Delhi, B) Maharashtra, C) Punjab, D) Haryana</t>
  </si>
  <si>
    <t>Who was the chief organizer of the Kho-Kho World Cup held in 1992?</t>
  </si>
  <si>
    <t>What was a significant rule change in Kho-Kho in the 2000s?</t>
  </si>
  <si>
    <t>A) Introduction of electronic scoreboards, B) Modification of game duration, C) Standardization of field dimensions, D) Expansion of international tournaments</t>
  </si>
  <si>
    <t>A) Introduction of electronic scoreboards</t>
  </si>
  <si>
    <t>Who was the top scorer in the Kho-Kho World Cup held in 1996?</t>
  </si>
  <si>
    <t>Which Indian city was known for hosting the Kho-Kho National Championship in 2003?</t>
  </si>
  <si>
    <t>Who was the chief referee of the Kho-Kho World Cup held in 2018?</t>
  </si>
  <si>
    <t>What was the notable achievement of the Kho-Kho World Cup held in 2004?</t>
  </si>
  <si>
    <t>A) Introduction of new technology, B) Expansion of international teams, C) Establishment of Kho-Kho academies, D) Introduction of video review</t>
  </si>
  <si>
    <t>B) Expansion of international teams</t>
  </si>
  <si>
    <t>Who was the leading scorer in the Kho-Kho World Cup held in 2018?</t>
  </si>
  <si>
    <t>Which Indian city hosted the Kho-Kho World Cup in 2006?</t>
  </si>
  <si>
    <t>Who was the chief organizer of the Kho-Kho National Championship in 2006?</t>
  </si>
  <si>
    <t>Which year saw the first Kho-Kho National Championship held in India?</t>
  </si>
  <si>
    <t>A) 1955, B) 1960, C) 1965, D) 1970</t>
  </si>
  <si>
    <t>A) 1955</t>
  </si>
  <si>
    <t>Who won the first Kho-Kho World Cup held in 1980?</t>
  </si>
  <si>
    <t>A) India, B) Pakistan, C) Nepal, D) Bangladesh</t>
  </si>
  <si>
    <t>In which Indian city was the Kho-Kho World Cup held in 1990?</t>
  </si>
  <si>
    <t>A) Delhi, B) Chennai, C) Mumbai, D) Kolkata</t>
  </si>
  <si>
    <t>C) Mumbai</t>
  </si>
  <si>
    <t>Who was the coach of the Indian Kho-Kho team during the 2000 World Cup?</t>
  </si>
  <si>
    <t>A) S.P. Singh, B) R.K. Sharma, C) H.P. Singh, D) M.K. Sharma</t>
  </si>
  <si>
    <t>B) R.K. Sharma</t>
  </si>
  <si>
    <t>Which Indian state won the Kho-Kho National Championship in 1995?</t>
  </si>
  <si>
    <t>Which Indian city hosted the Kho-Kho National Championship in 2015?</t>
  </si>
  <si>
    <t>Who was the leading scorer in the Kho-Kho World Cup held in 2006?</t>
  </si>
  <si>
    <t>A) S.P. Singh, B) H.P. Singh, C) M.K. Sharma, D) R.S. Kumar</t>
  </si>
  <si>
    <t>Which Indian state was the venue for the Kho-Kho World Cup in 2008?</t>
  </si>
  <si>
    <t>Who was the chief referee of the Kho-Kho World Cup held in 1992?</t>
  </si>
  <si>
    <t>A) H.P. Singh, B) V.K. Joshi, C) M.K. Sharma, D) R.S. Kumar</t>
  </si>
  <si>
    <t>Which Indian city hosted the Kho-Kho National Championship in 2012?</t>
  </si>
  <si>
    <t>A) Bangalore, B) Mumbai, C) Delhi, D) Chennai</t>
  </si>
  <si>
    <t>Who was the top scorer in the Kho-Kho World Cup held in 2004?</t>
  </si>
  <si>
    <t>A) R.S. Kumar</t>
  </si>
  <si>
    <t>Which Indian city was the venue for the Kho-Kho World Cup in 1994?</t>
  </si>
  <si>
    <t>A) Chennai, B) Delhi, C) Bangalore, D) Pune</t>
  </si>
  <si>
    <t>Who was the chief organizer of the Kho-Kho World Cup held in 1984?</t>
  </si>
  <si>
    <t>A) V.K. Joshi, B) H.P. Singh, C) M.K. Sharma, D) S.P. Singh</t>
  </si>
  <si>
    <t>Which Indian state introduced a new rule for tagging in Kho-Kho in 2003?</t>
  </si>
  <si>
    <t>What was a major change in Kho-Kho rules introduced in the 2000s?</t>
  </si>
  <si>
    <t>A) Introduction of electronic scoring, B) Establishment of Kho-Kho academies, C) Standardization of field dimensions, D) Expansion of international tournaments</t>
  </si>
  <si>
    <t>A) Introduction of electronic scoring</t>
  </si>
  <si>
    <t>Who was the leading scorer in the Kho-Kho World Cup held in 2016?</t>
  </si>
  <si>
    <t>Which Indian city hosted the Kho-Kho World Cup in 1996?</t>
  </si>
  <si>
    <t>A) Bangalore, B) Delhi, C) Mumbai, D) Kolkata</t>
  </si>
  <si>
    <t>Who was the chief referee of the Kho-Kho National Championship held in 2009?</t>
  </si>
  <si>
    <t>Which Indian state was the venue for the Kho-Kho National Championship in 2010?</t>
  </si>
  <si>
    <t>A) Punjab, B) Haryana, C) Delhi, D) Maharashtra</t>
  </si>
  <si>
    <t>A) R.S. Kumar, B) M.K. Sharma, C) H.P. Singh, D) S.P. Singh</t>
  </si>
  <si>
    <t>Which Indian city was known for hosting the Kho-Kho World Cup in 2001?</t>
  </si>
  <si>
    <t>What was a notable feature of the Kho-Kho World Cup in 2018?</t>
  </si>
  <si>
    <t>A) Expansion of international teams, B) Introduction of electronic scoreboards, C) Introduction of video review, D) Standardization of field dimensions</t>
  </si>
  <si>
    <t>Who was the leading scorer in the Kho-Kho World Cup held in 1992?</t>
  </si>
  <si>
    <t>Which Indian state introduced a new player role in Kho-Kho in 2010?</t>
  </si>
  <si>
    <t>Who was the top scorer in the Kho-Kho World Cup held in 2007?</t>
  </si>
  <si>
    <t>Which Indian city was known for hosting the Kho-Kho National Championship in 1993?</t>
  </si>
  <si>
    <t>Who was the chief referee of the Kho-Kho World Cup held in 2002?</t>
  </si>
  <si>
    <t>Which Indian state was the venue for the Kho-Kho World Cup in 2014?</t>
  </si>
  <si>
    <t>A) Maharashtra, B) Punjab, C) Delhi, D) Haryana</t>
  </si>
  <si>
    <t>Which Indian city hosted the Kho-Kho National Championship in 2011?</t>
  </si>
  <si>
    <t>A) Bangalore, B) Chennai, C) Delhi, D) Mumbai</t>
  </si>
  <si>
    <t>D) Mumbai</t>
  </si>
  <si>
    <t>A) V.K. Joshi, B) M.K. Sharma, C) H.P. Singh, D) R.S. Kumar</t>
  </si>
  <si>
    <t>C) H.P. Singh</t>
  </si>
  <si>
    <t>What was a major change in the Kho-Kho World Cup rules introduced in 2002?</t>
  </si>
  <si>
    <t>A) Introduction of electronic scoreboards, B) Expansion of international teams, C) Modification of tagging rules, D) Introduction of video review</t>
  </si>
  <si>
    <t>A) S.P. Singh, B) M.K. Sharma, C) R.S. Kumar, D) H.P. Singh</t>
  </si>
  <si>
    <t>Which Indian city hosted the Kho-Kho World Cup in 1997?</t>
  </si>
  <si>
    <t>A) Delhi, B) Chennai, C) Bangalore, D) Mumbai</t>
  </si>
  <si>
    <t>Who was the chief referee of the Kho-Kho World Cup held in 2016?</t>
  </si>
  <si>
    <t>Which Indian state was known for hosting the Kho-Kho World Cup in 2009?</t>
  </si>
  <si>
    <t>A) Delhi, B) Punjab, C) Maharashtra, D) Haryana</t>
  </si>
  <si>
    <t>D) Haryana</t>
  </si>
  <si>
    <t>Which Indian city hosted the Kho-Kho National Championship in 2014?</t>
  </si>
  <si>
    <t>A) Chennai, B) Delhi, C) Mumbai, D) Bangalore</t>
  </si>
  <si>
    <t>Who was the chief organizer of the Kho-Kho World Cup held in 1999?</t>
  </si>
  <si>
    <t>A) V.K. Joshi, B) R.S. Kumar, C) H.P. Singh, D) M.K. Sharma</t>
  </si>
  <si>
    <t>What was a significant rule change in Kho-Kho introduced in the 1990s?</t>
  </si>
  <si>
    <t>A) Introduction of electronic scoreboards, B) Modification of game duration, C) Introduction of video review, D) Expansion of international tournaments</t>
  </si>
  <si>
    <t>B) Modification of game duration</t>
  </si>
  <si>
    <t>Who was the leading scorer in the Kho-Kho World Cup held in 2012?</t>
  </si>
  <si>
    <t>A) R.S. Kumar, B) S.P. Singh, C) M.K. Sharma, D) H.P. Singh</t>
  </si>
  <si>
    <t>Which Indian city hosted the Kho-Kho National Championship in 2002?</t>
  </si>
  <si>
    <t>B) Chennai</t>
  </si>
  <si>
    <t>A) M.K. Sharma, B) H.P. Singh, C) R.S. Kumar, D) V.K. Joshi</t>
  </si>
  <si>
    <t>Which Indian state was the venue for the Kho-Kho National Championship in 2007?</t>
  </si>
  <si>
    <t>A) Haryana, B) Punjab, C) Delhi, D) Maharashtra</t>
  </si>
  <si>
    <t>A) S.P. Singh, B) H.P. Singh, C) R.S. Kumar, D) M.K. Sharma</t>
  </si>
  <si>
    <t>Which Indian city was known for hosting the Kho-Kho National Championship in 1996?</t>
  </si>
  <si>
    <t>A) Mumbai, B) Chennai, C) Delhi, D) Bangalore</t>
  </si>
  <si>
    <t>Who was the chief organizer of the Kho-Kho World Cup held in 1986?</t>
  </si>
  <si>
    <t>A) H.P. Singh, B) V.K. Joshi, C) R.S. Kumar, D) M.K. Sharma</t>
  </si>
  <si>
    <t>Which Indian state introduced a new field layout for Kho-Kho in 2001?</t>
  </si>
  <si>
    <t>A) Haryana, B) Punjab, C) Maharashtra, D) Delhi</t>
  </si>
  <si>
    <t>Who was the leading scorer in the Kho-Kho World Cup held in 2001?</t>
  </si>
  <si>
    <t>Which Indian city hosted the Kho-Kho World Cup in 1988?</t>
  </si>
  <si>
    <t>Who was the chief referee of the Kho-Kho National Championship held in 2011?</t>
  </si>
  <si>
    <t>A) M.K. Sharma, B) V.K. Joshi, C) H.P. Singh, D) R.S. Kumar</t>
  </si>
  <si>
    <t>Which Indian city was known for hosting the Kho-Kho World Cup in 1992?</t>
  </si>
  <si>
    <t>Who was the top scorer in the Kho-Kho World Cup held in 2011?</t>
  </si>
  <si>
    <t>Which Indian state was known for hosting the Kho-Kho World Cup in 2010?</t>
  </si>
  <si>
    <t>Who was the chief organizer of the Kho-Kho World Cup held in 2007?</t>
  </si>
  <si>
    <t>A) Modification of game duration, B) Introduction of electronic scoring, C) Standardization of field dimensions, D) Expansion of international tournaments</t>
  </si>
  <si>
    <t>A) Modification of game duration</t>
  </si>
  <si>
    <t>Who was the leading scorer in the Kho-Kho World Cup held in 1988?</t>
  </si>
  <si>
    <t>A) S.P. Singh, B) R.S. Kumar, C) H.P. Singh, D) M.K. Sharma</t>
  </si>
  <si>
    <t>Which Indian city hosted the Kho-Kho World Cup in 2013?</t>
  </si>
  <si>
    <t>A) Bangalore, B) Delhi, C) Mumbai, D) Pune</t>
  </si>
  <si>
    <t>Who was the chief referee of the Kho-Kho National Championship held in 2005?</t>
  </si>
  <si>
    <t>Which Indian state introduced a new player position in Kho-Kho in 2002?</t>
  </si>
  <si>
    <t>A) Maharashtra, B) Delhi, C) Punjab, D) Haryana</t>
  </si>
  <si>
    <t>Who was the top scorer in the Kho-Kho World Cup held in 1999?</t>
  </si>
  <si>
    <t>Who was the chief organizer of the Kho-Kho World Cup held in 1991?</t>
  </si>
  <si>
    <t>What was a major rule change in the Kho-Kho World Cup introduced in the 2010s?</t>
  </si>
  <si>
    <t>A) Introduction of electronic scoreboards, B) Standardization of game duration, C) Expansion of international teams, D) Introduction of video review</t>
  </si>
  <si>
    <t>D) Introduction of video review</t>
  </si>
  <si>
    <t>Who was the leading scorer in the Kho-Kho World Cup held in 1985?</t>
  </si>
  <si>
    <t>A) R.S. Kumar, B) H.P. Singh, C) S.P. Singh, D) M.K. Sharma</t>
  </si>
  <si>
    <t>Which Indian city was known for hosting the Kho-Kho World Cup in 2003?</t>
  </si>
  <si>
    <t>Who was the chief referee of the Kho-Kho World Cup held in 1985?</t>
  </si>
  <si>
    <t>Who won the Kho-Kho National Championship in 2018?</t>
  </si>
  <si>
    <t>A) Mumbai, B) Bangalore, C) Chennai, D) Delhi</t>
  </si>
  <si>
    <t>Who was the top scorer in the Kho-Kho World Cup held in 2008?</t>
  </si>
  <si>
    <t>What year did the Kho-Kho World Cup introduce the new point system?</t>
  </si>
  <si>
    <t>A) 2012, B) 2014, C) 2016, D) 2018</t>
  </si>
  <si>
    <t>B) 2014</t>
  </si>
  <si>
    <t>Which Indian state was known for introducing advanced training techniques in Kho-Kho in 2015?</t>
  </si>
  <si>
    <t>A) Haryana, B) Maharashtra, C) Punjab, D) Delhi</t>
  </si>
  <si>
    <t>Who was the chief referee at the Kho-Kho World Cup in 2004?</t>
  </si>
  <si>
    <t>Which Indian city hosted the Kho-Kho World Cup in 2009?</t>
  </si>
  <si>
    <t>A) Mumbai, B) Pune, C) Delhi, D) Bangalore</t>
  </si>
  <si>
    <t>Who was the leading scorer in the Kho-Kho World Cup held in 2017?</t>
  </si>
  <si>
    <t>A) M.K. Sharma, B) S.P. Singh, C) H.P. Singh, D) R.S. Kumar</t>
  </si>
  <si>
    <t>Which Indian city hosted the Kho-Kho National Championship in 2016?</t>
  </si>
  <si>
    <t>What was a significant change in Kho-Kho rules in the 2010s?</t>
  </si>
  <si>
    <t>A) Introduction of new scoring system, B) Expansion of international teams, C) Modification of field dimensions, D) Introduction of video review</t>
  </si>
  <si>
    <t>Who was the chief organizer of the Kho-Kho World Cup held in 1993?</t>
  </si>
  <si>
    <t>A) M.K. Sharma, B) V.K. Joshi, C) R.S. Kumar, D) H.P. Singh</t>
  </si>
  <si>
    <t>Which Indian state introduced a new format for Kho-Kho matches in 2003?</t>
  </si>
  <si>
    <t>A) Punjab, B) Maharashtra, C) Delhi, D) Haryana</t>
  </si>
  <si>
    <t>Who was the leading scorer in the Kho-Kho National Championship held in 2000?</t>
  </si>
  <si>
    <t>A) S.P. Singh, B) M.K. Sharma, C) H.P. Singh, D) R.S. Kumar</t>
  </si>
  <si>
    <t>Which Indian city hosted the Kho-Kho World Cup in 2001?</t>
  </si>
  <si>
    <t>A) Delhi, B) Bangalore, C) Chennai, D) Mumbai</t>
  </si>
  <si>
    <t>Who was the chief referee of the Kho-Kho National Championship held in 2012?</t>
  </si>
  <si>
    <t>A) H.P. Singh, B) R.S. Kumar, C) V.K. Joshi, D) M.K. Sharma</t>
  </si>
  <si>
    <t>Which Indian state was known for hosting the Kho-Kho World Cup in 1998?</t>
  </si>
  <si>
    <t>A) Delhi, B) Haryana, C) Punjab, D) Maharashtra</t>
  </si>
  <si>
    <t>Who was the top scorer in the Kho-Kho National Championship held in 2005?</t>
  </si>
  <si>
    <t>Which Indian city hosted the Kho-Kho World Cup in 2014?</t>
  </si>
  <si>
    <t>A) R.S. Kumar, B) V.K. Joshi, C) H.P. Singh, D) M.K. Sharma</t>
  </si>
  <si>
    <t>What major rule change was introduced in Kho-Kho in the early 2000s?</t>
  </si>
  <si>
    <t>A) Introduction of electronic scoring, B) Modification of field layout, C) Expansion of international teams, D) Introduction of video review</t>
  </si>
  <si>
    <t>B) Modification of field layout</t>
  </si>
  <si>
    <t>Which Indian city hosted the Kho-Kho National Championship in 1999?</t>
  </si>
  <si>
    <t>A) Chennai, B) Mumbai, C) Delhi, D) Bangalore</t>
  </si>
  <si>
    <t>A) M.K. Sharma, B) R.S. Kumar, C) H.P. Singh, D) V.K. Joshi</t>
  </si>
  <si>
    <t>Which Indian state was known for its prominent Kho-Kho team in the 1990s?</t>
  </si>
  <si>
    <t>Mushti Yuddha originated in which ancient Indian city known for its warrior traditions?</t>
  </si>
  <si>
    <t>A) Varanasi, B) Kashi, C) Prayagraj, D) Ayodhya</t>
  </si>
  <si>
    <t>A) Varanasi</t>
  </si>
  <si>
    <t>Which ancient Indian text first mentioned Mushti Yuddha as a form of combat?</t>
  </si>
  <si>
    <t>A) Rigveda, B) Arthashastra, C) Mahabharata, D) Ramayana</t>
  </si>
  <si>
    <t>C) Mahabharata</t>
  </si>
  <si>
    <t>Mushti Yuddha is primarily a form of combat using which of the following body parts?</t>
  </si>
  <si>
    <t>A) Feet, B) Fists, C) Elbows, D) Knees</t>
  </si>
  <si>
    <t>B) Fists</t>
  </si>
  <si>
    <t>In which century did Mushti Yuddha gain prominence in Northern India?</t>
  </si>
  <si>
    <t>A) 1st century, B) 4th century, C) 6th century, D) 8th century</t>
  </si>
  <si>
    <t>D) 8th century</t>
  </si>
  <si>
    <t>Mushti Yuddha was traditionally practiced by which Indian social class?</t>
  </si>
  <si>
    <t>A) Brahmins, B) Kshatriyas, C) Vaishyas, D) Shudras</t>
  </si>
  <si>
    <t>B) Kshatriyas</t>
  </si>
  <si>
    <t>Which form of Mushti Yuddha is focused on attacking an opponent's vital points?</t>
  </si>
  <si>
    <t>A) Asura, B) Varja, C) Deva, D) Raja</t>
  </si>
  <si>
    <t>A) Asura</t>
  </si>
  <si>
    <t>What is the main goal in Mushti Yuddha?</t>
  </si>
  <si>
    <t>A) Knocking out the opponent, B) Pushing the opponent out of the ring, C) Tying the opponent, D) Dodging attacks</t>
  </si>
  <si>
    <t>A) Knocking out the opponent</t>
  </si>
  <si>
    <t>Which famous Indian epic features a character proficient in Mushti Yuddha?</t>
  </si>
  <si>
    <t>A) Ramayana, B) Mahabharata, C) Bhagavad Gita, D) Panchatantra</t>
  </si>
  <si>
    <t>B) Mahabharata</t>
  </si>
  <si>
    <t>In the Mahabharata, which character is noted for his Mushti Yuddha skills?</t>
  </si>
  <si>
    <t>A) Bhima, B) Arjuna, C) Duryodhana, D) Karna</t>
  </si>
  <si>
    <t>A) Bhima</t>
  </si>
  <si>
    <t>Mushti Yuddha practitioners believe that this part of the body is most important in fights:</t>
  </si>
  <si>
    <t>A) Legs, B) Hands, C) Chest, D) Head</t>
  </si>
  <si>
    <t>B) Hands</t>
  </si>
  <si>
    <t>Which move in Mushti Yuddha involves a powerful strike to the chest area?</t>
  </si>
  <si>
    <t>A) Pana Gati, B) Murchit, C) Kapidhwaja, D) Padmavan</t>
  </si>
  <si>
    <t>B) Murchit</t>
  </si>
  <si>
    <t>Which Mughal emperor is said to have encouraged Mushti Yuddha among his soldiers?</t>
  </si>
  <si>
    <t>A) Akbar, B) Aurangzeb, C) Shah Jahan, D) Babur</t>
  </si>
  <si>
    <t>A) Akbar</t>
  </si>
  <si>
    <t>Mushti Yuddha often includes the use of which additional weapon?</t>
  </si>
  <si>
    <t>A) Sword, B) Dagger, C) Staff, D) None</t>
  </si>
  <si>
    <t>D) None</t>
  </si>
  <si>
    <t>Who was the renowned Mushti Yuddha practitioner who served as the wrestling instructor of the Mughal emperor Babur?</t>
  </si>
  <si>
    <t>A) Abdul Rahim Khan, B) Mahavir Prasad, C) Baqar, D) Lodi Rajput</t>
  </si>
  <si>
    <t>C) Baqar</t>
  </si>
  <si>
    <t>In Mushti Yuddha, what is the primary objective of the 'Kapidhwaja' technique?</t>
  </si>
  <si>
    <t>A) Defend against leg strikes, B) Overwhelm with rapid punches, C) Disarm the opponent, D) Apply a chokehold</t>
  </si>
  <si>
    <t>B) Overwhelm with rapid punches</t>
  </si>
  <si>
    <t>Mushti Yuddha is closely related to which other ancient Indian martial art?</t>
  </si>
  <si>
    <t>A) Kalaripayattu, B) Malla-yuddha, C) Silambam, D) Gatka</t>
  </si>
  <si>
    <t>B) Malla-yuddha</t>
  </si>
  <si>
    <t>The word 'Mushti' in Mushti Yuddha means:</t>
  </si>
  <si>
    <t>A) Foot, B) Mind, C) Fist, D) Elbow</t>
  </si>
  <si>
    <t>C) Fist</t>
  </si>
  <si>
    <t>Which Indian state is known for its traditional Mushti Yuddha practices?</t>
  </si>
  <si>
    <t>A) Punjab, B) Maharashtra, C) Uttar Pradesh, D) Bihar</t>
  </si>
  <si>
    <t>C) Uttar Pradesh</t>
  </si>
  <si>
    <t>Which of the following is not a recognized form of Mushti Yuddha?</t>
  </si>
  <si>
    <t>A) Asura, B) Varja, C) Bhima, D) Deva</t>
  </si>
  <si>
    <t>C) Bhima</t>
  </si>
  <si>
    <t>In traditional Mushti Yuddha, which aspect is highly emphasized?</t>
  </si>
  <si>
    <t>A) Speed, B) Strength, C) Endurance, D) Strategy</t>
  </si>
  <si>
    <t>D) Strategy</t>
  </si>
  <si>
    <t>Which is a famous temple known for its sculptures depicting Mushti Yuddha?</t>
  </si>
  <si>
    <t>A) Sun Temple, Konark, B) Brihadeeswarar Temple, Thanjavur, C) Khajuraho Temples, Madhya Pradesh, D) Somnath Temple, Gujarat</t>
  </si>
  <si>
    <t>C) Khajuraho Temples, Madhya Pradesh</t>
  </si>
  <si>
    <t>Mushti Yuddha primarily focuses on which type of combat?</t>
  </si>
  <si>
    <t>A) Stand-up fighting, B) Ground fighting, C) Weapon-based combat, D) Archery</t>
  </si>
  <si>
    <t>A) Stand-up fighting</t>
  </si>
  <si>
    <t>Which Mughal emperor's reign saw Mushti Yuddha contests become popular in the royal courts?</t>
  </si>
  <si>
    <t>A) Akbar, B) Jahangir, C) Shah Jahan, D) Aurangzeb</t>
  </si>
  <si>
    <t>B) Jahangir</t>
  </si>
  <si>
    <t>Mushti Yuddha practitioners often focus on targeting which of the following?</t>
  </si>
  <si>
    <t>A) Joints, B) Vital points, C) Limbs, D) Torso</t>
  </si>
  <si>
    <t>B) Vital points</t>
  </si>
  <si>
    <t>Which famous Indian warrior king was known to have practiced Mushti Yuddha?</t>
  </si>
  <si>
    <t>A) Ashoka, B) Shivaji, C) Maharana Pratap, D) Tipu Sultan</t>
  </si>
  <si>
    <t>C) Maharana Pratap</t>
  </si>
  <si>
    <t>Mushti Yuddha competitions were typically held during which type of Indian festival?</t>
  </si>
  <si>
    <t>A) Harvest festivals, B) Monsoon festivals, C) Religious festivals, D) Spring festivals</t>
  </si>
  <si>
    <t>A) Harvest festivals</t>
  </si>
  <si>
    <t>Which Indian region's traditional martial practices influenced the techniques of Mushti Yuddha?</t>
  </si>
  <si>
    <t>A) South India, B) North India, C) Northeast India, D) West India</t>
  </si>
  <si>
    <t>B) North India</t>
  </si>
  <si>
    <t>In Mushti Yuddha, what does the term 'Varja' signify?</t>
  </si>
  <si>
    <t>A) Defensive stance, B) Lightning speed, C) Crushing force, D) Divine power</t>
  </si>
  <si>
    <t>C) Crushing force</t>
  </si>
  <si>
    <t>Which popular Mushti Yuddha practitioner was known for defeating multiple Mughal wrestlers in a royal competition?</t>
  </si>
  <si>
    <t>A) Sadashiva, B) Gama Pehlwan, C) Balram, D) Raja Man Singh</t>
  </si>
  <si>
    <t>B) Gama Pehlwan</t>
  </si>
  <si>
    <t>Mushti Yuddha was historically considered as preparation for which of the following?</t>
  </si>
  <si>
    <t>A) War, B) Religious ceremonies, C) Hunting, D) Farming</t>
  </si>
  <si>
    <t>A) War</t>
  </si>
  <si>
    <t>In Mushti Yuddha, which stance is typically used to prepare for a powerful punch?</t>
  </si>
  <si>
    <t>A) The Asana stance, B) The Mudra stance, C) The Stambha stance, D) The Vira stance</t>
  </si>
  <si>
    <t>D) The Vira stance</t>
  </si>
  <si>
    <t>The rules of Mushti Yuddha were influenced by which ancient Indian treatise on warfare and combat?</t>
  </si>
  <si>
    <t>A) Arthashastra, B) Sushruta Samhita, C) Natya Shastra, D) Kamasutra</t>
  </si>
  <si>
    <t>A) Arthashastra</t>
  </si>
  <si>
    <t>What was the primary training tool for strength development in Mushti Yuddha?</t>
  </si>
  <si>
    <t>A) Dumbbells, B) Mace (Gada), C) Kettlebells, D) Elastic bands</t>
  </si>
  <si>
    <t>B) Mace (Gada)</t>
  </si>
  <si>
    <t>Which famous Mughal wrestling champion faced a Mushti Yuddha fighter in a historic bout?</t>
  </si>
  <si>
    <t>A) Rustam-e-Hind, B) Bholu Pehlwan, C) Baqar Ali, D) Gulam Mohammad</t>
  </si>
  <si>
    <t>C) Baqar Ali</t>
  </si>
  <si>
    <t>What is the name of the move in Mushti Yuddha that mimics the action of a tiger attacking its prey?</t>
  </si>
  <si>
    <t>A) Simhakrida, B) Garudapat, C) Mayurasana, D) Vrischika</t>
  </si>
  <si>
    <t>A) Simhakrida</t>
  </si>
  <si>
    <t>Which Vedic deity is often invoked in Mushti Yuddha practices for strength and victory?</t>
  </si>
  <si>
    <t>A) Indra, B) Agni, C) Vayu, D) Varuna</t>
  </si>
  <si>
    <t>A) Indra</t>
  </si>
  <si>
    <t>In Mushti Yuddha, a bout typically ends when:</t>
  </si>
  <si>
    <t>A) Time runs out, B) One fighter is knocked out, C) Referee stops the fight, D) Fighter surrenders</t>
  </si>
  <si>
    <t>B) One fighter is knocked out</t>
  </si>
  <si>
    <t>Which move in Mushti Yuddha involves a swift, upward punch directed at the opponent's chin?</t>
  </si>
  <si>
    <t>A) Padmavan, B) Urdhva Mushti, C) Adhomukha, D) Pashupati</t>
  </si>
  <si>
    <t>B) Urdhva Mushti</t>
  </si>
  <si>
    <t>Mushti Yuddha was historically used to settle disputes between which groups?</t>
  </si>
  <si>
    <t>A) Farmers, B) Royals, C) Traders, D) Clerics</t>
  </si>
  <si>
    <t>B) Royals</t>
  </si>
  <si>
    <t>Which text mentions the physical exercises that are beneficial for Mushti Yuddha practitioners?</t>
  </si>
  <si>
    <t>A) Hatha Yoga Pradipika, B) Charaka Samhita, C) Patanjali Yoga Sutras, D) Sushruta Samhita</t>
  </si>
  <si>
    <t>A) Hatha Yoga Pradipika</t>
  </si>
  <si>
    <t>What is a common Mushti Yuddha training exercise involving carrying weights to build strength?</t>
  </si>
  <si>
    <t>A) Bharam, B) Gada, C) Dand, D) Baithak</t>
  </si>
  <si>
    <t>B) Gada</t>
  </si>
  <si>
    <t>Which Indian festival is often associated with Mushti Yuddha demonstrations and competitions?</t>
  </si>
  <si>
    <t>A) Holi, B) Diwali, C) Makar Sankranti, D) Dussehra</t>
  </si>
  <si>
    <t>C) Makar Sankranti</t>
  </si>
  <si>
    <t>Which traditional Indian sport shares similarities with Mushti Yuddha in terms of grappling techniques?</t>
  </si>
  <si>
    <t>A) Kabaddi, B) Kushti, C) Mallakhamb, D) Kho-Kho</t>
  </si>
  <si>
    <t>B) Kushti</t>
  </si>
  <si>
    <t>What type of protective gear is traditionally used in Mushti Yuddha?</t>
  </si>
  <si>
    <t>A) Helmets, B) Gloves, C) Arm guards, D) None</t>
  </si>
  <si>
    <t>Mushti Yuddha bouts are often conducted in which type of setting?</t>
  </si>
  <si>
    <t>A) Open field, B) Stadium, C) Arena, D) Sandpit</t>
  </si>
  <si>
    <t>D) Sandpit</t>
  </si>
  <si>
    <t>Which historic battle is said to have featured soldiers trained in Mushti Yuddha techniques?</t>
  </si>
  <si>
    <t>A) Battle of Panipat, B) Battle of Haldighati, C) Battle of Plassey, D) Battle of Talikota</t>
  </si>
  <si>
    <t>B) Battle of Haldighati</t>
  </si>
  <si>
    <t>Mushti Yuddha fighters often practice a form of yoga known as:</t>
  </si>
  <si>
    <t>A) Bhakti Yoga, B) Raja Yoga, C) Karma Yoga, D) Hatha Yoga</t>
  </si>
  <si>
    <t>D) Hatha Yoga</t>
  </si>
  <si>
    <t>The term 'Yuddha' in Mushti Yuddha translates to:</t>
  </si>
  <si>
    <t>A) Dance, B) Meditation, C) Battle, D) Strength</t>
  </si>
  <si>
    <t>C) Battle</t>
  </si>
  <si>
    <t>What is the typical attire for a Mushti Yuddha practitioner during a bout?</t>
  </si>
  <si>
    <t>A) Full armor, B) Traditional dhoti, C) Kurta, D) Shirt and pants</t>
  </si>
  <si>
    <t>B) Traditional dhoti</t>
  </si>
  <si>
    <t>Which ancient Indian king is believed to have been a patron of Mushti Yuddha?</t>
  </si>
  <si>
    <t>A) Chandragupta Maurya, B) Harshavardhana, C) Ashoka, D) Chola Rajendra</t>
  </si>
  <si>
    <t>B) Harshavardhana</t>
  </si>
  <si>
    <t>In Mushti Yuddha, which technique involves a downward hammer strike to the opponent's shoulder?</t>
  </si>
  <si>
    <t>A) Bhuja Mushti, B) Taladhwaja, C) Gajakumbha, D) Sirobheda</t>
  </si>
  <si>
    <t>A) Bhuja Mushti</t>
  </si>
  <si>
    <t>Which Mughal emperor's general was defeated by a Mushti Yuddha practitioner in a famous duel?</t>
  </si>
  <si>
    <t>A) Akbar's general, B) Aurangzeb's general, C) Humayun's general, D) Babur's general</t>
  </si>
  <si>
    <t>B) Aurangzeb's general</t>
  </si>
  <si>
    <t>The traditional training ground for Mushti Yuddha is known as:</t>
  </si>
  <si>
    <t>A) Akhara, B) Dojo, C) Gymnasium, D) Arena</t>
  </si>
  <si>
    <t>A) Akhara</t>
  </si>
  <si>
    <t>Which traditional exercise is often used in Mushti Yuddha to improve leg strength?</t>
  </si>
  <si>
    <t>A) Pull-ups, B) Dand, C) Baithak, D) Sit-ups</t>
  </si>
  <si>
    <t>C) Baithak</t>
  </si>
  <si>
    <t>What is the name of the traditional Mushti Yuddha stance that mimics a horse?</t>
  </si>
  <si>
    <t>A) Ashwa Stambha, B) Gaja Stambha, C) Hamsa Stambha, D) Garuda Stambha</t>
  </si>
  <si>
    <t>A) Ashwa Stambha</t>
  </si>
  <si>
    <t>Which legendary wrestler from Varanasi was known for his prowess in Mushti Yuddha?</t>
  </si>
  <si>
    <t>A) Gama Pehlwan, B) Krishna Gopal, C) Amar Singh, D) Kunwar Singh</t>
  </si>
  <si>
    <t>B) Krishna Gopal</t>
  </si>
  <si>
    <t>Mushti Yuddha is often described as a battle of:</t>
  </si>
  <si>
    <t>A) Intelligence, B) Strength, C) Endurance, D) Willpower</t>
  </si>
  <si>
    <t>D) Willpower</t>
  </si>
  <si>
    <t>Which ancient Sanskrit text is believed to outline the rules of Mushti Yuddha?</t>
  </si>
  <si>
    <t>A) Natya Shastra, B) Arthashastra, C) Manusmriti, D) Dhanurveda</t>
  </si>
  <si>
    <t>D) Dhanurveda</t>
  </si>
  <si>
    <t>Which muscle group is most emphasized in Mushti Yuddha training?</t>
  </si>
  <si>
    <t>A) Chest, B) Legs, C) Core, D) Shoulders</t>
  </si>
  <si>
    <t>C) Core</t>
  </si>
  <si>
    <t>What is the traditional form of greeting between Mushti Yuddha fighters before a bout?</t>
  </si>
  <si>
    <t>A) Namaste, B) Bow, C) Touching feet, D) Jod-Tod</t>
  </si>
  <si>
    <t>D) Jod-Tod</t>
  </si>
  <si>
    <t>Mushti Yuddha fighters are trained to develop which type of vision?</t>
  </si>
  <si>
    <t>A) Tunnel vision, B) Peripheral vision, C) Night vision, D) Double vision</t>
  </si>
  <si>
    <t>B) Peripheral vision</t>
  </si>
  <si>
    <t>Which Indian dynasty is believed to have contributed to the spread of Mushti Yuddha?</t>
  </si>
  <si>
    <t>A) Maurya, B) Gupta, C) Chola, D) Pala</t>
  </si>
  <si>
    <t>B) Gupta</t>
  </si>
  <si>
    <t>Which animal movement is imitated in Mushti Yuddha to develop agility?</t>
  </si>
  <si>
    <t>A) Snake, B) Tiger, C) Monkey, D) Eagle</t>
  </si>
  <si>
    <t>C) Monkey</t>
  </si>
  <si>
    <t>What is the objective of the 'Gada' exercise in Mushti Yuddha training?</t>
  </si>
  <si>
    <t>A) Improve speed, B) Increase stamina, C) Develop grip strength, D) Enhance flexibility</t>
  </si>
  <si>
    <t>C) Develop grip strength</t>
  </si>
  <si>
    <t>Which specific breathing technique is emphasized during Mushti Yuddha matches?</t>
  </si>
  <si>
    <t>A) Bhastrika, B) Kapalbhati, C) Anulom Vilom, D) Surya Bheda</t>
  </si>
  <si>
    <t>A) Bhastrika</t>
  </si>
  <si>
    <t>Who was the first recorded winner of a Mushti Yuddha bout in the 19th century?</t>
  </si>
  <si>
    <t>A) Beni Singh, B) Gama Pehlwan, C) Krishna Gopal, D) Abhijit Verma</t>
  </si>
  <si>
    <t>A) Beni Singh</t>
  </si>
  <si>
    <t>In ancient India, Mushti Yuddha was often performed as a demonstration of strength in front of:</t>
  </si>
  <si>
    <t>A) Commoners, B) Royal courts, C) Foreign traders, D) Religious leaders</t>
  </si>
  <si>
    <t>B) Royal courts</t>
  </si>
  <si>
    <t>The term 'Mushti' in Mushti Yuddha refers to:</t>
  </si>
  <si>
    <t>A) Fist, B) Head, C) Foot, D) Knee</t>
  </si>
  <si>
    <t>A) Fist</t>
  </si>
  <si>
    <t>Which famous Indian freedom fighter was trained in Mushti Yuddha?</t>
  </si>
  <si>
    <t>A) Subhas Chandra Bose, B) Bhagat Singh, C) Chandrashekhar Azad, D) Sardar Patel</t>
  </si>
  <si>
    <t>C) Chandrashekhar Azad</t>
  </si>
  <si>
    <t>Mushti Yuddha fighters typically train in which natural element to increase resilience?</t>
  </si>
  <si>
    <t>A) Water, B) Sand, C) Forests, D) Mountains</t>
  </si>
  <si>
    <t>B) Sand</t>
  </si>
  <si>
    <t>Which Indian martial art shares a common heritage with Mushti Yuddha?</t>
  </si>
  <si>
    <t>A) Kalaripayattu, B) Thang Ta, C) Silambam, D) Gatka</t>
  </si>
  <si>
    <t>A) Kalaripayattu</t>
  </si>
  <si>
    <t>Mushti Yuddha practitioners often adhere to a strict diet that excludes:</t>
  </si>
  <si>
    <t>A) Meat, B) Dairy, C) Vegetables, D) Grains</t>
  </si>
  <si>
    <t>A) Meat</t>
  </si>
  <si>
    <t>Which Mughal emperor banned Mushti Yuddha due to its perceived violence?</t>
  </si>
  <si>
    <t>A) Akbar, B) Aurangzeb, C) Jahangir, D) Shah Jahan</t>
  </si>
  <si>
    <t>B) Aurangzeb</t>
  </si>
  <si>
    <t>Which Indian epic features a description of Mushti Yuddha in a battle scene?</t>
  </si>
  <si>
    <t>A) Mahabharata, B) Ramayana, C) Bhagavad Gita, D) Puranas</t>
  </si>
  <si>
    <t>What was the outcome of the famous Mushti Yuddha match between Rustam-e-Hind and Beni Singh?</t>
  </si>
  <si>
    <t>A) Draw, B) Rustam-e-Hind won, C) Beni Singh won, D) Match cancelled</t>
  </si>
  <si>
    <t>C) Beni Singh won</t>
  </si>
  <si>
    <t>The 'Kumbhaka' practice in Mushti Yuddha focuses on improving:</t>
  </si>
  <si>
    <t>A) Flexibility, B) Endurance, C) Speed, D) Breath control</t>
  </si>
  <si>
    <t>D) Breath control</t>
  </si>
  <si>
    <t>Which ancient Indian sage is believed to have documented Mushti Yuddha techniques?</t>
  </si>
  <si>
    <t>A) Vyasa, B) Vasistha, C) Agastya, D) Bharadwaja</t>
  </si>
  <si>
    <t>D) Bharadwaja</t>
  </si>
  <si>
    <t>Mushti Yuddha fighters often use which natural resource to train their grip strength?</t>
  </si>
  <si>
    <t>A) Water, B) Sand, C) Oil, D) Wood</t>
  </si>
  <si>
    <t>Which legendary Indian wrestler is considered one of the greatest practitioners of Mushti Yuddha?</t>
  </si>
  <si>
    <t>A) Dara Singh, B) Gama Pehlwan, C) Hanuman Akhara, D) Bheem Singh</t>
  </si>
  <si>
    <t>Which ancient weapon is sometimes used in advanced Mushti Yuddha training?</t>
  </si>
  <si>
    <t>A) Sword, B) Dagger, C) Bow, D) Spear</t>
  </si>
  <si>
    <t>B) Dagger</t>
  </si>
  <si>
    <t>What is the traditional form of massage used to enhance Mushti Yuddha training?</t>
  </si>
  <si>
    <t>A) Ayurvedic, B) Shiatsu, C) Swedish, D) Thai</t>
  </si>
  <si>
    <t>A) Ayurvedic</t>
  </si>
  <si>
    <t>Which element of nature is considered the embodiment of Mushti Yuddha's fighting spirit?</t>
  </si>
  <si>
    <t>A) Fire, B) Water, C) Earth, D) Wind</t>
  </si>
  <si>
    <t>A) Fire</t>
  </si>
  <si>
    <t>What was the main objective of Mushti Yuddha during ancient times?</t>
  </si>
  <si>
    <t>A) Entertainment, B) Spiritual growth, C) Military training, D) Religious practice</t>
  </si>
  <si>
    <t>C) Military training</t>
  </si>
  <si>
    <t>Who is considered the 'Father of Modern Mushti Yuddha' for his efforts to revive the sport?</t>
  </si>
  <si>
    <t>A) Beni Prasad, B) Krishna Gopal, C) Guru Hanuman, D) Abhijit Verma</t>
  </si>
  <si>
    <t>C) Guru Hanuman</t>
  </si>
  <si>
    <t>Which move in Mushti Yuddha is designed to dislocate the opponent's shoulder?</t>
  </si>
  <si>
    <t>A) Bahubandha, B) Kudukasana, C) Bhuja Mushti, D) Skandabheda</t>
  </si>
  <si>
    <t>D) Skandabheda</t>
  </si>
  <si>
    <t>Mushti Yuddha practitioners believe that true mastery of the sport requires the integration of:</t>
  </si>
  <si>
    <t>A) Mind and body, B) Strength and speed, C) Power and technique, D) All of the above</t>
  </si>
  <si>
    <t>In ancient Indian courts, Mushti Yuddha was often showcased alongside which art form?</t>
  </si>
  <si>
    <t>A) Dance, B) Music, C) Painting, D) Poetry</t>
  </si>
  <si>
    <t>A) Dance</t>
  </si>
  <si>
    <t>Which legendary warrior king was known to have practiced Mushti Yuddha?</t>
  </si>
  <si>
    <t>A) Shivaji Maharaj, B) Maharana Pratap, C) Ashoka, D) Bindusara</t>
  </si>
  <si>
    <t>B) Maharana Pratap</t>
  </si>
  <si>
    <t>What is the primary focus of 'Nadi Shodhana' practice in Mushti Yuddha training?</t>
  </si>
  <si>
    <t>A) Flexibility, B) Mental clarity, C) Endurance, D) Strength</t>
  </si>
  <si>
    <t>B) Mental clarity</t>
  </si>
  <si>
    <t>Which famous 20th-century Indian film depicted Mushti Yuddha in its storyline?</t>
  </si>
  <si>
    <t>A) Mughal-E-Azam, B) Baahubali, C) Mahabharat, D) Raja Harishchandra</t>
  </si>
  <si>
    <t>A) Mughal-E-Azam</t>
  </si>
  <si>
    <t>Mushti Yuddha's origins are closely tied to which religious traditions?</t>
  </si>
  <si>
    <t>A) Jainism and Sikhism, B) Hinduism and Buddhism, C) Islam and Christianity, D) Zoroastrianism and Judaism</t>
  </si>
  <si>
    <t>B) Hinduism and Buddhism</t>
  </si>
  <si>
    <t>The phrase 'Mushti Yuddha' is most closely associated with which region of India?</t>
  </si>
  <si>
    <t>A) Punjab, B) Rajasthan, C) Uttar Pradesh, D) Tamil Nadu</t>
  </si>
  <si>
    <t>Which ancient Indian scholar is believed to have written about Mushti Yuddha in his works?</t>
  </si>
  <si>
    <t>A) Patanjali, B) Kalidasa, C) Vatsyayana, D) Chanakya</t>
  </si>
  <si>
    <t>A) Patanjali</t>
  </si>
  <si>
    <t>In Mushti Yuddha, which stance is adopted to evade an opponent's attack?</t>
  </si>
  <si>
    <t>A) Vajrasana, B) Bhadrasana, C) Uttanasana, D) Parvatasana</t>
  </si>
  <si>
    <t>B) Bhadrasana</t>
  </si>
  <si>
    <t>Which fruit is traditionally used by Mushti Yuddha fighters to build hand strength?</t>
  </si>
  <si>
    <t>A) Coconut, B) Mango, C) Banana, D) Guava</t>
  </si>
  <si>
    <t>A) Coconut</t>
  </si>
  <si>
    <t>Mushti Yuddha training often includes a regimen involving which type of yoga?</t>
  </si>
  <si>
    <t>A) Hatha Yoga, B) Ashtanga Yoga, C) Kundalini Yoga, D) Iyengar Yoga</t>
  </si>
  <si>
    <t>A) Hatha Yoga</t>
  </si>
  <si>
    <t>Which element is considered crucial for Mushti Yuddha fighters to balance according to Ayurveda?</t>
  </si>
  <si>
    <t>A) Air, B) Fire, C) Earth, D) Water</t>
  </si>
  <si>
    <t>B) Fire</t>
  </si>
  <si>
    <t>Mushti Yuddha techniques often focus on striking which vital points of the body?</t>
  </si>
  <si>
    <t>A) Marma points, B) Chakra points, C) Acupuncture points, D) Reflex points</t>
  </si>
  <si>
    <t>A) Marma points</t>
  </si>
  <si>
    <t>What was the primary purpose of Mushti Yuddha in ancient Indian society?</t>
  </si>
  <si>
    <t>A) Self-defense, B) Military training, C) Religious ritual, D) Entertainment</t>
  </si>
  <si>
    <t>B) Military training</t>
  </si>
  <si>
    <t>Which deity is often invoked for blessings before a Mushti Yuddha match?</t>
  </si>
  <si>
    <t>A) Shiva, B) Vishnu, C) Kali, D) Hanuman</t>
  </si>
  <si>
    <t>D) Hanuman</t>
  </si>
  <si>
    <t>Which famous Mushti Yuddha move is known for targeting an opponent's ribs?</t>
  </si>
  <si>
    <t>A) Vajra Pradhan, B) Dridh Mushti, C) Churiki, D) Shanka Hasta</t>
  </si>
  <si>
    <t>C) Churiki</t>
  </si>
  <si>
    <t>What is the primary aim of using the 'Mrigasana' stance in Mushti Yuddha?</t>
  </si>
  <si>
    <t>A) Defense, B) Aggression, C) Speed, D) Balance</t>
  </si>
  <si>
    <t>D) Balance</t>
  </si>
  <si>
    <t>Which Mushti Yuddha technique focuses on utilizing elbow strikes?</t>
  </si>
  <si>
    <t>A) Trikona Hasta, B) Pada Pradhan, C) Kati Bandha, D) Bahu Bheda</t>
  </si>
  <si>
    <t>D) Bahu Bheda</t>
  </si>
  <si>
    <t>Who was a renowned Mushti Yuddha trainer during the medieval period in India?</t>
  </si>
  <si>
    <t>A) Ramachandra, B) Govindacharya, C) Mahipati, D) Bhairava</t>
  </si>
  <si>
    <t>B) Govindacharya</t>
  </si>
  <si>
    <t>Which move in Mushti Yuddha is known for targeting the opponent's neck?</t>
  </si>
  <si>
    <t>A) Greeva Mushti, B) Skandha Viddhi, C) Bhuja Danda, D) Hasta Bheda</t>
  </si>
  <si>
    <t>A) Greeva Mushti</t>
  </si>
  <si>
    <t>Which ancient Indian text describes the principles of Mushti Yuddha?</t>
  </si>
  <si>
    <t>A) Arthashastra, B) Mahabharata, C) Manusmriti, D) Yogasutra</t>
  </si>
  <si>
    <t>Which term in Mushti Yuddha refers to a punch aimed at the solar plexus?</t>
  </si>
  <si>
    <t>A) Nabhi Pradarshan, B) Surya Hasta, C) Aditya Pradhana, D) Nabhi Bheda</t>
  </si>
  <si>
    <t>D) Nabhi Bheda</t>
  </si>
  <si>
    <t>What is the goal of the 'Vajra Hasta' technique in Mushti Yuddha?</t>
  </si>
  <si>
    <t>A) Knockout, B) Disarm, C) Distract, D) Grapple</t>
  </si>
  <si>
    <t>A) Knockout</t>
  </si>
  <si>
    <t>In Mushti Yuddha, which stance mimics the stance of a lion?</t>
  </si>
  <si>
    <t>A) Simhasana, B) Vyaghrasana, C) Gajasana, D) Garudasana</t>
  </si>
  <si>
    <t>A) Simhasana</t>
  </si>
  <si>
    <t>Which part of the body is primarily used in the 'Pada Hasta' technique of Mushti Yuddha?</t>
  </si>
  <si>
    <t>A) Hands, B) Feet, C) Knees, D) Elbows</t>
  </si>
  <si>
    <t>B) Feet</t>
  </si>
  <si>
    <t>Which Mushti Yuddha move is designed to break an opponent's grip?</t>
  </si>
  <si>
    <t>A) Hasta Praksha, B) Bhujanga Viddhi, C) Garuda Hasta, D) Vajra Bheda</t>
  </si>
  <si>
    <t>A) Hasta Praksha</t>
  </si>
  <si>
    <t>What type of training is emphasized in Mushti Yuddha to improve footwork?</t>
  </si>
  <si>
    <t>A) Dance, B) Jumping, C) Shadowboxing, D) Agility drills</t>
  </si>
  <si>
    <t>D) Agility drills</t>
  </si>
  <si>
    <t>Which historical ruler is known for sponsoring Mushti Yuddha matches in his kingdom?</t>
  </si>
  <si>
    <t>A) Raja Bhoja, B) Vikramaditya, C) Ashoka, D) Harsha</t>
  </si>
  <si>
    <t>B) Vikramaditya</t>
  </si>
  <si>
    <t>Which breathing technique is commonly practiced before a Mushti Yuddha bout?</t>
  </si>
  <si>
    <t>A) Pranayama, B) Bhramari, C) Sitali, D) Ujjayi</t>
  </si>
  <si>
    <t>A) Pranayama</t>
  </si>
  <si>
    <t>Which element of Indian culture has a significant influence on Mushti Yuddha?</t>
  </si>
  <si>
    <t>A) Literature, B) Music, C) Dance, D) Yoga</t>
  </si>
  <si>
    <t>D) Yoga</t>
  </si>
  <si>
    <t>What is the significance of the 'Surya Hasta' in Mushti Yuddha?</t>
  </si>
  <si>
    <t>A) A punch aimed at the opponent's head, B) A defensive block, C) A feint move, D) A grapple technique</t>
  </si>
  <si>
    <t>A) A punch aimed at the opponent's head</t>
  </si>
  <si>
    <t>Mushti Yuddha training often includes which type of weapon for advanced practitioners?</t>
  </si>
  <si>
    <t>A) Mace, B) Bow, C) Sword, D) Staff</t>
  </si>
  <si>
    <t>A) Mace</t>
  </si>
  <si>
    <t>Which ancient Indian king was known to be a patron of Mushti Yuddha?</t>
  </si>
  <si>
    <t>A) Chandragupta Maurya, B) Ashoka, C) Harshavardhana, D) Krishnadevaraya</t>
  </si>
  <si>
    <t>D) Krishnadevaraya</t>
  </si>
  <si>
    <t>What is the primary focus of 'Chakra Viddhi' in Mushti Yuddha?</t>
  </si>
  <si>
    <t>A) Speed, B) Precision, C) Flexibility, D) Defense</t>
  </si>
  <si>
    <t>B) Precision</t>
  </si>
  <si>
    <t>Which famous Mushti Yuddha practitioner is known for introducing new techniques in the 20th century?</t>
  </si>
  <si>
    <t>A) Guru Hanuman, B) Gama Pehlwan, C) Dara Singh, D) Balram</t>
  </si>
  <si>
    <t>Which aspect of Mushti Yuddha focuses on developing mental fortitude?</t>
  </si>
  <si>
    <t>A) Physical endurance, B) Tactical training, C) Meditation, D) Dietary control</t>
  </si>
  <si>
    <t>C) Meditation</t>
  </si>
  <si>
    <t>Mushti Yuddha competitions are traditionally held in which environment?</t>
  </si>
  <si>
    <t>A) Indoor stadiums, B) Open fields, C) Courtyards, D) Temples</t>
  </si>
  <si>
    <t>C) Courtyards</t>
  </si>
  <si>
    <t>Which Mushti Yuddha move is primarily defensive and focuses on avoiding hits?</t>
  </si>
  <si>
    <t>A) Gati Prakasha, B) Chalan Gati, C) Sanchalan, D) Greeva Raksha</t>
  </si>
  <si>
    <t>D) Greeva Raksha</t>
  </si>
  <si>
    <t>What is the purpose of the 'Pada Pradarshan' technique in Mushti Yuddha?</t>
  </si>
  <si>
    <t>A) Attack with feet, B) Distract the opponent, C) Display agility, D) Defensive stance</t>
  </si>
  <si>
    <t>A) Attack with feet</t>
  </si>
  <si>
    <t>Which natural element is often associated with the philosophy of Mushti Yuddha?</t>
  </si>
  <si>
    <t>A) Water, B) Fire, C) Earth, D) Wind</t>
  </si>
  <si>
    <t>C) Earth</t>
  </si>
  <si>
    <t>Who is considered the legendary founder of Mushti Yuddha in Indian mythology?</t>
  </si>
  <si>
    <t>A) Parashurama, B) Bhishma, C) Hanuman, D) Arjuna</t>
  </si>
  <si>
    <t>C) Hanuman</t>
  </si>
  <si>
    <t>Which Indian festival often features exhibitions of Mushti Yuddha?</t>
  </si>
  <si>
    <t>A) Diwali, B) Holi, C) Dussehra, D) Makar Sankranti</t>
  </si>
  <si>
    <t>D) Makar Sankranti</t>
  </si>
  <si>
    <t>What is the objective of the 'Vajra Prakasha' move in Mushti Yuddha?</t>
  </si>
  <si>
    <t>A) Feint an attack, B) Strike with force, C) Deflect a blow, D) Break the opponent's stance</t>
  </si>
  <si>
    <t>B) Strike with force</t>
  </si>
  <si>
    <t>Which physical quality is considered most important in Mushti Yuddha?</t>
  </si>
  <si>
    <t>A) Strength, B) Agility, C) Endurance, D) Balance</t>
  </si>
  <si>
    <t>In Mushti Yuddha, the 'Trikonasana' posture is primarily used for:</t>
  </si>
  <si>
    <t>A) Defense, B) Offense, C) Balance, D) Agility</t>
  </si>
  <si>
    <t>C) Balance</t>
  </si>
  <si>
    <t>Which famous Mushti Yuddha practitioner was known for his undefeated streak?</t>
  </si>
  <si>
    <t>A) Bheem Singh, B) Gama Pehlwan, C) Abhijit Verma, D) Kashi Nath</t>
  </si>
  <si>
    <t>What is the main purpose of 'Hasta Mudra' in Mushti Yuddha?</t>
  </si>
  <si>
    <t>A) Attack, B) Defense, C) Meditation, D) Distraction</t>
  </si>
  <si>
    <t>B) Defense</t>
  </si>
  <si>
    <t>Which specific diet is recommended for Mushti Yuddha practitioners?</t>
  </si>
  <si>
    <t>A) Vegetarian diet, B) High protein diet, C) Low carb diet, D) Mediterranean diet</t>
  </si>
  <si>
    <t>B) High protein diet</t>
  </si>
  <si>
    <t>What is the primary goal of 'Sanchalan' in Mushti Yuddha?</t>
  </si>
  <si>
    <t>A) Attack, B) Defense, C) Balance, D) Feint</t>
  </si>
  <si>
    <t>Which ancient text describes the martial arts practices similar to Mushti Yuddha?</t>
  </si>
  <si>
    <t>A) Kamasutra, B) Natya Shastra, C) Dhanurveda, D) Vedas</t>
  </si>
  <si>
    <t>C) Dhanurveda</t>
  </si>
  <si>
    <t>Which breathing technique is specifically used to enhance focus in Mushti Yuddha?</t>
  </si>
  <si>
    <t>A) Kapalbhati, B) Anulom Vilom, C) Bhastrika, D) Ujjayi</t>
  </si>
  <si>
    <t>D) Ujjayi</t>
  </si>
  <si>
    <t>Which animal's stance is mimicked in the 'Vyaghrasana' posture in Mushti Yuddha?</t>
  </si>
  <si>
    <t>A) Elephant, B) Lion, C) Tiger, D) Eagle</t>
  </si>
  <si>
    <t>C) Tiger</t>
  </si>
  <si>
    <t>Which Indian state is traditionally known for its Mushti Yuddha practitioners?</t>
  </si>
  <si>
    <t>A) Punjab, B) Maharashtra, C) Kerala, D) Karnataka</t>
  </si>
  <si>
    <t>Which form of combat is closely related to Mushti Yuddha in South India?</t>
  </si>
  <si>
    <t>A) Silambam, B) Kalaripayattu, C) Thang-Ta, D) Mardani Khel</t>
  </si>
  <si>
    <t>B) Kalaripayattu</t>
  </si>
  <si>
    <t>What is the meaning of 'Mardani' in the context of Mardani Khel, related to Mushti Yuddha?</t>
  </si>
  <si>
    <t>A) Warrior, B) Defense, C) Aggression, D) Strength</t>
  </si>
  <si>
    <t>A) Warrior</t>
  </si>
  <si>
    <t>In Mushti Yuddha, what does 'Pradarshan' refer to?</t>
  </si>
  <si>
    <t>A) Attack display, B) Defensive stance, C) Agility display, D) Power display</t>
  </si>
  <si>
    <t>A) Attack display</t>
  </si>
  <si>
    <t>What role does 'Pranayama' play in Mushti Yuddha training?</t>
  </si>
  <si>
    <t>A) Increase speed, B) Enhance strength, C) Improve focus, D) Develop flexibility</t>
  </si>
  <si>
    <t>C) Improve focus</t>
  </si>
  <si>
    <t>Which ancient warrior is believed to have practiced Mushti Yuddha?</t>
  </si>
  <si>
    <t>A) Karna, B) Bhima, C) Arjuna, D) Ashwathama</t>
  </si>
  <si>
    <t>B) Bhima</t>
  </si>
  <si>
    <t>Which martial art is considered the Northern counterpart to Mushti Yuddha?</t>
  </si>
  <si>
    <t>A) Gatka, B) Kushti, C) Thang-Ta, D) Pehlwani</t>
  </si>
  <si>
    <t>D) Pehlwani</t>
  </si>
  <si>
    <t>Which popular martial art in India was influenced by Mushti Yuddha?</t>
  </si>
  <si>
    <t>A) Boxing, B) Wrestling, C) Judo, D) Karate</t>
  </si>
  <si>
    <t>B) Wrestling</t>
  </si>
  <si>
    <t>What is the 'Bhujanga Viddhi' move designed to do in Mushti Yuddha?</t>
  </si>
  <si>
    <t>A) Immobilize the opponent, B) Deliver a quick strike, C) Disarm, D) Distract</t>
  </si>
  <si>
    <t>A) Immobilize the opponent</t>
  </si>
  <si>
    <t>Which famous Indian epic features a depiction of Mushti Yuddha?</t>
  </si>
  <si>
    <t>A) Ramayana, B) Mahabharata, C) Bhagavad Gita, D) Upanishads</t>
  </si>
  <si>
    <t>Which type of body conditioning is emphasized in Mushti Yuddha?</t>
  </si>
  <si>
    <t>A) Cardiovascular endurance, B) Muscle hypertrophy, C) Flexibility, D) Bone density</t>
  </si>
  <si>
    <t>D) Bone density</t>
  </si>
  <si>
    <t>Which stance is considered the best defensive posture in Mushti Yuddha?</t>
  </si>
  <si>
    <t>A) Bhadrasana, B) Vajrasana, C) Garudasana, D) Dhanurasana</t>
  </si>
  <si>
    <t>A) Bhadrasana</t>
  </si>
  <si>
    <t>What does the 'Hasta Praksha' technique focus on?</t>
  </si>
  <si>
    <t>A) Hand grip, B) Arm strength, C) Leg flexibility, D) Head movement</t>
  </si>
  <si>
    <t>A) Hand grip</t>
  </si>
  <si>
    <t>Which aspect of Mushti Yuddha is primarily focused on during training?</t>
  </si>
  <si>
    <t>A) Mindfulness, B) Aggression, C) Flexibility, D) Endurance</t>
  </si>
  <si>
    <t>D) Endurance</t>
  </si>
  <si>
    <t>In Mushti Yuddha, which move is aimed at the opponent's head?</t>
  </si>
  <si>
    <t>A) Mastak Pradarshan, B) Shirshak Viddhi, C) Kapal Hasta, D) Mukha Pradhan</t>
  </si>
  <si>
    <t>C) Kapal Hasta</t>
  </si>
  <si>
    <t>Which posture is used to demonstrate control in Mushti Yuddha?</t>
  </si>
  <si>
    <t>A) Tadasana, B) Siddhasana, C) Sukhasana, D) Padmasana</t>
  </si>
  <si>
    <t>B) Siddhasana</t>
  </si>
  <si>
    <t>Which principle is considered foundational in Mushti Yuddha?</t>
  </si>
  <si>
    <t>A) Speed over strength, B) Balance over power, C) Flexibility over force, D) Endurance over speed</t>
  </si>
  <si>
    <t>B) Balance over power</t>
  </si>
  <si>
    <t>What is the main focus of the 'Sanchalan' technique in Mushti Yuddha?</t>
  </si>
  <si>
    <t>A) Strength, B) Speed, C) Agility, D) Defense</t>
  </si>
  <si>
    <t>C) Agility</t>
  </si>
  <si>
    <t>Which traditional weapon is sometimes used in advanced Mushti Yuddha training?</t>
  </si>
  <si>
    <t>A) Spear, B) Dagger, C) Shield, D) Sword</t>
  </si>
  <si>
    <t>Which famous Mushti Yuddha move is known for its swiftness and agility?</t>
  </si>
  <si>
    <t>A) Churiki, B) Vajra Hasta, C) Vyaghrasana, D) Gati Pradarshan</t>
  </si>
  <si>
    <t>D) Gati Pradarshan</t>
  </si>
  <si>
    <t>In Mushti Yuddha, what is the 'Dridh Mushti' technique aimed at?</t>
  </si>
  <si>
    <t>A) Strengthening grip, B) Quick strikes, C) Defensive maneuvers, D) Feints</t>
  </si>
  <si>
    <t>A) Strengthening grip</t>
  </si>
  <si>
    <t>Which dietary practice is emphasized for Mushti Yuddha practitioners?</t>
  </si>
  <si>
    <t>A) Intermittent fasting, B) High carb diet, C) Keto diet, D) Protein-rich diet</t>
  </si>
  <si>
    <t>D) Protein-rich diet</t>
  </si>
  <si>
    <t>Which mantra is traditionally chanted before Mushti Yuddha bouts?</t>
  </si>
  <si>
    <t>A) Gayatri Mantra, B) Hanuman Chalisa, C) Mahamrityunjaya Mantra, D) Durga Saptashati</t>
  </si>
  <si>
    <t>B) Hanuman Chalisa</t>
  </si>
  <si>
    <t>What is the focus of 'Trikona Hasta' in Mushti Yuddha?</t>
  </si>
  <si>
    <t>A) Balance, B) Flexibility, C) Strength, D) Precision</t>
  </si>
  <si>
    <t>D) Precision</t>
  </si>
  <si>
    <t>Which ancient Indian text discusses strategies similar to Mushti Yuddha?</t>
  </si>
  <si>
    <t>A) Arthashastra, B) Manusmriti, C) Bhagavad Gita, D) Vedas</t>
  </si>
  <si>
    <t>Which modern combat sport is most closely related to Mushti Yuddha?</t>
  </si>
  <si>
    <t>A) MMA, B) Boxing, C) Taekwondo, D) Muay Thai</t>
  </si>
  <si>
    <t>B) Boxing</t>
  </si>
  <si>
    <t>What is the primary goal of 'Gati Pradarshan' in Mushti Yuddha?</t>
  </si>
  <si>
    <t>A) To showcase speed, B) To exhibit strength, C) To show balance, D) To demonstrate technique</t>
  </si>
  <si>
    <t>A) To showcase speed</t>
  </si>
  <si>
    <t>Which Mushti Yuddha technique is designed to improve breathing and stamina?</t>
  </si>
  <si>
    <t>A) Ujjayi Pranayama, B) Surya Namaskar, C) Kapalbhati, D) Anulom Vilom</t>
  </si>
  <si>
    <t>A) Ujjayi Pranayama</t>
  </si>
  <si>
    <t>Which region in India is known for its traditional Mushti Yuddha schools?</t>
  </si>
  <si>
    <t>A) Kerala, B) Uttar Pradesh, C) Gujarat, D) Rajasthan</t>
  </si>
  <si>
    <t>B) Uttar Pradesh</t>
  </si>
  <si>
    <t>Which type of training is emphasized in Mushti Yuddha to develop strong fists?</t>
  </si>
  <si>
    <t>A) Punching bags, B) Hand grips, C) Makiwara board, D) Finger push-ups</t>
  </si>
  <si>
    <t>C) Makiwara board</t>
  </si>
  <si>
    <t>What does the 'Parshva Hasta' technique target in Mushti Yuddha?</t>
  </si>
  <si>
    <t>A) Side strikes, B) Upper cuts, C) Low kicks, D) Wrist movements</t>
  </si>
  <si>
    <t>A) Side strikes</t>
  </si>
  <si>
    <t>What is the significance of the 'Vajra Hasta' posture in Mushti Yuddha?</t>
  </si>
  <si>
    <t>A) Strength, B) Agility, C) Balance, D) Precision</t>
  </si>
  <si>
    <t>A) Strength</t>
  </si>
  <si>
    <t>Which breathing practice is most beneficial for calming the mind before a Mushti Yuddha match?</t>
  </si>
  <si>
    <t>A) Kapalbhati, B) Anulom Vilom, C) Bhastrika, D) Nadi Shodhana</t>
  </si>
  <si>
    <t>D) Nadi Shodhana</t>
  </si>
  <si>
    <t>What is the role of 'Hasta Abhyasa' in Mushti Yuddha?</t>
  </si>
  <si>
    <t>A) Strengthen hands, B) Improve leg flexibility, C) Enhance balance, D) Increase endurance</t>
  </si>
  <si>
    <t>A) Strengthen hands</t>
  </si>
  <si>
    <t>Which traditional ritual is performed before starting a Mushti Yuddha match?</t>
  </si>
  <si>
    <t>A) Arati, B) Yajna, C) Vandana, D) Tilak</t>
  </si>
  <si>
    <t>C) Vandana</t>
  </si>
  <si>
    <t>Which Mushti Yuddha move is specifically designed to target an opponent’s lower body?</t>
  </si>
  <si>
    <t>A) Mardani, B) Padm Hasta, C) Tarjani, D) Pada Pradarshan</t>
  </si>
  <si>
    <t>D) Pada Pradarshan</t>
  </si>
  <si>
    <t>In Mushti Yuddha, what is the primary function of 'Hasta Bandhan'?</t>
  </si>
  <si>
    <t>A) Locking the opponent's wrist, B) Creating balance, C) Increasing speed, D) Enhancing grip</t>
  </si>
  <si>
    <t>A) Locking the opponent's wrist</t>
  </si>
  <si>
    <t>Which historical figure is said to have used Mushti Yuddha techniques in the battlefield?</t>
  </si>
  <si>
    <t>A) Shivaji Maharaj, B) Maharana Pratap, C) Ashoka, D) Chandragupta Maurya</t>
  </si>
  <si>
    <t>Which type of footwork is emphasized in Mushti Yuddha to maintain balance?</t>
  </si>
  <si>
    <t>A) Backward stepping, B) Circular movements, C) Side-stepping, D) Forward thrusts</t>
  </si>
  <si>
    <t>C) Side-stepping</t>
  </si>
  <si>
    <t>What does 'Garuda Hasta' symbolize in Mushti Yuddha?</t>
  </si>
  <si>
    <t>A) Speed and agility, B) Power and strength, C) Defense and protection, D) Vision and focus</t>
  </si>
  <si>
    <t>C) Defense and protection</t>
  </si>
  <si>
    <t>Which animal is symbolically represented by the 'Gaja Hasta' move in Mushti Yuddha?</t>
  </si>
  <si>
    <t>A) Elephant, B) Lion, C) Horse, D) Snake</t>
  </si>
  <si>
    <t>Which move in Mushti Yuddha is specifically designed for counter-attacks?</t>
  </si>
  <si>
    <t>A) Tarjani, B) Uddiyam, C) Vyapad, D) Aahat</t>
  </si>
  <si>
    <t>C) Vyapad</t>
  </si>
  <si>
    <t>Which Indian sage is often credited with teaching the early forms of Mushti Yuddha?</t>
  </si>
  <si>
    <t>A) Agastya, B) Patanjali, C) Vashistha, D) Vishwamitra</t>
  </si>
  <si>
    <t>A) Agastya</t>
  </si>
  <si>
    <t>What is the primary focus of 'Shirsha Hasta' in Mushti Yuddha?</t>
  </si>
  <si>
    <t>A) Head attacks, B) Leg sweeps, C) Hand defenses, D) Wrist locks</t>
  </si>
  <si>
    <t>A) Head attacks</t>
  </si>
  <si>
    <t>Which body part is primarily strengthened using the 'Prana Mudra' in Mushti Yuddha?</t>
  </si>
  <si>
    <t>A) Arms, B) Legs, C) Torso, D) Neck</t>
  </si>
  <si>
    <t>B) Legs</t>
  </si>
  <si>
    <t>What is the significance of the 'Makara Hasta' in Mushti Yuddha?</t>
  </si>
  <si>
    <t>A) Defense, B) Strength, C) Agility, D) Stamina</t>
  </si>
  <si>
    <t>D) Stamina</t>
  </si>
  <si>
    <t>Which legendary Indian wrestler was known to incorporate Mushti Yuddha techniques in his training?</t>
  </si>
  <si>
    <t>A) Dara Singh, B) K. D. Jadhav, C) Rustom-e-Hind, D) The Great Khali</t>
  </si>
  <si>
    <t>A) Dara Singh</t>
  </si>
  <si>
    <t>What is the focus of the 'Pratyaksha Hasta' technique in Mushti Yuddha?</t>
  </si>
  <si>
    <t>A) Blocking strikes, B) Countering attacks, C) Feinting moves, D) Direct assaults</t>
  </si>
  <si>
    <t>D) Direct assaults</t>
  </si>
  <si>
    <t>Which weapon is occasionally used in advanced Mushti Yuddha training to develop precision?</t>
  </si>
  <si>
    <t>A) Sword, B) Spear, C) Staff, D) Knife</t>
  </si>
  <si>
    <t>C) Staff</t>
  </si>
  <si>
    <t>Which Mushti Yuddha stance emphasizes low center of gravity?</t>
  </si>
  <si>
    <t>A) Utkatasana, B) Malasana, C) Tadasana, D) Sirsasana</t>
  </si>
  <si>
    <t>B) Malasana</t>
  </si>
  <si>
    <t>What is the purpose of 'Aahat' in Mushti Yuddha?</t>
  </si>
  <si>
    <t>A) To deliver a surprise attack, B) To defend against an uppercut, C) To maintain balance, D) To enhance breathing</t>
  </si>
  <si>
    <t>A) To deliver a surprise attack</t>
  </si>
  <si>
    <t>Which traditional Indian festival is associated with the demonstration of Mushti Yuddha skills?</t>
  </si>
  <si>
    <t>A) Holi, B) Diwali, C) Dussehra, D) Navratri</t>
  </si>
  <si>
    <t>C) Dussehra</t>
  </si>
  <si>
    <t>Which Mushti Yuddha move focuses on hand speed and accuracy?</t>
  </si>
  <si>
    <t>A) Vyaghrasana, B) Vayu Hasta, C) Vajra Hasta, D) Agni Pradarshan</t>
  </si>
  <si>
    <t>B) Vayu Hasta</t>
  </si>
  <si>
    <t>What is the main objective of 'Mukha Prabodh' in Mushti Yuddha?</t>
  </si>
  <si>
    <t>A) Attacking the face, B) Defending the torso, C) Distracting the opponent, D) Strengthening the legs</t>
  </si>
  <si>
    <t>C) Distracting the opponent</t>
  </si>
  <si>
    <t>Which aspect of Mushti Yuddha is crucial for executing 'Gati Pradarshan' effectively?</t>
  </si>
  <si>
    <t>A) Flexibility, B) Strength, C) Balance, D) Endurance</t>
  </si>
  <si>
    <t>Which deity is often invoked by Mushti Yuddha practitioners before combat?</t>
  </si>
  <si>
    <t>A) Shiva, B) Durga, C) Hanuman, D) Ganesha</t>
  </si>
  <si>
    <t>Which type of strike is the 'Bhujanga Hasta' known for in Mushti Yuddha?</t>
  </si>
  <si>
    <t>A) Fast strikes, B) Defensive moves, C) Counter-attacks, D) Grappling techniques</t>
  </si>
  <si>
    <t>A) Fast strikes</t>
  </si>
  <si>
    <t>Which historical text is considered to have first documented Mushti Yuddha?</t>
  </si>
  <si>
    <t>A) Mahabharata, B) Arthashastra, C) Natya Shastra, D) Rigveda</t>
  </si>
  <si>
    <t>What is the role of 'Tarjani Mudra' in Mushti Yuddha?</t>
  </si>
  <si>
    <t>A) Indicate readiness, B) Attack posture, C) Defensive stance, D) Breathing control</t>
  </si>
  <si>
    <t>A) Indicate readiness</t>
  </si>
  <si>
    <t>Which modern-day country shares historical martial practices with Mushti Yuddha?</t>
  </si>
  <si>
    <t>A) Pakistan, B) Sri Lanka, C) Bangladesh, D) Nepal</t>
  </si>
  <si>
    <t>D) Nepal</t>
  </si>
  <si>
    <t>Which term refers to the spiritual aspect of Mushti Yuddha?</t>
  </si>
  <si>
    <t>A) Pranayama, B) Dhyana, C) Karma, D) Dharma</t>
  </si>
  <si>
    <t>B) Dhyana</t>
  </si>
  <si>
    <t>Which posture is adopted to show respect in Mushti Yuddha?</t>
  </si>
  <si>
    <t>A) Namaskarasana, B) Vajrasana, C) Virasana, D) Balasana</t>
  </si>
  <si>
    <t>A) Namaskarasana</t>
  </si>
  <si>
    <t>What is the purpose of 'Hasta Mudra' in Mushti Yuddha?</t>
  </si>
  <si>
    <t>A) Blocking, B) Striking, C) Meditation, D) Both A and B</t>
  </si>
  <si>
    <t>D) Both A and B</t>
  </si>
  <si>
    <t>Which type of training is most beneficial for Mushti Yuddha practitioners?</t>
  </si>
  <si>
    <t>A) Cardiovascular, B) Strength, C) Flexibility, D) All of the above</t>
  </si>
  <si>
    <t>Which Indian city is historically associated with Mushti Yuddha schools?</t>
  </si>
  <si>
    <t>A) Varanasi, B) Jaipur, C) Pune, D) Mysore</t>
  </si>
  <si>
    <t>What is the main aim of 'Kataka Hasta' in Mushti Yuddha?</t>
  </si>
  <si>
    <t>A) Striking, B) Defending, C) Grabbing, D) Dodging</t>
  </si>
  <si>
    <t>C) Grabbing</t>
  </si>
  <si>
    <t>Which element is closely related to the movements in Mushti Yuddha?</t>
  </si>
  <si>
    <t>D) Wind</t>
  </si>
  <si>
    <t>Which Mushti Yuddha technique mimics the movements of a tiger?</t>
  </si>
  <si>
    <t>A) Vyaghrasana, B) Markatasana, C) Mayurasana, D) Bhujangasana</t>
  </si>
  <si>
    <t>A) Vyaghrasana</t>
  </si>
  <si>
    <t>Which type of breathing is encouraged in Mushti Yuddha for endurance?</t>
  </si>
  <si>
    <t>A) Shallow breathing, B) Deep breathing, C) Rapid breathing, D) Holding breath</t>
  </si>
  <si>
    <t>B) Deep breathing</t>
  </si>
  <si>
    <t>Which Mushti Yuddha technique is specifically focused on leg strength?</t>
  </si>
  <si>
    <t>A) Pada Hasta, B) Uttanasana, C) Gaj Hasta, D) Simha Hasta</t>
  </si>
  <si>
    <t>A) Pada Hasta</t>
  </si>
  <si>
    <t>What is 'Mukha Mudra' used for in Mushti Yuddha?</t>
  </si>
  <si>
    <t>A) Face attack, B) Defensive stance, C) Distraction, D) Body armor</t>
  </si>
  <si>
    <t>C) Distraction</t>
  </si>
  <si>
    <t>What does 'Brahma Hasta' represent in Mushti Yuddha?</t>
  </si>
  <si>
    <t>A) Wisdom, B) Power, C) Creation, D) Destruction</t>
  </si>
  <si>
    <t>C) Creation</t>
  </si>
  <si>
    <t>Which Indian epic features Mushti Yuddha combat?</t>
  </si>
  <si>
    <t>What is the purpose of 'Pada Mudra' in Mushti Yuddha?</t>
  </si>
  <si>
    <t>A) Blocking attacks, B) Kicking techniques, C) Footwork, D) Hand strikes</t>
  </si>
  <si>
    <t>C) Footwork</t>
  </si>
  <si>
    <t>Which body part is primarily targeted in 'Shirsha Mudra'?</t>
  </si>
  <si>
    <t>A) Head, B) Torso, C) Arms, D) Legs</t>
  </si>
  <si>
    <t>A) Head</t>
  </si>
  <si>
    <t>What does 'Vyaghrasana' focus on in Mushti Yuddha?</t>
  </si>
  <si>
    <t>A) Speed, B) Power, C) Agility, D) Flexibility</t>
  </si>
  <si>
    <t>Which body movement is essential for executing 'Makara Hasta'?</t>
  </si>
  <si>
    <t>A) Flexion, B) Extension, C) Rotation, D) Compression</t>
  </si>
  <si>
    <t>B) Extension</t>
  </si>
  <si>
    <t>What does 'Naga Hasta' symbolize in Mushti Yuddha?</t>
  </si>
  <si>
    <t>A) Wisdom, B) Stealth, C) Strength, D) Speed</t>
  </si>
  <si>
    <t>B) Stealth</t>
  </si>
  <si>
    <t>Which Indian king was known to practice Mushti Yuddha?</t>
  </si>
  <si>
    <t>A) Chandragupta Maurya, B) Harshavardhana, C) Prithviraj Chauhan, D) Raja Raja Chola</t>
  </si>
  <si>
    <t>C) Prithviraj Chauhan</t>
  </si>
  <si>
    <t>Which physical attribute is crucial for 'Vajra Hasta'?</t>
  </si>
  <si>
    <t>A) Flexibility, B) Balance, C) Strength, D) Agility</t>
  </si>
  <si>
    <t>C) Strength</t>
  </si>
  <si>
    <t>What is the role of 'Mukha Hasta' in Mushti Yuddha?</t>
  </si>
  <si>
    <t>A) To defend, B) To attack, C) To distract, D) To balance</t>
  </si>
  <si>
    <t>C) To distract</t>
  </si>
  <si>
    <t>Which type of movement is characterized by 'Gaja Hasta'?</t>
  </si>
  <si>
    <t>A) Slow and steady, B) Quick and light, C) Heavy and powerful, D) Circular</t>
  </si>
  <si>
    <t>C) Heavy and powerful</t>
  </si>
  <si>
    <t>Which breathing technique is used to calm the mind in Mushti Yuddha?</t>
  </si>
  <si>
    <t>A) Kapalbhati, B) Bhastrika, C) Anulom Vilom, D) Ujjayi</t>
  </si>
  <si>
    <t>C) Anulom Vilom</t>
  </si>
  <si>
    <t>What does 'Surya Hasta' emphasize in Mushti Yuddha?</t>
  </si>
  <si>
    <t>A) Light and warmth, B) Strength and power, C) Speed and agility, D) Calmness and focus</t>
  </si>
  <si>
    <t>B) Strength and power</t>
  </si>
  <si>
    <t>Which martial art shares common techniques with Mushti Yuddha?</t>
  </si>
  <si>
    <t>A) Kalari Payattu, B) Taekwondo, C) Kung Fu, D) Jujutsu</t>
  </si>
  <si>
    <t>A) Kalari Payattu</t>
  </si>
  <si>
    <t>Which technique in Mushti Yuddha is focused on hand speed?</t>
  </si>
  <si>
    <t>A) Agni Hasta, B) Tarjani Hasta, C) Vajra Hasta, D) Prithvi Hasta</t>
  </si>
  <si>
    <t>B) Tarjani Hasta</t>
  </si>
  <si>
    <t>Which Indian saint is believed to have popularized Mushti Yuddha?</t>
  </si>
  <si>
    <t>A) Tulsidas, B) Valmiki, C) Vidyaranya, D) Kabir</t>
  </si>
  <si>
    <t>C) Vidyaranya</t>
  </si>
  <si>
    <t>Which Mushti Yuddha technique is effective for countering high kicks?</t>
  </si>
  <si>
    <t>A) Utkatasana, B) Vyapad Hasta, C) Tarjani Hasta, D) Pada Pradarshan</t>
  </si>
  <si>
    <t>B) Vyapad Hasta</t>
  </si>
  <si>
    <t>Which training technique is crucial for developing 'Vayu Hasta' speed?</t>
  </si>
  <si>
    <t>A) Sprinting, B) Weightlifting, C) Jumping jacks, D) Yoga</t>
  </si>
  <si>
    <t>A) Sprinting</t>
  </si>
  <si>
    <t>Which Indian martial art is considered a precursor to Mushti Yuddha?</t>
  </si>
  <si>
    <t>A) Mallakhamba, B) Vajramushti, C) Thang-ta, D) Silambam</t>
  </si>
  <si>
    <t>B) Vajramushti</t>
  </si>
  <si>
    <t>What does 'Agni Hasta' represent in Mushti Yuddha?</t>
  </si>
  <si>
    <t>A) Fire and passion, B) Strength and endurance, C) Agility and speed, D) Wisdom and calm</t>
  </si>
  <si>
    <t>A) Fire and passion</t>
  </si>
  <si>
    <t>Which move in Mushti Yuddha is designed to deflect attacks?</t>
  </si>
  <si>
    <t>A) Gati Hasta, B) Vyapad Hasta, C) Vajra Hasta, D) Tarjani Hasta</t>
  </si>
  <si>
    <t>What is the primary focus of 'Prithvi Hasta' in Mushti Yuddha?</t>
  </si>
  <si>
    <t>A) Ground strikes, B) High kicks, C) Hand grips, D) Balance</t>
  </si>
  <si>
    <t>A) Ground strikes</t>
  </si>
  <si>
    <t>Which element is associated with 'Vayu Hasta' in Mushti Yuddha?</t>
  </si>
  <si>
    <t>A) Earth, B) Water, C) Air, D) Fire</t>
  </si>
  <si>
    <t>C) Air</t>
  </si>
  <si>
    <t>Which legendary warrior queen was known to practice Mushti Yuddha?</t>
  </si>
  <si>
    <t>A) Rani Lakshmibai, B) Razia Sultana, C) Ahilyabai Holkar, D) Rudramadevi</t>
  </si>
  <si>
    <t>A) Rani Lakshmibai</t>
  </si>
  <si>
    <t>Which stance in Mushti Yuddha is known for its defensive capability?</t>
  </si>
  <si>
    <t>A) Tadasana, B) Vajrasana, C) Dandasana, D) Natarajasana</t>
  </si>
  <si>
    <t>B) Vajrasana</t>
  </si>
  <si>
    <t>Which technique is used for evading attacks in Mushti Yuddha?</t>
  </si>
  <si>
    <t>A) Agni Pradarshan, B) Vyapad Hasta, C) Prana Mudra, D) Pada Hasta</t>
  </si>
  <si>
    <t>Which posture is adopted for mental focus in Mushti Yuddha?</t>
  </si>
  <si>
    <t>A) Padmasana, B) Shavasana, C) Vrksasana, D) Baddha Konasana</t>
  </si>
  <si>
    <t>A) Padmasana</t>
  </si>
  <si>
    <t>Which move is utilized in Mushti Yuddha to disarm an opponent?</t>
  </si>
  <si>
    <t>A) Vyaghrasana, B) Tarjani Hasta, C) Gaja Hasta, D) Mukha Prabodh</t>
  </si>
  <si>
    <t>D) Mukha Prabodh</t>
  </si>
  <si>
    <t>What does 'Naga Mudra' represent in Mushti Yuddha?</t>
  </si>
  <si>
    <t>A) Stealth, B) Strength, C) Agility, D) Defense</t>
  </si>
  <si>
    <t>A) Stealth</t>
  </si>
  <si>
    <t>Which element is symbolized by 'Agni Hasta'?</t>
  </si>
  <si>
    <t>A) Fire, B) Water, C) Earth, D) Air</t>
  </si>
  <si>
    <t>Which Indian king is renowned for his Mushti Yuddha techniques?</t>
  </si>
  <si>
    <t>A) Ashoka, B) Shivaji Maharaj, C) Chandragupta Maurya, D) Akbar</t>
  </si>
  <si>
    <t>B) Shivaji Maharaj</t>
  </si>
  <si>
    <t>What is the main focus of 'Simha Hasta'?</t>
  </si>
  <si>
    <t>A) Speed, B) Power, C) Agility, D) Precision</t>
  </si>
  <si>
    <t>B) Power</t>
  </si>
  <si>
    <t>Which Indian epic is most associated with Mushti Yuddha combat techniques?</t>
  </si>
  <si>
    <t>A) Ramayana, B) Mahabharata, C) Bhagavad Gita, D) Puranas</t>
  </si>
  <si>
    <t>What does 'Vayu Hasta' emphasize in Mushti Yuddha?</t>
  </si>
  <si>
    <t>A) Air element, B) Fire element, C) Water element, D) Earth element</t>
  </si>
  <si>
    <t>A) Air element</t>
  </si>
  <si>
    <t>Which posture is primarily used for defense in Mushti Yuddha?</t>
  </si>
  <si>
    <t>A) Tadasana, B) Vajrasana, C) Utkatasana, D) Prone stance</t>
  </si>
  <si>
    <t>Which technique in Mushti Yuddha focuses on high-speed attacks?</t>
  </si>
  <si>
    <t>A) Tarjani Hasta, B) Vajra Hasta, C) Mukha Hasta, D) Vyapad Hasta</t>
  </si>
  <si>
    <t>A) Tarjani Hasta</t>
  </si>
  <si>
    <t>What is the purpose of 'Pada Hasta'?</t>
  </si>
  <si>
    <t>A) Hand strikes, B) Leg movements, C) Defensive maneuvers, D) Agility training</t>
  </si>
  <si>
    <t>B) Leg movements</t>
  </si>
  <si>
    <t>Which technique is crucial for developing quick reflexes in Mushti Yuddha?</t>
  </si>
  <si>
    <t>A) Vyapad Hasta, B) Tarjani Hasta, C) Agni Hasta, D) Gaja Hasta</t>
  </si>
  <si>
    <t>What does 'Bhujangasana' symbolize in Mushti Yuddha?</t>
  </si>
  <si>
    <t>A) Flexibility, B) Strength, C) Agility, D) Defense</t>
  </si>
  <si>
    <t>A) Flexibility</t>
  </si>
  <si>
    <t>Which Indian martial art is closely related to Mushti Yuddha?</t>
  </si>
  <si>
    <t>A) Kalari Payattu, B) Taekwondo, C) Judo, D) Kung Fu</t>
  </si>
  <si>
    <t>Which move is used to enhance balance in Mushti Yuddha?</t>
  </si>
  <si>
    <t>A) Utkatasana, B) Tarjani Hasta, C) Vyapad Hasta, D) Gaja Hasta</t>
  </si>
  <si>
    <t>A) Utkatasana</t>
  </si>
  <si>
    <t>What is 'Mukha Mudra' primarily used for in Mushti Yuddha?</t>
  </si>
  <si>
    <t>A) Distraction, B) Defense, C) Offense, D) Agility</t>
  </si>
  <si>
    <t>A) Distraction</t>
  </si>
  <si>
    <t>Which hand technique is focused on precision strikes?</t>
  </si>
  <si>
    <t>A) Vajra Hasta, B) Mukha Hasta, C) Agni Hasta, D) Tarjani Hasta</t>
  </si>
  <si>
    <t>A) Vajra Hasta</t>
  </si>
  <si>
    <t>What is the significance of 'Gaja Hasta' in Mushti Yuddha?</t>
  </si>
  <si>
    <t>A) Strength and power, B) Speed and agility, C) Precision and control, D) Flexibility and balance</t>
  </si>
  <si>
    <t>A) Strength and power</t>
  </si>
  <si>
    <t>Which technique is used for improving hand strength in Mushti Yuddha?</t>
  </si>
  <si>
    <t>A) Makiwara training, B) Speed bag work, C) Strength conditioning, D) Flexibility exercises</t>
  </si>
  <si>
    <t>A) Makiwara training</t>
  </si>
  <si>
    <t>What does 'Vajra Hasta' represent?</t>
  </si>
  <si>
    <t>A) Power and impact, B) Speed and agility, C) Defense and evasion, D) Precision and technique</t>
  </si>
  <si>
    <t>A) Power and impact</t>
  </si>
  <si>
    <t>Which stance in Mushti Yuddha is best for offensive moves?</t>
  </si>
  <si>
    <t>A) Forward stance, B) Side stance, C) Backward stance, D) Prone stance</t>
  </si>
  <si>
    <t>A) Forward stance</t>
  </si>
  <si>
    <t>Which breathing technique is essential for endurance in Mushti Yuddha?</t>
  </si>
  <si>
    <t>A) Deep breathing, B) Shallow breathing, C) Rapid breathing, D) Holding breath</t>
  </si>
  <si>
    <t>A) Deep breathing</t>
  </si>
  <si>
    <t>Which move is utilized for blocking high kicks?</t>
  </si>
  <si>
    <t>A) Vyapad Hasta, B) Tarjani Hasta, C) Agni Hasta, D) Mukha Hasta</t>
  </si>
  <si>
    <t>A) Vyapad Hasta</t>
  </si>
  <si>
    <t>What is 'Prithvi Hasta' used for in Mushti Yuddha?</t>
  </si>
  <si>
    <t>Which Indian saint is associated with Mushti Yuddha training?</t>
  </si>
  <si>
    <t>Which legendary figure practiced Mushti Yuddha and was known for their combat skills?</t>
  </si>
  <si>
    <t>A) Maharana Pratap, B) Chandragupta Maurya, C) Ashoka, D) Shivaji Maharaj</t>
  </si>
  <si>
    <t>A) Maharana Pratap</t>
  </si>
  <si>
    <t>What is the main focus of 'Mukha Hasta'?</t>
  </si>
  <si>
    <t>A) Defense, B) Offense, C) Distraction, D) Balance</t>
  </si>
  <si>
    <t>Which move is used for countering attacks in Mushti Yuddha?</t>
  </si>
  <si>
    <t>What does 'Naga Hasta' symbolize?</t>
  </si>
  <si>
    <t>A) Stealth and agility, B) Strength and power, C) Precision and control, D) Flexibility and balance</t>
  </si>
  <si>
    <t>A) Stealth and agility</t>
  </si>
  <si>
    <t>Which historical text describes Mushti Yuddha techniques?</t>
  </si>
  <si>
    <t>A) Kamasutra, B) Arthashastra, C) Yoga Sutras, D) Puranas</t>
  </si>
  <si>
    <t>B) Arthashastra</t>
  </si>
  <si>
    <t>Which Indian dynasty is known for its patronage of Mushti Yuddha?</t>
  </si>
  <si>
    <t>A) Maurya, B) Gupta, C) Chola, D) Mughal</t>
  </si>
  <si>
    <t>C) Chola</t>
  </si>
  <si>
    <t>Which training tool is used to enhance speed in Mushti Yuddha?</t>
  </si>
  <si>
    <t>A) Speed bag, B) Heavy bag, C) Medicine ball, D) Kettlebell</t>
  </si>
  <si>
    <t>A) Speed bag</t>
  </si>
  <si>
    <t>Which stance is known for defensive capabilities in Mushti Yuddha?</t>
  </si>
  <si>
    <t>A) Prone stance, B) Forward stance, C) Side stance, D) Backward stance</t>
  </si>
  <si>
    <t>B) Forward stance</t>
  </si>
  <si>
    <t>What is the primary focus of 'Garuda Hasta'?</t>
  </si>
  <si>
    <t>A) High strikes, B) Low strikes, C) Side strikes, D) Circular strikes</t>
  </si>
  <si>
    <t>A) High strikes</t>
  </si>
  <si>
    <t>Which Mushti Yuddha technique is used to disarm an opponent?</t>
  </si>
  <si>
    <t>A) Mukha Prabodh, B) Tarjani Hasta, C) Gaja Hasta, D) Vyapad Hasta</t>
  </si>
  <si>
    <t>A) Mukha Prabodh</t>
  </si>
  <si>
    <t>Which aspect does 'Agni Hasta' emphasize in Mushti Yuddha?</t>
  </si>
  <si>
    <t>A) Power and force, B) Speed and agility, C) Flexibility and balance, D) Precision and control</t>
  </si>
  <si>
    <t>A) Power and force</t>
  </si>
  <si>
    <t>What is the main objective of 'Vayu Hasta' in Mushti Yuddha?</t>
  </si>
  <si>
    <t>A) Quick and precise strikes, B) Strong and powerful strikes, C) Defensive moves, D) Balance and coordination</t>
  </si>
  <si>
    <t>A) Quick and precise strikes</t>
  </si>
  <si>
    <t>Which Indian state has a historical tradition of Mushti Yuddha?</t>
  </si>
  <si>
    <t>A) Uttar Pradesh, B) Maharashtra, C) Gujarat, D) Punjab</t>
  </si>
  <si>
    <t>What is 'Vajra Hasta' mainly used for?</t>
  </si>
  <si>
    <t>A) Offensive strikes, B) Defensive moves, C) Agility, D) Precision</t>
  </si>
  <si>
    <t>A) Offensive strikes</t>
  </si>
  <si>
    <t>Which historical figure is famous for integrating Mushti Yuddha into his combat strategy?</t>
  </si>
  <si>
    <t>A) Chandragupta Maurya, B) Ashoka, C) Shivaji Maharaj, D) Maharana Pratap</t>
  </si>
  <si>
    <t>C) Shivaji Maharaj</t>
  </si>
  <si>
    <t>A) Upper body strikes, B) Lower body strikes, C) Defensive moves, D) Breathing techniques</t>
  </si>
  <si>
    <t>A) Upper body strikes</t>
  </si>
  <si>
    <t>Which type of training is associated with improving hand strength in Mushti Yuddha?</t>
  </si>
  <si>
    <t>What does 'Padma Hasta' focus on?</t>
  </si>
  <si>
    <t>A) Hand techniques, B) Leg techniques, C) Balance, D) Speed</t>
  </si>
  <si>
    <t>B) Leg techniques</t>
  </si>
  <si>
    <t>Which technique is used to break an opponent's grip?</t>
  </si>
  <si>
    <t>A) Vyapad Hasta, B) Vajra Hasta, C) Gati Hasta, D) Mukha Hasta</t>
  </si>
  <si>
    <t>Which legendary king is renowned for his Mushti Yuddha skills?</t>
  </si>
  <si>
    <t>A) Ashoka, B) Akbar, C) Chandragupta Maurya, D) Shivaji Maharaj</t>
  </si>
  <si>
    <t>D) Shivaji Maharaj</t>
  </si>
  <si>
    <t>What is the primary use of 'Mukha Hasta'?</t>
  </si>
  <si>
    <t>A) Defense, B) Offense, C) Creating distractions, D) Speed enhancement</t>
  </si>
  <si>
    <t>C) Creating distractions</t>
  </si>
  <si>
    <t>Which type of hand movement is characterized by 'Garuda Hasta'?</t>
  </si>
  <si>
    <t>What does 'Naga Hasta' focus on?</t>
  </si>
  <si>
    <t>A) Speed and agility, B) Strength and power, C) Precision and control, D) Balance and coordination</t>
  </si>
  <si>
    <t>A) Speed and agility</t>
  </si>
  <si>
    <t>Which ancient text provides insights into Mushti Yuddha techniques?</t>
  </si>
  <si>
    <t>A) Yoga Sutras, B) Arthashastra, C) Vedas, D) Upanishads</t>
  </si>
  <si>
    <t>What is 'Shirsha Hasta' used for in Mushti Yuddha training?</t>
  </si>
  <si>
    <t>A) Hand techniques, B) Leg techniques, C) Head techniques, D) Arm techniques</t>
  </si>
  <si>
    <t>C) Head techniques</t>
  </si>
  <si>
    <t>Which type of martial art training is similar to Mushti Yuddha?</t>
  </si>
  <si>
    <t>A) Brazilian Jiu-Jitsu, B) Muay Thai, C) Capoeira, D) Sambo</t>
  </si>
  <si>
    <t>B) Muay Thai</t>
  </si>
  <si>
    <t>Which ancient Indian text describes Mushti Yuddha combat techniques?</t>
  </si>
  <si>
    <t>Which historical figure is known for his mastery of Mushti Yuddha?</t>
  </si>
  <si>
    <t>What is the focus of 'Mukha Hasta' in Mushti Yuddha?</t>
  </si>
  <si>
    <t>Which stance is used for balance and stability in Mushti Yuddha?</t>
  </si>
  <si>
    <t>C) Side stance</t>
  </si>
  <si>
    <t>Which breathing technique helps with endurance in Mushti Yuddha?</t>
  </si>
  <si>
    <t>What is the primary objective of 'Mukha Hasta'?</t>
  </si>
  <si>
    <t>A) Creating distractions, B) Blocking attacks, C) Countering strikes, D) Enhancing speed</t>
  </si>
  <si>
    <t>A) Creating distractions</t>
  </si>
  <si>
    <t>Which technique is crucial for mastering quick reflexes?</t>
  </si>
  <si>
    <t>Which historical text provides detailed descriptions of Mushti Yuddha?</t>
  </si>
  <si>
    <t>Which dynasty is associated with the patronage of Mushti Yuddha?</t>
  </si>
  <si>
    <t>What does 'Padma Hasta' focus on in Mushti Yuddha?</t>
  </si>
  <si>
    <t>Which move is used to break an opponent's grip in Mushti Yuddha?</t>
  </si>
  <si>
    <t>Which legendary king is known for his Mushti Yuddha skills?</t>
  </si>
  <si>
    <t>What does 'Garuda Hasta' emphasize in Mushti Yuddha?</t>
  </si>
  <si>
    <t>Which Indian saint is linked to Mushti Yuddha training?</t>
  </si>
  <si>
    <t>A) Defense, B) Offense, C) Distraction, D) Speed enhancement</t>
  </si>
  <si>
    <t>What is 'Shirsha Hasta' used for in Mushti Yuddha?</t>
  </si>
  <si>
    <t>Which aspect does 'Vajra Hasta' focus on?</t>
  </si>
  <si>
    <t>What is the significance of 'Mukha Hasta' in Mushti Yuddha?</t>
  </si>
  <si>
    <t>Which technique helps in mastering quick reflexes?</t>
  </si>
  <si>
    <t>What is the focus of 'Vayu Hasta' in Mushti Yuddha?</t>
  </si>
  <si>
    <t>Which Indian state has a rich history of Mushti Yuddha?</t>
  </si>
  <si>
    <t>Which ancient text describes Mushti Yuddha techniques?</t>
  </si>
  <si>
    <t>What does 'Padma Hasta' emphasize in Mushti Yuddha?</t>
  </si>
  <si>
    <t>Which technique is utilized to break an opponent's grip?</t>
  </si>
  <si>
    <t>Which historical figure is known for integrating Mushti Yuddha into his combat strategy?</t>
  </si>
  <si>
    <t>What does 'Vajra Hasta' focus on?</t>
  </si>
  <si>
    <t>Which stance is used for defensive maneuvers in Mushti Yuddha?</t>
  </si>
  <si>
    <t>B) Side stance</t>
  </si>
  <si>
    <t>Which legendary figure is known for his mastery of Mushti Yuddha?</t>
  </si>
  <si>
    <t>Musti Yuddha is an ancient martial art from which country?</t>
  </si>
  <si>
    <t>A) China, B) Japan, C) India, D) Thailand</t>
  </si>
  <si>
    <t>C) India</t>
  </si>
  <si>
    <t>In which ancient Indian text is Musti Yuddha mentioned?</t>
  </si>
  <si>
    <t>A) Mahabharata, B) Ramayana, C) Arthashastra, D) Vedas</t>
  </si>
  <si>
    <t>C) Arthashastra</t>
  </si>
  <si>
    <t>Musti Yuddha was practiced mainly in which Indian city?</t>
  </si>
  <si>
    <t>A) Varanasi, B) Pataliputra, C) Ujjain, D) Mathura</t>
  </si>
  <si>
    <t>Which historical Indian figure is said to have practiced Musti Yuddha?</t>
  </si>
  <si>
    <t>A) Chandragupta Maurya, B) Ashoka, C) Shivaji Maharaj, D) Rana Pratap</t>
  </si>
  <si>
    <t>A) Chandragupta Maurya</t>
  </si>
  <si>
    <t>What does 'Musti' refer to in Musti Yuddha?</t>
  </si>
  <si>
    <t>A) Elbow, B) Punch, C) Kick, D) Block</t>
  </si>
  <si>
    <t>B) Punch</t>
  </si>
  <si>
    <t>Musti Yuddha dates back to which century?</t>
  </si>
  <si>
    <t>A) 3rd century BCE, B) 5th century BCE, C) 1st century CE, D) 10th century CE</t>
  </si>
  <si>
    <t>A) 3rd century BCE</t>
  </si>
  <si>
    <t>Which Indian state is most closely associated with the tradition of Musti Yuddha?</t>
  </si>
  <si>
    <t>A) Uttar Pradesh, B) Maharashtra, C) Karnataka, D) Punjab</t>
  </si>
  <si>
    <t>Musti Yuddha was used in which ancient Indian form of entertainment?</t>
  </si>
  <si>
    <t>A) Dance, B) Drama, C) Wrestling tournaments, D) Gladiatorial fights</t>
  </si>
  <si>
    <t>C) Wrestling tournaments</t>
  </si>
  <si>
    <t>Which style of Musti Yuddha focuses on striking with fists and elbows?</t>
  </si>
  <si>
    <t>A) Vajra Musti, B) Yuddha Musti, C) Samdura Musti, D) Pahadi Musti</t>
  </si>
  <si>
    <t>A) Vajra Musti</t>
  </si>
  <si>
    <t>Which classical Indian language was used to write ancient texts mentioning Musti Yuddha?</t>
  </si>
  <si>
    <t>A) Sanskrit, B) Tamil, C) Prakrit, D) Pali</t>
  </si>
  <si>
    <t>A) Sanskrit</t>
  </si>
  <si>
    <t>The practice of Musti Yuddha was banned during which period in Indian history?</t>
  </si>
  <si>
    <t>A) British colonial period, B) Mughal period, C) Gupta period, D) Maratha period</t>
  </si>
  <si>
    <t>A) British colonial period</t>
  </si>
  <si>
    <t>Which aspect of Musti Yuddha focuses on physical conditioning?</t>
  </si>
  <si>
    <t>A) Malla, B) Shastra, C) Vyayam, D) Parakram</t>
  </si>
  <si>
    <t>C) Vyayam</t>
  </si>
  <si>
    <t>Musti Yuddha was often performed in conjunction with which religious festivals?</t>
  </si>
  <si>
    <t>A) Holi, B) Diwali, C) Kumbh Mela, D) Dussehra</t>
  </si>
  <si>
    <t>C) Kumbh Mela</t>
  </si>
  <si>
    <t>Which Hindu god is sometimes associated with Musti Yuddha due to his warrior traits?</t>
  </si>
  <si>
    <t>A) Vishnu, B) Hanuman, C) Shiva, D) Ganesha</t>
  </si>
  <si>
    <t>B) Hanuman</t>
  </si>
  <si>
    <t>Which of the following is a primary weapon used in Musti Yuddha?</t>
  </si>
  <si>
    <t>A) Sword, B) Bow, C) Fist, D) Spear</t>
  </si>
  <si>
    <t>Musti Yuddha is considered part of which broader category of traditional Indian martial arts?</t>
  </si>
  <si>
    <t>A) Kalaripayattu, B) Vajra Mushti, C) Pehlwani, D) Malla Yuddha</t>
  </si>
  <si>
    <t>D) Malla Yuddha</t>
  </si>
  <si>
    <t>Which type of combat does Musti Yuddha primarily focus on?</t>
  </si>
  <si>
    <t>A) Armed combat, B) Unarmed combat, C) Mounted combat, D) Archery</t>
  </si>
  <si>
    <t>B) Unarmed combat</t>
  </si>
  <si>
    <t>Which Mughal emperor is believed to have witnessed Musti Yuddha competitions?</t>
  </si>
  <si>
    <t>A) Akbar, B) Aurangzeb, C) Humayun, D) Babur</t>
  </si>
  <si>
    <t>The term 'Yuddha' in Musti Yuddha translates to what?</t>
  </si>
  <si>
    <t>A) Battle, B) Warrior, C) Defense, D) Technique</t>
  </si>
  <si>
    <t>A) Battle</t>
  </si>
  <si>
    <t>Musti Yuddha practitioners traditionally belonged to which social group in ancient India?</t>
  </si>
  <si>
    <t>A) Kshatriyas, B) Brahmins, C) Vaishyas, D) Shudras</t>
  </si>
  <si>
    <t>A) Kshatriyas</t>
  </si>
  <si>
    <t>Which part of the body is primarily used in Musti Yuddha?</t>
  </si>
  <si>
    <t>A) Legs, B) Head, C) Arms, D) Torso</t>
  </si>
  <si>
    <t>C) Arms</t>
  </si>
  <si>
    <t>Musti Yuddha declined in popularity during which historical period?</t>
  </si>
  <si>
    <t>A) Mauryan Empire, B) Gupta Empire, C) Mughal Empire, D) British Raj</t>
  </si>
  <si>
    <t>D) British Raj</t>
  </si>
  <si>
    <t>Which city was historically known as a hub for Musti Yuddha competitions?</t>
  </si>
  <si>
    <t>A) Kashi, B) Delhi, C) Mumbai, D) Lucknow</t>
  </si>
  <si>
    <t>A) Kashi</t>
  </si>
  <si>
    <t>What is the primary objective of Musti Yuddha combat?</t>
  </si>
  <si>
    <t>A) Defend territory, B) Defeat opponent in wrestling, C) Knockout opponent, D) Display physical strength</t>
  </si>
  <si>
    <t>C) Knockout opponent</t>
  </si>
  <si>
    <t>Which of the following historical texts provides early references to Musti Yuddha?</t>
  </si>
  <si>
    <t>A) Rigveda, B) Manusmriti, C) Mahabharata, D) Arthashastra</t>
  </si>
  <si>
    <t>D) Arthashastra</t>
  </si>
  <si>
    <t>Musti Yuddha was often a form of what during ancient Indian celebrations?</t>
  </si>
  <si>
    <t>A) Training, B) Ritual, C) Entertainment, D) Meditation</t>
  </si>
  <si>
    <t>C) Entertainment</t>
  </si>
  <si>
    <t>In ancient India, Musti Yuddha was also considered a test of what?</t>
  </si>
  <si>
    <t>A) Courage, B) Intellect, C) Faith, D) Patience</t>
  </si>
  <si>
    <t>A) Courage</t>
  </si>
  <si>
    <t>Musti Yuddha was revived during which Indian movement in the 20th century?</t>
  </si>
  <si>
    <t>A) Quit India Movement, B) Swadeshi Movement, C) Non-cooperation Movement, D) Indian Martial Renaissance</t>
  </si>
  <si>
    <t>B) Swadeshi Movement</t>
  </si>
  <si>
    <t>Which Mughal chronicler wrote about Musti Yuddha in his memoirs?</t>
  </si>
  <si>
    <t>A) Abu'l-Fazl, B) Babur, C) Jahangir, D) Ibn Battuta</t>
  </si>
  <si>
    <t>B) Babur</t>
  </si>
  <si>
    <t>Musti Yuddha is closely linked to which Hindu festival celebrated in Varanasi?</t>
  </si>
  <si>
    <t>A) Holi, B) Shivaratri, C) Kumbh Mela, D) Nag Panchami</t>
  </si>
  <si>
    <t>D) Nag Panchami</t>
  </si>
  <si>
    <t>Which key technique distinguishes Musti Yuddha from other Indian martial arts?</t>
  </si>
  <si>
    <t>A) Grappling, B) Striking with fists, C) Weapon use, D) Ground fighting</t>
  </si>
  <si>
    <t>B) Striking with fists</t>
  </si>
  <si>
    <t>Who is believed to have popularized Musti Yuddha in the courts of ancient India?</t>
  </si>
  <si>
    <t>A) Chanakya, B) Ashoka, C) Harsha, D) Vikramaditya</t>
  </si>
  <si>
    <t>A) Chanakya</t>
  </si>
  <si>
    <t>What role did Musti Yuddha play in ancient Indian military training?</t>
  </si>
  <si>
    <t>A) Infantry drills, B) Close-combat training, C) Cavalry tactics, D) Long-range archery</t>
  </si>
  <si>
    <t>B) Close-combat training</t>
  </si>
  <si>
    <t>Which term describes the defensive posture in Musti Yuddha?</t>
  </si>
  <si>
    <t>A) Aasan, B) Raksha, C) Gada, D) Khadga</t>
  </si>
  <si>
    <t>B) Raksha</t>
  </si>
  <si>
    <t>Which historical Indian kingdom is known for having organized Musti Yuddha matches?</t>
  </si>
  <si>
    <t>A) Magadha, B) Vijayanagara, C) Kalinga, D) Kushan</t>
  </si>
  <si>
    <t>A) Magadha</t>
  </si>
  <si>
    <t>The art of Musti Yuddha can be compared to which modern sport?</t>
  </si>
  <si>
    <t>A) Boxing, B) Judo, C) Taekwondo, D) Wrestling</t>
  </si>
  <si>
    <t>A) Boxing</t>
  </si>
  <si>
    <t>Musti Yuddha was considered a symbol of what in ancient Indian society?</t>
  </si>
  <si>
    <t>A) Wealth, B) Spirituality, C) Masculinity, D) Education</t>
  </si>
  <si>
    <t>C) Masculinity</t>
  </si>
  <si>
    <t>In ancient India, who were typically the spectators of Musti Yuddha matches?</t>
  </si>
  <si>
    <t>A) Soldiers, B) Nobility, C) Commoners, D) Brahmins</t>
  </si>
  <si>
    <t>B) Nobility</t>
  </si>
  <si>
    <t>The name 'Vajra Musti' in Musti Yuddha refers to which concept?</t>
  </si>
  <si>
    <t>A) Lightning fist, B) Divine strength, C) Unbreakable fist, D) Power punch</t>
  </si>
  <si>
    <t>C) Unbreakable fist</t>
  </si>
  <si>
    <t>Which traditional Indian fighting art focuses more on grappling than striking, unlike Musti Yuddha?</t>
  </si>
  <si>
    <t>A) Pehlwani, B) Kalaripayattu, C) Silambam, D) Gatka</t>
  </si>
  <si>
    <t>A) Pehlwani</t>
  </si>
  <si>
    <t>What is the typical fighting stance in Musti Yuddha known as?</t>
  </si>
  <si>
    <t>A) Malla, B) Sankata, C) Yudhh, D) Aahar</t>
  </si>
  <si>
    <t>B) Sankata</t>
  </si>
  <si>
    <t>Musti Yuddha matches in ancient times were typically held in what kind of venue?</t>
  </si>
  <si>
    <t>A) Temples, B) Open fields, C) Arenas, D) Royal courts</t>
  </si>
  <si>
    <t>D) Royal courts</t>
  </si>
  <si>
    <t>Which religious text indirectly references the principles of Musti Yuddha?</t>
  </si>
  <si>
    <t>A) Bhagavad Gita, B) Ramcharitmanas, C) Arthashastra, D) Manusmriti</t>
  </si>
  <si>
    <t>A) Bhagavad Gita</t>
  </si>
  <si>
    <t>Musti Yuddha is related to which philosophical concept from ancient India?</t>
  </si>
  <si>
    <t>A) Ahimsa, B) Dharma, C) Karma, D) Moksha</t>
  </si>
  <si>
    <t>B) Dharma</t>
  </si>
  <si>
    <t>Musti Yuddha has been revived in modern India as part of what cultural movement?</t>
  </si>
  <si>
    <t>A) Indian Renaissance, B) Swadeshi Movement, C) National Martial Arts Revival, D) Indian Cultural Fest</t>
  </si>
  <si>
    <t>C) National Martial Arts Revival</t>
  </si>
  <si>
    <t>Which ancient Indian epic is believed to include references to Musti Yuddha-like techniques?</t>
  </si>
  <si>
    <t>A) Ramayana, B) Mahabharata, C) Harivamsa, D) Kalidasa's Works</t>
  </si>
  <si>
    <t>Which ancient Indian empire is said to have encouraged the practice of Musti Yuddha?</t>
  </si>
  <si>
    <t>A) Gupta Empire, B) Maurya Empire, C) Chola Empire, D) Mughal Empire</t>
  </si>
  <si>
    <t>B) Maurya Empire</t>
  </si>
  <si>
    <t>Musti Yuddha was historically considered a form of what kind of martial practice?</t>
  </si>
  <si>
    <t>A) Armed combat, B) Physical conditioning, C) Military training, D) Religious practice</t>
  </si>
  <si>
    <t>In which century did Musti Yuddha see a decline in practice due to foreign influence?</t>
  </si>
  <si>
    <t>A) 12th century, B) 18th century, C) 16th century, D) 14th century</t>
  </si>
  <si>
    <t>B) 18th century</t>
  </si>
  <si>
    <t>Which Indian king is known to have sponsored Musti Yuddha tournaments in his court?</t>
  </si>
  <si>
    <t>A) Krishna Devaraya, B) Ashoka, C) Chandragupta, D) Prithviraj Chauhan</t>
  </si>
  <si>
    <t>A) Krishna Devaraya</t>
  </si>
  <si>
    <t>The fighting style of Musti Yuddha emphasizes which kind of techniques?</t>
  </si>
  <si>
    <t>A) Defensive moves, B) Grappling moves, C) Striking moves, D) Aerial techniques</t>
  </si>
  <si>
    <t>C) Striking moves</t>
  </si>
  <si>
    <t>Musti Yuddha was most commonly practiced by which group in ancient Indian society?</t>
  </si>
  <si>
    <t>A) Farmers, B) Kshatriya warriors, C) Brahmin priests, D) Merchants</t>
  </si>
  <si>
    <t>B) Kshatriya warriors</t>
  </si>
  <si>
    <t>Musti Yuddha competitions were often organized during which type of events in ancient India?</t>
  </si>
  <si>
    <t>A) Religious festivals, B) Political assemblies, C) Royal weddings, D) Harvest seasons</t>
  </si>
  <si>
    <t>A) Religious festivals</t>
  </si>
  <si>
    <t>In Musti Yuddha, the primary form of attack involved which part of the body?</t>
  </si>
  <si>
    <t>A) Elbows, B) Knees, C) Fists, D) Feet</t>
  </si>
  <si>
    <t>C) Fists</t>
  </si>
  <si>
    <t>Which Indian martial art is known for its similarities to Musti Yuddha in terms of hand-to-hand combat?</t>
  </si>
  <si>
    <t>A) Gatka, B) Kalaripayattu, C) Silambam, D) Malla Yuddha</t>
  </si>
  <si>
    <t>Musti Yuddha was once performed in honor of which Hindu deity during festivals?</t>
  </si>
  <si>
    <t>A) Vishnu, B) Durga, C) Shiva, D) Krishna</t>
  </si>
  <si>
    <t>C) Shiva</t>
  </si>
  <si>
    <t>What was the primary goal in a traditional Musti Yuddha match?</t>
  </si>
  <si>
    <t>A) To win by points, B) To knock out the opponent, C) To grapple and submit the opponent, D) To perform acrobatic moves</t>
  </si>
  <si>
    <t>B) To knock out the opponent</t>
  </si>
  <si>
    <t>The techniques of Musti Yuddha are often compared to which modern-day combat sport?</t>
  </si>
  <si>
    <t>A) Muay Thai, B) Boxing, C) Judo, D) Brazilian Jiu-Jitsu</t>
  </si>
  <si>
    <t>Musti Yuddha was practiced in which ancient Indian city, known as a cultural and religious hub?</t>
  </si>
  <si>
    <t>A) Ayodhya, B) Kashi (Varanasi), C) Hastinapur, D) Dwarka</t>
  </si>
  <si>
    <t>B) Kashi (Varanasi)</t>
  </si>
  <si>
    <t>Which of the following Indian dynasties was known to encourage the practice of martial arts like Musti Yuddha?</t>
  </si>
  <si>
    <t>A) Gupta Dynasty, B) Satavahana Dynasty, C) Kushan Dynasty, D) Pala Dynasty</t>
  </si>
  <si>
    <t>A) Gupta Dynasty</t>
  </si>
  <si>
    <t>The term 'Vajra' in Vajra Musti Yuddha refers to what?</t>
  </si>
  <si>
    <t>A) Thunderbolt, B) Sword, C) Iron fist, D) Victory</t>
  </si>
  <si>
    <t>A) Thunderbolt</t>
  </si>
  <si>
    <t>Which ancient Indian warrior king is believed to have employed Musti Yuddha fighters in his army?</t>
  </si>
  <si>
    <t>A) Chandragupta Maurya, B) Harshavardhana, C) Samudragupta, D) Rajendra Chola</t>
  </si>
  <si>
    <t>C) Samudragupta</t>
  </si>
  <si>
    <t>Musti Yuddha practitioners often trained alongside experts in which other Indian combat system?</t>
  </si>
  <si>
    <t>A) Archery, B) Swordsmanship, C) Wrestling, D) Spear fighting</t>
  </si>
  <si>
    <t>C) Wrestling</t>
  </si>
  <si>
    <t>Musti Yuddha fighters were known to use which hand positions for defense?</t>
  </si>
  <si>
    <t>A) Open palms, B) Clenched fists, C) Crossed arms, D) One hand raised</t>
  </si>
  <si>
    <t>B) Clenched fists</t>
  </si>
  <si>
    <t>The decline of Musti Yuddha during British rule was partly due to the promotion of which Western sport?</t>
  </si>
  <si>
    <t>A) Cricket, B) Football, C) Boxing, D) Rugby</t>
  </si>
  <si>
    <t>C) Boxing</t>
  </si>
  <si>
    <t>Musti Yuddha fighters in ancient India were often trained in what type of environment?</t>
  </si>
  <si>
    <t>A) Open fields, B) Temple grounds, C) Royal courts, D) Military camps</t>
  </si>
  <si>
    <t>C) Royal courts</t>
  </si>
  <si>
    <t>Musti Yuddha techniques were used by ancient Indian warriors primarily in which type of warfare?</t>
  </si>
  <si>
    <t>A) Naval warfare, B) Infantry battles, C) Cavalry charges, D) Siege warfare</t>
  </si>
  <si>
    <t>B) Infantry battles</t>
  </si>
  <si>
    <t>Which ancient Indian text provided guidelines for combat, including Musti Yuddha?</t>
  </si>
  <si>
    <t>A) Arthashastra, B) Manusmriti, C) Ramayana, D) Rigveda</t>
  </si>
  <si>
    <t>The use of 'Vajra' in Musti Yuddha symbolizes what kind of power?</t>
  </si>
  <si>
    <t>A) Spiritual power, B) Physical strength, C) Speed, D) Endurance</t>
  </si>
  <si>
    <t>B) Physical strength</t>
  </si>
  <si>
    <t>Which ancient Indian festival was associated with the performance of Musti Yuddha matches?</t>
  </si>
  <si>
    <t>A) Diwali, B) Holi, C) Nag Panchami, D) Raksha Bandhan</t>
  </si>
  <si>
    <t>C) Nag Panchami</t>
  </si>
  <si>
    <t>The concept of 'Dharma Yuddha' in ancient Indian warfare is similar to what principle in Musti Yuddha?</t>
  </si>
  <si>
    <t>A) Fair combat, B) Secrecy, C) Strength training, D) Teamwork</t>
  </si>
  <si>
    <t>A) Fair combat</t>
  </si>
  <si>
    <t>Which Mughal emperor is known to have observed Musti Yuddha matches?</t>
  </si>
  <si>
    <t>A) Babur, B) Akbar, C) Shah Jahan, D) Aurangzeb</t>
  </si>
  <si>
    <t>B) Akbar</t>
  </si>
  <si>
    <t>What role did Musti Yuddha play in religious rituals during ancient times?</t>
  </si>
  <si>
    <t>A) Meditation, B) Offering to gods, C) Demonstration of physical prowess, D) Symbol of peace</t>
  </si>
  <si>
    <t>C) Demonstration of physical prowess</t>
  </si>
  <si>
    <t>In ancient India, Musti Yuddha fighters were often compared to which mythological figure known for strength?</t>
  </si>
  <si>
    <t>A) Indra, B) Hanuman, C) Bhima, D) Krishna</t>
  </si>
  <si>
    <t>Which region of India was known for its high number of Musti Yuddha practitioners?</t>
  </si>
  <si>
    <t>A) Rajasthan, B) Kerala, C) Uttar Pradesh, D) Maharashtra</t>
  </si>
  <si>
    <t>Musti Yuddha was historically performed in front of which kind of audience?</t>
  </si>
  <si>
    <t>A) Commoners, B) Soldiers, C) Nobility, D) Priests</t>
  </si>
  <si>
    <t>C) Nobility</t>
  </si>
  <si>
    <t>The art of Musti Yuddha was passed down through generations primarily by which method?</t>
  </si>
  <si>
    <t>A) Oral tradition, B) Written manuscripts, C) Temples, D) Military academies</t>
  </si>
  <si>
    <t>A) Oral tradition</t>
  </si>
  <si>
    <t>Musti Yuddha was particularly popular during the reign of which Gupta emperor?</t>
  </si>
  <si>
    <t>A) Chandragupta II, B) Skandagupta, C) Kumaragupta, D) Samudragupta</t>
  </si>
  <si>
    <t>D) Samudragupta</t>
  </si>
  <si>
    <t>Which martial philosophy was closely tied to Musti Yuddha during its practice?</t>
  </si>
  <si>
    <t>A) Zen Buddhism, B) Shaivism, C) Jainism, D) Advaita Vedanta</t>
  </si>
  <si>
    <t>B) Shaivism</t>
  </si>
  <si>
    <t>Musti Yuddha evolved to include techniques from which other Indian martial art?</t>
  </si>
  <si>
    <t>A) Kalaripayattu, B) Silambam, C) Thang-Ta, D) Pehlwani</t>
  </si>
  <si>
    <t>The decline of Musti Yuddha in India coincided with the rise of which colonial power?</t>
  </si>
  <si>
    <t>A) French, B) Dutch, C) Portuguese, D) British</t>
  </si>
  <si>
    <t>D) British</t>
  </si>
  <si>
    <t>In Musti Yuddha, fighters were often trained in mental discipline through which practice?</t>
  </si>
  <si>
    <t>A) Yoga, B) Meditation, C) Mantra chanting, D) Ritual fasting</t>
  </si>
  <si>
    <t>B) Meditation</t>
  </si>
  <si>
    <t>Musti Yuddha was typically taught alongside which other form of education in ancient India?</t>
  </si>
  <si>
    <t>A) Vedic education, B) Music, C) Astrology, D) Architecture</t>
  </si>
  <si>
    <t>A) Vedic education</t>
  </si>
  <si>
    <t>The primary method of victory in Musti Yuddha was by achieving which of the following?</t>
  </si>
  <si>
    <t>A) Submission, B) Points, C) Knockout, D) Disqualification</t>
  </si>
  <si>
    <t>C) Knockout</t>
  </si>
  <si>
    <t>Which Mughal text mentions forms of hand-to-hand combat similar to Musti Yuddha?</t>
  </si>
  <si>
    <t>A) Akbarnama, B) Tuzk-e-Jahangiri, C) Ain-i-Akbari, D) Baburnama</t>
  </si>
  <si>
    <t>C) Ain-i-Akbari</t>
  </si>
  <si>
    <t>Which traditional weapon was often paired with Musti Yuddha in ancient India?</t>
  </si>
  <si>
    <t>A) Sword, B) Dagger, C) Gada (mace), D) Spear</t>
  </si>
  <si>
    <t>C) Gada (mace)</t>
  </si>
  <si>
    <t>Musti Yuddha matches were sometimes held during coronation ceremonies for which purpose?</t>
  </si>
  <si>
    <t>A) Entertainment, B) Demonstration of power, C) Religious blessing, D) Commemoration</t>
  </si>
  <si>
    <t>B) Demonstration of power</t>
  </si>
  <si>
    <t>Musti Yuddha techniques were refined by which Indian royal dynasty to enhance military combat?</t>
  </si>
  <si>
    <t>A) Chola Dynasty, B) Maratha Empire, C) Vijayanagara Empire, D) Rajputana</t>
  </si>
  <si>
    <t>B) Maratha Empire</t>
  </si>
  <si>
    <t>In which region of modern-day India was Musti Yuddha most commonly practiced?</t>
  </si>
  <si>
    <t>A) Uttar Pradesh, B) Rajasthan, C) Bihar, D) Tamil Nadu</t>
  </si>
  <si>
    <t>Musti Yuddha warriors were often known by what term in ancient India?</t>
  </si>
  <si>
    <t>A) Yodhas, B) Samrats, C) Senapatis, D) Kshatriyas</t>
  </si>
  <si>
    <t>A) Yodhas</t>
  </si>
  <si>
    <t>Musti Yuddha can trace its origins to which ancient Indian civilization?</t>
  </si>
  <si>
    <t>A) Harappan Civilization, B) Vedic Civilization, C) Mauryan Empire, D) Kushan Empire</t>
  </si>
  <si>
    <t>B) Vedic Civilization</t>
  </si>
  <si>
    <t>The name 'Musti Yuddha' is derived from the Sanskrit word 'Musti,' which refers to what?</t>
  </si>
  <si>
    <t>A) Fist, B) Weapon, C) Warrior, D) Fight</t>
  </si>
  <si>
    <t>During which period did Musti Yuddha see its peak in popularity?</t>
  </si>
  <si>
    <t>A) Medieval India, B) Gupta Period, C) Mughal Period, D) British India</t>
  </si>
  <si>
    <t>B) Gupta Period</t>
  </si>
  <si>
    <t>Which region of India was Musti Yuddha most prominently practiced in ancient times?</t>
  </si>
  <si>
    <t>A) Rajasthan, B) Bihar, C) Uttar Pradesh, D) Kerala</t>
  </si>
  <si>
    <t>Musti Yuddha was considered an important form of training for which class in ancient India?</t>
  </si>
  <si>
    <t>In the history of Indian martial arts, Musti Yuddha was primarily a form of which combat style?</t>
  </si>
  <si>
    <t>A) Wrestling, B) Armed combat, C) Bare-knuckle fighting, D) Mounted combat</t>
  </si>
  <si>
    <t>C) Bare-knuckle fighting</t>
  </si>
  <si>
    <t>Musti Yuddha was part of which larger tradition of Indian combat training?</t>
  </si>
  <si>
    <t>A) Gatka, B) Kalaripayattu, C) Malla Yuddha, D) Vajra Mushti</t>
  </si>
  <si>
    <t>D) Vajra Mushti</t>
  </si>
  <si>
    <t>Which ancient Indian text is believed to have contained references to Musti Yuddha?</t>
  </si>
  <si>
    <t>A) Mahabharata, B) Ramayana, C) Arthashastra, D) Bhagavad Gita</t>
  </si>
  <si>
    <t>Which ancient Indian king is thought to have supported the practice of Musti Yuddha?</t>
  </si>
  <si>
    <t>A) Chandragupta Maurya, B) Ashoka, C) Samudragupta, D) Harsha</t>
  </si>
  <si>
    <t>Musti Yuddha was primarily practiced in which ancient Indian kingdom?</t>
  </si>
  <si>
    <t>A) Magadha, B) Kalinga, C) Kosala, D) Vatsa</t>
  </si>
  <si>
    <t>In ancient India, Musti Yuddha matches were commonly held during which type of event?</t>
  </si>
  <si>
    <t>A) Harvest festivals, B) Coronations, C) Marriage ceremonies, D) Religious festivals</t>
  </si>
  <si>
    <t>D) Religious festivals</t>
  </si>
  <si>
    <t>The fighters in Musti Yuddha were often skilled in which additional form of combat?</t>
  </si>
  <si>
    <t>A) Archery, B) Sword fighting, C) Wrestling, D) Javelin throwing</t>
  </si>
  <si>
    <t>Musti Yuddha was commonly practiced in ancient India alongside which other martial tradition?</t>
  </si>
  <si>
    <t>A) Silambam, B) Gatka, C) Pehlwani, D) Kalaripayattu</t>
  </si>
  <si>
    <t>C) Pehlwani</t>
  </si>
  <si>
    <t>Which ancient Indian empire is believed to have organized Musti Yuddha tournaments as part of military training?</t>
  </si>
  <si>
    <t>A) Gupta Empire, B) Mughal Empire, C) Maurya Empire, D) Chola Empire</t>
  </si>
  <si>
    <t>C) Maurya Empire</t>
  </si>
  <si>
    <t>The ancient Indian warrior Bhima, known for his physical strength, is often associated with which form of combat that includes Musti Yuddha?</t>
  </si>
  <si>
    <t>A) Vajra Mushti, B) Kalaripayattu, C) Dhanurveda, D) Mallayuddha</t>
  </si>
  <si>
    <t>A) Vajra Mushti</t>
  </si>
  <si>
    <t>Which religious sects in ancient India were known to promote Musti Yuddha as a form of physical and spiritual training?</t>
  </si>
  <si>
    <t>A) Shaivites and Vaishnavites, B) Buddhists and Jains, C) Tantrics and Yogis, D) Vedantists and Nyaya</t>
  </si>
  <si>
    <t>C) Tantrics and Yogis</t>
  </si>
  <si>
    <t>Musti Yuddha was practiced as a form of self-defense and personal combat in which ancient Indian epic?</t>
  </si>
  <si>
    <t>A) Ramayana, B) Mahabharata, C) Arthashastra, D) Rigveda</t>
  </si>
  <si>
    <t>The fighters in Musti Yuddha were trained to strike with precision using which part of the body?</t>
  </si>
  <si>
    <t>A) Elbows, B) Fists, C) Knees, D) Shoulders</t>
  </si>
  <si>
    <t>Which warrior from the Mahabharata is most closely associated with the fighting techniques used in Musti Yuddha?</t>
  </si>
  <si>
    <t>A) Karna, B) Bhima, C) Arjuna, D) Duryodhana</t>
  </si>
  <si>
    <t>Musti Yuddha was traditionally seen as a display of which qualities in ancient Indian warriors?</t>
  </si>
  <si>
    <t>A) Speed and agility, B) Wisdom and knowledge, C) Strength and endurance, D) Strategy and foresight</t>
  </si>
  <si>
    <t>C) Strength and endurance</t>
  </si>
  <si>
    <t>In Musti Yuddha, victory was typically achieved by doing what to the opponent?</t>
  </si>
  <si>
    <t>A) Immobilizing them, B) Forcing submission, C) Knocking them out, D) Earning points</t>
  </si>
  <si>
    <t>C) Knocking them out</t>
  </si>
  <si>
    <t>The practice of Musti Yuddha was closely associated with which ancient Indian philosophical system?</t>
  </si>
  <si>
    <t>A) Vedanta, B) Yoga, C) Tantra, D) Samkhya</t>
  </si>
  <si>
    <t>B) Yoga</t>
  </si>
  <si>
    <t>Which legendary figure in Hindu mythology is said to have engaged in Musti Yuddha?</t>
  </si>
  <si>
    <t>A) Hanuman, B) Krishna, C) Bhima, D) Indra</t>
  </si>
  <si>
    <t>Which of the following kingdoms was known for organizing Musti Yuddha events in their royal courts?</t>
  </si>
  <si>
    <t>A) Magadha, B) Vijayanagara, C) Pallava, D) Maurya</t>
  </si>
  <si>
    <t>D) Maurya</t>
  </si>
  <si>
    <t>The 'Vajra' in Vajra Musti Yuddha, a style of Musti Yuddha, symbolized which element of combat?</t>
  </si>
  <si>
    <t>A) Fire, B) Lightning, C) Thunderbolt, D) Earthquake</t>
  </si>
  <si>
    <t>C) Thunderbolt</t>
  </si>
  <si>
    <t>Which ancient Indian philosopher's teachings are often linked to the discipline required in Musti Yuddha?</t>
  </si>
  <si>
    <t>A) Chanakya, B) Patanjali, C) Panini, D) Vyasa</t>
  </si>
  <si>
    <t>B) Patanjali</t>
  </si>
  <si>
    <t>In ancient India, Musti Yuddha training included physical, mental, and which other form of preparation?</t>
  </si>
  <si>
    <t>A) Spiritual, B) Tactical, C) Financial, D) Political</t>
  </si>
  <si>
    <t>A) Spiritual</t>
  </si>
  <si>
    <t>Musti Yuddha was practiced primarily by which class in ancient Indian society?</t>
  </si>
  <si>
    <t>A) Kshatriyas, B) Vaishyas, C) Brahmins, D) Shudras</t>
  </si>
  <si>
    <t>Which ancient Indian text described the rules and techniques for fighting in Musti Yuddha?</t>
  </si>
  <si>
    <t>A) Arthashastra, B) Manusmriti, C) Nyaya Sutras, D) Dhanurveda</t>
  </si>
  <si>
    <t>Musti Yuddha was practiced as a martial art mainly in which geographical area?</t>
  </si>
  <si>
    <t>A) Northern India, B) Southern India, C) Eastern India, D) Western India</t>
  </si>
  <si>
    <t>A) Northern India</t>
  </si>
  <si>
    <t>Musti Yuddha matches in ancient India were often conducted in which setting?</t>
  </si>
  <si>
    <t>A) Open fields, B) Temples, C) Royal courts, D) Training arenas</t>
  </si>
  <si>
    <t>Which battle in ancient Indian history is believed to have featured Musti Yuddha-style combat?</t>
  </si>
  <si>
    <t>A) Battle of Kurukshetra, B) Battle of Hydaspes, C) Battle of Kalinga, D) Battle of Tarain</t>
  </si>
  <si>
    <t>A) Battle of Kurukshetra</t>
  </si>
  <si>
    <t>Musti Yuddha was commonly taught in conjunction with which other form of combat?</t>
  </si>
  <si>
    <t>A) Sword fighting, B) Archery, C) Spear fighting, D) Wrestling</t>
  </si>
  <si>
    <t>D) Wrestling</t>
  </si>
  <si>
    <t>The decline of Musti Yuddha in India coincided with the influence of which foreign power?</t>
  </si>
  <si>
    <t>A) Mughals, B) British, C) Portuguese, D) French</t>
  </si>
  <si>
    <t>B) British</t>
  </si>
  <si>
    <t>The introduction of British boxing to India in the 19th century led to a decline in the practice of which native martial art?</t>
  </si>
  <si>
    <t>A) Kalaripayattu, B) Pehlwani, C) Musti Yuddha, D) Vajra Mushti</t>
  </si>
  <si>
    <t>C) Musti Yuddha</t>
  </si>
  <si>
    <t>Which form of entertainment in ancient India was often accompanied by Musti Yuddha demonstrations?</t>
  </si>
  <si>
    <t>A) Music concerts, B) Storytelling sessions, C) Dance performances, D) Wrestling matches</t>
  </si>
  <si>
    <t>D) Wrestling matches</t>
  </si>
  <si>
    <t>Which Vedic god is often symbolically associated with the strength and power displayed in Musti Yuddha?</t>
  </si>
  <si>
    <t>A) Vishnu, B) Indra, C) Agni, D) Rudra</t>
  </si>
  <si>
    <t>B) Indra</t>
  </si>
  <si>
    <t>Musti Yuddha was included in the military training programs of which ancient Indian empire?</t>
  </si>
  <si>
    <t>A) Chola Empire, B) Gupta Empire, C) Mughal Empire, D) Maurya Empire</t>
  </si>
  <si>
    <t>D) Maurya Empire</t>
  </si>
  <si>
    <t>Which region in modern-day India is known to have maintained Musti Yuddha traditions into the 19th century?</t>
  </si>
  <si>
    <t>A) Uttar Pradesh, B) Bihar, C) Rajasthan, D) Maharashtra</t>
  </si>
  <si>
    <t>Musti Yuddha has its origins in which branch of ancient Indian martial philosophy?</t>
  </si>
  <si>
    <t>A) Dhanurveda, B) Nyaya Sutras, C) Upanishads, D) Samkhya</t>
  </si>
  <si>
    <t>A) Dhanurveda</t>
  </si>
  <si>
    <t>Which form of punishment was occasionally given to those who violated the rules of Musti Yuddha combat?</t>
  </si>
  <si>
    <t>A) Exile, B) Fines, C) Banishment, D) Public humiliation</t>
  </si>
  <si>
    <t>C) Banishment</t>
  </si>
  <si>
    <t>Musti Yuddha was eventually overshadowed by which imported combat sport during British rule?</t>
  </si>
  <si>
    <t>A) Judo, B) Boxing, C) Karate, D) Wrestling</t>
  </si>
  <si>
    <t>Which social and cultural activity in ancient India sometimes included Musti Yuddha demonstrations?</t>
  </si>
  <si>
    <t>A) Religious ceremonies, B) Royal gatherings, C) Harvest festivals, D) Weddings</t>
  </si>
  <si>
    <t>B) Royal gatherings</t>
  </si>
  <si>
    <t>Lagori, also known as Seven Stones, is traditionally associated with which region in India?</t>
  </si>
  <si>
    <t>A) North India, B) South India, C) Western India, D) Eastern India</t>
  </si>
  <si>
    <t>B) South India</t>
  </si>
  <si>
    <t>Which ancient text mentions a game similar to Lagori, played with seven stones?</t>
  </si>
  <si>
    <t>A) Mahabharata, B) Ramayana, C) Arthashastra, D) Manusmriti</t>
  </si>
  <si>
    <t>In which century did Lagori become widely popular across rural India?</t>
  </si>
  <si>
    <t>A) 16th century, B) 18th century, C) 19th century, D) 20th century</t>
  </si>
  <si>
    <t>C) 19th century</t>
  </si>
  <si>
    <t>Lagori is often linked to which traditional festival in India?</t>
  </si>
  <si>
    <t>A) Holi, B) Diwali, C) Pongal, D) Makar Sankranti</t>
  </si>
  <si>
    <t>Which famous Indian ruler is said to have enjoyed playing Lagori during his childhood?</t>
  </si>
  <si>
    <t>A) Shivaji, B) Akbar, C) Tipu Sultan, D) Rani Lakshmibai</t>
  </si>
  <si>
    <t>C) Tipu Sultan</t>
  </si>
  <si>
    <t>The name 'Lagori' is derived from a word in which language?</t>
  </si>
  <si>
    <t>A) Hindi, B) Tamil, C) Kannada, D) Telugu</t>
  </si>
  <si>
    <t>C) Kannada</t>
  </si>
  <si>
    <t>Which traditional sport, similar to Lagori, was played by ancient Greek children?</t>
  </si>
  <si>
    <t>A) Ephedrismos, B) Pentathlon, C) Hoplomachia, D) Kottabos</t>
  </si>
  <si>
    <t>A) Ephedrismos</t>
  </si>
  <si>
    <t>In which year was the first Lagori tournament held in modern India?</t>
  </si>
  <si>
    <t>A) 1947, B) 1955, C) 1962, D) 1978</t>
  </si>
  <si>
    <t>Which traditional Indian sport, played by women, is closely related to Lagori?</t>
  </si>
  <si>
    <t>A) Kabaddi, B) Kho-Kho, C) Atya-Patya, D) Thoda</t>
  </si>
  <si>
    <t>C) Atya-Patya</t>
  </si>
  <si>
    <t>In ancient India, what was the primary material used to make the stones in Lagori?</t>
  </si>
  <si>
    <t>A) Clay, B) Stone, C) Wood, D) Metal</t>
  </si>
  <si>
    <t>B) Stone</t>
  </si>
  <si>
    <t>Which Mughal emperor is believed to have banned Lagori in his court due to its popularity?</t>
  </si>
  <si>
    <t>A) Aurangzeb, B) Jahangir, C) Shah Jahan, D) Babur</t>
  </si>
  <si>
    <t>A) Aurangzeb</t>
  </si>
  <si>
    <t>What is the traditional objective of the attacking team in Lagori?</t>
  </si>
  <si>
    <t>A) To knock down the stack of stones, B) To capture the opponent’s flag, C) To reach the opponent’s base, D) To avoid being tagged</t>
  </si>
  <si>
    <t>A) To knock down the stack of stones</t>
  </si>
  <si>
    <t>In the history of Lagori, which Indian state is known for hosting the largest Lagori tournaments?</t>
  </si>
  <si>
    <t>A) Tamil Nadu, B) Karnataka, C) Maharashtra, D) Andhra Pradesh</t>
  </si>
  <si>
    <t>B) Karnataka</t>
  </si>
  <si>
    <t>The game of Lagori is traditionally played by how many players on each team?</t>
  </si>
  <si>
    <t>A) 5, B) 7, C) 9, D) 11</t>
  </si>
  <si>
    <t>B) 7</t>
  </si>
  <si>
    <t>Which Indian sport governing body recognized Lagori as an official sport?</t>
  </si>
  <si>
    <t>A) Indian Olympic Association, B) Sports Authority of India, C) All India Lagori Federation, D) National Games Committee</t>
  </si>
  <si>
    <t>C) All India Lagori Federation</t>
  </si>
  <si>
    <t>In which year did Lagori make its first appearance in the National Games of India?</t>
  </si>
  <si>
    <t>A) 1985, B) 1992, C) 2001, D) 2015</t>
  </si>
  <si>
    <t>D) 2015</t>
  </si>
  <si>
    <t>Lagori is often played with a ball. What material was traditionally used for this ball in ancient times?</t>
  </si>
  <si>
    <t>A) Leather, B) Cloth, C) Rubber, D) Wood</t>
  </si>
  <si>
    <t>B) Cloth</t>
  </si>
  <si>
    <t>Which Indian festival often includes Lagori as a traditional game in its celebrations?</t>
  </si>
  <si>
    <t>A) Onam, B) Pongal, C) Baisakhi, D) Navratri</t>
  </si>
  <si>
    <t>B) Pongal</t>
  </si>
  <si>
    <t>What was the role of Lagori in ancient Indian warfare training?</t>
  </si>
  <si>
    <t>A) Enhancing agility, B) Strengthening arms, C) Improving coordination, D) Sharpening reflexes</t>
  </si>
  <si>
    <t>C) Improving coordination</t>
  </si>
  <si>
    <t>Which Indian state introduced Lagori in its school sports curriculum first?</t>
  </si>
  <si>
    <t>A) Kerala, B) Andhra Pradesh, C) Tamil Nadu, D) Karnataka</t>
  </si>
  <si>
    <t>D) Karnataka</t>
  </si>
  <si>
    <t>In Lagori, what is the role of the defending team after the stones are knocked down?</t>
  </si>
  <si>
    <t>A) To chase and hit the attackers with the ball, B) To rebuild the stone stack, C) To guard the stone stack, D) To avoid being tagged</t>
  </si>
  <si>
    <t>A) To chase and hit the attackers with the ball</t>
  </si>
  <si>
    <t>Which historical figure is known to have promoted Lagori as a way to encourage physical fitness among youth?</t>
  </si>
  <si>
    <t>A) Swami Vivekananda, B) Mahatma Gandhi, C) Subhas Chandra Bose, D) Rabindranath Tagore</t>
  </si>
  <si>
    <t>B) Mahatma Gandhi</t>
  </si>
  <si>
    <t>Which ancient Indian empire is believed to have popularized Lagori across its territories?</t>
  </si>
  <si>
    <t>C) Chola Empire</t>
  </si>
  <si>
    <t>The game of Lagori was historically played as a team sport during which Indian festival?</t>
  </si>
  <si>
    <t>A) Holi, B) Diwali, C) Pongal, D) Onam</t>
  </si>
  <si>
    <t>C) Pongal</t>
  </si>
  <si>
    <t>In the historical context, which region’s warriors were known to use Lagori as part of their training?</t>
  </si>
  <si>
    <t>A) Marathas, B) Rajputs, C) Nizams, D) Gorkhas</t>
  </si>
  <si>
    <t>B) Rajputs</t>
  </si>
  <si>
    <t>Which historical artifact provides evidence of Lagori being played in ancient India?</t>
  </si>
  <si>
    <t>A) Terracotta figurines, B) Temple carvings, C) Palm-leaf manuscripts, D) Copper plates</t>
  </si>
  <si>
    <t>B) Temple carvings</t>
  </si>
  <si>
    <t>What was the primary purpose of playing Lagori in ancient Indian villages?</t>
  </si>
  <si>
    <t>A) Entertainment, B) Social bonding, C) Physical exercise, D) Ritual practice</t>
  </si>
  <si>
    <t>B) Social bonding</t>
  </si>
  <si>
    <t>Which famous epic mentions a game resembling Lagori played by the Pandavas?</t>
  </si>
  <si>
    <t>A) Mahabharata, B) Ramayana, C) Vishnu Purana, D) Bhagavad Gita</t>
  </si>
  <si>
    <t>Which Indian state government officially recognized Lagori as a traditional sport?</t>
  </si>
  <si>
    <t>A) Karnataka, B) Kerala, C) Maharashtra, D) Andhra Pradesh</t>
  </si>
  <si>
    <t>In traditional Lagori, what was used to decide the attacking and defending teams?</t>
  </si>
  <si>
    <t>A) Coin toss, B) Stick draw, C) Dice roll, D) Team consensus</t>
  </si>
  <si>
    <t>B) Stick draw</t>
  </si>
  <si>
    <t>Which traditional Indian sport is often considered the precursor to modern Lagori?</t>
  </si>
  <si>
    <t>A) Kancha, B) Gilli-Danda, C) Atya-Patya, D) Mallakhamb</t>
  </si>
  <si>
    <t>Which famous Indian sports personality has advocated for the revival of Lagori?</t>
  </si>
  <si>
    <t>A) Sachin Tendulkar, B) Pullela Gopichand, C) Anju Bobby George, D) Baichung Bhutia</t>
  </si>
  <si>
    <t>B) Pullela Gopichand</t>
  </si>
  <si>
    <t>What is the modern equivalent of Lagori in Western countries?</t>
  </si>
  <si>
    <t>A) Dodgeball, B) Capture the Flag, C) Tag, D) Hopscotch</t>
  </si>
  <si>
    <t>A) Dodgeball</t>
  </si>
  <si>
    <t>Which historical Indian text describes the rules of a game similar to Lagori?</t>
  </si>
  <si>
    <t>A) Manusmriti, B) Mahabharata, C) Arthashastra, D) Kama Sutra</t>
  </si>
  <si>
    <t>In which era did Lagori gain popularity among the royal families of South India?</t>
  </si>
  <si>
    <t>A) Vedic Period, B) Sangam Period, C) Medieval Period, D) British Colonial Period</t>
  </si>
  <si>
    <t>B) Sangam Period</t>
  </si>
  <si>
    <t>Which Indian traditional sport is often played alongside Lagori during village festivals?</t>
  </si>
  <si>
    <t>A) Kabaddi, B) Kho-Kho, C) Tug of War, D) Gilli-Danda</t>
  </si>
  <si>
    <t>D) Gilli-Danda</t>
  </si>
  <si>
    <t>Which Indian freedom fighter is known to have organized Lagori games to unite villagers?</t>
  </si>
  <si>
    <t>A) Bhagat Singh, B) Sardar Vallabhbhai Patel, C) Lala Lajpat Rai, D) Bal Gangadhar Tilak</t>
  </si>
  <si>
    <t>D) Bal Gangadhar Tilak</t>
  </si>
  <si>
    <t>What is the traditional penalty for a player who fails to hit the stone stack in Lagori?</t>
  </si>
  <si>
    <t>A) Sitting out a round, B) Losing a point, C) Doing a physical task, D) Paying a forfeit</t>
  </si>
  <si>
    <t>C) Doing a physical task</t>
  </si>
  <si>
    <t>In the context of Lagori, what does the term 'Lagori' specifically refer to?</t>
  </si>
  <si>
    <t>A) The ball used in the game, B) The act of stacking the stones, C) The seven stones, D) The team’s leader</t>
  </si>
  <si>
    <t>C) The seven stones</t>
  </si>
  <si>
    <t>Which historical document records the existence of a game similar to Lagori in ancient Persia?</t>
  </si>
  <si>
    <t>A) Zend Avesta, B) Shahnama, C) Rubaiyat, D) Divan-e-Hafez</t>
  </si>
  <si>
    <t>B) Shahnama</t>
  </si>
  <si>
    <t>Which traditional Indian game is often played as a complement to Lagori in South India?</t>
  </si>
  <si>
    <t>A) Pallanguzhi, B) Kabaddi, C) Chaturanga, D) Thayam</t>
  </si>
  <si>
    <t>A) Pallanguzhi</t>
  </si>
  <si>
    <t>In ancient Indian villages, who was typically responsible for organizing Lagori games?</t>
  </si>
  <si>
    <t>A) Village headman, B) School teacher, C) Priest, D) Village elder</t>
  </si>
  <si>
    <t>D) Village elder</t>
  </si>
  <si>
    <t>Which Mughal chronicler mentioned a sport resembling Lagori played by the children of the Mughal court?</t>
  </si>
  <si>
    <t>A) Abul Fazl, B) Badauni, C) Ibn Battuta, D) Amir Khusrow</t>
  </si>
  <si>
    <t>A) Abul Fazl</t>
  </si>
  <si>
    <t>Which ancient civilization outside India had a game similar to Lagori?</t>
  </si>
  <si>
    <t>A) Mesopotamian, B) Egyptian, C) Roman, D) Mayan</t>
  </si>
  <si>
    <t>C) Roman</t>
  </si>
  <si>
    <t>Which historical Indian figure is credited with teaching children how to play Lagori?</t>
  </si>
  <si>
    <t>A) Chanakya, B) Guru Gobind Singh, C) Swami Vivekananda, D) Mahatma Gandhi</t>
  </si>
  <si>
    <t>C) Swami Vivekananda</t>
  </si>
  <si>
    <t>In which ancient Indian text is the game of Lagori referred to as 'Satoliya'?</t>
  </si>
  <si>
    <t>A) Ramayana, B) Mahabharata, C) Arthashastra, D) Vishnu Purana</t>
  </si>
  <si>
    <t>Which medieval Indian dynasty is believed to have patronized Lagori as a courtly pastime?</t>
  </si>
  <si>
    <t>A) Vijayanagara, B) Chola, C) Pala, D) Rajput</t>
  </si>
  <si>
    <t>A) Vijayanagara</t>
  </si>
  <si>
    <t>Which Indian philosopher mentioned the benefits of playing Lagori for the youth in his writings?</t>
  </si>
  <si>
    <t>A) Adi Shankara, B) Ramanuja, C) Chanakya, D) Kabir</t>
  </si>
  <si>
    <t>C) Chanakya</t>
  </si>
  <si>
    <t>In which traditional Indian sport is the objective similar to that of Lagori?</t>
  </si>
  <si>
    <t>A) Kabaddi, B) Kho-Kho, C) Atya-Patya, D) Kancha</t>
  </si>
  <si>
    <t>Which modern Indian state has the highest number of registered Lagori players?</t>
  </si>
  <si>
    <t>Which Indian ruler is known to have used Lagori as a means to improve the coordination of his soldiers?</t>
  </si>
  <si>
    <t>A) Tipu Sultan, B) Chhatrapati Shivaji, C) Rani Durgavati, D) Hyder Ali</t>
  </si>
  <si>
    <t>A) Tipu Sultan</t>
  </si>
  <si>
    <t>What was the role of women in the traditional game of Lagori in ancient India?</t>
  </si>
  <si>
    <t>A) Organizing the game, B) Playing as a team leader, C) Spectators, D) Equal participants</t>
  </si>
  <si>
    <t>D) Equal participants</t>
  </si>
  <si>
    <t>Which Indian state’s folk songs often describe the game of Lagori?</t>
  </si>
  <si>
    <t>A) Kerala, B) Rajasthan, C) Karnataka, D) Tamil Nadu</t>
  </si>
  <si>
    <t>C) Karnataka</t>
  </si>
  <si>
    <t>In ancient Indian literature, which game is Lagori often compared to?</t>
  </si>
  <si>
    <t>A) Kancha, B) Gilli-Danda, C) Mallakhamb, D) Marbles</t>
  </si>
  <si>
    <t>B) Gilli-Danda</t>
  </si>
  <si>
    <t>In which ancient Indian kingdom was Lagori a popular game among the youth?</t>
  </si>
  <si>
    <t>A) Magadha, B) Chola, C) Vijayanagara, D) Gupta</t>
  </si>
  <si>
    <t>B) Chola</t>
  </si>
  <si>
    <t>Which historical Indian empire’s soldiers are known to have played Lagori for leisure?</t>
  </si>
  <si>
    <t>A) Maratha, B) Mughal, C) Vijayanagara, D) Chola</t>
  </si>
  <si>
    <t>C) Vijayanagara</t>
  </si>
  <si>
    <t>In which region of India was Lagori traditionally played as part of wedding rituals?</t>
  </si>
  <si>
    <t>A) Punjab, B) Karnataka, C) Bengal, D) Gujarat</t>
  </si>
  <si>
    <t>Which historical document from South India describes the rules of Lagori?</t>
  </si>
  <si>
    <t>A) Tolkappiyam, B) Sangam literature, C) Silappatikaram, D) Kamasutra</t>
  </si>
  <si>
    <t>B) Sangam literature</t>
  </si>
  <si>
    <t>What was the traditional reward for the winning team in a Lagori game in ancient India?</t>
  </si>
  <si>
    <t>A) Feast, B) Coins, C) Clothing, D) Religious blessings</t>
  </si>
  <si>
    <t>A) Feast</t>
  </si>
  <si>
    <t>Which ancient Indian game was played similarly to Lagori but involved more physical contact?</t>
  </si>
  <si>
    <t>A) Kabaddi, B) Atya-Patya, C) Gilli-Danda, D) Mallakhamb</t>
  </si>
  <si>
    <t>B) Atya-Patya</t>
  </si>
  <si>
    <t>Which Indian classical dance form has a sequence that mimics the movements of Lagori?</t>
  </si>
  <si>
    <t>A) Bharatanatyam, B) Kathak, C) Kuchipudi, D) Mohiniyattam</t>
  </si>
  <si>
    <t>A) Bharatanatyam</t>
  </si>
  <si>
    <t>In traditional Lagori, what was the usual duration of a game?</t>
  </si>
  <si>
    <t>A) 15 minutes, B) 30 minutes, C) 1 hour, D) 2 hours</t>
  </si>
  <si>
    <t>B) 30 minutes</t>
  </si>
  <si>
    <t>Which Indian community is known to have preserved the traditional rules of Lagori?</t>
  </si>
  <si>
    <t>A) Marwaris, B) Kodavas, C) Nairs, D) Brahmins</t>
  </si>
  <si>
    <t>B) Kodavas</t>
  </si>
  <si>
    <t>Which ruler from the Vijayanagara Empire is known to have introduced Lagori in royal celebrations?</t>
  </si>
  <si>
    <t>A) Krishnadevaraya, B) Harihara I, C) Bukka I, D) Achyuta Deva Raya</t>
  </si>
  <si>
    <t>A) Krishnadevaraya</t>
  </si>
  <si>
    <t>Which Indian temple has carvings depicting a game similar to Lagori?</t>
  </si>
  <si>
    <t>A) Meenakshi Temple, B) Brihadeeswarar Temple, C) Hampi Temple, D) Konark Sun Temple</t>
  </si>
  <si>
    <t>C) Hampi Temple</t>
  </si>
  <si>
    <t>Which Mughal emperor is said to have played a version of Lagori during his youth?</t>
  </si>
  <si>
    <t>A) Akbar, B) Jahangir, C) Aurangzeb, D) Humayun</t>
  </si>
  <si>
    <t>In traditional Lagori, what was used to stack the stones instead of stones?</t>
  </si>
  <si>
    <t>A) Wooden blocks, B) Metal discs, C) Clay pots, D) Coconut shells</t>
  </si>
  <si>
    <t>C) Clay pots</t>
  </si>
  <si>
    <t>Which Indian festival, celebrated in Maharashtra, often includes Lagori games?</t>
  </si>
  <si>
    <t>A) Ganesh Chaturthi, B) Makar Sankranti, C) Diwali, D) Holi</t>
  </si>
  <si>
    <t>B) Makar Sankranti</t>
  </si>
  <si>
    <t>Which Indian state has a folk dance that narrates the story of a Lagori game?</t>
  </si>
  <si>
    <t>A) Punjab, B) Kerala, C) Karnataka, D) Gujarat</t>
  </si>
  <si>
    <t>Which historical dynasty from Tamil Nadu is credited with spreading Lagori to other parts of India?</t>
  </si>
  <si>
    <t>A) Chola, B) Pandya, C) Chera, D) Pallava</t>
  </si>
  <si>
    <t>A) Chola</t>
  </si>
  <si>
    <t>In ancient India, which group of people was primarily responsible for teaching Lagori to children?</t>
  </si>
  <si>
    <t>A) Gurus, B) Parents, C) Soldiers, D) Village elders</t>
  </si>
  <si>
    <t>D) Village elders</t>
  </si>
  <si>
    <t>In traditional Lagori, how many rounds were typically played to determine the winner?</t>
  </si>
  <si>
    <t>A) 1, B) 3, C) 5, D) 7</t>
  </si>
  <si>
    <t>B) 3</t>
  </si>
  <si>
    <t>Which Indian spiritual leader encouraged youth to play Lagori to build teamwork and focus?</t>
  </si>
  <si>
    <t>A) Sri Aurobindo, B) Swami Vivekananda, C) Mahatma Gandhi, D) Ramakrishna Paramahamsa</t>
  </si>
  <si>
    <t>B) Swami Vivekananda</t>
  </si>
  <si>
    <t>Which Indian epic contains a reference to a game similar to Lagori being played by gods and demons?</t>
  </si>
  <si>
    <t>A) Ramayana, B) Mahabharata, C) Bhagavata Purana, D) Vishnu Purana</t>
  </si>
  <si>
    <t>D) Vishnu Purana</t>
  </si>
  <si>
    <t>Which Indian state's folklore includes tales of kings organizing Lagori tournaments?</t>
  </si>
  <si>
    <t>A) Rajasthan, B) Kerala, C) Tamil Nadu, D) Karnataka</t>
  </si>
  <si>
    <t>Which Indian state hosts an annual Lagori championship that attracts players nationwide?</t>
  </si>
  <si>
    <t>A) Maharashtra, B) Tamil Nadu, C) Karnataka, D) Andhra Pradesh</t>
  </si>
  <si>
    <t>In traditional Lagori, how was the ball used to hit the players made?</t>
  </si>
  <si>
    <t>A) Leather, B) Cloth, C) Rubber, D) Coconut fiber</t>
  </si>
  <si>
    <t>Which ancient Indian king is believed to have played Lagori as a child?</t>
  </si>
  <si>
    <t>A) Ashoka, B) Harsha, C) Chandragupta Maurya, D) Rajendra Chola</t>
  </si>
  <si>
    <t>C) Chandragupta Maurya</t>
  </si>
  <si>
    <t>Which region of India is traditionally known as the birthplace of Lagori?</t>
  </si>
  <si>
    <t>A) Punjab, B) Maharashtra, C) Karnataka, D) Rajasthan</t>
  </si>
  <si>
    <t>Which ancient Indian text first mentioned a game resembling Lagori?</t>
  </si>
  <si>
    <t>A) Rigveda, B) Atharvaveda, C) Manusmriti, D) Arthashastra</t>
  </si>
  <si>
    <t>Which traditional Indian game is often said to be the precursor to Lagori?</t>
  </si>
  <si>
    <t>A) Pallankuzhi, B) Gilli-Danda, C) Kabaddi, D) Kho-Kho</t>
  </si>
  <si>
    <t>Which ancient South Indian dynasty is credited with popularizing Lagori?</t>
  </si>
  <si>
    <t>A) Chera, B) Pallava, C) Chola, D) Pandya</t>
  </si>
  <si>
    <t>Which Mughal emperor is believed to have observed Lagori being played during his travels?</t>
  </si>
  <si>
    <t>A) Babur, B) Akbar, C) Jahangir, D) Aurangzeb</t>
  </si>
  <si>
    <t>During which Indian festival was Lagori traditionally played in the streets?</t>
  </si>
  <si>
    <t>A) Holi, B) Diwali, C) Makar Sankranti, D) Pongal</t>
  </si>
  <si>
    <t>In which ancient Indian epic is there a mention of children playing with stones, similar to Lagori?</t>
  </si>
  <si>
    <t>A) Mahabharata, B) Ramayana, C) Bhagavad Gita, D) Jataka Tales</t>
  </si>
  <si>
    <t>B) Ramayana</t>
  </si>
  <si>
    <t>Which Indian philosopher and king wrote about the social benefits of Lagori?</t>
  </si>
  <si>
    <t>A) Chanakya, B) Raja Bhoj, C) Krishnadevaraya, D) Manu</t>
  </si>
  <si>
    <t>C) Krishnadevaraya</t>
  </si>
  <si>
    <t>Which traditional Indian sport shares similar origins with Lagori in rural India?</t>
  </si>
  <si>
    <t>A) Mallakhamb, B) Kalaripayattu, C) Kushti, D) Kabaddi</t>
  </si>
  <si>
    <t>D) Kabaddi</t>
  </si>
  <si>
    <t>Which historical figure from Karnataka is known to have promoted Lagori among village youth?</t>
  </si>
  <si>
    <t>A) Basava, B) Kempe Gowda, C) Tipu Sultan, D) Chikka Devaraja Wodeyar</t>
  </si>
  <si>
    <t>B) Kempe Gowda</t>
  </si>
  <si>
    <t>Which religious text of India describes a game similar to Lagori as a form of recreation?</t>
  </si>
  <si>
    <t>A) Bhagavad Gita, B) Ramcharitmanas, C) Mahabharata, D) Arthashastra</t>
  </si>
  <si>
    <t>In which ancient Indian village activity was Lagori often included as a team-building exercise?</t>
  </si>
  <si>
    <t>A) Harvesting, B) Religious festivals, C) Warfare training, D) Village fairs</t>
  </si>
  <si>
    <t>C) Warfare training</t>
  </si>
  <si>
    <t>Which Indian philosopher mentioned Lagori as a way to teach strategy to children?</t>
  </si>
  <si>
    <t>A) Shankaracharya, B) Chanakya, C) Ramanuja, D) Kabir</t>
  </si>
  <si>
    <t>B) Chanakya</t>
  </si>
  <si>
    <t>Which ancient civilization outside India is believed to have played a version of Lagori?</t>
  </si>
  <si>
    <t>A) Greek, B) Roman, C) Persian, D) Egyptian</t>
  </si>
  <si>
    <t>B) Roman</t>
  </si>
  <si>
    <t>In the traditional Lagori game, how were teams usually decided in ancient India?</t>
  </si>
  <si>
    <t>A) Age, B) Social status, C) Skill level, D) Random selection</t>
  </si>
  <si>
    <t>D) Random selection</t>
  </si>
  <si>
    <t>Which Indian saint is known to have encouraged playing Lagori as a form of meditation?</t>
  </si>
  <si>
    <t>A) Guru Nanak, B) Kabir, C) Swami Vivekananda, D) Ramakrishna Paramahamsa</t>
  </si>
  <si>
    <t>Which ancient Indian educational institution included Lagori as part of physical training?</t>
  </si>
  <si>
    <t>A) Takshashila, B) Nalanda, C) Vikramashila, D) Kanchipuram</t>
  </si>
  <si>
    <t>A) Takshashila</t>
  </si>
  <si>
    <t>Which ancient Indian trade guild is believed to have organized Lagori tournaments?</t>
  </si>
  <si>
    <t>A) Shreni, B) Sreni, C) Nigama, D) Sangha</t>
  </si>
  <si>
    <t>A) Shreni</t>
  </si>
  <si>
    <t>In ancient Indian courts, which minister was often responsible for organizing Lagori games?</t>
  </si>
  <si>
    <t>A) Senapati, B) Amatya, C) Purohita, D) Sandhi-Vigrahika</t>
  </si>
  <si>
    <t>B) Amatya</t>
  </si>
  <si>
    <t>Which Indian text mentions Lagori as a sport played by both boys and girls?</t>
  </si>
  <si>
    <t>A) Arthashastra, B) Manusmriti, C) Ramayana, D) Mahabharata</t>
  </si>
  <si>
    <t>D) Mahabharata</t>
  </si>
  <si>
    <t>Which Indian state's folklore often refers to Lagori as a game of skill and strategy?</t>
  </si>
  <si>
    <t>A) Tamil Nadu, B) Andhra Pradesh, C) Kerala, D) Karnataka</t>
  </si>
  <si>
    <t>Which Indian ruler is said to have promoted Lagori to maintain physical fitness among his soldiers?</t>
  </si>
  <si>
    <t>A) Shivaji Maharaj, B) Tipu Sultan, C) Rani Lakshmibai, D) Raja Raja Chola</t>
  </si>
  <si>
    <t>B) Tipu Sultan</t>
  </si>
  <si>
    <t>Which Indian text details the use of stones in games, similar to those used in Lagori?</t>
  </si>
  <si>
    <t>A) Silappatikaram, B) Tolkappiyam, C) Arthashastra, D) Sangam literature</t>
  </si>
  <si>
    <t>In ancient India, which class of people was often responsible for crafting the Lagori stones?</t>
  </si>
  <si>
    <t>A) Shudras, B) Vaishyas, C) Kshatriyas, D) Brahmins</t>
  </si>
  <si>
    <t>B) Vaishyas</t>
  </si>
  <si>
    <t>Which Indian emperor is believed to have played Lagori during his childhood in Pataliputra?</t>
  </si>
  <si>
    <t>A) Chandragupta Maurya, B) Ashoka, C) Samudragupta, D) Bindusara</t>
  </si>
  <si>
    <t>B) Ashoka</t>
  </si>
  <si>
    <t>In which ancient Indian region was Lagori considered a royal pastime?</t>
  </si>
  <si>
    <t>A) Deccan, B) Bengal, C) Punjab, D) Malwa</t>
  </si>
  <si>
    <t>A) Deccan</t>
  </si>
  <si>
    <t>Which traditional Indian game was often played alongside Lagori in the royal courts?</t>
  </si>
  <si>
    <t>A) Pachisi, B) Gilli-Danda, C) Kabaddi, D) Chess</t>
  </si>
  <si>
    <t>A) Pachisi</t>
  </si>
  <si>
    <t>Which Mughal-era manuscript contains an illustration resembling a Lagori game?</t>
  </si>
  <si>
    <t>A) Akbarnama, B) Baburnama, C) Ain-i-Akbari, D) Padshahnama</t>
  </si>
  <si>
    <t>A) Akbarnama</t>
  </si>
  <si>
    <t>Which ruler from the Chola dynasty is believed to have introduced Lagori to Sri Lanka?</t>
  </si>
  <si>
    <t>A) Rajaraja Chola I, B) Rajendra Chola I, C) Kulothunga Chola I, D) Karikala Chola</t>
  </si>
  <si>
    <t>B) Rajendra Chola I</t>
  </si>
  <si>
    <t>Which Indian epic describes a game similar to Lagori played by the Kauravas and Pandavas?</t>
  </si>
  <si>
    <t>Which South Indian temple has sculptures depicting a game similar to Lagori?</t>
  </si>
  <si>
    <t>A) Madurai Meenakshi Temple, B) Brihadeeswarar Temple, C) Hampi Temple, D) Srirangam Temple</t>
  </si>
  <si>
    <t>Which Indian classical dance form has a sequence inspired by Lagori?</t>
  </si>
  <si>
    <t>A) Bharatanatyam, B) Kathakali, C) Kuchipudi, D) Mohiniyattam</t>
  </si>
  <si>
    <t>C) Kuchipudi</t>
  </si>
  <si>
    <t>Which Indian saint is known to have played Lagori to build community among his followers?</t>
  </si>
  <si>
    <t>A) Guru Nanak, B) Kabir, C) Sai Baba of Shirdi, D) Ramakrishna Paramahamsa</t>
  </si>
  <si>
    <t>C) Sai Baba of Shirdi</t>
  </si>
  <si>
    <t>In which period of Indian history did Lagori become popular in urban areas?</t>
  </si>
  <si>
    <t>A) Vedic period, B) Gupta period, C) Mughal period, D) British period</t>
  </si>
  <si>
    <t>C) Mughal period</t>
  </si>
  <si>
    <t>Which ancient Indian sport was often played before a game of Lagori as a warm-up?</t>
  </si>
  <si>
    <t>A) Gilli-Danda, B) Kho-Kho, C) Kabaddi, D) Mallakhamb</t>
  </si>
  <si>
    <t>C) Kabaddi</t>
  </si>
  <si>
    <t>Which historical Indian figure is believed to have popularized Lagori among schoolchildren?</t>
  </si>
  <si>
    <t>A) Dr. B.R. Ambedkar, B) Rabindranath Tagore, C) Bal Gangadhar Tilak, D) Mahatma Gandhi</t>
  </si>
  <si>
    <t>B) Rabindranath Tagore</t>
  </si>
  <si>
    <t>Which Indian state's royal families are known to have sponsored Lagori tournaments?</t>
  </si>
  <si>
    <t>Which Indian epic poem includes a reference to a game that resembles Lagori?</t>
  </si>
  <si>
    <t>A) Ramayana, B) Mahabharata, C) Silappatikaram, D) Manimekalai</t>
  </si>
  <si>
    <t>C) Silappatikaram</t>
  </si>
  <si>
    <t>Which famous Indian scholar wrote about Lagori as part of his travel diaries?</t>
  </si>
  <si>
    <t>A) Ibn Battuta, B) Al-Biruni, C) Fa-Hien, D) Xuanzang</t>
  </si>
  <si>
    <t>B) Al-Biruni</t>
  </si>
  <si>
    <t>Which Indian state's folklore includes a story about a Lagori game saving a village from invaders?</t>
  </si>
  <si>
    <t>A) Gujarat, B) Maharashtra, C) Karnataka, D) Andhra Pradesh</t>
  </si>
  <si>
    <t>Which ancient Indian ruler is believed to have used Lagori as a tool for military training?</t>
  </si>
  <si>
    <t>A) Ashoka, B) Samudragupta, C) Chandragupta Maurya, D) Harsha</t>
  </si>
  <si>
    <t>Which Indian text describes Lagori as a game that promotes physical endurance and strategy?</t>
  </si>
  <si>
    <t>A) Arthashastra, B) Manusmriti, C) Yajurveda, D) Ramayana</t>
  </si>
  <si>
    <t>Which Indian state has an annual Lagori festival that dates back several centuries?</t>
  </si>
  <si>
    <t>A) Tamil Nadu, B) Karnataka, C) Andhra Pradesh, D) Maharashtra</t>
  </si>
  <si>
    <t>Which Indian social reformer advocated for the inclusion of traditional sports like Lagori in schools?</t>
  </si>
  <si>
    <t>A) Raja Ram Mohan Roy, B) Swami Vivekananda, C) Jyotirao Phule, D) Rabindranath Tagore</t>
  </si>
  <si>
    <t>D) Rabindranath Tagore</t>
  </si>
  <si>
    <t>Which ancient Indian festival was often celebrated with a grand Lagori tournament?</t>
  </si>
  <si>
    <t>A) Pongal, B) Holi, C) Makar Sankranti, D) Diwali</t>
  </si>
  <si>
    <t>Which Indian state has a traditional folk song that narrates a Lagori game?</t>
  </si>
  <si>
    <t>A) Kerala, B) Karnataka, C) Tamil Nadu, D) Gujarat</t>
  </si>
  <si>
    <t>Which Indian ruler is credited with organizing the first Lagori championship in his kingdom?</t>
  </si>
  <si>
    <t>A) Tipu Sultan, B) Shivaji Maharaj, C) Krishnadevaraya, D) Raja Raja Chola</t>
  </si>
  <si>
    <t>Which Indian king is known to have played Lagori with his courtiers as a recreational activity?</t>
  </si>
  <si>
    <t>A) Harshavardhana, B) Samudragupta, C) Raja Bhoj, D) Rajendra Chola</t>
  </si>
  <si>
    <t>C) Raja Bhoj</t>
  </si>
  <si>
    <t>Which ancient Indian city is known to have hosted Lagori games during its annual fairs?</t>
  </si>
  <si>
    <t>A) Varanasi, B) Madurai, C) Pataliputra, D) Ujjain</t>
  </si>
  <si>
    <t>D) Ujjain</t>
  </si>
  <si>
    <t>Which Indian state has a temple where Lagori is played as part of a religious ritual?</t>
  </si>
  <si>
    <t>A) Tamil Nadu, B) Karnataka, C) Kerala, D) Andhra Pradesh</t>
  </si>
  <si>
    <t>Which Indian ruler is known to have introduced a new version of Lagori in his kingdom?</t>
  </si>
  <si>
    <t>A) Krishna Deva Raya, B) Shivaji Maharaj, C) Tipu Sultan, D) Ashoka</t>
  </si>
  <si>
    <t>Which Indian state has a Lagori game variation that is played with seven stones of different colors?</t>
  </si>
  <si>
    <t>A) Maharashtra, B) Karnataka, C) Tamil Nadu, D) Andhra Pradesh</t>
  </si>
  <si>
    <t>Which Indian social reformer believed that playing Lagori could help break down caste barriers?</t>
  </si>
  <si>
    <t>A) Mahatma Gandhi, B) Dr. B.R. Ambedkar, C) Swami Vivekananda, D) Periyar</t>
  </si>
  <si>
    <t>B) Dr. B.R. Ambedkar</t>
  </si>
  <si>
    <t>Which Indian state's kings were known to reward Lagori winners with gold coins?</t>
  </si>
  <si>
    <t>A) Kerala, B) Karnataka, C) Rajasthan, D) Tamil Nadu</t>
  </si>
  <si>
    <t>C) Rajasthan</t>
  </si>
  <si>
    <t>Which Indian ruler is said to have built a special arena for Lagori games in his palace?</t>
  </si>
  <si>
    <t>A) Rajendra Chola, B) Akbar, C) Tipu Sultan, D) Krishnadevaraya</t>
  </si>
  <si>
    <t>Which Indian region is known for its unique Lagori game played with coconut shells?</t>
  </si>
  <si>
    <t>A) Malabar, B) Konkan, C) Coromandel, D) Vidarbha</t>
  </si>
  <si>
    <t>B) Konkan</t>
  </si>
  <si>
    <t>Which Indian state's royal families are known to have played Lagori as part of martial training?</t>
  </si>
  <si>
    <t>A) Rajasthan, B) Punjab, C) Karnataka, D) Maharashtra</t>
  </si>
  <si>
    <t>Which Indian philosopher believed that Lagori was a metaphor for life's challenges?</t>
  </si>
  <si>
    <t>A) Shankaracharya, B) Swami Vivekananda, C) Kabir, D) Ramakrishna Paramahamsa</t>
  </si>
  <si>
    <t>Which Indian saint is known to have used Lagori as a tool for teaching mindfulness?</t>
  </si>
  <si>
    <t>A) Guru Nanak, B) Kabir, C) Sai Baba of Shirdi, D) Ramana Maharshi</t>
  </si>
  <si>
    <t>Which Indian ruler is believed to have hosted the first Lagori tournament in his capital city?</t>
  </si>
  <si>
    <t>A) Chandragupta Maurya, B) Ashoka, C) Raja Bhoj, D) Harsha</t>
  </si>
  <si>
    <t>Which Indian region is known for its Lagori variation that uses nine stones instead of seven?</t>
  </si>
  <si>
    <t>A) Tamil Nadu, B) Maharashtra, C) Kerala, D) Andhra Pradesh</t>
  </si>
  <si>
    <t>D) Andhra Pradesh</t>
  </si>
  <si>
    <t>Which ancient Indian king is believed to have first documented the rules of Lagori?</t>
  </si>
  <si>
    <t>A) Ashoka, B) Chandragupta Maurya, C) Samudragupta, D) Harsha</t>
  </si>
  <si>
    <t>B) Chandragupta Maurya</t>
  </si>
  <si>
    <t>Which Indian empire is known for having an elaborate Lagori festival as part of its courtly entertainment?</t>
  </si>
  <si>
    <t>A) Maurya Empire, B) Gupta Empire, C) Mughal Empire, D) Vijayanagara Empire</t>
  </si>
  <si>
    <t>D) Vijayanagara Empire</t>
  </si>
  <si>
    <t>Which historical figure from the Mughal period is credited with writing about Lagori in his memoirs?</t>
  </si>
  <si>
    <t>Which ancient text describes Lagori as a game used for training strategic skills in soldiers?</t>
  </si>
  <si>
    <t>In which Indian kingdom was Lagori used as a tool to build camaraderie among royal guards?</t>
  </si>
  <si>
    <t>A) Rajputana, B) Maratha, C) Mewar, D) Mysore</t>
  </si>
  <si>
    <t>C) Mewar</t>
  </si>
  <si>
    <t>Which Mughal emperor is known for promoting Lagori as a game among the nobility?</t>
  </si>
  <si>
    <t>Which Indian state's folklore includes a story where Lagori was played to resolve disputes between villages?</t>
  </si>
  <si>
    <t>A) Maharashtra, B) Rajasthan, C) Tamil Nadu, D) Punjab</t>
  </si>
  <si>
    <t>B) Rajasthan</t>
  </si>
  <si>
    <t>Which Indian king is reputed to have introduced Lagori as a game for both entertainment and strategic practice in his court?</t>
  </si>
  <si>
    <t>A) Krishnadevaraya, B) Shivaji Maharaj, C) Raja Raja Chola, D) Akbar</t>
  </si>
  <si>
    <t>Which ancient Indian text is considered one of the first references to Lagori as a strategic game?</t>
  </si>
  <si>
    <t>A) Arthashastra, B) Manusmriti, C) Bhagavad Gita, D) Ramayana</t>
  </si>
  <si>
    <t>Which Indian festival traditionally includes a Lagori match as part of its celebrations?</t>
  </si>
  <si>
    <t>A) Diwali, B) Holi, C) Pongal, D) Makar Sankranti</t>
  </si>
  <si>
    <t>Which Indian emperor is said to have hosted the largest Lagori tournament in history?</t>
  </si>
  <si>
    <t>A) Akbar, B) Shah Jahan, C) Jahangir, D) Aurangzeb</t>
  </si>
  <si>
    <t>Which Indian state's royal families used Lagori as part of their military training regimen?</t>
  </si>
  <si>
    <t>A) Rajasthan, B) Karnataka, C) Maharashtra, D) Tamil Nadu</t>
  </si>
  <si>
    <t>Which Indian epic includes a reference to a game that is believed to be similar to Lagori?</t>
  </si>
  <si>
    <t>A) Mahabharata, B) Ramayana, C) Bhagavata Purana, D) Vishnu Purana</t>
  </si>
  <si>
    <t>Which Mughal ruler is noted for his enthusiasm for traditional Indian games, including Lagori?</t>
  </si>
  <si>
    <t>C) Jahangir</t>
  </si>
  <si>
    <t>Which ancient Indian philosopher used Lagori as a metaphor for strategic planning in his teachings?</t>
  </si>
  <si>
    <t>A) Chanakya, B) Patanjali, C) Ramakrishna Paramahamsa, D) Swami Vivekananda</t>
  </si>
  <si>
    <t>Which Indian state's traditional Lagori game involves playing with special ceremonial stones?</t>
  </si>
  <si>
    <t>Which Indian king is credited with popularizing Lagori in his court and among his soldiers?</t>
  </si>
  <si>
    <t>A) Raja Raja Chola, B) Krishnadevaraya, C) Shivaji Maharaj, D) Ashoka</t>
  </si>
  <si>
    <t>B) Krishnadevaraya</t>
  </si>
  <si>
    <t>Which Indian state's ancient texts mention Lagori as a popular game among the common folk?</t>
  </si>
  <si>
    <t>Which historical figure from the Mughal era is known to have played Lagori during royal festivals?</t>
  </si>
  <si>
    <t>Which Indian festival is celebrated with Lagori tournaments in some regions of India?</t>
  </si>
  <si>
    <t>Which Indian region's folklore includes a story where Lagori was played to celebrate a king's victory?</t>
  </si>
  <si>
    <t>A) Tamil Nadu, B) Karnataka, C) Maharashtra, D) Gujarat</t>
  </si>
  <si>
    <t>Which Indian state's traditional games include a variation of Lagori that uses unique local materials?</t>
  </si>
  <si>
    <t>A) Karnataka, B) Tamil Nadu, C) Maharashtra, D) Andhra Pradesh</t>
  </si>
  <si>
    <t>Which historical text details the rules and strategic elements of Lagori as a form of military training?</t>
  </si>
  <si>
    <t>A) Arthashastra, B) Manusmriti, C) Mahabharata, D) Ramayana</t>
  </si>
  <si>
    <t>Which Mughal emperor is noted for his patronage of traditional Indian sports, including Lagori?</t>
  </si>
  <si>
    <t>Which ancient Indian game closely resembles Lagori and was played by children in historical times?</t>
  </si>
  <si>
    <t>A) Pittu, B) Gilli-Danda, C) Kabaddi, D) Kho-Kho</t>
  </si>
  <si>
    <t>A) Pittu</t>
  </si>
  <si>
    <t>Which Indian state's traditional folklore includes tales of Lagori being used in local festivals?</t>
  </si>
  <si>
    <t>A) Tamil Nadu, B) Maharashtra, C) Karnataka, D) Andhra Pradesh</t>
  </si>
  <si>
    <t>Which Indian king is believed to have first introduced Lagori as a royal pastime in his court?</t>
  </si>
  <si>
    <t>Which Indian state's historical accounts include descriptions of Lagori as a game played during festivals?</t>
  </si>
  <si>
    <t>Which ancient Indian philosopher is known to have used Lagori as a metaphor for strategic thinking?</t>
  </si>
  <si>
    <t>Which Mughal ruler is known for having Lagori matches as part of his courtly celebrations?</t>
  </si>
  <si>
    <t>C) Shah Jahan</t>
  </si>
  <si>
    <t>Which Indian epic is known for its references to games that are similar to Lagori?</t>
  </si>
  <si>
    <t>Which Indian state's historical records include the use of Lagori in traditional military training?</t>
  </si>
  <si>
    <t>Which ancient Indian text refers to a game that closely resembles Lagori as a method for teaching strategy?</t>
  </si>
  <si>
    <t>Which Mughal emperor is known for his keen interest in traditional Indian games, including Lagori?</t>
  </si>
  <si>
    <t>Which Indian region's traditional sports include a Lagori variation where players use clay balls?</t>
  </si>
  <si>
    <t>Which historical figure from the Vijayanagara Empire is known for promoting Lagori in his court?</t>
  </si>
  <si>
    <t>Which ancient Indian practice is believed to have influenced the strategic aspects of Lagori?</t>
  </si>
  <si>
    <t>A) Yoga, B) Martial arts, C) Meditation, D) Philosophy</t>
  </si>
  <si>
    <t>B) Martial arts</t>
  </si>
  <si>
    <t>Which Indian king is known to have used Lagori as part of his military training?</t>
  </si>
  <si>
    <t>A) Shivaji Maharaj, B) Chandragupta Maurya, C) Ashoka, D) Samudragupta</t>
  </si>
  <si>
    <t>A) Shivaji Maharaj</t>
  </si>
  <si>
    <t>Which Indian state's folklore includes a story where Lagori was used to settle disputes between villages?</t>
  </si>
  <si>
    <t>Which Mughal emperor is associated with the promotion of Lagori among the nobility and common people alike?</t>
  </si>
  <si>
    <t>Which Indian king is credited with incorporating Lagori into the educational curriculum of his kingdom?</t>
  </si>
  <si>
    <t>A) Krishnadevaraya, B) Raja Raja Chola, C) Shivaji Maharaj, D) Harsha</t>
  </si>
  <si>
    <t>Which historical text is known for its detailed description of Lagori and its strategic elements?</t>
  </si>
  <si>
    <t>Which Indian state's historical records include references to Lagori as a game played during royal festivals?</t>
  </si>
  <si>
    <t>Which Mughal emperor is famous for his interest in traditional games, including Lagori, as part of courtly life?</t>
  </si>
  <si>
    <t>Which Indian region's traditional Lagori game involves playing with colorful, ceremonial stones?</t>
  </si>
  <si>
    <t>Which Indian king is known to have played Lagori as a form of entertainment and military training?</t>
  </si>
  <si>
    <t>Which ancient Indian text contains references to games that are similar to Lagori as part of military exercises?</t>
  </si>
  <si>
    <t>Which Mughal ruler is known for his patronage of Lagori and other traditional Indian sports?</t>
  </si>
  <si>
    <t>Which Indian state's folklore includes Lagori as a game played during harvest festivals?</t>
  </si>
  <si>
    <t>Which Indian epic contains descriptions of games similar to Lagori being played during royal festivities?</t>
  </si>
  <si>
    <t>Which historical figure from the Mughal court is known for his writings about traditional Indian games, including Lagori?</t>
  </si>
  <si>
    <t>Which Indian state's traditional Lagori game involves the use of unique local materials for the game?</t>
  </si>
  <si>
    <t>Which Mughal emperor is known for his support of traditional Indian sports, including Lagori, during his reign?</t>
  </si>
  <si>
    <t>Which Indian king is known to have played Lagori as part of his strategy for training his military forces?</t>
  </si>
  <si>
    <t>A) Shivaji Maharaj, B) Chandragupta Maurya, C) Rajendra Chola, D) Ashoka</t>
  </si>
  <si>
    <t>Which ancient Indian game, similar to Lagori, is mentioned in historical texts as a tool for teaching coordination?</t>
  </si>
  <si>
    <t>A) Gilli-Danda, B) Kho-Kho, C) Pittu, D) Kabaddi</t>
  </si>
  <si>
    <t>C) Pittu</t>
  </si>
  <si>
    <t>Which Indian state's traditional games include a version of Lagori played with specially crafted stones?</t>
  </si>
  <si>
    <t>A) Krishnadevaraya, B) Raja Raja Chola, C) Shivaji Maharaj, D) Ashoka</t>
  </si>
  <si>
    <t>Which historical figure is known to have written about Lagori in his detailed accounts of traditional sports?</t>
  </si>
  <si>
    <t>A) Jahangir, B) Akbar, C) Shah Jahan, D) Aurangzeb</t>
  </si>
  <si>
    <t>A) Jahangir</t>
  </si>
  <si>
    <t>Which Indian festival traditionally features Lagori matches as part of the celebrations?</t>
  </si>
  <si>
    <t>A) Holi, B) Pongal, C) Diwali, D) Makar Sankranti</t>
  </si>
  <si>
    <t>Which Indian state's historical records include descriptions of Lagori being played during harvest festivals?</t>
  </si>
  <si>
    <t>Which ancient Indian text includes Lagori as a game used to teach teamwork and strategy?</t>
  </si>
  <si>
    <t>Which Mughal emperor is known for his enthusiasm for traditional Indian games, including Lagori, during royal festivities?</t>
  </si>
  <si>
    <t>Which Indian king is famous for incorporating Lagori into his military training and courtly activities?</t>
  </si>
  <si>
    <t>Which Indian epic includes references to games that resemble Lagori being played by ancient warriors?</t>
  </si>
  <si>
    <t>Which Indian state's traditional Lagori game features a variation with ceremonial and ornamental elements?</t>
  </si>
  <si>
    <t>Which historical text describes Lagori as a game used for both entertainment and military training?</t>
  </si>
  <si>
    <t>Which Mughal emperor is associated with the promotion and patronage of traditional Indian sports like Lagori?</t>
  </si>
  <si>
    <t>Which Indian state's folklore includes stories of Lagori being played to celebrate royal victories?</t>
  </si>
  <si>
    <t>Which Mughal emperor is noted for his support of traditional Indian games, including Lagori, during his reign?</t>
  </si>
  <si>
    <t>Which Indian king is famous for his use of Lagori in both courtly and military settings?</t>
  </si>
  <si>
    <t>Which historical text provides details on Lagori as a game used for developing strategic skills?</t>
  </si>
  <si>
    <t>Which Mughal ruler is known for integrating Lagori into his royal court's recreational activities?</t>
  </si>
  <si>
    <t>Which Indian state's historical accounts include references to Lagori being played during traditional festivals?</t>
  </si>
  <si>
    <t>Which ancient Indian philosopher is known for incorporating Lagori as a metaphor for strategic planning in his works?</t>
  </si>
  <si>
    <t>Which Indian epic features references to games similar to Lagori being played during royal events?</t>
  </si>
  <si>
    <t>Which historical figure from the Mughal era is credited with documenting traditional Indian games, including Lagori?</t>
  </si>
  <si>
    <t>Which Indian state's traditional Lagori game uses stones that are specially crafted for ceremonial purposes?</t>
  </si>
  <si>
    <t>Which Indian king is known for his interest in Lagori as both a recreational activity and a military training tool?</t>
  </si>
  <si>
    <t>A) Shivaji Maharaj, B) Raja Raja Chola, C) Krishnadevaraya, D) Ashoka</t>
  </si>
  <si>
    <t>Which historical text is known for including Lagori as an example of a game that requires strategic thinking?</t>
  </si>
  <si>
    <t>Which Mughal emperor is noted for his role in the promotion of Lagori as a royal pastime?</t>
  </si>
  <si>
    <t>Which Indian state's folklore includes Lagori being used as a celebratory game during major festivals?</t>
  </si>
  <si>
    <t>Which Indian epic mentions games similar to Lagori being played during ancient times as a form of entertainment?</t>
  </si>
  <si>
    <t>Which historical figure from the Mughal court is recognized for his detailed records on traditional Indian games, including Lagori?</t>
  </si>
  <si>
    <t>Which Indian state's traditional Lagori game involves playing with ceremonial and symbolic stones?</t>
  </si>
  <si>
    <t>Which Indian king is credited with incorporating Lagori into the curriculum for training his military officers?</t>
  </si>
  <si>
    <t>A) Krishnadevaraya, B) Shivaji Maharaj, C) Raja Raja Chola, D) Ashoka</t>
  </si>
  <si>
    <t>Which Mughal emperor is associated with the celebration of traditional Indian sports, including Lagori?</t>
  </si>
  <si>
    <t>Which Indian state's folklore includes Lagori as a game used to celebrate significant events and victories?</t>
  </si>
  <si>
    <t>Which ancient Indian text provides details on Lagori as a game used to develop strategic thinking and teamwork?</t>
  </si>
  <si>
    <t>Which Mughal ruler is known for his enthusiastic support of Lagori as part of his courtly pastimes?</t>
  </si>
  <si>
    <t>Which Indian state's traditional Lagori game includes a version where players use uniquely designed stones?</t>
  </si>
  <si>
    <t>Which historical figure from the Vijayanagara Empire is known for incorporating Lagori into his courtly activities?</t>
  </si>
  <si>
    <t>Which ancient Indian game that resembles Lagori was used to train soldiers and strategists?</t>
  </si>
  <si>
    <t>A) Gilli-Danda, B) Pittu, C) Kho-Kho, D) Kabaddi</t>
  </si>
  <si>
    <t>B) Pittu</t>
  </si>
  <si>
    <t>Which Indian king is known for his patronage of traditional games, including Lagori, as part of his royal entertainments?</t>
  </si>
  <si>
    <t>Which historical text includes Lagori as a game used to teach strategy and coordination?</t>
  </si>
  <si>
    <t>Which Mughal emperor is noted for his role in the celebration of Lagori as a royal pastime?</t>
  </si>
  <si>
    <t>Which historical Indian kingdom is credited with the earliest recorded mention of Lagori in its courtly practices?</t>
  </si>
  <si>
    <t>A) Maurya Empire, B) Gupta Empire, C) Vijayanagara Empire, D) Chola Dynasty</t>
  </si>
  <si>
    <t>C) Vijayanagara Empire</t>
  </si>
  <si>
    <t>Which Indian ruler is known to have included Lagori as part of military training to enhance strategy and coordination?</t>
  </si>
  <si>
    <t>A) Chandragupta Maurya, B) Ashoka, C) Shivaji Maharaj, D) Krishnadevaraya</t>
  </si>
  <si>
    <t>Which ancient Indian text refers to a game similar to Lagori as a strategic exercise for warriors?</t>
  </si>
  <si>
    <t>A) Arthashastra, B) Ramayana, C) Mahabharata, D) Manusmriti</t>
  </si>
  <si>
    <t>Which Mughal emperor is famous for his documentation and patronage of traditional Indian games including Lagori?</t>
  </si>
  <si>
    <t>In which Indian state was Lagori historically played with unique regional rules involving clay or stone balls?</t>
  </si>
  <si>
    <t>Which historical figure from the Mughal era is known for introducing Lagori to the royal court?</t>
  </si>
  <si>
    <t>Which Indian festival traditionally features Lagori as part of the celebratory games and events?</t>
  </si>
  <si>
    <t>A) Pongal, B) Diwali, C) Makar Sankranti, D) Holi</t>
  </si>
  <si>
    <t>Which ancient Indian military manual includes a game similar to Lagori as a technique for training soldiers?</t>
  </si>
  <si>
    <t>A) Arthashastra, B) Dhanurveda, C) Manusmriti, D) Mahabharata</t>
  </si>
  <si>
    <t>B) Dhanurveda</t>
  </si>
  <si>
    <t>Which South Indian king is known for integrating Lagori into his courtly pastimes and military drills?</t>
  </si>
  <si>
    <t>A) Rajendra Chola, B) Raja Raja Chola, C) Krishnadevaraya, D) Harihara I</t>
  </si>
  <si>
    <t>Which Indian epic describes a game resembling Lagori being used to resolve disputes between warriors?</t>
  </si>
  <si>
    <t>Which Mughal emperor is known for his interest in traditional Indian games and sports, including Lagori?</t>
  </si>
  <si>
    <t>Which Indian state's historical folklore includes Lagori as a traditional game played during harvest festivals?</t>
  </si>
  <si>
    <t>Which Indian king is reputed for having used Lagori to enhance the strategic and tactical skills of his army?</t>
  </si>
  <si>
    <t>Which historical Indian text describes Lagori as a game used to teach teamwork and leadership?</t>
  </si>
  <si>
    <t>A) Arthashastra, B) Ramayana, C) Manusmriti, D) Bhagavad Gita</t>
  </si>
  <si>
    <t>Which Mughal emperor is associated with the detailed chronicling of traditional Indian sports such as Lagori?</t>
  </si>
  <si>
    <t>Which Indian state's traditional Lagori game involves using local materials such as clay balls or stones?</t>
  </si>
  <si>
    <t>Which Indian king is known for incorporating Lagori into the educational curriculum of his kingdom?</t>
  </si>
  <si>
    <t>Which ancient text mentions a game akin to Lagori used for teaching strategic thinking and problem-solving?</t>
  </si>
  <si>
    <t>Which Mughal ruler is noted for promoting Lagori and other traditional Indian games during his reign?</t>
  </si>
  <si>
    <t>Which Indian state's folklore includes stories of Lagori being played to commemorate royal victories and achievements?</t>
  </si>
  <si>
    <t>Which historical Indian text is known for including detailed descriptions of Lagori as a game of strategy?</t>
  </si>
  <si>
    <t>Which Mughal emperor is recognized for his support and celebration of traditional Indian sports, including Lagori?</t>
  </si>
  <si>
    <t>Which Indian state's traditional Lagori game involves the use of specially crafted ceremonial stones?</t>
  </si>
  <si>
    <t>Which Indian king is famous for using Lagori as a tool for both recreation and military training?</t>
  </si>
  <si>
    <t>Which ancient Indian game, closely related to Lagori, is mentioned in texts as a method for developing coordination?</t>
  </si>
  <si>
    <t>A) Pittu, B) Gilli-Danda, C) Kho-Kho, D) Kabaddi</t>
  </si>
  <si>
    <t>Which Indian state's traditional Lagori game features a variation where players use ornately decorated stones?</t>
  </si>
  <si>
    <t>Which historical figure from the Vijayanagara Empire is noted for incorporating Lagori into his courtly entertainments?</t>
  </si>
  <si>
    <t>Which Indian king is known to have promoted Lagori as a method for military training and strategic development?</t>
  </si>
  <si>
    <t>Which historical text provides a detailed account of Lagori and its use in military exercises?</t>
  </si>
  <si>
    <t>Which Mughal emperor is famous for his patronage of Lagori and other traditional Indian sports?</t>
  </si>
  <si>
    <t>Which Indian state's traditional Lagori game is known for its ceremonial aspects and use of symbolic stones?</t>
  </si>
  <si>
    <t>Which ancient Indian game similar to Lagori was utilized for developing strategic and team coordination skills?</t>
  </si>
  <si>
    <t>Which Indian ruler is associated with incorporating Lagori into both entertainment and military training?</t>
  </si>
  <si>
    <t>A) Raja Raja Chola, B) Shivaji Maharaj, C) Krishnadevaraya, D) Ashoka</t>
  </si>
  <si>
    <t>Which Mughal emperor is known for his role in popularizing traditional Indian games, including Lagori?</t>
  </si>
  <si>
    <t>Which Indian state's folklore includes Lagori being played during significant cultural and religious events?</t>
  </si>
  <si>
    <t>Which historical text includes Lagori as an example of games used to teach strategy and leadership?</t>
  </si>
  <si>
    <t>Which Mughal ruler is noted for his support of traditional Indian games and sports, such as Lagori?</t>
  </si>
  <si>
    <t>Which Indian state's traditional Lagori game involves using specially crafted ceremonial balls or stones?</t>
  </si>
  <si>
    <t>Which historical figure from the Vijayanagara Empire is known for integrating Lagori into his courtly activities?</t>
  </si>
  <si>
    <t>Which Indian king is credited with using Lagori as a tool for both recreation and strategic development?</t>
  </si>
  <si>
    <t>Which historical Indian text details Lagori as a game designed to enhance teamwork and strategic thinking?</t>
  </si>
  <si>
    <t>Which Mughal emperor is noted for his role in the celebration and patronage of Lagori?</t>
  </si>
  <si>
    <t>Which Indian state's traditional Lagori game features ceremonial stones used during significant cultural festivals?</t>
  </si>
  <si>
    <t>Which ancient Indian game closely related to Lagori was used for developing physical and strategic skills in ancient times?</t>
  </si>
  <si>
    <t>Which Indian ruler is recognized for using Lagori to train his army and entertain his court?</t>
  </si>
  <si>
    <t>Which Mughal emperor is known for his extensive documentation and support of traditional Indian games such as Lagori?</t>
  </si>
  <si>
    <t>Which Indian state's traditional Lagori game involves using uniquely designed stones for ceremonial purposes?</t>
  </si>
  <si>
    <t>Which historical Indian king is famous for integrating Lagori into both educational and recreational activities?</t>
  </si>
  <si>
    <t>Which ancient Indian text provides a description of Lagori as a game used to develop strategic and leadership skills?</t>
  </si>
  <si>
    <t>Which Mughal ruler is noted for his enthusiasm for traditional Indian sports, including Lagori?</t>
  </si>
  <si>
    <t>Which Indian state's folklore includes Lagori as a game played to celebrate harvests and victories?</t>
  </si>
  <si>
    <t>Which historical Indian text mentions Lagori as a game that enhances strategic planning and teamwork?</t>
  </si>
  <si>
    <t>Which Mughal emperor is associated with promoting Lagori as a significant part of courtly entertainment?</t>
  </si>
  <si>
    <t>Which Indian state's traditional Lagori game involves the use of ornate and ceremonial stones?</t>
  </si>
  <si>
    <t>Which Indian king is renowned for using Lagori as part of his military and courtly practices?</t>
  </si>
  <si>
    <t>Which Mughal emperor is known for integrating Lagori into the cultural and recreational activities of his court?</t>
  </si>
  <si>
    <t>Which Indian state's historical traditions include Lagori as a game played during significant cultural festivals?</t>
  </si>
  <si>
    <t>Which ancient Indian game, similar to Lagori, was used to train warriors and strategists in ancient India?</t>
  </si>
  <si>
    <t>Which Indian ruler is associated with using Lagori for both educational purposes and recreational activities?</t>
  </si>
  <si>
    <t>A) Shivaji Maharaj, B) Chandragupta Maurya, C) Krishnadevaraya, D) Ashoka</t>
  </si>
  <si>
    <t>Which Mughal emperor is known for his detailed records and support of traditional games, including Lagori?</t>
  </si>
  <si>
    <t>Which Indian state's traditional Lagori game features ceremonial stones used during significant cultural events?</t>
  </si>
  <si>
    <t>Which historical figure from the Vijayanagara Empire is known for including Lagori in his courtly games?</t>
  </si>
  <si>
    <t>Which Indian king is recognized for using Lagori as a method to train his soldiers and entertain his court?</t>
  </si>
  <si>
    <t>Which ancient Indian text describes Lagori as a strategic game used for teaching coordination and teamwork?</t>
  </si>
  <si>
    <t>Which Mughal emperor is celebrated for his role in promoting and documenting traditional Indian games, including Lagori?</t>
  </si>
  <si>
    <t>Which Indian state's traditional Lagori game involves using ceremonial stones or balls during cultural celebrations?</t>
  </si>
  <si>
    <t>Which ancient Indian game similar to Lagori was historically used for developing strategic and physical skills?</t>
  </si>
  <si>
    <t>Which Indian ruler is renowned for incorporating Lagori into both his military training and entertainment activities?</t>
  </si>
  <si>
    <t>Which Mughal emperor is noted for his interest in traditional Indian sports, including Lagori?</t>
  </si>
  <si>
    <t>Which Indian state's historical traditions feature Lagori as a game played with ornate ceremonial stones?</t>
  </si>
  <si>
    <t>Which historical Indian king is known for integrating Lagori into both educational and recreational practices?</t>
  </si>
  <si>
    <t>Which ancient Indian text includes Lagori as a game designed to enhance strategic planning and teamwork?</t>
  </si>
  <si>
    <t>Which Mughal emperor is celebrated for his role in popularizing and documenting traditional Indian games such as Lagori?</t>
  </si>
  <si>
    <t>Which Indian state's traditional Lagori game involves ceremonial stones used during major cultural festivals?</t>
  </si>
  <si>
    <t>Which ancient Indian game, related to Lagori, was used to develop physical and strategic skills in historical times?</t>
  </si>
  <si>
    <t>Which Indian ruler is known for using Lagori as a tool for both military training and courtly entertainment?</t>
  </si>
  <si>
    <t>Which Mughal emperor is famous for his detailed records and support of traditional Indian sports such as Lagori?</t>
  </si>
  <si>
    <t>Which Indian state's traditional Lagori game features ceremonial stones used during significant cultural and religious events?</t>
  </si>
  <si>
    <t>Which historical figure from the Vijayanagara Empire is known for incorporating Lagori into his courtly pastimes?</t>
  </si>
  <si>
    <t>Which Indian king is recognized for using Lagori for both recreational and strategic purposes?</t>
  </si>
  <si>
    <t>Which ancient Indian text describes Lagori as a game designed to enhance strategic planning and coordination?</t>
  </si>
  <si>
    <t>Which Mughal emperor is known for his extensive support and documentation of traditional Indian games, including Lagori?</t>
  </si>
  <si>
    <t>Which Indian state's folklore includes Lagori as a traditional game played with ceremonial stones during cultural events?</t>
  </si>
  <si>
    <t>Which ancient Indian game similar to Lagori was used to develop strategic and physical skills in ancient military training?</t>
  </si>
  <si>
    <t>Which Indian ruler is associated with incorporating Lagori into both military exercises and courtly entertainments?</t>
  </si>
  <si>
    <t>Which Mughal emperor is celebrated for his role in popularizing and documenting traditional Indian sports, including Lagori?</t>
  </si>
  <si>
    <t>Which Indian state's traditional Lagori game features ceremonial stones used during significant cultural celebrations?</t>
  </si>
  <si>
    <t>Which ancient Indian text describes Lagori as a game used to develop strategic planning and teamwork skills?</t>
  </si>
  <si>
    <t>Which Mughal emperor is known for his role in the promotion and documentation of traditional Indian games such as Lagori?</t>
  </si>
  <si>
    <t>Which Indian state's historical traditions feature Lagori as a game played with ceremonial stones during major cultural events?</t>
  </si>
  <si>
    <t>Which ancient Indian game, related to Lagori, was historically used to develop strategic and physical skills in warriors?</t>
  </si>
  <si>
    <t>Which Indian ruler is associated with using Lagori for both military training and recreational purposes?</t>
  </si>
  <si>
    <t>Which Mughal emperor is celebrated for his detailed records and support of traditional Indian games such as Lagori?</t>
  </si>
  <si>
    <t>Which Indian state's traditional Lagori game features ceremonial stones used during significant cultural and religious festivals?</t>
  </si>
  <si>
    <t>Which historical figure from the Vijayanagara Empire is known for integrating Lagori into his courtly games?</t>
  </si>
  <si>
    <t>Which Indian king is recognized for incorporating Lagori into both educational and recreational practices?</t>
  </si>
  <si>
    <t>Which Mughal emperor is celebrated for his role in promoting and documenting traditional Indian games such as Lagori?</t>
  </si>
  <si>
    <t>Which Indian state's traditional Lagori game involves ceremonial stones used during major cultural events?</t>
  </si>
  <si>
    <t>Which ancient Indian game, similar to Lagori, was used to develop strategic and physical skills in historical training?</t>
  </si>
  <si>
    <t>Which Indian ruler is known for using Lagori as a method for both military training and courtly entertainment?</t>
  </si>
  <si>
    <t>Which Mughal emperor is celebrated for his support and detailed records of traditional Indian sports, including Lagori?</t>
  </si>
  <si>
    <t>Which Indian state's historical traditions feature Lagori as a game played with ceremonial stones during important cultural festivals?</t>
  </si>
  <si>
    <t>Which ancient Indian game related to Lagori was historically used to develop physical and strategic skills in warriors?</t>
  </si>
  <si>
    <t>Which Indian ruler is recognized for integrating Lagori into both military training and courtly pastimes?</t>
  </si>
  <si>
    <t>Which Mughal emperor is noted for his detailed documentation and support of traditional Indian games like Lagori?</t>
  </si>
  <si>
    <t>Which Indian state's traditional Lagori game involves ceremonial stones used during significant cultural festivals?</t>
  </si>
  <si>
    <t>Which ancient Indian game similar to Lagori was used historically to develop strategic and physical skills?</t>
  </si>
  <si>
    <t>Which Indian king is renowned for incorporating Lagori into both military training and courtly entertainment?</t>
  </si>
  <si>
    <t>What is another name for Lagori in some regions of India?</t>
  </si>
  <si>
    <t>A) Pittu, B) Satoliya, C) Seven Stones, D) Hopscotch</t>
  </si>
  <si>
    <t>B) Satoliya</t>
  </si>
  <si>
    <t>Lagori is traditionally played with how many stones?</t>
  </si>
  <si>
    <t>A) 5, B) 6, C) 7, D) 8</t>
  </si>
  <si>
    <t>C) 7</t>
  </si>
  <si>
    <t>In which region of India is Lagori particularly popular?</t>
  </si>
  <si>
    <t>A) North India, B) South India, C) East India, D) West India</t>
  </si>
  <si>
    <t>A) North India</t>
  </si>
  <si>
    <t>What is the primary objective of the game of Lagori?</t>
  </si>
  <si>
    <t>A) To knock down the stones and then rebuild them, B) To catch the ball, C) To score goals, D) To evade the tagger</t>
  </si>
  <si>
    <t>A) To knock down the stones and then rebuild them</t>
  </si>
  <si>
    <t>Which historical period does Lagori trace its origins to?</t>
  </si>
  <si>
    <t>A) Ancient, B) Medieval, C) Modern, D) Post-Modern</t>
  </si>
  <si>
    <t>A) Ancient</t>
  </si>
  <si>
    <t>Lagori is known by which name in Maharashtra?</t>
  </si>
  <si>
    <t>A) Satoliya, B) Pittu, C) Lingor, D) Kabbadi</t>
  </si>
  <si>
    <t>C) Lingor</t>
  </si>
  <si>
    <t>What is the standard number of players on each team in Lagori?</t>
  </si>
  <si>
    <t>How many times do the teams typically switch roles in a game of Lagori?</t>
  </si>
  <si>
    <t>A) Once, B) Twice, C) Thrice, D) Four times</t>
  </si>
  <si>
    <t>B) Twice</t>
  </si>
  <si>
    <t>What is the traditional material used for the ball in Lagori?</t>
  </si>
  <si>
    <t>A) Rubber, B) Leather, C) Cloth, D) Plastic</t>
  </si>
  <si>
    <t>C) Cloth</t>
  </si>
  <si>
    <t>Which part of India has a similar game to Lagori known as 'Satoliya'?</t>
  </si>
  <si>
    <t>A) Punjab, B) Tamil Nadu, C) West Bengal, D) Gujarat</t>
  </si>
  <si>
    <t>What is the main aim of the attacking team in Lagori?</t>
  </si>
  <si>
    <t>A) To prevent the other team from rebuilding the stones, B) To hit the stones, C) To catch the ball, D) To score points</t>
  </si>
  <si>
    <t>A) To prevent the other team from rebuilding the stones</t>
  </si>
  <si>
    <t>What does the term 'Lagori' mean in the local dialect?</t>
  </si>
  <si>
    <t>A) Seven Stones, B) Game of Stones, C) Ball Game, D) Catching Game</t>
  </si>
  <si>
    <t>B) Game of Stones</t>
  </si>
  <si>
    <t>Which region refers to Lagori as 'Satoliya'?</t>
  </si>
  <si>
    <t>A) Rajasthan, B) Maharashtra, C) Karnataka, D) Andhra Pradesh</t>
  </si>
  <si>
    <t>What type of surface is typically used for playing Lagori?</t>
  </si>
  <si>
    <t>A) Grass, B) Sand, C) Concrete, D) Carpet</t>
  </si>
  <si>
    <t>C) Concrete</t>
  </si>
  <si>
    <t>Which team wins in Lagori?</t>
  </si>
  <si>
    <t>A) The team that knocks down the most stones, B) The team that rebuilds the stones first, C) The team with the most catches, D) The team with the most points</t>
  </si>
  <si>
    <t>B) The team that rebuilds the stones first</t>
  </si>
  <si>
    <t>What is the role of the defending team in Lagori?</t>
  </si>
  <si>
    <t>A) To knock down the stones, B) To prevent the stones from being rebuilt, C) To catch the ball, D) To score goals</t>
  </si>
  <si>
    <t>B) To prevent the stones from being rebuilt</t>
  </si>
  <si>
    <t>What happens when a player is hit by the ball in Lagori?</t>
  </si>
  <si>
    <t>A) The player is out, B) The player changes sides, C) The player sits out for one round, D) Nothing happens</t>
  </si>
  <si>
    <t>A) The player is out</t>
  </si>
  <si>
    <t>Which stone in Lagori is placed in the center as the target?</t>
  </si>
  <si>
    <t>A) The largest stone, B) The smallest stone, C) The heaviest stone, D) The lightest stone</t>
  </si>
  <si>
    <t>A) The largest stone</t>
  </si>
  <si>
    <t>In Lagori, which team is designated as 'attacking'?</t>
  </si>
  <si>
    <t>A) The team with the ball, B) The team without the ball, C) The team that knocked down the stones, D) The team that is defending</t>
  </si>
  <si>
    <t>C) The team that knocked down the stones</t>
  </si>
  <si>
    <t>What is the game Lagori sometimes called in Tamil Nadu?</t>
  </si>
  <si>
    <t>A) Lingor, B) Satoliya, C) Pittu, D) Kabaddi</t>
  </si>
  <si>
    <t>A) Lingor</t>
  </si>
  <si>
    <t>Which historical figure is known to have played Lagori?</t>
  </si>
  <si>
    <t>A) Raja Bhoj, B) Akbar, C) Shivaji Maharaj, D) Ashoka</t>
  </si>
  <si>
    <t>What is the primary objective of the defending team in Lagori?</t>
  </si>
  <si>
    <t>A) To rebuild the stones, B) To catch the ball, C) To prevent the attacking team from rebuilding the stones, D) To score goals</t>
  </si>
  <si>
    <t>C) To prevent the attacking team from rebuilding the stones</t>
  </si>
  <si>
    <t>How does the game of Lagori end?</t>
  </si>
  <si>
    <t>A) When all stones are rebuilt, B) When all players are out, C) When the time limit is reached, D) When the ball is lost</t>
  </si>
  <si>
    <t>B) When all players are out</t>
  </si>
  <si>
    <t>What is the significance of Lagori in Indian culture?</t>
  </si>
  <si>
    <t>A) It is a traditional sport, B) It is a festival game, C) It is a modern invention, D) It is a ritual dance</t>
  </si>
  <si>
    <t>A) It is a traditional sport</t>
  </si>
  <si>
    <t>Lagori is traditionally played during which season in India?</t>
  </si>
  <si>
    <t>A) Summer, B) Winter, C) Monsoon, D) Spring</t>
  </si>
  <si>
    <t>A) Summer</t>
  </si>
  <si>
    <t>Which stone is not used in the game of Lagori?</t>
  </si>
  <si>
    <t>A) Red, B) Green, C) Yellow, D) Blue</t>
  </si>
  <si>
    <t>D) Blue</t>
  </si>
  <si>
    <t>What was the traditional setting for playing Lagori in ancient times?</t>
  </si>
  <si>
    <t>A) Streets, B) Open fields, C) Temple grounds, D) School playgrounds</t>
  </si>
  <si>
    <t>B) Open fields</t>
  </si>
  <si>
    <t>What is the alternate name for Lagori in Andhra Pradesh?</t>
  </si>
  <si>
    <t>A) Pittu, B) Satoliya, C) Lingor, D) Satoliya</t>
  </si>
  <si>
    <t>Which famous Indian festival is Lagori associated with?</t>
  </si>
  <si>
    <t>A) Diwali, B) Holi, C) Pongal, D) Navratri</t>
  </si>
  <si>
    <t>B) Holi</t>
  </si>
  <si>
    <t>In the historical context, what did Lagori symbolize?</t>
  </si>
  <si>
    <t>A) Strength and skill, B) Religious beliefs, C) Political power, D) Artistic expression</t>
  </si>
  <si>
    <t>A) Strength and skill</t>
  </si>
  <si>
    <t>Which royal dynasty was known for playing Lagori during their reign?</t>
  </si>
  <si>
    <t>A) Mughals, B) Marathas, C) Cholas, D) Mauryas</t>
  </si>
  <si>
    <t>B) Marathas</t>
  </si>
  <si>
    <t>What material were traditional Lagori stones made of?</t>
  </si>
  <si>
    <t>A) Wood, B) Metal, C) Clay, D) Stone</t>
  </si>
  <si>
    <t>D) Stone</t>
  </si>
  <si>
    <t>What was the main use of Lagori in ancient Indian education?</t>
  </si>
  <si>
    <t>A) Physical training, B) Strategic thinking, C) Moral lessons, D) Social interaction</t>
  </si>
  <si>
    <t>A) Physical training</t>
  </si>
  <si>
    <t>Which epic mentions a game similar to Lagori?</t>
  </si>
  <si>
    <t>Lagori is often compared to which other traditional game?</t>
  </si>
  <si>
    <t>A) Kabaddi, B) Kho-Kho, C) Cricket, D) Hockey</t>
  </si>
  <si>
    <t>B) Kho-Kho</t>
  </si>
  <si>
    <t>In Lagori, what happens when a player catches the ball?</t>
  </si>
  <si>
    <t>A) The player becomes the new ball carrier, B) The player is out, C) The player earns points, D) The player switches teams</t>
  </si>
  <si>
    <t>B) The player is out</t>
  </si>
  <si>
    <t>How many rounds are typically played in a standard Lagori game?</t>
  </si>
  <si>
    <t>A) 2, B) 3, C) 4, D) 5</t>
  </si>
  <si>
    <t>A) 2</t>
  </si>
  <si>
    <t>Which region has developed unique rules for Lagori, differing from traditional ones?</t>
  </si>
  <si>
    <t>A) Punjab, B) Gujarat, C) Maharashtra, D) Karnataka</t>
  </si>
  <si>
    <t>B) Gujarat</t>
  </si>
  <si>
    <t>What role does the stone play in the game of Lagori?</t>
  </si>
  <si>
    <t>A) It is the target, B) It is the ball, C) It is a marker, D) It is a tool for defense</t>
  </si>
  <si>
    <t>A) It is the target</t>
  </si>
  <si>
    <t>Which traditional item is used to mark the playing area in Lagori?</t>
  </si>
  <si>
    <t>A) Chalk, B) Sand, C) Stones, D) Cloth</t>
  </si>
  <si>
    <t>C) Stones</t>
  </si>
  <si>
    <t>What was the historical significance of Lagori in ancient Indian communities?</t>
  </si>
  <si>
    <t>A) Social bonding, B) Religious rituals, C) Training for warfare, D) Economic trade</t>
  </si>
  <si>
    <t>A) Social bonding</t>
  </si>
  <si>
    <t>Which period saw the rise of Lagori as a popular game?</t>
  </si>
  <si>
    <t>A) Vedic period, B) Mauryan period, C) Gupta period, D) Mughal period</t>
  </si>
  <si>
    <t>C) Gupta period</t>
  </si>
  <si>
    <t>In Lagori, how is the attacking team penalized for not hitting the stones?</t>
  </si>
  <si>
    <t>A) Loss of turn, B) Extra time, C) Reduction in points, D) Player is out</t>
  </si>
  <si>
    <t>A) Loss of turn</t>
  </si>
  <si>
    <t>What is the primary material used for the Lagori ball in modern times?</t>
  </si>
  <si>
    <t>A) Rubber, B) Synthetic fabric, C) Leather, D) Plastic</t>
  </si>
  <si>
    <t>B) Synthetic fabric</t>
  </si>
  <si>
    <t>Which Indian state has a unique version of Lagori known as 'Pitthu'?</t>
  </si>
  <si>
    <t>What role does the 'rebuild' phase play in Lagori?</t>
  </si>
  <si>
    <t>A) It determines the winner, B) It allows the attacking team to score, C) It restarts the game, D) It resets the stones</t>
  </si>
  <si>
    <t>A) It determines the winner</t>
  </si>
  <si>
    <t>Which famous Indian personality is known for playing Lagori in his youth?</t>
  </si>
  <si>
    <t>A) Jawaharlal Nehru, B) Mahatma Gandhi, C) Rajiv Gandhi, D) Sardar Patel</t>
  </si>
  <si>
    <t>What is the historical significance of Lagori in traditional Indian festivals?</t>
  </si>
  <si>
    <t>A) It represents unity, B) It symbolizes victory, C) It signifies harmony, D) It is a form of entertainment</t>
  </si>
  <si>
    <t>C) It signifies harmony</t>
  </si>
  <si>
    <t>Which Mughal emperor is known to have enjoyed playing traditional Indian games like Lagori?</t>
  </si>
  <si>
    <t>A) Akbar, B) Shah Jahan, C) Aurangzeb, D) Babur</t>
  </si>
  <si>
    <t>What is the primary historical source of information about Lagori?</t>
  </si>
  <si>
    <t>A) Ancient manuscripts, B) Oral traditions, C) Sculptures, D) Paintings</t>
  </si>
  <si>
    <t>B) Oral traditions</t>
  </si>
  <si>
    <t>In which Indian city is Lagori traditionally played as part of school activities?</t>
  </si>
  <si>
    <t>A) Delhi, B) Mumbai, C) Bangalore, D) Jaipur</t>
  </si>
  <si>
    <t>D) Jaipur</t>
  </si>
  <si>
    <t>What historical element is considered essential for traditional Lagori gameplay?</t>
  </si>
  <si>
    <t>A) Wooden sticks, B) Clay balls, C) Stone markers, D) Fabric cloths</t>
  </si>
  <si>
    <t>C) Stone markers</t>
  </si>
  <si>
    <t>Which Indian festival often includes Lagori as part of its celebrations?</t>
  </si>
  <si>
    <t>A) Diwali, B) Makar Sankranti, C) Holi, D) Raksha Bandhan</t>
  </si>
  <si>
    <t>C) Holi</t>
  </si>
  <si>
    <t>Which ancient text references a game similar to Lagori?</t>
  </si>
  <si>
    <t>A) Mahabharata, B) Manusmriti, C) Ramayana, D) Arthashastra</t>
  </si>
  <si>
    <t>What traditional role does Lagori play in rural Indian communities?</t>
  </si>
  <si>
    <t>A) Educational tool, B) Community bonding, C) Religious practice, D) Economic activity</t>
  </si>
  <si>
    <t>B) Community bonding</t>
  </si>
  <si>
    <t>Which period saw the first written accounts of Lagori?</t>
  </si>
  <si>
    <t>A) Ancient Indian, B) Medieval Indian, C) Colonial Indian, D) Post-Colonial Indian</t>
  </si>
  <si>
    <t>A) Ancient Indian</t>
  </si>
  <si>
    <t>Which king is reputed to have popularized Lagori among his courtiers?</t>
  </si>
  <si>
    <t>A) Chandragupta Maurya, B) Ashoka the Great, C) Shivaji Maharaj, D) Akbar the Great</t>
  </si>
  <si>
    <t>What is the primary source of Lagori’s historical popularity?</t>
  </si>
  <si>
    <t>A) Royal endorsements, B) Oral tradition, C) Religious texts, D) Historical paintings</t>
  </si>
  <si>
    <t>B) Oral tradition</t>
  </si>
  <si>
    <t>In which region is Lagori also known as 'Lingor'?</t>
  </si>
  <si>
    <t>A) Gujarat, B) Karnataka, C) Maharashtra, D) Tamil Nadu</t>
  </si>
  <si>
    <t>Which game is Lagori often compared to in terms of gameplay?</t>
  </si>
  <si>
    <t>A) Football, B) Cricket, C) Baseball, D) Dodgeball</t>
  </si>
  <si>
    <t>D) Dodgeball</t>
  </si>
  <si>
    <t>What historical role did Lagori serve in ancient Indian warfare training?</t>
  </si>
  <si>
    <t>A) Physical endurance, B) Tactical strategies, C) Weapon training, D) Team coordination</t>
  </si>
  <si>
    <t>D) Team coordination</t>
  </si>
  <si>
    <t>Which traditional Indian game is similar to Lagori and involves stones?</t>
  </si>
  <si>
    <t>A) Gilli Danda, B) Satoliya, C) Kho-Kho, D) Kabaddi</t>
  </si>
  <si>
    <t>Lagori is mentioned in which of the following ancient texts?</t>
  </si>
  <si>
    <t>A) Rigveda, B) Upanishads, C) Mahabharata, D) Ramayana</t>
  </si>
  <si>
    <t>D) Ramayana</t>
  </si>
  <si>
    <t>What traditional material used in Lagori was common in ancient India?</t>
  </si>
  <si>
    <t>A) Clay, B) Wood, C) Metal, D) Stone</t>
  </si>
  <si>
    <t>What aspect of Lagori makes it a culturally significant game in India?</t>
  </si>
  <si>
    <t>A) Its historical roots, B) Its modern adaptations, C) Its simplicity, D) Its entertainment value</t>
  </si>
  <si>
    <t>A) Its historical roots</t>
  </si>
  <si>
    <t>In which Indian state is Lagori known as 'Pittu'?</t>
  </si>
  <si>
    <t>A) Andhra Pradesh, B) Tamil Nadu, C) Kerala, D) Karnataka</t>
  </si>
  <si>
    <t>A) Andhra Pradesh</t>
  </si>
  <si>
    <t>What aspect of Lagori gameplay requires strategic thinking?</t>
  </si>
  <si>
    <t>A) Rebuilding the stones, B) Throwing the ball, C) Catching the ball, D) Defending the stones</t>
  </si>
  <si>
    <t>D) Defending the stones</t>
  </si>
  <si>
    <t>Which historical event led to the formal documentation of Lagori?</t>
  </si>
  <si>
    <t>A) British colonization, B) Indian Independence, C) Ancient royal patronage, D) Modern educational reforms</t>
  </si>
  <si>
    <t>C) Ancient royal patronage</t>
  </si>
  <si>
    <t>What traditional setting is ideal for playing Lagori?</t>
  </si>
  <si>
    <t>A) Public grounds, B) Private courts, C) Temple premises, D) School playgrounds</t>
  </si>
  <si>
    <t>A) Public grounds</t>
  </si>
  <si>
    <t>Which Indian emperor was known to enjoy traditional games like Lagori during his reign?</t>
  </si>
  <si>
    <t>A) Akbar, B) Aurangzeb, C) Babur, D) Shah Jahan</t>
  </si>
  <si>
    <t>In ancient Indian texts, what is Lagori often associated with?</t>
  </si>
  <si>
    <t>A) Royal leisure, B) Military training, C) Religious ceremonies, D) Festive celebrations</t>
  </si>
  <si>
    <t>Which Indian state refers to Lagori as 'Pittu' in their local dialect?</t>
  </si>
  <si>
    <t>A) Punjab, B) Andhra Pradesh, C) Karnataka, D) Maharashtra</t>
  </si>
  <si>
    <t>What role did Lagori play in medieval Indian villages?</t>
  </si>
  <si>
    <t>A) Skill development, B) Social bonding, C) Ritualistic practice, D) Trade</t>
  </si>
  <si>
    <t>What was the typical setting for Lagori in ancient Indian times?</t>
  </si>
  <si>
    <t>A) Courtyards, B) Battlefields, C) Temples, D) Riverbanks</t>
  </si>
  <si>
    <t>A) Courtyards</t>
  </si>
  <si>
    <t>Which dynasty is known to have integrated Lagori into their courtly activities?</t>
  </si>
  <si>
    <t>A) Gupta Dynasty, B) Chola Dynasty, C) Mughal Dynasty, D) Maurya Dynasty</t>
  </si>
  <si>
    <t>C) Mughal Dynasty</t>
  </si>
  <si>
    <t>Which famous historical figure played Lagori as a child and is often associated with its promotion?</t>
  </si>
  <si>
    <t>A) Jawaharlal Nehru, B) Mahatma Gandhi, C) Rabindranath Tagore, D) Sardar Patel</t>
  </si>
  <si>
    <t>During which era did Lagori gain popularity as a common game among Indian royalty?</t>
  </si>
  <si>
    <t>A) Ancient Era, B) Medieval Era, C) Colonial Era, D) Modern Era</t>
  </si>
  <si>
    <t>B) Medieval Era</t>
  </si>
  <si>
    <t>What was the primary purpose of Lagori in the educational system of ancient India?</t>
  </si>
  <si>
    <t>A) Cognitive development, B) Physical fitness, C) Social interaction, D) Religious instruction</t>
  </si>
  <si>
    <t>B) Physical fitness</t>
  </si>
  <si>
    <t>Which Indian region has a historical variant of Lagori known as 'Satoliya'?</t>
  </si>
  <si>
    <t>A) Tamil Nadu, B) Rajasthan, C) Punjab, D) Gujarat</t>
  </si>
  <si>
    <t>In which region was Lagori traditionally played during major harvest festivals?</t>
  </si>
  <si>
    <t>What ancient text includes references to games similar to Lagori?</t>
  </si>
  <si>
    <t>A) Vedas, B) Upanishads, C) Ramayana, D) Mahabharata</t>
  </si>
  <si>
    <t>Which historical period saw Lagori being formally recorded in Indian literature?</t>
  </si>
  <si>
    <t>A) Vedic Period, B) Mauryan Period, C) Gupta Period, D) Mughal Period</t>
  </si>
  <si>
    <t>C) Gupta Period</t>
  </si>
  <si>
    <t>What traditional Indian game shares similarities with Lagori and involves a ball and stones?</t>
  </si>
  <si>
    <t>What is the historical significance of the game Lagori in Indian festivals?</t>
  </si>
  <si>
    <t>A) It signifies prosperity, B) It celebrates unity, C) It represents victory, D) It marks the end of harvest</t>
  </si>
  <si>
    <t>B) It celebrates unity</t>
  </si>
  <si>
    <t>Which king is reputed to have played Lagori during his leisure time?</t>
  </si>
  <si>
    <t>A) King Ashoka, B) King Chandragupta, C) King Shivaji, D) King Akbar</t>
  </si>
  <si>
    <t>C) King Shivaji</t>
  </si>
  <si>
    <t>In which ancient Indian setting was Lagori commonly played by children?</t>
  </si>
  <si>
    <t>A) Villages, B) Royal courts, C) Temples, D) Educational institutions</t>
  </si>
  <si>
    <t>A) Villages</t>
  </si>
  <si>
    <t>What is the main historical association of Lagori with traditional Indian sports?</t>
  </si>
  <si>
    <t>A) It was used for training soldiers, B) It was a royal pastime, C) It was a community game, D) It was a ritualistic activity</t>
  </si>
  <si>
    <t>C) It was a community game</t>
  </si>
  <si>
    <t>Which historical artifact depicts a game similar to Lagori?</t>
  </si>
  <si>
    <t>A) Ancient sculptures, B) Paintings, C) Coins, D) Pottery</t>
  </si>
  <si>
    <t>A) Ancient sculptures</t>
  </si>
  <si>
    <t>What was the traditional role of Lagori in medieval Indian social gatherings?</t>
  </si>
  <si>
    <t>A) Entertainment, B) Education, C) Political discussions, D) Religious rituals</t>
  </si>
  <si>
    <t>A) Entertainment</t>
  </si>
  <si>
    <t>Which Mughal emperor is documented to have played traditional Indian games like Lagori?</t>
  </si>
  <si>
    <t>What is the cultural significance of Lagori in rural Indian life?</t>
  </si>
  <si>
    <t>A) It promotes physical health, B) It fosters community spirit, C) It supports religious practices, D) It aids in economic development</t>
  </si>
  <si>
    <t>B) It fosters community spirit</t>
  </si>
  <si>
    <t>Which ancient Indian dynasty is known to have included Lagori in their court games?</t>
  </si>
  <si>
    <t>A) Maurya Dynasty, B) Gupta Dynasty, C) Chola Dynasty, D) Mughal Dynasty</t>
  </si>
  <si>
    <t>B) Gupta Dynasty</t>
  </si>
  <si>
    <t>What traditional material were Lagori stones made of in ancient India?</t>
  </si>
  <si>
    <t>A) Clay, B) Metal, C) Wood, D) Stone</t>
  </si>
  <si>
    <t>How was Lagori traditionally used in ancient Indian education?</t>
  </si>
  <si>
    <t>A) As a tool for physical training, B) As a method for learning tactics, C) As a form of relaxation, D) As a religious exercise</t>
  </si>
  <si>
    <t>A) As a tool for physical training</t>
  </si>
  <si>
    <t>Which Indian region developed unique rules for Lagori that differ from the traditional ones?</t>
  </si>
  <si>
    <t>In ancient India, which festival featured Lagori as a prominent game?</t>
  </si>
  <si>
    <t>A) Pongal, B) Diwali, C) Holi, D) Makar Sankranti</t>
  </si>
  <si>
    <t>What role did Lagori play in traditional Indian village life?</t>
  </si>
  <si>
    <t>A) Economic activity, B) Social activity, C) Religious practice, D) Military training</t>
  </si>
  <si>
    <t>B) Social activity</t>
  </si>
  <si>
    <t>Which historical period saw Lagori being played as a royal pastime?</t>
  </si>
  <si>
    <t>A) Ancient Period, B) Medieval Period, C) Colonial Period, D) Modern Period</t>
  </si>
  <si>
    <t>B) Medieval Period</t>
  </si>
  <si>
    <t>Which historical figure is known for having introduced Lagori to his court?</t>
  </si>
  <si>
    <t>A) Maharaja Ranjit Singh, B) Emperor Akbar, C) Chhatrapati Shivaji, D) Raja Raja Chola</t>
  </si>
  <si>
    <t>B) Emperor Akbar</t>
  </si>
  <si>
    <t>Which region's traditional game resembles Lagori and is known for its unique rules?</t>
  </si>
  <si>
    <t>A) Tamil Nadu, B) Karnataka, C) Andhra Pradesh, D) Punjab</t>
  </si>
  <si>
    <t>What historical document first described the rules of Lagori?</t>
  </si>
  <si>
    <t>A) Manusmriti, B) Arthashastra, C) Rajatarangini, D) Ramayana</t>
  </si>
  <si>
    <t>C) Rajatarangini</t>
  </si>
  <si>
    <t>Which ancient Indian king was known to play Lagori during his leisure time?</t>
  </si>
  <si>
    <t>A) Ashoka, B) Chandragupta, C) Harsha, D) Vikramaditya</t>
  </si>
  <si>
    <t>D) Vikramaditya</t>
  </si>
  <si>
    <t>What was the primary setting for playing Lagori in historical Indian villages?</t>
  </si>
  <si>
    <t>A) Village squares, B) Royal palaces, C) Temples, D) Schoolyards</t>
  </si>
  <si>
    <t>A) Village squares</t>
  </si>
  <si>
    <t>Which famous Indian festival traditionally includes the game of Lagori?</t>
  </si>
  <si>
    <t>A) Holi, B) Diwali, C) Navratri, D) Pongal</t>
  </si>
  <si>
    <t>A) Holi</t>
  </si>
  <si>
    <t>What was the traditional use of Lagori stones in ancient India?</t>
  </si>
  <si>
    <t>A) Religious offerings, B) Educational tools, C) Game markers, D) Artifacts</t>
  </si>
  <si>
    <t>C) Game markers</t>
  </si>
  <si>
    <t>Which historical text mentions a game similar to Lagori being played in ancient India?</t>
  </si>
  <si>
    <t>A) Arthashastra, B) Mahabharata, C) Ramayana, D) Manusmriti</t>
  </si>
  <si>
    <t>Which ancient Indian king is known to have popularized Lagori in his court?</t>
  </si>
  <si>
    <t>A) Ashoka, B) Chandragupta, C) Akbar, D) Shivaji</t>
  </si>
  <si>
    <t>C) Akbar</t>
  </si>
  <si>
    <t>What traditional role did Lagori serve in historical Indian communities?</t>
  </si>
  <si>
    <t>A) Entertainment, B) Military training, C) Religious practice, D) Economic activity</t>
  </si>
  <si>
    <t>In which ancient Indian region is Lagori known to have been played during harvest festivals?</t>
  </si>
  <si>
    <t>What material were the traditional Lagori balls made from in ancient India?</t>
  </si>
  <si>
    <t>A) Clay, B) Wood, C) Stone, D) Fabric</t>
  </si>
  <si>
    <t>C) Stone</t>
  </si>
  <si>
    <t>Which historical Indian ruler was known to have integrated Lagori into royal court games?</t>
  </si>
  <si>
    <t>A) Emperor Ashoka, B) King Chandragupta, C) Mughal Emperor Akbar, D) Maratha King Shivaji</t>
  </si>
  <si>
    <t>C) Mughal Emperor Akbar</t>
  </si>
  <si>
    <t>What is the historical significance of Lagori in ancient Indian society?</t>
  </si>
  <si>
    <t>A) It was a form of entertainment, B) It was used for military training, C) It was a ritualistic practice, D) It was a trade activity</t>
  </si>
  <si>
    <t>A) It was a form of entertainment</t>
  </si>
  <si>
    <t>Which Indian dynasty is historically associated with playing Lagori in royal courts?</t>
  </si>
  <si>
    <t>D) Mughal Dynasty</t>
  </si>
  <si>
    <t>Which historical figure is noted for having played Lagori during their youth?</t>
  </si>
  <si>
    <t>A) Jawaharlal Nehru, B) Mahatma Gandhi, C) Sardar Patel, D) Rajiv Gandhi</t>
  </si>
  <si>
    <t>Which Indian festival is known for incorporating Lagori as a part of its traditional celebrations?</t>
  </si>
  <si>
    <t>In which period was Lagori first documented in historical texts?</t>
  </si>
  <si>
    <t>A) Ancient India, B) Medieval India, C) Colonial India, D) Modern India</t>
  </si>
  <si>
    <t>A) Ancient India</t>
  </si>
  <si>
    <t>Which Indian state has a version of Lagori known for its distinct rules?</t>
  </si>
  <si>
    <t>A) Tamil Nadu, B) Maharashtra, C) Andhra Pradesh, D) Punjab</t>
  </si>
  <si>
    <t>What was Lagori’s role in traditional Indian education according to historical records?</t>
  </si>
  <si>
    <t>A) Physical exercise, B) Tactical training, C) Spiritual practice, D) Cultural education</t>
  </si>
  <si>
    <t>A) Physical exercise</t>
  </si>
  <si>
    <t>Which Indian king is famous for having played Lagori during his reign?</t>
  </si>
  <si>
    <t>What was the traditional setting for Lagori in rural Indian communities?</t>
  </si>
  <si>
    <t>A) Village grounds, B) Royal courts, C) Temple premises, D) Educational institutions</t>
  </si>
  <si>
    <t>A) Village grounds</t>
  </si>
  <si>
    <t>Which historical text includes descriptions of games resembling Lagori?</t>
  </si>
  <si>
    <t>A) Vedas, B) Upanishads, C) Ramayana, D) Manusmriti</t>
  </si>
  <si>
    <t>C) Ramayana</t>
  </si>
  <si>
    <t>In which region of India is Lagori also referred to as 'Lingor'?</t>
  </si>
  <si>
    <t>A) Gujarat, B) Maharashtra, C) Karnataka, D) Tamil Nadu</t>
  </si>
  <si>
    <t>What aspect of Lagori makes it a culturally significant game in historical Indian contexts?</t>
  </si>
  <si>
    <t>A) Its simplicity, B) Its royal endorsement, C) Its historical roots, D) Its modern adaptations</t>
  </si>
  <si>
    <t>C) Its historical roots</t>
  </si>
  <si>
    <t>What traditional material used for Lagori stones was common in ancient India?</t>
  </si>
  <si>
    <t>Which Indian king is reputed to have popularized Lagori among his courtiers?</t>
  </si>
  <si>
    <t>D) King Akbar</t>
  </si>
  <si>
    <t>What historical element is considered crucial for Lagori gameplay in traditional settings?</t>
  </si>
  <si>
    <t>A) Stone markers, B) Wooden sticks, C) Fabric balls, D) Clay disks</t>
  </si>
  <si>
    <t>A) Stone markers</t>
  </si>
  <si>
    <t>Which period in Indian history saw Lagori being played as part of royal entertainment?</t>
  </si>
  <si>
    <t>B) Medieval India</t>
  </si>
  <si>
    <t>What was the role of Lagori in traditional Indian village fairs?</t>
  </si>
  <si>
    <t>A) Economic exchange, B) Educational activity, C) Entertainment, D) Religious observance</t>
  </si>
  <si>
    <t>What role did Lagori play in ancient Indian social gatherings?</t>
  </si>
  <si>
    <t>A) Educational tool, B) Community bonding, C) Religious ritual, D) Economic transaction</t>
  </si>
  <si>
    <t>Which famous historical festival includes Lagori as a traditional game?</t>
  </si>
  <si>
    <t>What ancient Indian text refers to Lagori and similar games?</t>
  </si>
  <si>
    <t>A) Manusmriti, B) Mahabharata, C) Ramayana, D) Upanishads</t>
  </si>
  <si>
    <t>Which Indian king is historically associated with playing Lagori during his reign?</t>
  </si>
  <si>
    <t>A) King Ashoka, B) King Chandragupta, C) King Akbar, D) King Shivaji</t>
  </si>
  <si>
    <t>C) King Akbar</t>
  </si>
  <si>
    <t>What historical text is known to describe games similar to Lagori?</t>
  </si>
  <si>
    <t>A) Arthashastra, B) Mahabharata, C) Ramayana, D) Upanishads</t>
  </si>
  <si>
    <t>What was the primary setting for Lagori in ancient Indian society?</t>
  </si>
  <si>
    <t>A) Public spaces, B) Royal courts, C) Temples, D) Educational institutions</t>
  </si>
  <si>
    <t>A) Public spaces</t>
  </si>
  <si>
    <t>Which region in India developed its own version of Lagori with unique rules?</t>
  </si>
  <si>
    <t>A) Tamil Nadu, B) Karnataka, C) Gujarat, D) Punjab</t>
  </si>
  <si>
    <t>C) Gujarat</t>
  </si>
  <si>
    <t>Which ancient Indian game is often compared to Lagori for its similar gameplay?</t>
  </si>
  <si>
    <t>A) Satoliya, B) Gilli Danda, C) Kho-Kho, D) Kabaddi</t>
  </si>
  <si>
    <t>A) Satoliya</t>
  </si>
  <si>
    <t>Which Indian state traditionally uses Lagori as part of its harvest festival celebrations?</t>
  </si>
  <si>
    <t>A) Rajasthan, B) Punjab, C) Gujarat, D) Maharashtra</t>
  </si>
  <si>
    <t>What was the primary historical use of Lagori in medieval Indian courts?</t>
  </si>
  <si>
    <t>A) Entertainment, B) Military training, C) Religious rituals, D) Education</t>
  </si>
  <si>
    <t>Which Indian king is historically known for his interest in Lagori and other traditional games?</t>
  </si>
  <si>
    <t>A) Maharaja Ranjit Singh, B) King Shivaji, C) Emperor Akbar, D) Raja Raja Chola</t>
  </si>
  <si>
    <t>C) Emperor Akbar</t>
  </si>
  <si>
    <t>Which ancient Indian text is known for mentioning games similar to Lagori?</t>
  </si>
  <si>
    <t>A) Manusmriti, B) Arthashastra, C) Ramayana, D) Mahabharata</t>
  </si>
  <si>
    <t>Which festival in traditional Indian culture often features Lagori as part of its celebrations?</t>
  </si>
  <si>
    <t>In which Indian region is Lagori known for its distinct traditional rules?</t>
  </si>
  <si>
    <t>A) Andhra Pradesh, B) Karnataka, C) Tamil Nadu, D) Maharashtra</t>
  </si>
  <si>
    <t>Which era saw the transition of Lagori from traditional outdoor games to organized competitions?</t>
  </si>
  <si>
    <t>A) Ancient era, B) Medieval era, C) Colonial era, D) Modern era</t>
  </si>
  <si>
    <t>D) Modern era</t>
  </si>
  <si>
    <t>What traditional Indian activity often included Lagori as a part of its communal gatherings?</t>
  </si>
  <si>
    <t>A) Village fairs, B) Religious ceremonies, C) Royal court events, D) Trade festivals</t>
  </si>
  <si>
    <t>A) Village fairs</t>
  </si>
  <si>
    <t>Which ancient Indian scriptural reference is believed to describe games similar to Lagori?</t>
  </si>
  <si>
    <t>A) Vedas, B) Upanishads, C) Bhagavad Gita, D) Mahabharata</t>
  </si>
  <si>
    <t>Which historical Indian king is noted for having Lagori included in his courtly pastimes?</t>
  </si>
  <si>
    <t>A) King Ashoka, B) King Akbar, C) King Chandragupta, D) King Shivaji</t>
  </si>
  <si>
    <t>B) King Akbar</t>
  </si>
  <si>
    <t>What material were the Lagori stones typically made from in medieval Indian times?</t>
  </si>
  <si>
    <t>A) Clay, B) Metal, C) Stone, D) Fabric</t>
  </si>
  <si>
    <t>Which period of Indian history is associated with the formalization of Lagori rules and gameplay?</t>
  </si>
  <si>
    <t>A) Ancient period, B) Medieval period, C) Colonial period, D) Modern period</t>
  </si>
  <si>
    <t>B) Medieval period</t>
  </si>
  <si>
    <t>Which Indian state has historical records indicating the early practice of Lagori?</t>
  </si>
  <si>
    <t>A) Tamil Nadu, B) Gujarat, C) Rajasthan, D) Maharashtra</t>
  </si>
  <si>
    <t>Which historical event is believed to have influenced the formalization of Lagori as a competitive game?</t>
  </si>
  <si>
    <t>A) Mughal court reforms, B) British colonial influence, C) Independence movement, D) Renaissance</t>
  </si>
  <si>
    <t>A) Mughal court reforms</t>
  </si>
  <si>
    <t>In ancient Indian culture, what was Lagori primarily associated with during festivals?</t>
  </si>
  <si>
    <t>A) Spiritual rituals, B) Community entertainment, C) Trade activities, D) Educational purposes</t>
  </si>
  <si>
    <t>B) Community entertainment</t>
  </si>
  <si>
    <t>Which historical figure’s reign is marked by the popularization of traditional Indian games like Lagori?</t>
  </si>
  <si>
    <t>A) Emperor Ashoka, B) Emperor Akbar, C) Emperor Shah Jahan, D) Emperor Aurangzeb</t>
  </si>
  <si>
    <t>What historical significance does Lagori hold in the context of ancient Indian military training?</t>
  </si>
  <si>
    <t>A) Tactical training, B) Combat practice, C) Strategy development, D) None</t>
  </si>
  <si>
    <t>Which historical Indian festival is noted for its connection with Lagori in traditional celebrations?</t>
  </si>
  <si>
    <t>A) Holi, B) Diwali, C) Raksha Bandhan, D) Makar Sankranti</t>
  </si>
  <si>
    <t>Which region in ancient India is noted for having a unique version of Lagori known for its distinctive gameplay?</t>
  </si>
  <si>
    <t>A) Karnataka, B) Gujarat, C) Tamil Nadu, D) Punjab</t>
  </si>
  <si>
    <t>Which traditional Indian festival often features Lagori as a part of its celebrations?</t>
  </si>
  <si>
    <t>A) Diwali, B) Holi, C) Pongal, D) Onam</t>
  </si>
  <si>
    <t>What ancient text describes the cultural significance of traditional games similar to Lagori?</t>
  </si>
  <si>
    <t>A) Vedas, B) Upanishads, C) Mahabharata, D) Ramayana</t>
  </si>
  <si>
    <t>Which Indian king’s court was known for integrating traditional games like Lagori into royal festivities?</t>
  </si>
  <si>
    <t>What historical period saw the formal documentation of Lagori's rules and strategies?</t>
  </si>
  <si>
    <t>Which region of India historically used Lagori as a part of its harvest festival celebrations?</t>
  </si>
  <si>
    <t>A) Gujarat, B) Punjab, C) Maharashtra, D) Tamil Nadu</t>
  </si>
  <si>
    <t>What historical event is believed to have contributed to the spread of Lagori across Indian regions?</t>
  </si>
  <si>
    <t>A) Mughal Empire expansion, B) British colonial rule, C) Independence movement, D) Cultural renaissance</t>
  </si>
  <si>
    <t>A) Mughal Empire expansion</t>
  </si>
  <si>
    <t>What was the primary role of Lagori in historical Indian village communities?</t>
  </si>
  <si>
    <t>A) Social bonding, B) Economic trade, C) Religious practice, D) Educational tool</t>
  </si>
  <si>
    <t>Which Indian state is known for having its own traditional rules and variations of Lagori?</t>
  </si>
  <si>
    <t>A) Karnataka, B) Gujarat, C) Tamil Nadu, D) Maharashtra</t>
  </si>
  <si>
    <t>Which historical Indian dynasty is known for having Lagori as a part of its royal entertainment?</t>
  </si>
  <si>
    <t>A) Maurya Dynasty, B) Gupta Dynasty, C) Mughal Dynasty, D) Chola Dynasty</t>
  </si>
  <si>
    <t>What historical role did Lagori serve in ancient Indian educational practices?</t>
  </si>
  <si>
    <t>A) Physical exercise, B) Strategic learning, C) Cultural education, D) Religious instruction</t>
  </si>
  <si>
    <t>What ancient Indian game is often compared to Lagori for its similar playstyle and cultural significance?</t>
  </si>
  <si>
    <t>A) Satoliya, B) Gilli Danda, C) Kabaddi, D) Kho-Kho</t>
  </si>
  <si>
    <t>Which famous festival in India traditionally includes Lagori as a popular game?</t>
  </si>
  <si>
    <t>In which region of India was Lagori historically played using handmade stone markers?</t>
  </si>
  <si>
    <t>D) West India</t>
  </si>
  <si>
    <t>Which historical text references games similar to Lagori in ancient Indian culture?</t>
  </si>
  <si>
    <t>A) Vedas, B) Mahabharata, C) Ramayana, D) Manusmriti</t>
  </si>
  <si>
    <t>What historical development led to Lagori becoming a popular game in Indian royal courts?</t>
  </si>
  <si>
    <t>A) Mughal reforms, B) British colonial influence, C) Indian Renaissance, D) Independence movement</t>
  </si>
  <si>
    <t>A) Mughal reforms</t>
  </si>
  <si>
    <t>Which Indian king is known for having encouraged traditional games like Lagori in his court?</t>
  </si>
  <si>
    <t>What role did Lagori play in traditional Indian festivals?</t>
  </si>
  <si>
    <t>A) Ritualistic practice, B) Entertainment, C) Educational tool, D) Trade activity</t>
  </si>
  <si>
    <t>B) Entertainment</t>
  </si>
  <si>
    <t>Which historical region in India had unique Lagori rules integrated into local customs?</t>
  </si>
  <si>
    <t>A) Gujarat, B) Tamil Nadu, C) Maharashtra, D) Punjab</t>
  </si>
  <si>
    <t>What historical context is associated with Lagori's use in ancient Indian communities?</t>
  </si>
  <si>
    <t>A) Social events, B) Military training, C) Religious rites, D) Economic activities</t>
  </si>
  <si>
    <t>A) Social events</t>
  </si>
  <si>
    <t>Which Indian king is historically noted for his love of traditional games including Lagori?</t>
  </si>
  <si>
    <t>A) Emperor Ashoka, B) Emperor Akbar, C) King Shivaji, D) King Chandragupta</t>
  </si>
  <si>
    <t>Which festival traditionally featured Lagori as a prominent game in Indian villages?</t>
  </si>
  <si>
    <t>Which historical Indian text describes traditional games akin to Lagori?</t>
  </si>
  <si>
    <t>A) Ramayana, B) Mahabharata, C) Manusmriti, D) Arthashastra</t>
  </si>
  <si>
    <t>Which historical figure is noted for incorporating Lagori into royal festivities and games?</t>
  </si>
  <si>
    <t>A) King Ashoka, B) King Akbar, C) King Shivaji, D) King Chandragupta</t>
  </si>
  <si>
    <t>What role did Lagori play in the context of ancient Indian village life?</t>
  </si>
  <si>
    <t>A) Community bonding, B) Religious practice, C) Trade activity, D) Educational purpose</t>
  </si>
  <si>
    <t>A) Community bonding</t>
  </si>
  <si>
    <t>Which Indian state has historical records showing the early practice of Lagori?</t>
  </si>
  <si>
    <t>A) Tamil Nadu, B) Gujarat, C) Maharashtra, D) Punjab</t>
  </si>
  <si>
    <t>What was the primary historical function of Lagori in ancient Indian festivals?</t>
  </si>
  <si>
    <t>A) Entertainment, B) Ritualistic practice, C) Educational tool, D) Trade activity</t>
  </si>
  <si>
    <t>Which historical Indian empire is noted for its influence on traditional games like Lagori?</t>
  </si>
  <si>
    <t>A) Maurya Empire, B) Gupta Empire, C) Mughal Empire, D) Chola Empire</t>
  </si>
  <si>
    <t>C) Mughal Empire</t>
  </si>
  <si>
    <t>Which ancient Indian festival included Lagori as a traditional game?</t>
  </si>
  <si>
    <t>Which region is known for having a distinct version of Lagori with unique local rules?</t>
  </si>
  <si>
    <t>A) West India, B) North India, C) South India, D) East India</t>
  </si>
  <si>
    <t>A) West India</t>
  </si>
  <si>
    <t>Which historical Indian king's court is known for promoting traditional games including Lagori?</t>
  </si>
  <si>
    <t>What was the cultural significance of Lagori in ancient Indian villages?</t>
  </si>
  <si>
    <t>A) Social bonding, B) Military training, C) Religious ceremonies, D) Trade</t>
  </si>
  <si>
    <t>What role did Lagori play in ancient Indian celebrations?</t>
  </si>
  <si>
    <t>A) Entertainment, B) Education, C) Trade, D) Military practice</t>
  </si>
  <si>
    <t>Which Indian king's reign is associated with the popularization of traditional games like Lagori?</t>
  </si>
  <si>
    <t>A) King Chandragupta, B) King Ashoka, C) King Akbar, D) King Shivaji</t>
  </si>
  <si>
    <t>In which Indian state did Lagori evolve its unique regional variations historically?</t>
  </si>
  <si>
    <t>A) Gujarat, B) Punjab, C) Karnataka, D) Maharashtra</t>
  </si>
  <si>
    <t>What historical development contributed to the spread of Lagori across India?</t>
  </si>
  <si>
    <t>A) Mughal Empire expansion, B) British colonial rule, C) Indian independence, D) Cultural renaissance</t>
  </si>
  <si>
    <t>What was the primary role of Lagori in ancient Indian festivals and communal events?</t>
  </si>
  <si>
    <t>A) Entertainment, B) Religious practice, C) Trade, D) Education</t>
  </si>
  <si>
    <t>Which historical Indian region is associated with a traditional form of Lagori played during village festivals?</t>
  </si>
  <si>
    <t>A) East India, B) West India, C) North India, D) South India</t>
  </si>
  <si>
    <t>B) West India</t>
  </si>
  <si>
    <t>Which historical period saw the formalization of Lagori's rules and gameplay?</t>
  </si>
  <si>
    <t>What historical role did Lagori play in the context of ancient Indian social events?</t>
  </si>
  <si>
    <t>A) Social bonding, B) Economic activity, C) Religious practice, D) Educational purpose</t>
  </si>
  <si>
    <t>Which historical festival in India traditionally featured Lagori as a part of its celebrations?</t>
  </si>
  <si>
    <t>Which historical text is known for mentioning games similar to Lagori in ancient Indian culture?</t>
  </si>
  <si>
    <t>What historical context is associated with Lagori's development and popularization in India?</t>
  </si>
  <si>
    <t>A) Mughal Empire influence, B) British colonial rule, C) Indian independence movement, D) Cultural renaissance</t>
  </si>
  <si>
    <t>A) Mughal Empire influence</t>
  </si>
  <si>
    <t>Which ancient Indian text first mentioned the game of Pambaram?</t>
  </si>
  <si>
    <t>Who is credited with formalizing the rules of Pambaram in the 19th century?</t>
  </si>
  <si>
    <t>A) Raja Ram Mohan Roy, B) V.K. Krishna Menon, C) R. K. Narayan, D) G. K. Chesterton</t>
  </si>
  <si>
    <t>B) V.K. Krishna Menon</t>
  </si>
  <si>
    <t>Which king is known for popularizing Pambaram in the Southern regions of India?</t>
  </si>
  <si>
    <t>A) King Rajaraja Chola, B) King Ashoka, C) King Harshavardhana, D) King Vikramaditya</t>
  </si>
  <si>
    <t>A) King Rajaraja Chola</t>
  </si>
  <si>
    <t>In which year was the All India Pambaram Federation established?</t>
  </si>
  <si>
    <t>A) 1945, B) 1950, C) 1955, D) 1960</t>
  </si>
  <si>
    <t>C) 1955</t>
  </si>
  <si>
    <t>Which state in India is considered the traditional home of Pambaram?</t>
  </si>
  <si>
    <t>A) Tamil Nadu, B) Kerala, C) Karnataka, D) Andhra Pradesh</t>
  </si>
  <si>
    <t>Which Pambaram player was known for his signature move, 'The Cyclone Spin'?</t>
  </si>
  <si>
    <t>A) K. S. Ramesh, B) M. N. Karthik, C) V. S. Ravi, D) S. B. Kumar</t>
  </si>
  <si>
    <t>A) K. S. Ramesh</t>
  </si>
  <si>
    <t>What is the name of the traditional wooden disk used in Pambaram?</t>
  </si>
  <si>
    <t>A) Pattam, B) Chakram, C) Kummi, D) Katta</t>
  </si>
  <si>
    <t>A) Pattam</t>
  </si>
  <si>
    <t>Which famous Pambaram player was awarded the Padma Bhushan in 2000?</t>
  </si>
  <si>
    <t>A) N. Ramachandran, B) R. K. Rajesh, C) S. V. Prasad, D) V. K. Sharma</t>
  </si>
  <si>
    <t>A) N. Ramachandran</t>
  </si>
  <si>
    <t>During which Indian festival is Pambaram traditionally played?</t>
  </si>
  <si>
    <t>A) Pongal, B) Diwali, C) Holi, D) Navratri</t>
  </si>
  <si>
    <t>A) Pongal</t>
  </si>
  <si>
    <t>What is the primary objective of Pambaram?</t>
  </si>
  <si>
    <t>A) To score goals, B) To hit the opponent's Pattam, C) To outlast the opponent, D) To collect tokens</t>
  </si>
  <si>
    <t>B) To hit the opponent's Pattam</t>
  </si>
  <si>
    <t>Which legendary Pambaram player was known for his innovative techniques in the 1960s?</t>
  </si>
  <si>
    <t>A) S. Balakrishnan, B) T. M. Ganesan, C) J. P. Kumar, D) R. K. Selvan</t>
  </si>
  <si>
    <t>B) T. M. Ganesan</t>
  </si>
  <si>
    <t>Which of the following is NOT a traditional move in Pambaram?</t>
  </si>
  <si>
    <t>A) The Spiral Jump, B) The Hammer Throw, C) The Eagle Dive, D) The Rainbow Spin</t>
  </si>
  <si>
    <t>C) The Eagle Dive</t>
  </si>
  <si>
    <t>Who won the first national Pambaram championship held in 1956?</t>
  </si>
  <si>
    <t>Which Pambaram player is known for holding the record for the longest consecutive winning streak?</t>
  </si>
  <si>
    <t>A) G. K. Suresh, B) K. V. Mohan, C) R. S. Srinivasan, D) S. K. Rathi</t>
  </si>
  <si>
    <t>B) K. V. Mohan</t>
  </si>
  <si>
    <t>In Pambaram, what is the term used for a successful strike that earns the most points?</t>
  </si>
  <si>
    <t>A) Super Hit, B) Mega Strike, C) Gold Shot, D) King’s Move</t>
  </si>
  <si>
    <t>D) King’s Move</t>
  </si>
  <si>
    <t>Which Pambaram tournament is considered the most prestigious in the sport?</t>
  </si>
  <si>
    <t>A) The Golden Pattam Cup, B) The National Championship, C) The Southern Masters, D) The Royal Cup</t>
  </si>
  <si>
    <t>B) The National Championship</t>
  </si>
  <si>
    <t>Who was the captain of the Indian team that won the 1972 Asian Games Pambaram event?</t>
  </si>
  <si>
    <t>A) M. A. Ravi, B) K. S. Naidu, C) V. R. Ganesh, D) P. K. Raj</t>
  </si>
  <si>
    <t>C) V. R. Ganesh</t>
  </si>
  <si>
    <t>What is the term used for a defensive move where a player blocks an opponent's Pattam strike?</t>
  </si>
  <si>
    <t>A) Shield Block, B) Guard Shield, C) Defensive Guard, D) Shield Strike</t>
  </si>
  <si>
    <t>C) Defensive Guard</t>
  </si>
  <si>
    <t>Which famous Pambaram player was known for his incredible endurance and agility?</t>
  </si>
  <si>
    <t>A) S. V. Ramesh, B) J. K. Sundaram, C) N. S. Kumar, D) P. R. Menon</t>
  </si>
  <si>
    <t>B) J. K. Sundaram</t>
  </si>
  <si>
    <t>Which historical event led to the decline in the popularity of Pambaram in the early 20th century?</t>
  </si>
  <si>
    <t>A) World War I, B) The Indian Independence Movement, C) The Great Depression, D) The Indian Partition</t>
  </si>
  <si>
    <t>B) The Indian Independence Movement</t>
  </si>
  <si>
    <t>Who is known for introducing the 'Double Pattam' technique in Pambaram?</t>
  </si>
  <si>
    <t>A) R. K. Narayanan, B) S. V. Ravi, C) A. K. Ramachandran, D) M. G. Srinivasan</t>
  </si>
  <si>
    <t>C) A. K. Ramachandran</t>
  </si>
  <si>
    <t>What is the maximum number of players allowed on a Pambaram team during a match?</t>
  </si>
  <si>
    <t>In which year did Pambaram first gain international recognition?</t>
  </si>
  <si>
    <t>A) 1958, B) 1965, C) 1970, D) 1975</t>
  </si>
  <si>
    <t>A) 1958</t>
  </si>
  <si>
    <t>Which famous Pambaram player was known for his innovative use of 'spinning throws'?</t>
  </si>
  <si>
    <t>A) T. M. Gopal, B) S. R. Kumar, C) V. S. Ravi, D) R. M. Ramesh</t>
  </si>
  <si>
    <t>A) T. M. Gopal</t>
  </si>
  <si>
    <t>What was the main reason for the creation of the Pambaram World Cup?</t>
  </si>
  <si>
    <t>A) To promote the sport globally, B) To honor a legendary player, C) To replace regional tournaments, D) To celebrate a historic victory</t>
  </si>
  <si>
    <t>A) To promote the sport globally</t>
  </si>
  <si>
    <t>Who won the 1980 Pambaram World Cup?</t>
  </si>
  <si>
    <t>A) India, B) Sri Lanka, C) Bangladesh, D) Pakistan</t>
  </si>
  <si>
    <t>Which move in Pambaram is known for its high degree of difficulty and skill?</t>
  </si>
  <si>
    <t>A) The Tornado Spin, B) The Lightning Strike, C) The Cyclone Turn, D) The Thunderbolt</t>
  </si>
  <si>
    <t>C) The Cyclone Turn</t>
  </si>
  <si>
    <t>Which player is known for his famous rivalry with K. S. Ramesh in the 1980s?</t>
  </si>
  <si>
    <t>A) M. N. Raju, B) R. K. Selvan, C) V. K. Sharma, D) S. V. Naidu</t>
  </si>
  <si>
    <t>A) M. N. Raju</t>
  </si>
  <si>
    <t>In Pambaram, what is the term used for a successful series of consecutive hits?</t>
  </si>
  <si>
    <t>A) Combo Strike, B) Power Hit, C) Double Kill, D) Triple Threat</t>
  </si>
  <si>
    <t>D) Triple Threat</t>
  </si>
  <si>
    <t>Which Pambaram player is known for his expertise in defensive strategies?</t>
  </si>
  <si>
    <t>A) K. R. Mohan, B) S. V. Ravi, C) T. K. Ramesh, D) V. R. Naidu</t>
  </si>
  <si>
    <t>B) S. V. Ravi</t>
  </si>
  <si>
    <t>What was the primary purpose of the Pambaram training camps introduced in the 1970s?</t>
  </si>
  <si>
    <t>A) To develop new talent, B) To enhance technique, C) To improve fitness, D) To teach strategy</t>
  </si>
  <si>
    <t>A) To develop new talent</t>
  </si>
  <si>
    <t>Which move was banned from official Pambaram tournaments in the late 1990s due to safety concerns?</t>
  </si>
  <si>
    <t>A) The Flying Kick, B) The Spinning Throw, C) The Hammer Strike, D) The Tornado Spin</t>
  </si>
  <si>
    <t>A) The Flying Kick</t>
  </si>
  <si>
    <t>Which historical figure is often depicted playing Pambaram in ancient Indian art?</t>
  </si>
  <si>
    <t>A) Ashoka the Great, B) Chandragupta Maurya, C) Emperor Akbar, D) King Harsha</t>
  </si>
  <si>
    <t>Who is known as the 'Father of Modern Pambaram'?</t>
  </si>
  <si>
    <t>A) V. K. Krishna Menon, B) T. M. Ganesan, C) S. K. Rathi, D) R. K. Rajesh</t>
  </si>
  <si>
    <t>Which Pambaram player was famous for his powerful 'Ground Slam' move?</t>
  </si>
  <si>
    <t>A) R. K. Rajesh, B) S. M. Srinivasan, C) K. R. Mohan, D) V. S. Ravi</t>
  </si>
  <si>
    <t>A) R. K. Rajesh</t>
  </si>
  <si>
    <t>What is the traditional attire worn by Pambaram players during major tournaments?</t>
  </si>
  <si>
    <t>A) Dhoti and Kurta, B) Shirt and Trousers, C) Traditional Sari, D) Shorts and T-Shirt</t>
  </si>
  <si>
    <t>A) Dhoti and Kurta</t>
  </si>
  <si>
    <t>Which player is known for his exceptional use of the 'Overhead Swing' in Pambaram?</t>
  </si>
  <si>
    <t>A) N. Ramachandran, B) M. N. Karthik, C) T. M. Gopal, D) V. K. Sharma</t>
  </si>
  <si>
    <t>C) T. M. Gopal</t>
  </si>
  <si>
    <t>Which year marked the introduction of international teams into the Pambaram World Cup?</t>
  </si>
  <si>
    <t>A) 1990, B) 1995, C) 2000, D) 2005</t>
  </si>
  <si>
    <t>B) 1995</t>
  </si>
  <si>
    <t>Which historical event led to the establishment of the Pambaram Grand Prix?</t>
  </si>
  <si>
    <t>A) The formation of the Pambaram Association, B) The end of World War II, C) The Indian Independence Movement, D) The first Asian Games</t>
  </si>
  <si>
    <t>A) The formation of the Pambaram Association</t>
  </si>
  <si>
    <t>Which Pambaram player was known for his mastery of the 'Quick Flick' technique?</t>
  </si>
  <si>
    <t>A) R. K. Rajesh, B) S. V. Naidu, C) T. M. Ganesan, D) K. S. Ramesh</t>
  </si>
  <si>
    <t>D) K. S. Ramesh</t>
  </si>
  <si>
    <t>Who won the 2008 Pambaram World Cup?</t>
  </si>
  <si>
    <t>Which of the following is NOT a key skill required for playing Pambaram?</t>
  </si>
  <si>
    <t>A) Agility, B) Precision, C) Strength, D) Strategy</t>
  </si>
  <si>
    <t>Which historical figure is credited with codifying the rules of Pambaram during the medieval period?</t>
  </si>
  <si>
    <t>A) King Vikramaditya, B) Emperor Ashoka, C) King Rajaraja Chola, D) King Harsha</t>
  </si>
  <si>
    <t>A) King Vikramaditya</t>
  </si>
  <si>
    <t>Which Indian state has produced the most Pambaram champions historically?</t>
  </si>
  <si>
    <t>Who is known for his revolutionary change in Pambaram's defensive strategies?</t>
  </si>
  <si>
    <t>A) K. S. Ramesh, B) V. S. Ravi, C) R. K. Rajesh, D) M. N. Karthik</t>
  </si>
  <si>
    <t>B) V. S. Ravi</t>
  </si>
  <si>
    <t>Which Pambaram tournament is held annually in Chennai and is one of the oldest?</t>
  </si>
  <si>
    <t>A) The Chennai Open, B) The Tamil Nadu Championship, C) The Golden Pattam Tournament, D) The Southern Masters</t>
  </si>
  <si>
    <t>C) The Golden Pattam Tournament</t>
  </si>
  <si>
    <t>Which Pambaram player is famous for the 'Backflip Catch' move?</t>
  </si>
  <si>
    <t>A) T. M. Ganesan, B) R. K. Rajesh, C) M. N. Karthik, D) K. V. Mohan</t>
  </si>
  <si>
    <t>A) T. M. Ganesan</t>
  </si>
  <si>
    <t>Which decade saw the introduction of video analysis in Pambaram training?</t>
  </si>
  <si>
    <t>B) 1980s</t>
  </si>
  <si>
    <t>Who was the winner of the 1960 National Pambaram Championship?</t>
  </si>
  <si>
    <t>B) Kerala</t>
  </si>
  <si>
    <t>Which of the following Pambaram moves involves a spinning throw with the Pattam?</t>
  </si>
  <si>
    <t>A) The Cyclone Spin, B) The Thunderbolt, C) The Spiral Jump, D) The Tornado Spin</t>
  </si>
  <si>
    <t>D) The Tornado Spin</t>
  </si>
  <si>
    <t>Which Pambaram player was renowned for his extraordinary footwork?</t>
  </si>
  <si>
    <t>A) S. M. Srinivasan, B) K. R. Mohan, C) V. S. Ravi, D) T. M. Ganesan</t>
  </si>
  <si>
    <t>A) S. M. Srinivasan</t>
  </si>
  <si>
    <t>What is the name of the technique where a player uses quick lateral movements to evade an opponent's strike?</t>
  </si>
  <si>
    <t>A) Side Step, B) Quick Shift, C) Lateral Glide, D) Rapid Move</t>
  </si>
  <si>
    <t>B) Quick Shift</t>
  </si>
  <si>
    <t>Which Pambaram player is celebrated for his legendary comeback in the 1975 National Championship?</t>
  </si>
  <si>
    <t>A) N. Ramachandran, B) M. N. Karthik, C) R. K. Rajesh, D) S. V. Naidu</t>
  </si>
  <si>
    <t>D) S. V. Naidu</t>
  </si>
  <si>
    <t>What is the name of the popular Pambaram move that involves a powerful downward strike?</t>
  </si>
  <si>
    <t>A) The Power Slam, B) The Thunder Strike, C) The Ground Slam, D) The Mega Hit</t>
  </si>
  <si>
    <t>C) The Ground Slam</t>
  </si>
  <si>
    <t>Which famous Pambaram player was known for his strategic use of the 'Double Pattam' technique?</t>
  </si>
  <si>
    <t>A) V. S. Ravi, B) T. M. Ganesan, C) R. K. Rajesh, D) K. R. Mohan</t>
  </si>
  <si>
    <t>Which Pambaram tournament introduced the use of electronic scoreboards for the first time?</t>
  </si>
  <si>
    <t>A) The Southern Masters, B) The National Championship, C) The Golden Pattam Tournament, D) The Chennai Open</t>
  </si>
  <si>
    <t>D) The Chennai Open</t>
  </si>
  <si>
    <t>What is the key feature of the 'Windmill Throw' technique in Pambaram?</t>
  </si>
  <si>
    <t>A) A high-speed spin, B) A sweeping arm motion, C) A quick flick of the wrist, D) A powerful overhead swing</t>
  </si>
  <si>
    <t>B) A sweeping arm motion</t>
  </si>
  <si>
    <t>Which player is famous for their exceptional skill in the 'Long Reach' technique?</t>
  </si>
  <si>
    <t>A) K. S. Ramesh, B) M. N. Karthik, C) V. K. Sharma, D) S. B. Kumar</t>
  </si>
  <si>
    <t>Which event led to the formal establishment of the Pambaram World Cup?</t>
  </si>
  <si>
    <t>A) The creation of the International Pambaram Association, B) The increase in international teams, C) The popularity of the sport, D) The promotion of Pambaram in schools</t>
  </si>
  <si>
    <t>A) The creation of the International Pambaram Association</t>
  </si>
  <si>
    <t>Who is credited with developing the 'Spin and Strike' technique in Pambaram?</t>
  </si>
  <si>
    <t>A) R. K. Rajesh, B) T. M. Ganesan, C) S. V. Ravi, D) K. R. Mohan</t>
  </si>
  <si>
    <t>Which state first introduced the concept of 'Pambaram Clubs' to promote local talent?</t>
  </si>
  <si>
    <t>Who won the 1995 Pambaram World Cup?</t>
  </si>
  <si>
    <t>Which Pambaram technique involves a series of quick, successive strikes with the Pattam?</t>
  </si>
  <si>
    <t>A) Rapid Strike, B) Quick Hits, C) Combo Strike, D) Rapid Fire</t>
  </si>
  <si>
    <t>C) Combo Strike</t>
  </si>
  <si>
    <t>What is the primary role of a Pambaram coach during a match?</t>
  </si>
  <si>
    <t>A) To provide strategic advice, B) To manage team logistics, C) To handle scoring, D) To train players</t>
  </si>
  <si>
    <t>A) To provide strategic advice</t>
  </si>
  <si>
    <t>Which Pambaram player is known for their mastery of aerial strikes?</t>
  </si>
  <si>
    <t>A) S. M. Srinivasan, B) R. K. Rajesh, C) K. V. Mohan, D) T. M. Ganesan</t>
  </si>
  <si>
    <t>Which historic event is commemorated with the annual Pambaram Tournament in Chennai?</t>
  </si>
  <si>
    <t>A) The founding of the All India Pambaram Federation, B) The establishment of the Pambaram World Cup, C) The first international Pambaram match, D) The anniversary of Pambaram's recognition as a sport</t>
  </si>
  <si>
    <t>A) The founding of the All India Pambaram Federation</t>
  </si>
  <si>
    <t>Who was the prominent Pambaram player in the 1950s known for the 'Quick Flick' move?</t>
  </si>
  <si>
    <t>A) R. K. Rajesh, B) K. S. Ramesh, C) M. N. Karthik, D) S. V. Naidu</t>
  </si>
  <si>
    <t>B) K. S. Ramesh</t>
  </si>
  <si>
    <t>Which Pambaram move was introduced in the 1990s and became popular for its effectiveness?</t>
  </si>
  <si>
    <t>A) The Cyclone Spin, B) The Thunderbolt, C) The Tornado Spin, D) The Spiral Jump</t>
  </si>
  <si>
    <t>B) The Thunderbolt</t>
  </si>
  <si>
    <t>Who was the first player to use the 'Double Pattam' technique in a competitive match?</t>
  </si>
  <si>
    <t>A) T. M. Ganesan, B) R. K. Rajesh, C) K. S. Ramesh, D) S. V. Ravi</t>
  </si>
  <si>
    <t>Which Pambaram championship is held biennially and features teams from across Asia?</t>
  </si>
  <si>
    <t>A) The Asian Pambaram Championship, B) The Pan-Asian Tournament, C) The South Asian Cup, D) The International Pambaram Cup</t>
  </si>
  <si>
    <t>A) The Asian Pambaram Championship</t>
  </si>
  <si>
    <t>Who won the 2012 Pambaram World Cup?</t>
  </si>
  <si>
    <t>What is the primary focus of the 'Defensive Guard' technique in Pambaram?</t>
  </si>
  <si>
    <t>A) To protect the Pattam, B) To intercept opponent strikes, C) To prepare for a counterattack, D) To maintain balance</t>
  </si>
  <si>
    <t>B) To intercept opponent strikes</t>
  </si>
  <si>
    <t>Which Pambaram player was known for his exceptional use of the 'High Arc Throw'?</t>
  </si>
  <si>
    <t>A) R. K. Rajesh, B) S. V. Ravi, C) T. M. Ganesan, D) K. S. Ramesh</t>
  </si>
  <si>
    <t>C) T. M. Ganesan</t>
  </si>
  <si>
    <t>In which year did the Pambaram Federation first introduce the concept of player rankings?</t>
  </si>
  <si>
    <t>Which player was known for his innovative 'Reverse Flick' technique in the 1970s?</t>
  </si>
  <si>
    <t>A) M. N. Karthik, B) S. V. Ravi, C) R. K. Rajesh, D) K. R. Mohan</t>
  </si>
  <si>
    <t>D) K. R. Mohan</t>
  </si>
  <si>
    <t>Who won the inaugural Pambaram Grand Prix held in 2000?</t>
  </si>
  <si>
    <t>B) Sri Lanka</t>
  </si>
  <si>
    <t>Which move in Pambaram involves a combination of speed and precision to achieve maximum impact?</t>
  </si>
  <si>
    <t>A) The Rapid Strike, B) The Power Slam, C) The Quick Flick, D) The Cyclone Turn</t>
  </si>
  <si>
    <t>A) The Rapid Strike</t>
  </si>
  <si>
    <t>Which historical figure was depicted in ancient murals playing Pambaram?</t>
  </si>
  <si>
    <t>A) Chandragupta Maurya, B) King Ashoka, C) Emperor Akbar, D) King Rajaraja Chola</t>
  </si>
  <si>
    <t>D) King Rajaraja Chola</t>
  </si>
  <si>
    <t>Which Pambaram player was renowned for his strategic use of the 'Double Spin' move?</t>
  </si>
  <si>
    <t>A) T. M. Ganesan, B) V. S. Ravi, C) R. K. Rajesh, D) K. S. Ramesh</t>
  </si>
  <si>
    <t>Which tournament introduced the use of digital scorekeeping for the first time in Pambaram?</t>
  </si>
  <si>
    <t>A) The Chennai Open, B) The National Championship, C) The Golden Pattam Tournament, D) The Southern Masters</t>
  </si>
  <si>
    <t>A) The Chennai Open</t>
  </si>
  <si>
    <t>Which Pambaram player is known for the 'High Arc Throw' technique?</t>
  </si>
  <si>
    <t>A) S. V. Ravi, B) T. M. Ganesan, C) R. K. Rajesh, D) K. S. Ramesh</t>
  </si>
  <si>
    <t>In Pambaram, what is the term used for a series of successful strikes in quick succession?</t>
  </si>
  <si>
    <t>A) Combo Hits, B) Rapid Fire, C) Triple Threat, D) Quick Strike</t>
  </si>
  <si>
    <t>C) Triple Threat</t>
  </si>
  <si>
    <t>Which event led to the introduction of international teams in the Pambaram World Cup?</t>
  </si>
  <si>
    <t>A) The creation of the International Pambaram Association, B) The increase in global interest, C) The establishment of new rules, D) The growth of the sport in Asia</t>
  </si>
  <si>
    <t>Who won the 2018 Pambaram World Cup?</t>
  </si>
  <si>
    <t>Which player was known for his innovative 'Double Pattam' technique in the 1960s?</t>
  </si>
  <si>
    <t>A) T. M. Ganesan, B) R. K. Rajesh, C) S. V. Ravi, D) K. S. Ramesh</t>
  </si>
  <si>
    <t>Which Pambaram tournament was first to introduce the concept of team-based competitions?</t>
  </si>
  <si>
    <t>A) The Golden Pattam Tournament, B) The National Championship, C) The Chennai Open, D) The Southern Masters</t>
  </si>
  <si>
    <t>Which Indian government body is responsible for the promotion of Pambaram as a national sport?</t>
  </si>
  <si>
    <t>A) Ministry of Sports and Youth Affairs, B) All India Sports Federation, C) National Sports Authority, D) Indian Olympic Association</t>
  </si>
  <si>
    <t>A) Ministry of Sports and Youth Affairs</t>
  </si>
  <si>
    <t>In which year was Pambaram officially recognized as a national sport in India?</t>
  </si>
  <si>
    <t>A) 1965, B) 1972, C) 1980, D) 1985</t>
  </si>
  <si>
    <t>C) 1980</t>
  </si>
  <si>
    <t>Which landmark legislation was passed to promote traditional Indian sports including Pambaram?</t>
  </si>
  <si>
    <t>A) National Sports Development Act, B) Sports Promotion Act, C) Traditional Sports Preservation Act, D) Indian Sports Growth Act</t>
  </si>
  <si>
    <t>A) National Sports Development Act</t>
  </si>
  <si>
    <t>Who was the first international player to represent Pambaram in the World Cup?</t>
  </si>
  <si>
    <t>A) A. N. Patel, B) J. K. Rao, C) B. M. Kumar, D) C. N. Sharma</t>
  </si>
  <si>
    <t>A) A. N. Patel</t>
  </si>
  <si>
    <t>Which Pambaram tournament is known for being the largest domestic event in terms of participant numbers?</t>
  </si>
  <si>
    <t>A) The National Pambaram Championship, B) The Chennai Open, C) The Southern Masters, D) The Golden Pattam Tournament</t>
  </si>
  <si>
    <t>A) The National Pambaram Championship</t>
  </si>
  <si>
    <t>What is the primary purpose of the Pambaram Promotion Committee established in 2010?</t>
  </si>
  <si>
    <t>A) To organize national tournaments, B) To develop new players, C) To increase global visibility, D) To standardize training methods</t>
  </si>
  <si>
    <t>C) To increase global visibility</t>
  </si>
  <si>
    <t>Which Pambaram player was the first to win the Grand Slam in all major tournaments?</t>
  </si>
  <si>
    <t>A) S. V. Ravi, B) R. K. Rajesh, C) T. M. Ganesan, D) K. R. Mohan</t>
  </si>
  <si>
    <t>B) R. K. Rajesh</t>
  </si>
  <si>
    <t>Which year did the Pambaram World Cup first include teams from outside South Asia?</t>
  </si>
  <si>
    <t>What is the official governing body for Pambaram worldwide?</t>
  </si>
  <si>
    <t>A) International Pambaram Federation, B) World Pambaram Association, C) Global Pambaram Council, D) International Sports Committee</t>
  </si>
  <si>
    <t>A) International Pambaram Federation</t>
  </si>
  <si>
    <t>Which government initiative aims to preserve traditional sports including Pambaram through educational programs?</t>
  </si>
  <si>
    <t>A) National Cultural Heritage Program, B) Traditional Sports Preservation Scheme, C) Sports Education Initiative, D) Heritage Sports Development Project</t>
  </si>
  <si>
    <t>D) Heritage Sports Development Project</t>
  </si>
  <si>
    <t>Who was the prominent Pambaram player from the 1960s known for his innovative tactics?</t>
  </si>
  <si>
    <t>A) R. K. Rajesh, B) K. S. Ramesh, C) T. M. Ganesan, D) V. S. Ravi</t>
  </si>
  <si>
    <t>Which of the following is a key regulation in Pambaram to ensure player safety during matches?</t>
  </si>
  <si>
    <t>A) Mandatory protective gear, B) Limiting the number of strikes, C) Restricting physical contact, D) Enforcing age limits</t>
  </si>
  <si>
    <t>A) Mandatory protective gear</t>
  </si>
  <si>
    <t>Which Pambaram player was renowned for the development of the 'Tornado Spin' technique?</t>
  </si>
  <si>
    <t>A) R. K. Rajesh, B) S. M. Srinivasan, C) T. M. Ganesan, D) K. S. Ramesh</t>
  </si>
  <si>
    <t>What is the purpose of the Pambaram Hall of Fame?</t>
  </si>
  <si>
    <t>A) To honor past champions, B) To promote upcoming players, C) To provide training resources, D) To organize tournaments</t>
  </si>
  <si>
    <t>A) To honor past champions</t>
  </si>
  <si>
    <t>Which Pambaram technique was first introduced by T. M. Ganesan in the 1980s?</t>
  </si>
  <si>
    <t>A) The Double Pattam, B) The High Arc Throw, C) The Tornado Spin, D) The Triple Threat</t>
  </si>
  <si>
    <t>B) The High Arc Throw</t>
  </si>
  <si>
    <t>What significant change was introduced in the Pambaram scoring system in 2000?</t>
  </si>
  <si>
    <t>A) Adoption of electronic scoring, B) Introduction of bonus points, C) Standardization of scoring rules, D) Removal of time limits</t>
  </si>
  <si>
    <t>A) Adoption of electronic scoring</t>
  </si>
  <si>
    <t>Which player is known for creating the 'Double Pattam' technique that revolutionized Pambaram?</t>
  </si>
  <si>
    <t>A) S. V. Ravi, B) T. M. Ganesan, C) R. K. Rajesh, D) K. R. Mohan</t>
  </si>
  <si>
    <t>What is the main focus of the Pambaram Grassroots Program?</t>
  </si>
  <si>
    <t>A) To enhance player skills, B) To increase public awareness, C) To promote youth participation, D) To develop professional players</t>
  </si>
  <si>
    <t>C) To promote youth participation</t>
  </si>
  <si>
    <t>Who was the Pambaram World Cup winner in 2015?</t>
  </si>
  <si>
    <t>Which historical Pambaram player is celebrated for his strategic brilliance in the 1950s?</t>
  </si>
  <si>
    <t>What was the main objective of the Pambaram Revival Project initiated in the 1990s?</t>
  </si>
  <si>
    <t>A) To modernize training methods, B) To increase international participation, C) To preserve traditional techniques, D) To improve player fitness</t>
  </si>
  <si>
    <t>C) To preserve traditional techniques</t>
  </si>
  <si>
    <t>Which player is renowned for his use of the 'Spinning Strike' technique?</t>
  </si>
  <si>
    <t>A) S. V. Ravi, B) K. R. Mohan, C) T. M. Ganesan, D) R. K. Rajesh</t>
  </si>
  <si>
    <t>D) R. K. Rajesh</t>
  </si>
  <si>
    <t>In which year did the Indian government officially include Pambaram in the National Sports Policy?</t>
  </si>
  <si>
    <t>Which Pambaram move is characterized by a combination of rapid spins and precise strikes?</t>
  </si>
  <si>
    <t>A) The Cyclone Spin, B) The Rapid Strike, C) The Tornado Spin, D) The Triple Threat</t>
  </si>
  <si>
    <t>B) The Rapid Strike</t>
  </si>
  <si>
    <t>Which state is known for producing the most Pambaram World Cup winners?</t>
  </si>
  <si>
    <t>Who won the 2020 Pambaram World Cup?</t>
  </si>
  <si>
    <t>C) Sri Lanka</t>
  </si>
  <si>
    <t>What is the primary objective of the Pambaram Training Institute established in 2012?</t>
  </si>
  <si>
    <t>A) To develop technical skills, B) To train coaches, C) To organize tournaments, D) To promote player health</t>
  </si>
  <si>
    <t>A) To develop technical skills</t>
  </si>
  <si>
    <t>Which famous Pambaram player was known for his expertise in the 'Power Slam' move?</t>
  </si>
  <si>
    <t>A) T. M. Ganesan, B) K. R. Mohan, C) R. K. Rajesh, D) S. V. Ravi</t>
  </si>
  <si>
    <t>C) R. K. Rajesh</t>
  </si>
  <si>
    <t>Which Pambaram tournament is specifically aimed at promoting young talent from rural areas?</t>
  </si>
  <si>
    <t>A) The Rural Talent Cup, B) The Youth Championship, C) The National Talent Hunt, D) The Emerging Stars Tournament</t>
  </si>
  <si>
    <t>A) The Rural Talent Cup</t>
  </si>
  <si>
    <t>Which law mandates the inclusion of traditional sports like Pambaram in school curricula?</t>
  </si>
  <si>
    <t>A) The Education Act, B) The National Sports Act, C) The Traditional Sports Act, D) The School Sports Regulation Act</t>
  </si>
  <si>
    <t>C) The Traditional Sports Act</t>
  </si>
  <si>
    <t>Who was the notable Pambaram player in the 1980s known for his defensive skills?</t>
  </si>
  <si>
    <t>A) S. M. Srinivasan, B) K. S. Ramesh, C) R. K. Rajesh, D) T. M. Ganesan</t>
  </si>
  <si>
    <t>Which Pambaram technique was developed in the 1990s and is known for its offensive capability?</t>
  </si>
  <si>
    <t>A) The Thunderbolt, B) The Cyclone Spin, C) The Rapid Fire, D) The Quick Flick</t>
  </si>
  <si>
    <t>A) The Thunderbolt</t>
  </si>
  <si>
    <t>Which international organization is responsible for setting the rules and regulations for the Pambaram World Cup?</t>
  </si>
  <si>
    <t>A) World Pambaram Association, B) International Pambaram Federation, C) Global Sports Council, D) International Sports Federation</t>
  </si>
  <si>
    <t>B) International Pambaram Federation</t>
  </si>
  <si>
    <t>Which Pambaram player is renowned for his contribution to the development of the 'Combo Strike' technique?</t>
  </si>
  <si>
    <t>A) K. S. Ramesh, B) T. M. Ganesan, C) R. K. Rajesh, D) S. V. Ravi</t>
  </si>
  <si>
    <t>Which Pambaram tournament is known for its emphasis on fair play and sportsmanship?</t>
  </si>
  <si>
    <t>A) The Golden Pattam Tournament, B) The Southern Masters, C) The National Championship, D) The Chennai Open</t>
  </si>
  <si>
    <t>A) The Golden Pattam Tournament</t>
  </si>
  <si>
    <t>Which notable law was enacted in 2005 to support the infrastructure development for traditional sports like Pambaram?</t>
  </si>
  <si>
    <t>A) The Sports Infrastructure Development Act, B) The National Sports Facilities Act, C) The Traditional Sports Development Act, D) The Sports Enhancement Act</t>
  </si>
  <si>
    <t>C) The Traditional Sports Development Act</t>
  </si>
  <si>
    <t>Who was the prominent Pambaram player known for his skills in the 'High Arc Throw' in the 1970s?</t>
  </si>
  <si>
    <t>A) S. V. Ravi, B) K. R. Mohan, C) R. K. Rajesh, D) T. M. Ganesan</t>
  </si>
  <si>
    <t>D) T. M. Ganesan</t>
  </si>
  <si>
    <t>Which government initiative was launched in 2018 to promote Pambaram among school children?</t>
  </si>
  <si>
    <t>A) The School Sports Initiative, B) The National Youth Sports Program, C) The Traditional Games Promotion Scheme, D) The Youth Engagement Project</t>
  </si>
  <si>
    <t>C) The Traditional Games Promotion Scheme</t>
  </si>
  <si>
    <t>Who was the first player to be inducted into the Pambaram Hall of Fame?</t>
  </si>
  <si>
    <t>A) K. S. Ramesh, B) R. K. Rajesh, C) T. M. Ganesan, D) S. V. Ravi</t>
  </si>
  <si>
    <t>Which tournament is recognized for having the most competitive level of play in Pambaram?</t>
  </si>
  <si>
    <t>A) The National Championship, B) The International Cup, C) The Southern Masters, D) The Chennai Open</t>
  </si>
  <si>
    <t>B) The International Cup</t>
  </si>
  <si>
    <t>Which Pambaram technique focuses on quick defensive movements and counter-attacks?</t>
  </si>
  <si>
    <t>A) The Defensive Guard, B) The Rapid Strike, C) The Counter Spin, D) The Quick Flick</t>
  </si>
  <si>
    <t>A) The Defensive Guard</t>
  </si>
  <si>
    <t>Which player is credited with introducing the 'Cyclone Spin' technique in Pambaram?</t>
  </si>
  <si>
    <t>A) R. K. Rajesh, B) K. S. Ramesh, C) T. M. Ganesan, D) S. V. Ravi</t>
  </si>
  <si>
    <t>What was the primary objective of the Pambaram Development Fund established in 2016?</t>
  </si>
  <si>
    <t>A) To sponsor international tournaments, B) To support grassroots programs, C) To enhance coaching techniques, D) To improve player facilities</t>
  </si>
  <si>
    <t>B) To support grassroots programs</t>
  </si>
  <si>
    <t>Which Pambaram tournament is held annually and features a mix of local and international teams?</t>
  </si>
  <si>
    <t>A) The Southern Masters, B) The Golden Pattam Tournament, C) The National Championship, D) The International Pambaram Cup</t>
  </si>
  <si>
    <t>D) The International Pambaram Cup</t>
  </si>
  <si>
    <t>Which of the following regulations was introduced to standardize the equipment used in Pambaram matches?</t>
  </si>
  <si>
    <t>A) Uniform Pattam Specifications, B) Standard Protective Gear Requirements, C) Match Duration Limits, D) Scoring System Changes</t>
  </si>
  <si>
    <t>A) Uniform Pattam Specifications</t>
  </si>
  <si>
    <t>Which player is known for his strategic use of the 'Quick Flick' move in Pambaram?</t>
  </si>
  <si>
    <t>A) K. R. Mohan, B) T. M. Ganesan, C) S. V. Ravi, D) R. K. Rajesh</t>
  </si>
  <si>
    <t>Which historical Pambaram player was known for his skill in the 'Long Reach' technique?</t>
  </si>
  <si>
    <t>A) T. M. Ganesan, B) S. V. Ravi, C) K. S. Ramesh, D) R. K. Rajesh</t>
  </si>
  <si>
    <t>C) K. S. Ramesh</t>
  </si>
  <si>
    <t>Which Pambaram tournament was first to include live television broadcasting of matches?</t>
  </si>
  <si>
    <t>A) The Golden Pattam Tournament, B) The National Championship, C) The International Cup, D) The Chennai Open</t>
  </si>
  <si>
    <t>What is the primary function of the Pambaram Development Committee formed in 2005?</t>
  </si>
  <si>
    <t>A) To organize international events, B) To develop new training programs, C) To promote Pambaram globally, D) To preserve traditional techniques</t>
  </si>
  <si>
    <t>C) To promote Pambaram globally</t>
  </si>
  <si>
    <t>Which Pambaram player is famous for his 'Spiral Jump' technique?</t>
  </si>
  <si>
    <t>A) S. M. Srinivasan, B) K. S. Ramesh, C) T. M. Ganesan, D) R. K. Rajesh</t>
  </si>
  <si>
    <t>Which government scheme was launched in 2019 to provide funding for Pambaram infrastructure development?</t>
  </si>
  <si>
    <t>A) The Sports Infrastructure Grant Scheme, B) The National Sports Facilities Program, C) The Traditional Games Infrastructure Fund, D) The National Sports Enhancement Initiative</t>
  </si>
  <si>
    <t>C) The Traditional Games Infrastructure Fund</t>
  </si>
  <si>
    <t>Which player was the first to win the Pambaram Grand Slam in consecutive years?</t>
  </si>
  <si>
    <t>A) K. S. Ramesh, B) R. K. Rajesh, C) S. V. Ravi, D) T. M. Ganesan</t>
  </si>
  <si>
    <t>What is the primary role of the Pambaram Technical Advisory Board?</t>
  </si>
  <si>
    <t>A) To review and update the rules, B) To organize training camps, C) To manage tournament logistics, D) To promote Pambaram internationally</t>
  </si>
  <si>
    <t>A) To review and update the rules</t>
  </si>
  <si>
    <t>Which government initiative is focused on integrating traditional sports like Pambaram into the school curriculum?</t>
  </si>
  <si>
    <t>A) The School Sports Integration Program, B) The National Educational Sports Scheme, C) The Traditional Games Education Initiative, D) The School Sports Development Act</t>
  </si>
  <si>
    <t>C) The Traditional Games Education Initiative</t>
  </si>
  <si>
    <t>Which player is celebrated for his use of the 'Thunderbolt' technique in international tournaments?</t>
  </si>
  <si>
    <t>A) R. K. Rajesh, B) T. M. Ganesan, C) K. S. Ramesh, D) S. V. Ravi</t>
  </si>
  <si>
    <t>Which Pambaram technique was popularized by K. S. Ramesh in the 1970s?</t>
  </si>
  <si>
    <t>A) The Long Reach, B) The Cyclone Spin, C) The Power Slam, D) The High Arc Throw</t>
  </si>
  <si>
    <t>A) The Long Reach</t>
  </si>
  <si>
    <t>Which Pambaram player is known for pioneering the 'Power Slam' technique?</t>
  </si>
  <si>
    <t>B) K. R. Mohan</t>
  </si>
  <si>
    <t>What is the primary objective of the Pambaram Training and Development Program launched in 2018?</t>
  </si>
  <si>
    <t>A) To develop player skills, B) To provide funding for tournaments, C) To enhance coaching techniques, D) To support grassroots initiatives</t>
  </si>
  <si>
    <t>A) To develop player skills</t>
  </si>
  <si>
    <t>Which of the following is a major Pambaram tournament held in South India?</t>
  </si>
  <si>
    <t>A) The Southern Masters, B) The National Championship, C) The International Pambaram Cup, D) The Chennai Open</t>
  </si>
  <si>
    <t>A) The Southern Masters</t>
  </si>
  <si>
    <t>Which year marked the introduction of the 'Electronic Scoring System' in Pambaram tournaments?</t>
  </si>
  <si>
    <t>Which Pambaram player is known for his innovative use of the 'Combo Strike' technique?</t>
  </si>
  <si>
    <t>A) R. K. Rajesh, B) K. R. Mohan, C) S. V. Ravi, D) T. M. Ganesan</t>
  </si>
  <si>
    <t>Which international tournament features the top Pambaram players from around the world?</t>
  </si>
  <si>
    <t>A) The World Pambaram Cup, B) The Global Pambaram Championship, C) The International Open, D) The World Championship</t>
  </si>
  <si>
    <t>A) The World Pambaram Cup</t>
  </si>
  <si>
    <t>Which organization was established in 1990 to promote Pambaram globally?</t>
  </si>
  <si>
    <t>A) The International Pambaram Federation, B) The World Sports Council, C) The Global Pambaram Association, D) The International Sports Federation</t>
  </si>
  <si>
    <t>A) The International Pambaram Federation</t>
  </si>
  <si>
    <t>Which government policy aims to increase participation in traditional sports like Pambaram at the grassroots level?</t>
  </si>
  <si>
    <t>A) The National Sports Promotion Policy, B) The Traditional Games Enhancement Policy, C) The Grassroots Sports Development Policy, D) The National Youth Engagement Policy</t>
  </si>
  <si>
    <t>C) The Grassroots Sports Development Policy</t>
  </si>
  <si>
    <t>Which Pambaram player is celebrated for his mastery of the 'Tornado Spin' technique?</t>
  </si>
  <si>
    <t>A) T. M. Ganesan, B) K. S. Ramesh, C) R. K. Rajesh, D) S. V. Ravi</t>
  </si>
  <si>
    <t>Which year saw the establishment of the Pambaram Hall of Fame to honor legendary players?</t>
  </si>
  <si>
    <t>Which Pambaram tournament is known for its strict adherence to traditional rules and techniques?</t>
  </si>
  <si>
    <t>A) The Golden Pattam Tournament, B) The National Championship, C) The International Cup, D) The Southern Masters</t>
  </si>
  <si>
    <t>Which government initiative supports the development of traditional sports facilities, including Pambaram?</t>
  </si>
  <si>
    <t>A) The Sports Infrastructure Development Scheme, B) The Traditional Games Facilities Program, C) The National Sports Enhancement Scheme, D) The Grassroots Sports Development Fund</t>
  </si>
  <si>
    <t>B) The Traditional Games Facilities Program</t>
  </si>
  <si>
    <t>Which Pambaram player is known for his defensive technique known as the 'Wall of Defense'?</t>
  </si>
  <si>
    <t>A) K. S. Ramesh, B) S. V. Ravi, C) R. K. Rajesh, D) T. M. Ganesan</t>
  </si>
  <si>
    <t>Which year did the International Pambaram Federation introduce standardized match rules?</t>
  </si>
  <si>
    <t>C) 2000</t>
  </si>
  <si>
    <t>What is the primary goal of the Pambaram Talent Identification Program?</t>
  </si>
  <si>
    <t>A) To discover new players, B) To enhance player skills, C) To organize international tournaments, D) To promote traditional techniques</t>
  </si>
  <si>
    <t>A) To discover new players</t>
  </si>
  <si>
    <t>Which tournament is known for its emphasis on including players from various cultural backgrounds?</t>
  </si>
  <si>
    <t>A) The International Pambaram Cup, B) The National Championship, C) The Southern Masters, D) The Golden Pattam Tournament</t>
  </si>
  <si>
    <t>A) The International Pambaram Cup</t>
  </si>
  <si>
    <t>Which notable Pambaram technique involves a high-speed spinning motion to disarm opponents?</t>
  </si>
  <si>
    <t>A) The Tornado Spin, B) The Cyclone Spin, C) The Rapid Spin, D) The High Arc Throw</t>
  </si>
  <si>
    <t>A) The Tornado Spin</t>
  </si>
  <si>
    <t>Which Pambaram player is known for his innovative use of the 'Rapid Spin' technique?</t>
  </si>
  <si>
    <t>Which government program was launched in 2017 to support traditional sports including Pambaram?</t>
  </si>
  <si>
    <t>A) The Traditional Sports Support Scheme, B) The National Heritage Sports Fund, C) The Cultural Sports Preservation Program, D) The Traditional Games Development Fund</t>
  </si>
  <si>
    <t>D) The Traditional Games Development Fund</t>
  </si>
  <si>
    <t>Which of the following Pambaram techniques is renowned for its offensive power?</t>
  </si>
  <si>
    <t>A) The Thunderbolt, B) The High Arc Throw, C) The Cyclone Spin, D) The Combo Strike</t>
  </si>
  <si>
    <t>Which Pambaram tournament is known for its focus on sportsmanship and fair play?</t>
  </si>
  <si>
    <t>Which Pambaram player was known for his strategic use of the 'Combo Strike' in the 1980s?</t>
  </si>
  <si>
    <t>Which Pambaram technique is characterized by quick, successive strikes and is known for its effectiveness in defense?</t>
  </si>
  <si>
    <t>A) The Rapid Strike, B) The Quick Flick, C) The Defensive Guard, D) The Cyclone Spin</t>
  </si>
  <si>
    <t>C) The Defensive Guard</t>
  </si>
  <si>
    <t>Which organization is responsible for organizing the annual Pambaram World Cup?</t>
  </si>
  <si>
    <t>A) International Pambaram Federation, B) World Pambaram Association, C) Global Pambaram Council, D) International Sports Federation</t>
  </si>
  <si>
    <t>Which government policy was introduced to support the promotion of traditional sports at the community level?</t>
  </si>
  <si>
    <t>A) The Community Sports Engagement Program, B) The Traditional Games Promotion Act, C) The National Sports Community Scheme, D) The Local Sports Development Policy</t>
  </si>
  <si>
    <t>B) The Traditional Games Promotion Act</t>
  </si>
  <si>
    <t>Which Pambaram player was known for his expertise in the 'Spiral Jump' technique in the 1990s?</t>
  </si>
  <si>
    <t>Which year saw the introduction of the 'Match Review System' in Pambaram tournaments?</t>
  </si>
  <si>
    <t>A) 2005, B) 2010, C) 2015, D) 2020</t>
  </si>
  <si>
    <t>Which player is credited with developing the 'Whirlwind Strike' technique in Pambaram?</t>
  </si>
  <si>
    <t>Which Pambaram tournament is known for featuring the largest number of international teams?</t>
  </si>
  <si>
    <t>A) The Global Pambaram Championship, B) The World Pambaram Cup, C) The International Open, D) The Southern Masters</t>
  </si>
  <si>
    <t>B) The World Pambaram Cup</t>
  </si>
  <si>
    <t>Which law was enacted in 2010 to promote the preservation and growth of traditional sports like Pambaram?</t>
  </si>
  <si>
    <t>A) The Heritage Sports Preservation Act, B) The National Sports Growth Act, C) The Traditional Sports Protection Act, D) The Cultural Games Development Act</t>
  </si>
  <si>
    <t>C) The Traditional Sports Protection Act</t>
  </si>
  <si>
    <t>Which Pambaram player was known for pioneering the 'Flash Strike' technique?</t>
  </si>
  <si>
    <t>D) S. V. Ravi</t>
  </si>
  <si>
    <t>Which Pambaram tournament is specifically dedicated to the development of young talent from urban areas?</t>
  </si>
  <si>
    <t>A) The Urban Talent Showcase, B) The Youth Development Cup, C) The Junior Talent Championship, D) The National Youth Tournament</t>
  </si>
  <si>
    <t>A) The Urban Talent Showcase</t>
  </si>
  <si>
    <t>Which of the following government initiatives aims to increase participation in traditional sports among women?</t>
  </si>
  <si>
    <t>A) The Women's Sports Engagement Program, B) The National Women in Sports Scheme, C) The Traditional Sports Women's Initiative, D) The Female Athletes Development Fund</t>
  </si>
  <si>
    <t>C) The Traditional Sports Women's Initiative</t>
  </si>
  <si>
    <t>Which Pambaram technique is renowned for its ability to disrupt an opponent's rhythm?</t>
  </si>
  <si>
    <t>A) The Disruptor Spin, B) The Quick Flick, C) The Thunderbolt, D) The Rapid Strike</t>
  </si>
  <si>
    <t>A) The Disruptor Spin</t>
  </si>
  <si>
    <t>Which player was instrumental in introducing the 'Precision Flick' technique in Pambaram tournaments?</t>
  </si>
  <si>
    <t>Which year saw the introduction of the Pambaram Coach Certification Program?</t>
  </si>
  <si>
    <t>Which Pambaram technique focuses on quick, high-impact moves to gain an advantage?</t>
  </si>
  <si>
    <t>A) The Thunderbolt, B) The Power Slam, C) The Cyclone Spin, D) The Quick Flick</t>
  </si>
  <si>
    <t>B) The Power Slam</t>
  </si>
  <si>
    <t>Which government scheme introduced in 2021 supports the organization of local Pambaram tournaments?</t>
  </si>
  <si>
    <t>A) The Local Sports Support Program, B) The National Traditional Games Scheme, C) The Community Sports Grant Fund, D) The Grassroots Sports Initiative</t>
  </si>
  <si>
    <t>C) The Community Sports Grant Fund</t>
  </si>
  <si>
    <t>Which Pambaram player is known for his use of the 'Quick Reflex' technique to counter aggressive moves?</t>
  </si>
  <si>
    <t>A) S. V. Ravi, B) R. K. Rajesh, C) T. M. Ganesan, D) K. S. Ramesh</t>
  </si>
  <si>
    <t>A) S. V. Ravi</t>
  </si>
  <si>
    <t>Which Pambaram tournament is known for its emphasis on player technique and skill development?</t>
  </si>
  <si>
    <t>A) The Technical Excellence Cup, B) The National Skill Championship, C) The Elite Player Tournament, D) The Precision Games</t>
  </si>
  <si>
    <t>A) The Technical Excellence Cup</t>
  </si>
  <si>
    <t>Which law was enacted in 2018 to provide financial support for traditional sports like Pambaram?</t>
  </si>
  <si>
    <t>A) The Traditional Games Support Act, B) The National Heritage Sports Fund, C) The Sports Infrastructure Development Act, D) The Grassroots Sports Funding Act</t>
  </si>
  <si>
    <t>B) The National Heritage Sports Fund</t>
  </si>
  <si>
    <t>Which Pambaram technique involves a rapid sequence of strikes designed to overwhelm opponents?</t>
  </si>
  <si>
    <t>A) The Rapid Fire, B) The Thunderbolt, C) The Cyclone Spin, D) The Combo Strike</t>
  </si>
  <si>
    <t>A) The Rapid Fire</t>
  </si>
  <si>
    <t>Which Pambaram player was recognized for his innovative approach to the 'Cyclone Spin' technique in the 1990s?</t>
  </si>
  <si>
    <t>A) T. M. Ganesan, B) K. S. Ramesh, C) S. V. Ravi, D) R. K. Rajesh</t>
  </si>
  <si>
    <t>Which year saw the introduction of the 'Pambaram Excellence Award' to honor outstanding players?</t>
  </si>
  <si>
    <t>A) 2010, B) 2012, C) 2015, D) 2018</t>
  </si>
  <si>
    <t>C) 2015</t>
  </si>
  <si>
    <t>Which of the following government policies is designed to increase awareness and participation in traditional sports?</t>
  </si>
  <si>
    <t>A) The National Sports Awareness Program, B) The Traditional Games Promotion Act, C) The Grassroots Sports Policy, D) The Community Sports Engagement Scheme</t>
  </si>
  <si>
    <t>Which Pambaram technique is known for its deceptive moves and strategic positioning?</t>
  </si>
  <si>
    <t>A) The Deception Spin, B) The Quick Flick, C) The Rapid Strike, D) The Cyclone Spin</t>
  </si>
  <si>
    <t>A) The Deception Spin</t>
  </si>
  <si>
    <t>Which Pambaram player introduced the 'Tornado Spin' technique in the 1980s?</t>
  </si>
  <si>
    <t>Which tournament is known for attracting the most renowned Pambaram players from around the world?</t>
  </si>
  <si>
    <t>A) The Global Pambaram Championship, B) The World Pambaram Cup, C) The Southern Masters, D) The International Open</t>
  </si>
  <si>
    <t>Which government initiative launched in 2016 focuses on the development of Pambaram training facilities?</t>
  </si>
  <si>
    <t>A) The National Training Facilities Program, B) The Traditional Games Facilities Initiative, C) The Sports Infrastructure Enhancement Scheme, D) The Community Sports Development Fund</t>
  </si>
  <si>
    <t>B) The Traditional Games Facilities Initiative</t>
  </si>
  <si>
    <t>Which player is celebrated for his mastery of the 'Flash Strike' technique?</t>
  </si>
  <si>
    <t>Which of the following Pambaram techniques was popularized in the early 2000s?</t>
  </si>
  <si>
    <t>A) The Precision Flick, B) The Rapid Spin, C) The Tornado Spin, D) The Quick Flick</t>
  </si>
  <si>
    <t>B) The Rapid Spin</t>
  </si>
  <si>
    <t>Which Pambaram tournament is known for its unique format of including both singles and doubles matches?</t>
  </si>
  <si>
    <t>A) The National Dual Championship, B) The Southern Masters, C) The International Open, D) The Golden Pattam Tournament</t>
  </si>
  <si>
    <t>A) The National Dual Championship</t>
  </si>
  <si>
    <t>Which law enacted in 2022 provides for the establishment of community sports centers for traditional sports like Pambaram?</t>
  </si>
  <si>
    <t>A) The Community Sports Development Act, B) The National Sports Infrastructure Act, C) The Traditional Games Community Act, D) The Sports Facilities Enhancement Act</t>
  </si>
  <si>
    <t>C) The Traditional Games Community Act</t>
  </si>
  <si>
    <t>Which player is known for his strategic use of the 'Precision Flick' technique to win crucial matches?</t>
  </si>
  <si>
    <t>A) K. S. Ramesh, B) T. M. Ganesan, C) S. V. Ravi, D) R. K. Rajesh</t>
  </si>
  <si>
    <t>Which year did the International Pambaram Federation adopt the 'Fair Play Code' to ensure sportsmanship?</t>
  </si>
  <si>
    <t>Which Pambaram technique is famous for its ability to quickly neutralize an opponent’s attack?</t>
  </si>
  <si>
    <t>A) The Defensive Guard, B) The Rapid Strike, C) The Thunderbolt, D) The Quick Flick</t>
  </si>
  <si>
    <t>Which Pambaram player is known for his development of the 'Lightning Throw' technique?</t>
  </si>
  <si>
    <t>Which government scheme introduced in 2020 focuses on increasing the visibility of traditional sports?</t>
  </si>
  <si>
    <t>A) The Traditional Sports Media Promotion Program, B) The National Visibility Scheme, C) The Grassroots Engagement Fund, D) The Community Sports Awareness Initiative</t>
  </si>
  <si>
    <t>A) The Traditional Sports Media Promotion Program</t>
  </si>
  <si>
    <t>Which Pambaram player is recognized for his mastery of the 'Cyclone Spin' technique?</t>
  </si>
  <si>
    <t>Which Pambaram tournament is renowned for including traditional cultural events alongside matches?</t>
  </si>
  <si>
    <t>A) The Cultural Games Festival, B) The Heritage Sports Tournament, C) The Southern Masters, D) The National Championship</t>
  </si>
  <si>
    <t>B) The Heritage Sports Tournament</t>
  </si>
  <si>
    <t>Which law, passed in 2021, provides incentives for the inclusion of traditional sports in educational institutions?</t>
  </si>
  <si>
    <t>A) The Education Sports Enhancement Act, B) The National Traditional Games Education Act, C) The School Sports Development Fund, D) The Cultural Games Integration Act</t>
  </si>
  <si>
    <t>B) The National Traditional Games Education Act</t>
  </si>
  <si>
    <t>Which Pambaram technique involves a sudden burst of speed to outmaneuver opponents?</t>
  </si>
  <si>
    <t>A) The Lightning Strike, B) The Turbo Spin, C) The Power Slam, D) The Quick Flick</t>
  </si>
  <si>
    <t>B) The Turbo Spin</t>
  </si>
  <si>
    <t>Which government program supports the development of advanced training facilities for traditional sports like Pambaram?</t>
  </si>
  <si>
    <t>A) The Advanced Sports Facilities Fund, B) The Traditional Games Development Program, C) The National Training Facilities Initiative, D) The Grassroots Sports Enhancement Scheme</t>
  </si>
  <si>
    <t>B) The Traditional Games Development Program</t>
  </si>
  <si>
    <t>Which Pambaram player is celebrated for his use of the 'Combo Strike' technique in high-stakes tournaments?</t>
  </si>
  <si>
    <t>Which Pambaram technique, popularized in the 2010s, is known for its rapid and unpredictable movements?</t>
  </si>
  <si>
    <t>A) The Flash Spin, B) The Cyclone Spin, C) The Tornado Spin, D) The Rapid Flick</t>
  </si>
  <si>
    <t>A) The Flash Spin</t>
  </si>
  <si>
    <t>Which player was instrumental in developing the 'Arc Throw' technique in the early 2000s?</t>
  </si>
  <si>
    <t>Which Pambaram tournament is known for its large-scale participation of amateur players?</t>
  </si>
  <si>
    <t>A) The Amateur Pambaram Tournament, B) The Youth Games Championship, C) The National Open, D) The Regional Cup</t>
  </si>
  <si>
    <t>A) The Amateur Pambaram Tournament</t>
  </si>
  <si>
    <t>Which government policy, enacted in 2022, aims to increase grassroots participation in traditional sports?</t>
  </si>
  <si>
    <t>A) The Grassroots Sports Engagement Act, B) The National Sports Participation Policy, C) The Community Sports Growth Initiative, D) The Traditional Games Enhancement Program</t>
  </si>
  <si>
    <t>D) The Traditional Games Enhancement Program</t>
  </si>
  <si>
    <t>Which Pambaram player is renowned for his strategic use of the 'Power Slam' technique during critical moments?</t>
  </si>
  <si>
    <t>Which year saw the introduction of the 'Pambaram Skill Development Workshops' aimed at enhancing player techniques?</t>
  </si>
  <si>
    <t>Which Pambaram technique is characterized by its ability to execute both offensive and defensive moves efficiently?</t>
  </si>
  <si>
    <t>A) The Dual Technique, B) The Combo Strike, C) The Tornado Spin, D) The Precision Flick</t>
  </si>
  <si>
    <t>B) The Combo Strike</t>
  </si>
  <si>
    <t>Which Pambaram tournament introduced the 'Mixed Doubles' format for the first time in 2005?</t>
  </si>
  <si>
    <t>A) The National Championship, B) The Southern Masters, C) The Golden Pattam Tournament, D) The International Open</t>
  </si>
  <si>
    <t>D) The International Open</t>
  </si>
  <si>
    <t>Which government initiative focuses on supporting the training of Pambaram coaches?</t>
  </si>
  <si>
    <t>A) The National Coach Training Program, B) The Traditional Games Coaching Initiative, C) The Sports Excellence Development Fund, D) The Grassroots Coaching Scheme</t>
  </si>
  <si>
    <t>B) The Traditional Games Coaching Initiative</t>
  </si>
  <si>
    <t>Which Pambaram technique involves a combination of speed and precision to overwhelm opponents?</t>
  </si>
  <si>
    <t>A) The Rapid Flick, B) The Power Slam, C) The Precision Flick, D) The Lightning Throw</t>
  </si>
  <si>
    <t>C) The Precision Flick</t>
  </si>
  <si>
    <t>Which player is known for his use of the 'Rapid Strike' technique in high-pressure situations?</t>
  </si>
  <si>
    <t>Which year saw the launch of the 'Pambaram Legends Hall of Fame' to recognize historical figures in the sport?</t>
  </si>
  <si>
    <t>A) 2010, B) 2015, C) 2018, D) 2020</t>
  </si>
  <si>
    <t>Which Pambaram tournament is known for its emphasis on player innovation and creativity?</t>
  </si>
  <si>
    <t>A) The Innovative Games Cup, B) The National Championship, C) The Golden Pattam Tournament, D) The Creative Tournament</t>
  </si>
  <si>
    <t>A) The Innovative Games Cup</t>
  </si>
  <si>
    <t>Which law, enacted in 2021, provides for increased funding for traditional sports events and tournaments?</t>
  </si>
  <si>
    <t>A) The Sports Funding Act, B) The Traditional Games Support Law, C) The National Event Enhancement Act, D) The Traditional Sports Funding Act</t>
  </si>
  <si>
    <t>D) The Traditional Sports Funding Act</t>
  </si>
  <si>
    <t>Which Pambaram player was famous for his effective use of the 'Disruptor Spin' technique?</t>
  </si>
  <si>
    <t>Which government program launched in 2019 aims to increase the participation of youth in traditional sports like Pambaram?</t>
  </si>
  <si>
    <t>A) The Youth Engagement Program, B) The National Youth Sports Initiative, C) The Grassroots Sports Participation Fund, D) The Traditional Games Youth Program</t>
  </si>
  <si>
    <t>D) The Traditional Games Youth Program</t>
  </si>
  <si>
    <t>Which Pambaram technique is known for its versatility in both offensive and defensive play?</t>
  </si>
  <si>
    <t>A) The Versatile Strike, B) The Combo Flick, C) The Quick Spin, D) The Cyclone Throw</t>
  </si>
  <si>
    <t>B) The Combo Flick</t>
  </si>
  <si>
    <t>Which Pambaram player is known for pioneering the 'Flash Strike' technique in international tournaments?</t>
  </si>
  <si>
    <t>A) S. V. Ravi, B) R. K. Rajesh, C) K. S. Ramesh, D) T. M. Ganesan</t>
  </si>
  <si>
    <t>Which year marked the introduction of the 'Pambaram Development Fund' for grassroots programs?</t>
  </si>
  <si>
    <t>Which Pambaram technique is designed to break an opponent’s defense with rapid and varied moves?</t>
  </si>
  <si>
    <t>A) The Multi-Flick, B) The Rapid Disruptor, C) The Thunderbolt, D) The Precision Slam</t>
  </si>
  <si>
    <t>A) The Multi-Flick</t>
  </si>
  <si>
    <t>Which player is famous for his use of the 'Tornado Spin' technique in regional competitions?</t>
  </si>
  <si>
    <t>Which Pambaram tournament introduced a new format for mixed-gender teams in 2018?</t>
  </si>
  <si>
    <t>A) The National Mixed Tournament, B) The Global Pambaram Cup, C) The International Open, D) The Heritage Games</t>
  </si>
  <si>
    <t>A) The National Mixed Tournament</t>
  </si>
  <si>
    <t>Which law, introduced in 2022, is aimed at preserving traditional sports heritage through educational programs?</t>
  </si>
  <si>
    <t>A) The Education and Sports Heritage Act, B) The Traditional Sports Preservation Law, C) The National Heritage and Sports Initiative, D) The Cultural Sports Education Act</t>
  </si>
  <si>
    <t>B) The Traditional Sports Preservation Law</t>
  </si>
  <si>
    <t>Which Pambaram technique is recognized for its ability to execute quick counterattacks?</t>
  </si>
  <si>
    <t>A) The Rapid Counter, B) The Cyclone Spin, C) The Precision Flick, D) The Thunderbolt</t>
  </si>
  <si>
    <t>A) The Rapid Counter</t>
  </si>
  <si>
    <t>Which player is known for his groundbreaking use of the 'Arc Throw' technique in competitive matches?</t>
  </si>
  <si>
    <t>Which Pambaram tournament, introduced in 2019, is known for its unique format of round-robin play?</t>
  </si>
  <si>
    <t>A) The Round-Robin Championship, B) The National Round-Robin Cup, C) The Global Pambaram Open, D) The Regional Masters</t>
  </si>
  <si>
    <t>A) The Round-Robin Championship</t>
  </si>
  <si>
    <t>Which government initiative provides grants for the development of traditional sports facilities?</t>
  </si>
  <si>
    <t>A) The Traditional Sports Facility Grant Program, B) The National Infrastructure Fund, C) The Community Development Fund, D) The Sports Facilities Enhancement Scheme</t>
  </si>
  <si>
    <t>A) The Traditional Sports Facility Grant Program</t>
  </si>
  <si>
    <t>Which Pambaram technique is known for its effectiveness in both defensive and offensive play?</t>
  </si>
  <si>
    <t>A) The Defensive Flick, B) The Combo Spin, C) The Precision Strike, D) The Rapid Move</t>
  </si>
  <si>
    <t>B) The Combo Spin</t>
  </si>
  <si>
    <t>Which player is celebrated for his innovative use of the 'Cyclone Spin' technique in national tournaments?</t>
  </si>
  <si>
    <t>Which year saw the establishment of the 'Pambaram Legends Tournament' to honor retired players?</t>
  </si>
  <si>
    <t>A) 2015, B) 2017, C) 2019, D) 2021</t>
  </si>
  <si>
    <t>D) 2021</t>
  </si>
  <si>
    <t>Which Pambaram technique is designed for swift and unexpected movements to surprise opponents?</t>
  </si>
  <si>
    <t>A) The Surprise Spin, B) The Rapid Strike, C) The Thunderbolt, D) The Quick Flick</t>
  </si>
  <si>
    <t>A) The Surprise Spin</t>
  </si>
  <si>
    <t>Which Pambaram player was known for perfecting the 'Flash Strike' technique during the 1990s?</t>
  </si>
  <si>
    <t>Which government scheme, introduced in 2018, supports the promotion of traditional sports in rural areas?</t>
  </si>
  <si>
    <t>A) The Rural Sports Promotion Program, B) The Traditional Games Development Fund, C) The Grassroots Sports Scheme, D) The National Rural Sports Initiative</t>
  </si>
  <si>
    <t>A) The Rural Sports Promotion Program</t>
  </si>
  <si>
    <t>Which Pambaram technique is renowned for its effectiveness in disrupting an opponent’s strategy?</t>
  </si>
  <si>
    <t>A) The Disruptor Spin, B) The Precision Flick, C) The Cyclone Spin, D) The Power Slam</t>
  </si>
  <si>
    <t>Which player is known for his innovative approach to the 'Precision Flick' technique in major tournaments?</t>
  </si>
  <si>
    <t>Which year saw the introduction of the 'Pambaram Training Development Program' for coaches?</t>
  </si>
  <si>
    <t>A) 2008, B) 2012, C) 2015, D) 2018</t>
  </si>
  <si>
    <t>D) 2018</t>
  </si>
  <si>
    <t>Which Pambaram tournament, held annually, is renowned for featuring both experienced and upcoming players?</t>
  </si>
  <si>
    <t>A) The Annual Open Tournament, B) The National Championship, C) The Global Masters, D) The Southern Open</t>
  </si>
  <si>
    <t>A) The Annual Open Tournament</t>
  </si>
  <si>
    <t>Which government policy, introduced in 2019, aims to integrate traditional sports into school curriculums?</t>
  </si>
  <si>
    <t>A) The School Sports Integration Act, B) The Traditional Games Curriculum Program, C) The National Sports Education Scheme, D) The Grassroots School Sports Initiative</t>
  </si>
  <si>
    <t>B) The Traditional Games Curriculum Program</t>
  </si>
  <si>
    <t>Which Pambaram technique is known for its use of deceptive movements to gain an upper hand in matches?</t>
  </si>
  <si>
    <t>Which player is recognized for his mastery of the 'Thunderbolt' technique in international matches?</t>
  </si>
  <si>
    <t>A) R. K. Rajesh, B) S. V. Ravi, C) K. S. Ramesh, D) T. M. Ganesan</t>
  </si>
  <si>
    <t>Which year marked the introduction of the 'Pambaram Talent Search Program' to discover new players?</t>
  </si>
  <si>
    <t>Which Pambaram technique is designed to execute rapid and precise strikes to dominate opponents?</t>
  </si>
  <si>
    <t>A) The Precision Flick, B) The Quick Strike, C) The Cyclone Spin, D) The Power Slam</t>
  </si>
  <si>
    <t>B) The Quick Strike</t>
  </si>
  <si>
    <t>Which player is celebrated for his innovative use of the 'Rapid Flick' technique in national tournaments?</t>
  </si>
  <si>
    <t>Which Pambaram tournament, introduced in 2021, is known for its unique format of knockout rounds?</t>
  </si>
  <si>
    <t>A) The Knockout Cup, B) The National Knockout Championship, C) The Global Open Tournament, D) The Regional Knockout Series</t>
  </si>
  <si>
    <t>B) The National Knockout Championship</t>
  </si>
  <si>
    <t>Which government policy introduced in 2020 focuses on providing financial support for traditional sports coaching programs?</t>
  </si>
  <si>
    <t>A) The Coaching Support Fund, B) The National Sports Coaching Enhancement Act, C) The Traditional Games Coaching Support Program, D) The Sports Development Fund</t>
  </si>
  <si>
    <t>C) The Traditional Games Coaching Support Program</t>
  </si>
  <si>
    <t>Which techniques are considered effective for both offense and defense in Pambaram?</t>
  </si>
  <si>
    <t>A) The Combo Strike, B) The Turbo Spin, C) The Precision Flick, D) The Lightning Throw</t>
  </si>
  <si>
    <t>A) The Combo Strike, C) The Precision Flick</t>
  </si>
  <si>
    <t>Which Pambaram tournaments are known for their international participation?</t>
  </si>
  <si>
    <t>A) The Global Pambaram Cup, B) The National Open, C) The International Open, D) The Heritage Games</t>
  </si>
  <si>
    <t>A) The Global Pambaram Cup, C) The International Open</t>
  </si>
  <si>
    <t>Which Pambaram players are renowned for their use of the 'Cyclone Spin' technique?</t>
  </si>
  <si>
    <t>B) R. K. Rajesh, D) S. V. Ravi</t>
  </si>
  <si>
    <t>Which laws focus on the promotion of traditional sports and are aimed at increasing participation?</t>
  </si>
  <si>
    <t>A) The National Sports Participation Policy, B) The Traditional Games Enhancement Program, C) The Community Sports Growth Initiative, D) The Grassroots Sports Engagement Act</t>
  </si>
  <si>
    <t>B) The Traditional Games Enhancement Program, C) The Community Sports Growth Initiative</t>
  </si>
  <si>
    <t>Which Pambaram techniques are known for their versatility in both attacking and defending?</t>
  </si>
  <si>
    <t>A) The Dual Technique, B) The Combo Spin, C) The Quick Flick, D) The Thunderbolt</t>
  </si>
  <si>
    <t>A) The Dual Technique, B) The Combo Spin</t>
  </si>
  <si>
    <t>Which Pambaram players are recognized for their development of innovative techniques?</t>
  </si>
  <si>
    <t>A) R. K. Rajesh, B) T. M. Ganesan</t>
  </si>
  <si>
    <t>Which government initiatives support the development and promotion of traditional sports?</t>
  </si>
  <si>
    <t>A) The National Traditional Games Education Act, B) The Traditional Games Development Program, C) The Sports Excellence Development Fund, D) The Traditional Sports Facility Grant Program</t>
  </si>
  <si>
    <t>A) The National Traditional Games Education Act, B) The Traditional Games Development Program, D) The Traditional Sports Facility Grant Program</t>
  </si>
  <si>
    <t>Which Pambaram tournaments are known for featuring both emerging and established players?</t>
  </si>
  <si>
    <t>A) The Annual Open Tournament, B) The Golden Pattam Tournament, C) The Global Masters, D) The Southern Open</t>
  </si>
  <si>
    <t>A) The Annual Open Tournament, B) The Golden Pattam Tournament</t>
  </si>
  <si>
    <t>Which Pambaram techniques are noted for their speed and precision?</t>
  </si>
  <si>
    <t>A) The Lightning Throw, B) The Quick Strike, C) The Precision Flick, D) The Cyclone Spin</t>
  </si>
  <si>
    <t>B) The Quick Strike, C) The Precision Flick</t>
  </si>
  <si>
    <t>Which years saw the introduction of major initiatives or programs to promote Pambaram?</t>
  </si>
  <si>
    <t>B) 2010, C) 2015</t>
  </si>
  <si>
    <t>Which Pambaram techniques are used for effective counterattacks?</t>
  </si>
  <si>
    <t>A) The Rapid Counter, B) The Deception Spin, C) The Cyclone Spin, D) The Multi-Flick</t>
  </si>
  <si>
    <t>A) The Rapid Counter, B) The Deception Spin</t>
  </si>
  <si>
    <t>Which Pambaram tournaments emphasize cultural and traditional elements alongside the sport?</t>
  </si>
  <si>
    <t>A) The Heritage Sports Tournament, B) The National Championship, C) The Cultural Games Festival, D) The Innovative Games Cup</t>
  </si>
  <si>
    <t>A) The Heritage Sports Tournament, C) The Cultural Games Festival</t>
  </si>
  <si>
    <t>Which laws are aimed at increasing funding and support for traditional sports?</t>
  </si>
  <si>
    <t>A) The Traditional Sports Funding Act, B) The National Event Enhancement Act, C) The Sports Funding Act, D) The Traditional Games Support Law</t>
  </si>
  <si>
    <t>A) The Traditional Sports Funding Act, D) The Traditional Games Support Law</t>
  </si>
  <si>
    <t>Which Pambaram players have been instrumental in developing new techniques or strategies?</t>
  </si>
  <si>
    <t>A) T. M. Ganesan, B) R. K. Rajesh</t>
  </si>
  <si>
    <t>Which government policies support the integration of traditional sports into educational curriculums?</t>
  </si>
  <si>
    <t>A) The Traditional Games Curriculum Program, B) The School Sports Integration Act, C) The National Sports Education Scheme, D) The Grassroots School Sports Initiative</t>
  </si>
  <si>
    <t>A) The Traditional Games Curriculum Program, B) The School Sports Integration Act</t>
  </si>
  <si>
    <t>Which Pambaram techniques are known for their rapid execution and surprise elements?</t>
  </si>
  <si>
    <t>A) The Rapid Flick, B) The Surprise Spin, C) The Thunderbolt, D) The Precision Flick</t>
  </si>
  <si>
    <t>A) The Rapid Flick, B) The Surprise Spin</t>
  </si>
  <si>
    <t>Which players are celebrated for their use of the 'Thunderbolt' and 'Arc Throw' techniques?</t>
  </si>
  <si>
    <t>A) R. K. Rajesh, D) T. M. Ganesan</t>
  </si>
  <si>
    <t>Which government initiatives are designed to enhance the skills and training of traditional sports coaches?</t>
  </si>
  <si>
    <t>A) The Traditional Games Coaching Initiative, B) The National Coach Training Program, C) The Coaching Support Fund, D) The Grassroots Coaching Scheme</t>
  </si>
  <si>
    <t>A) The Traditional Games Coaching Initiative, B) The National Coach Training Program</t>
  </si>
  <si>
    <t>Which Pambaram tournaments are known for introducing innovative formats or rules?</t>
  </si>
  <si>
    <t>A) The Innovative Games Cup, B) The Round-Robin Championship, C) The National Knockout Championship, D) The Golden Pattam Tournament</t>
  </si>
  <si>
    <t>A) The Innovative Games Cup, B) The Round-Robin Championship</t>
  </si>
  <si>
    <t>Which techniques are considered key to successful defensive play in Pambaram?</t>
  </si>
  <si>
    <t>A) The Defensive Guard, B) The Power Slam, C) The Quick Flick, D) The Rapid Counter</t>
  </si>
  <si>
    <t>A) The Defensive Guard, D) The Rapid Counter</t>
  </si>
  <si>
    <t>What is Pambaram traditionally known as in South Indian culture?</t>
  </si>
  <si>
    <t>A) A musical instrument, B) A board game, C) A type of dance, D) A food item</t>
  </si>
  <si>
    <t>B) A board game</t>
  </si>
  <si>
    <t>Which ancient civilization is credited with the origins of Pambaram?</t>
  </si>
  <si>
    <t>A) The Indus Valley Civilization, B) The Maurya Empire, C) The Chola Dynasty, D) The Gupta Empire</t>
  </si>
  <si>
    <t>C) The Chola Dynasty</t>
  </si>
  <si>
    <t>Pambaram is predominantly played in which region of India?</t>
  </si>
  <si>
    <t>A) Northern India, B) Eastern India, C) Southern India, D) Western India</t>
  </si>
  <si>
    <t>C) Southern India</t>
  </si>
  <si>
    <t>In which language is the name 'Pambaram' derived?</t>
  </si>
  <si>
    <t>A) Sanskrit, B) Tamil, C) Hindi, D) Telugu</t>
  </si>
  <si>
    <t>B) Tamil</t>
  </si>
  <si>
    <t>What is the primary objective of the game Pambaram?</t>
  </si>
  <si>
    <t>A) To score the most points, B) To capture the opponent's pieces, C) To move pieces around a board, D) To avoid obstacles</t>
  </si>
  <si>
    <t>C) To move pieces around a board</t>
  </si>
  <si>
    <t>Which traditional festival is Pambaram often associated with?</t>
  </si>
  <si>
    <t>A) Pongal, B) Diwali, C) Holi, D) Onam</t>
  </si>
  <si>
    <t>During which dynasty did Pambaram gain prominence as a traditional game?</t>
  </si>
  <si>
    <t>A) The Vijayanagara Empire, B) The Mughal Empire, C) The Maratha Empire, D) The Pallava Dynasty</t>
  </si>
  <si>
    <t>D) The Pallava Dynasty</t>
  </si>
  <si>
    <t>What material is traditionally used to create Pambaram game pieces?</t>
  </si>
  <si>
    <t>A) Wood, B) Metal, C) Plastic, D) Stone</t>
  </si>
  <si>
    <t>A) Wood</t>
  </si>
  <si>
    <t>Which royal court is known for patronizing the game of Pambaram?</t>
  </si>
  <si>
    <t>A) The Mysore Kingdom, B) The Hyderabad Sultanate, C) The Maratha Kingdom, D) The Travancore Kingdom</t>
  </si>
  <si>
    <t>D) The Travancore Kingdom</t>
  </si>
  <si>
    <t>What was the primary purpose of Pambaram in historical Indian society?</t>
  </si>
  <si>
    <t>A) Entertainment, B) Education, C) Ritualistic practice, D) Military training</t>
  </si>
  <si>
    <t>Which historical figure is associated with the promotion of Pambaram in South India?</t>
  </si>
  <si>
    <t>A) Rajaraja Chola I, B) Akbar, C) Shivaji Maharaj, D) Aurangzeb</t>
  </si>
  <si>
    <t>A) Rajaraja Chola I</t>
  </si>
  <si>
    <t>What is the historical significance of the Pambaram game board?</t>
  </si>
  <si>
    <t>A) It symbolizes wealth, B) It represents military strategy, C) It showcases artistic skills, D) It reflects social status</t>
  </si>
  <si>
    <t>B) It represents military strategy</t>
  </si>
  <si>
    <t>In what century did Pambaram become a widely recognized game in South India?</t>
  </si>
  <si>
    <t>A) 10th century, B) 12th century, C) 15th century, D) 18th century</t>
  </si>
  <si>
    <t>B) 12th century</t>
  </si>
  <si>
    <t>Which ancient text or manuscript mentions the game of Pambaram?</t>
  </si>
  <si>
    <t>A) The Arthashastra, B) The Mahabharata, C) The Ramayana, D) The Silappatikaram</t>
  </si>
  <si>
    <t>D) The Silappatikaram</t>
  </si>
  <si>
    <t>What was the role of Pambaram in ancient educational practices?</t>
  </si>
  <si>
    <t>A) Teaching arithmetic, B) Teaching strategy and planning, C) Teaching writing skills, D) Teaching geography</t>
  </si>
  <si>
    <t>B) Teaching strategy and planning</t>
  </si>
  <si>
    <t>Which ancient Indian king is known for introducing variations of Pambaram?</t>
  </si>
  <si>
    <t>A) Ashoka, B) Chandragupta Maurya, C) Krishna Deva Raya, D) Harsha</t>
  </si>
  <si>
    <t>C) Krishna Deva Raya</t>
  </si>
  <si>
    <t>What aspect of Pambaram reflects its historical roots?</t>
  </si>
  <si>
    <t>A) Its use in rituals, B) Its evolution over time, C) Its influence on modern games, D) Its regional variations</t>
  </si>
  <si>
    <t>B) Its evolution over time</t>
  </si>
  <si>
    <t>What is the traditional setting for playing Pambaram in historical times?</t>
  </si>
  <si>
    <t>A) Temples, B) Royal courts, C) Village squares, D) Educational institutions</t>
  </si>
  <si>
    <t>C) Village squares</t>
  </si>
  <si>
    <t>How was Pambaram historically used as a tool for social interaction?</t>
  </si>
  <si>
    <t>A) Through competitions, B) Through storytelling, C) Through religious ceremonies, D) Through trading</t>
  </si>
  <si>
    <t>A) Through competitions</t>
  </si>
  <si>
    <t>Which historical document provides insight into the rules of Pambaram?</t>
  </si>
  <si>
    <t>A) The Natyashastra, B) The Manusmriti, C) The Rajatarangini, D) The Arthashastra</t>
  </si>
  <si>
    <t>C) The Rajatarangini</t>
  </si>
  <si>
    <t>What historical changes have impacted the evolution of Pambaram?</t>
  </si>
  <si>
    <t>A) Changes in royal patronage, B) Advances in materials used, C) Influence of other games, D) All of the above</t>
  </si>
  <si>
    <t>Which region in South India is particularly famous for its Pambaram tournaments historically?</t>
  </si>
  <si>
    <t>What role did Pambaram play in ancient South Indian festivals?</t>
  </si>
  <si>
    <t>A) Ritualistic significance, B) Entertainment during festivals, C) Educational demonstration, D) None</t>
  </si>
  <si>
    <t>B) Entertainment during festivals</t>
  </si>
  <si>
    <t>What historical evidence suggests the use of Pambaram in royal courts?</t>
  </si>
  <si>
    <t>A) Ancient manuscripts, B) Royal decrees, C) Archaeological finds, D) Paintings</t>
  </si>
  <si>
    <t>C) Archaeological finds</t>
  </si>
  <si>
    <t>Which traditional art form is closely associated with the game of Pambaram?</t>
  </si>
  <si>
    <t>A) Bharatanatyam, B) Kathakali, C) Puppetry, D) Koodiyattam</t>
  </si>
  <si>
    <t>During which historical period was Pambaram depicted in South Indian literature?</t>
  </si>
  <si>
    <t>A) The Sangam period, B) The Gupta period, C) The Vijayanagara period, D) The Chola period</t>
  </si>
  <si>
    <t>A) The Sangam period</t>
  </si>
  <si>
    <t>What historical artifact depicts scenes of people playing Pambaram?</t>
  </si>
  <si>
    <t>A) Temples carvings, B) Ancient coins, C) Pottery, D) Manuscripts</t>
  </si>
  <si>
    <t>A) Temple carvings</t>
  </si>
  <si>
    <t>Which historical king is known for popularizing Pambaram among his subjects?</t>
  </si>
  <si>
    <t>A) Rajendra Chola I, B) Ranjit Singh, C) Akbar, D) Tipu Sultan</t>
  </si>
  <si>
    <t>A) Rajendra Chola I</t>
  </si>
  <si>
    <t>What historical shift led to the decline of Pambaram as a prominent game?</t>
  </si>
  <si>
    <t>A) Colonial rule, B) Industrialization, C) Modernization, D) War</t>
  </si>
  <si>
    <t>A) Colonial rule</t>
  </si>
  <si>
    <t>In which ancient South Indian kingdom was Pambaram used as a training tool for strategy?</t>
  </si>
  <si>
    <t>A) The Chola Kingdom, B) The Vijayanagara Kingdom, C) The Chera Kingdom, D) The Pandya Kingdom</t>
  </si>
  <si>
    <t>B) The Vijayanagara Kingdom</t>
  </si>
  <si>
    <t>What is the traditional significance of Pambaram in historical family gatherings?</t>
  </si>
  <si>
    <t>A) Fostering family bonds, B) Demonstrating skills, C) Teaching history, D) Entertaining guests</t>
  </si>
  <si>
    <t>A) Fostering family bonds</t>
  </si>
  <si>
    <t>Which historical source provides a detailed account of Pambaram rules and strategies?</t>
  </si>
  <si>
    <t>A) Historical manuscripts, B) Royal decrees, C) Trade records, D) Temple inscriptions</t>
  </si>
  <si>
    <t>A) Historical manuscripts</t>
  </si>
  <si>
    <t>What was the role of Pambaram in traditional South Indian royal education?</t>
  </si>
  <si>
    <t>A) Teaching diplomacy, B) Teaching military tactics, C) Teaching administration, D) Teaching arts</t>
  </si>
  <si>
    <t>B) Teaching military tactics</t>
  </si>
  <si>
    <t>Which historical figure is known for reviving traditional games like Pambaram?</t>
  </si>
  <si>
    <t>A) Ranjit Singh, B) Swathi Thirunal, C) Ashoka, D) Chhatrapati Shivaji</t>
  </si>
  <si>
    <t>B) Swathi Thirunal</t>
  </si>
  <si>
    <t>A) Competitive sport, B) Ritualistic practice, C) Religious offering, D) Artistic display</t>
  </si>
  <si>
    <t>A) Competitive sport</t>
  </si>
  <si>
    <t>Which historical text describes the evolution of Pambaram over the centuries?</t>
  </si>
  <si>
    <t>A) The Natyashastra, B) The Brahmanas, C) The Puranas, D) The Arthashastra</t>
  </si>
  <si>
    <t>C) The Puranas</t>
  </si>
  <si>
    <t>What was a common practice related to Pambaram in traditional South Indian palaces?</t>
  </si>
  <si>
    <t>A) Competitions between royalty, B) Educational demonstrations, C) Ritualistic performances, D) None of the above</t>
  </si>
  <si>
    <t>A) Competitions between royalty</t>
  </si>
  <si>
    <t>Which ancient South Indian kingdom is associated with the preservation of Pambaram traditions?</t>
  </si>
  <si>
    <t>A) The Chola Kingdom, B) The Pallava Kingdom, C) The Pandya Kingdom, D) The Chera Kingdom</t>
  </si>
  <si>
    <t>A) The Chola Kingdom</t>
  </si>
  <si>
    <t>How did colonial influence impact the practice of Pambaram?</t>
  </si>
  <si>
    <t>A) It led to the decline of the game, B) It led to the modernization of the game, C) It preserved the game, D) It introduced new rules</t>
  </si>
  <si>
    <t>A) It led to the decline of the game</t>
  </si>
  <si>
    <t>Which traditional art or literature often depicted scenes of Pambaram?</t>
  </si>
  <si>
    <t>A) Classical dance forms, B) Folk tales, C) Historical epics, D) Temple carvings</t>
  </si>
  <si>
    <t>D) Temple carvings</t>
  </si>
  <si>
    <t>What was a primary function of Pambaram in ancient South Indian society?</t>
  </si>
  <si>
    <t>A) As a pastime for royalty, B) As a military training tool, C) As a religious ritual, D) As a family bonding activity</t>
  </si>
  <si>
    <t>D) As a family bonding activity</t>
  </si>
  <si>
    <t>Which South Indian dynasty is known for its detailed records of games like Pambaram?</t>
  </si>
  <si>
    <t>A) The Vijayanagara Dynasty, B) The Chola Dynasty, C) The Pallava Dynasty, D) The Chera Dynasty</t>
  </si>
  <si>
    <t>B) The Chola Dynasty</t>
  </si>
  <si>
    <t>What was the historical importance of Pambaram in village life?</t>
  </si>
  <si>
    <t>A) It served as a communal activity, B) It was used for religious ceremonies, C) It was a form of military practice, D) It was a trade tool</t>
  </si>
  <si>
    <t>A) It served as a communal activity</t>
  </si>
  <si>
    <t>Which era saw the introduction of new variations to the traditional game of Pambaram?</t>
  </si>
  <si>
    <t>A) The colonial era, B) The Mughal era, C) The post-independence era, D) The medieval era</t>
  </si>
  <si>
    <t>D) The medieval era</t>
  </si>
  <si>
    <t>How did the practice of Pambaram contribute to the historical development of game culture in South India?</t>
  </si>
  <si>
    <t>A) It influenced other traditional games, B) It became a symbol of status, C) It led to the creation of new game variants, D) It remained unchanged</t>
  </si>
  <si>
    <t>A) It influenced other traditional games</t>
  </si>
  <si>
    <t>Which South Indian region was particularly known for organizing Pambaram tournaments historically?</t>
  </si>
  <si>
    <t>A) Kerala, B) Karnataka, C) Tamil Nadu, D) Andhra Pradesh</t>
  </si>
  <si>
    <t>C) Tamil Nadu</t>
  </si>
  <si>
    <t>What aspect of historical Pambaram gameplay reflects its cultural significance?</t>
  </si>
  <si>
    <t>A) The complexity of strategies, B) The use of luxury materials, C) The scale of competitions, D) The involvement of royalty</t>
  </si>
  <si>
    <t>A) The complexity of strategies</t>
  </si>
  <si>
    <t>Which traditional South Indian festival is associated with a revival of interest in Pambaram?</t>
  </si>
  <si>
    <t>A) Diwali, B) Pongal, C) Holi, D) Onam</t>
  </si>
  <si>
    <t>What historical records provide insight into the popularity of Pambaram among different social classes?</t>
  </si>
  <si>
    <t>A) Royal decrees, B) Temple inscriptions, C) Trade records, D) Manuscripts</t>
  </si>
  <si>
    <t>B) Temple inscriptions</t>
  </si>
  <si>
    <t>Which historical figure is known for documenting traditional games like Pambaram?</t>
  </si>
  <si>
    <t>A) Kautilya, B) Ban Zhao, C) Brahmagupta, D) Kalidasa</t>
  </si>
  <si>
    <t>C) Brahmagupta</t>
  </si>
  <si>
    <t>What was the impact of colonial rule on the game of Pambaram?</t>
  </si>
  <si>
    <t>A) It led to its decline, B) It led to its modernization, C) It preserved the game, D) It introduced new variants</t>
  </si>
  <si>
    <t>A) It led to its decline</t>
  </si>
  <si>
    <t>Which ancient South Indian king is known for promoting cultural activities, including games like Pambaram?</t>
  </si>
  <si>
    <t>A) Rajendra Chola I, B) Krishna Deva Raya, C) Harsha, D) Akbar</t>
  </si>
  <si>
    <t>B) Krishna Deva Raya</t>
  </si>
  <si>
    <t>How did the practice of Pambaram evolve in post-colonial South India?</t>
  </si>
  <si>
    <t>A) It became a part of modern educational curricula, B) It was preserved in rural areas, C) It was replaced by new games, D) It gained international recognition</t>
  </si>
  <si>
    <t>B) It was preserved in rural areas</t>
  </si>
  <si>
    <t>Which traditional South Indian art form is known for depicting Pambaram gameplay?</t>
  </si>
  <si>
    <t>A) Paintings, B) Dance dramas, C) Sculptures, D) Folk songs</t>
  </si>
  <si>
    <t>C) Sculptures</t>
  </si>
  <si>
    <t>What was the role of Pambaram in historical South Indian education?</t>
  </si>
  <si>
    <t>A) It was used to teach strategic thinking, B) It was used for physical training, C) It was used for artistic development, D) It was used for religious instruction</t>
  </si>
  <si>
    <t>A) It was used to teach strategic thinking</t>
  </si>
  <si>
    <t>Which historical period is associated with the flourishing of traditional games like Pambaram?</t>
  </si>
  <si>
    <t>A) The Gupta period, B) The Chola period, C) The Mughal period, D) The Vijayanagara period</t>
  </si>
  <si>
    <t>B) The Chola period</t>
  </si>
  <si>
    <t>Which South Indian festival traditionally features games like Pambaram?</t>
  </si>
  <si>
    <t>A) Sankranti, B) Baisakhi, C) Vishu, D) Ugadi</t>
  </si>
  <si>
    <t>A) Sankranti</t>
  </si>
  <si>
    <t>What aspect of Pambaram reflects its historical connection with South Indian royal courts?</t>
  </si>
  <si>
    <t>A) Its complex strategies, B) Its ceremonial use, C) Its artistic representation, D) Its military applications</t>
  </si>
  <si>
    <t>B) Its ceremonial use</t>
  </si>
  <si>
    <t>What type of evidence highlights the role of Pambaram in historical South Indian culture?</t>
  </si>
  <si>
    <t>A) Historical manuscripts, B) Archeological findings, C) Oral traditions, D) All of the above</t>
  </si>
  <si>
    <t>Which ancient text includes descriptions of Pambaram as a part of South Indian cultural heritage?</t>
  </si>
  <si>
    <t>A) The Mahabharata, B) The Ramayana, C) The Sangam literature, D) The Bhagavad Gita</t>
  </si>
  <si>
    <t>C) The Sangam literature</t>
  </si>
  <si>
    <t>How did historical social changes influence the practice of Pambaram?</t>
  </si>
  <si>
    <t>A) Increased participation in tournaments, B) Decline in traditional practices, C) Introduction of new rules, D) Revival in rural areas</t>
  </si>
  <si>
    <t>B) Decline in traditional practices</t>
  </si>
  <si>
    <t>Which historical king's reign is marked by the detailed documentation of Pambaram rules?</t>
  </si>
  <si>
    <t>A) Rajaraja Chola I, B) Krishnadevaraya, C) Ashoka, D) Harsha</t>
  </si>
  <si>
    <t>What role did Pambaram play in the cultural exchanges between South Indian kingdoms?</t>
  </si>
  <si>
    <t>A) It facilitated diplomatic relations, B) It served as a competitive sport, C) It was a symbol of cultural identity, D) It was used for trade</t>
  </si>
  <si>
    <t>C) It was a symbol of cultural identity</t>
  </si>
  <si>
    <t>Which ancient South Indian kingdom is known for its elaborate Pambaram boards?</t>
  </si>
  <si>
    <t>What was the impact of colonial rule on traditional South Indian games like Pambaram?</t>
  </si>
  <si>
    <t>A) It led to their decline, B) It led to their revival, C) It led to their modernization, D) It preserved them</t>
  </si>
  <si>
    <t>A) It led to their decline</t>
  </si>
  <si>
    <t>How was Pambaram used as a tool for teaching strategy in historical South India?</t>
  </si>
  <si>
    <t>A) Through formal education, B) Through practical gameplay, C) Through literature, D) Through religious teachings</t>
  </si>
  <si>
    <t>B) Through practical gameplay</t>
  </si>
  <si>
    <t>Which historical figure is known for supporting traditional games like Pambaram in South India?</t>
  </si>
  <si>
    <t>A) Rajendra Chola I, B) Akbar, C) Shivaji Maharaj, D) Ranjit Singh</t>
  </si>
  <si>
    <t>What historical changes in South Indian society influenced the evolution of Pambaram?</t>
  </si>
  <si>
    <t>A) Changes in ruling dynasties, B) Introduction of new materials, C) Influence of foreign games, D) All of the above</t>
  </si>
  <si>
    <t>Which traditional South Indian festival is linked with the resurgence of interest in Pambaram?</t>
  </si>
  <si>
    <t>A) Pongal, B) Diwali, C) Onam, D) Ugadi</t>
  </si>
  <si>
    <t>What aspect of Pambaram illustrates its historical and cultural significance in South India?</t>
  </si>
  <si>
    <t>A) Its gameplay, B) Its materials, C) Its representation in art, D) Its historical documentation</t>
  </si>
  <si>
    <t>D) Its historical documentation</t>
  </si>
  <si>
    <t>Which South Indian region historically had the most elaborate Pambaram boards and competitions?</t>
  </si>
  <si>
    <t>How did the colonial period affect the practice and popularity of Pambaram?</t>
  </si>
  <si>
    <t>A) It introduced new rules, B) It led to a decline in practice, C) It preserved traditional practices, D) It led to the introduction of modern variants</t>
  </si>
  <si>
    <t>B) It led to a decline in practice</t>
  </si>
  <si>
    <t>In which historical text is Pambaram first mentioned?</t>
  </si>
  <si>
    <t>A) The Ramayana, B) The Mahabharata, C) The Arthashastra, D) The Vedas</t>
  </si>
  <si>
    <t>C) The Arthashastra</t>
  </si>
  <si>
    <t>What was the primary purpose of Pambaram in ancient South Indian training?</t>
  </si>
  <si>
    <t>A) Entertainment, B) Military strategy, C) Spiritual practice, D) Trade</t>
  </si>
  <si>
    <t>B) Military strategy</t>
  </si>
  <si>
    <t>Which ancient South Indian king is credited with popularizing Pambaram among his court?</t>
  </si>
  <si>
    <t>A) Rajaraja Chola I, B) Krishna Deva Raya, C) Ashoka, D) Vikramaditya</t>
  </si>
  <si>
    <t>During which South Indian dynasty was Pambaram extensively documented?</t>
  </si>
  <si>
    <t>A) The Chola Dynasty, B) The Pallava Dynasty, C) The Vijayanagara Dynasty, D) The Chera Dynasty</t>
  </si>
  <si>
    <t>A) The Chola Dynasty</t>
  </si>
  <si>
    <t>What role did Pambaram play in royal South Indian courts?</t>
  </si>
  <si>
    <t>A) It was a form of entertainment, B) It was used for military drills, C) It was a ceremonial activity, D) It was used for diplomatic meetings</t>
  </si>
  <si>
    <t>Which South Indian king is known for his patronage of traditional games like Pambaram?</t>
  </si>
  <si>
    <t>A) Rajendra Chola I, B) Krishna Deva Raya, C) Harsha, D) Ashoka</t>
  </si>
  <si>
    <t>What historical factor contributed to the decline of Pambaram during the colonial period?</t>
  </si>
  <si>
    <t>A) Introduction of Western sports, B) Decline in local interest, C) Lack of documentation, D) Religious restrictions</t>
  </si>
  <si>
    <t>A) Introduction of Western sports</t>
  </si>
  <si>
    <t>Which historical period saw the transformation of Pambaram into a ceremonial game?</t>
  </si>
  <si>
    <t>How did the colonial influence alter the traditional rules of Pambaram?</t>
  </si>
  <si>
    <t>A) It introduced new rules, B) It standardized the game, C) It led to the game's decline, D) It preserved traditional rules</t>
  </si>
  <si>
    <t>C) It led to the game's decline</t>
  </si>
  <si>
    <t>Which South Indian festival historically included Pambaram as a major event?</t>
  </si>
  <si>
    <t>A) Pongal, B) Diwali, C) Vishu, D) Onam</t>
  </si>
  <si>
    <t>What evidence from historical records shows the significance of Pambaram in South Indian culture?</t>
  </si>
  <si>
    <t>A) Temple inscriptions, B) Royal decrees, C) Religious texts, D) Trade records</t>
  </si>
  <si>
    <t>A) Temple inscriptions</t>
  </si>
  <si>
    <t>Which ancient South Indian text provides insights into the strategic aspects of Pambaram?</t>
  </si>
  <si>
    <t>A) The Mahabharata, B) The Ramayana, C) The Arthashastra, D) The Vedas</t>
  </si>
  <si>
    <t>Which historical figure is known for documenting the traditional game of Pambaram?</t>
  </si>
  <si>
    <t>A) Brahmagupta, B) Kalidasa, C) Kautilya, D) Ban Zhao</t>
  </si>
  <si>
    <t>A) Brahmagupta</t>
  </si>
  <si>
    <t>How did the introduction of Western sports affect the traditional game of Pambaram?</t>
  </si>
  <si>
    <t>A) It led to a revival of interest, B) It led to its decline, C) It modernized the game, D) It preserved the game</t>
  </si>
  <si>
    <t>B) It led to its decline</t>
  </si>
  <si>
    <t>Which ancient South Indian kingdom is associated with the elaborate Pambaram boards and tournaments?</t>
  </si>
  <si>
    <t>What aspect of Pambaram reflects its historical significance in South Indian society?</t>
  </si>
  <si>
    <t>A) Its gameplay, B) Its ceremonial use, C) Its artistic representation, D) Its military applications</t>
  </si>
  <si>
    <t>What was the impact of the colonial period on the practice and popularity of Pambaram?</t>
  </si>
  <si>
    <t>A) It led to a decline in practice, B) It led to the preservation of traditional practices, C) It introduced new variants, D) It gained international recognition</t>
  </si>
  <si>
    <t>A) It led to a decline in practice</t>
  </si>
  <si>
    <t>Which South Indian festival historically featured Pambaram as a prominent event?</t>
  </si>
  <si>
    <t>A) Sankranti, B) Diwali, C) Ugadi, D) Holi</t>
  </si>
  <si>
    <t>What type of historical evidence highlights the role of Pambaram in ancient South Indian culture?</t>
  </si>
  <si>
    <t>What historical text describes the evolution of Pambaram over the centuries?</t>
  </si>
  <si>
    <t>Which historical king's reign is noted for the detailed documentation of Pambaram rules?</t>
  </si>
  <si>
    <t>Which ancient South Indian king is known for his support of traditional games like Pambaram?</t>
  </si>
  <si>
    <t>What was a primary function of Pambaram in historical South Indian society?</t>
  </si>
  <si>
    <t>Which historical figure is credited with documenting and preserving the rules of Pambaram?</t>
  </si>
  <si>
    <t>A) Brahmagupta, B) Kautilya, C) Kalidasa, D) Ban Zhao</t>
  </si>
  <si>
    <t>Which South Indian region is known for its elaborate historical records of Pambaram?</t>
  </si>
  <si>
    <t>What role did Pambaram play in the education of South Indian royalty?</t>
  </si>
  <si>
    <t>A) Teaching strategy and tactics, B) Teaching arts and culture, C) Teaching administration, D) Teaching diplomacy</t>
  </si>
  <si>
    <t>A) Teaching strategy and tactics</t>
  </si>
  <si>
    <t>Which ancient South Indian kingdom is associated with the development of Pambaram boards?</t>
  </si>
  <si>
    <t>A) The Chola Kingdom, B) The Vijayanagara Kingdom, C) The Pandya Kingdom, D) The Chera Kingdom</t>
  </si>
  <si>
    <t>What historical records provide insight into the ceremonial use of Pambaram in ancient South India?</t>
  </si>
  <si>
    <t>A) Temple inscriptions, B) Royal decrees, C) Historical manuscripts, D) Trade records</t>
  </si>
  <si>
    <t>Which South Indian dynasty is known for its elaborate depiction of traditional games like Pambaram?</t>
  </si>
  <si>
    <t>How did the colonial period affect the traditional game of Pambaram?</t>
  </si>
  <si>
    <t>What was a significant historical event that contributed to the decline of Pambaram in South India?</t>
  </si>
  <si>
    <t>A) The British colonization, B) The fall of the Vijayanagara Empire, C) The Chola dynasty's decline, D) The introduction of Western sports</t>
  </si>
  <si>
    <t>A) The British colonization</t>
  </si>
  <si>
    <t>Which South Indian king is noted for incorporating traditional games like Pambaram into courtly education?</t>
  </si>
  <si>
    <t>A) Rajendra Chola I, B) Krishnadevaraya, C) Harsha, D) Ashoka</t>
  </si>
  <si>
    <t>Which traditional South Indian festival historically featured Pambaram as a prominent event?</t>
  </si>
  <si>
    <t>A) Pongal, B) Onam, C) Ugadi, D) Vishu</t>
  </si>
  <si>
    <t>What role did Pambaram play in the cultural and social life of ancient South India?</t>
  </si>
  <si>
    <t>A) It was a form of entertainment, B) It was a religious ritual, C) It was a military training tool, D) It was a form of diplomacy</t>
  </si>
  <si>
    <t>Which South Indian region is historically renowned for its elaborate Pambaram boards and tournaments?</t>
  </si>
  <si>
    <t>What historical significance does Pambaram hold in the context of South Indian festivals?</t>
  </si>
  <si>
    <t>A) It represents cultural heritage, B) It signifies military prowess, C) It highlights religious practices, D) It symbolizes diplomatic relations</t>
  </si>
  <si>
    <t>A) It represents cultural heritage</t>
  </si>
  <si>
    <t>What historical evidence demonstrates the significance of Pambaram in ancient South India?</t>
  </si>
  <si>
    <t>A) Temple carvings, B) Manuscripts, C) Historical accounts, D) All of the above</t>
  </si>
  <si>
    <t>How did the colonial period influence the practice of traditional games like Pambaram?</t>
  </si>
  <si>
    <t>A) It led to their decline, B) It led to their revival, C) It introduced new variants, D) It preserved traditional practices</t>
  </si>
  <si>
    <t>Which ancient South Indian kingdom is known for its contributions to the evolution of Pambaram?</t>
  </si>
  <si>
    <t>What was the role of Pambaram in traditional South Indian education?</t>
  </si>
  <si>
    <t>A) It taught military strategy, B) It taught diplomacy, C) It taught administration, D) It taught arts and culture</t>
  </si>
  <si>
    <t>A) It taught military strategy</t>
  </si>
  <si>
    <t>Which historical figure is associated with the documentation and preservation of Pambaram rules?</t>
  </si>
  <si>
    <t>How did colonial influences impact the traditional practice of Pambaram?</t>
  </si>
  <si>
    <t>A) It led to a decline in traditional practices, B) It led to a revival of interest, C) It modernized the game, D) It preserved traditional practices</t>
  </si>
  <si>
    <t>A) It led to a decline in traditional practices</t>
  </si>
  <si>
    <t>Which South Indian king is known for promoting traditional games like Pambaram in his court?</t>
  </si>
  <si>
    <t>A) Rajendra Chola I, B) Krishna Deva Raya, C) Shivaji Maharaj, D) Ranjit Singh</t>
  </si>
  <si>
    <t>What historical documents provide insights into the evolution of Pambaram?</t>
  </si>
  <si>
    <t>A) Royal decrees, B) Temple inscriptions, C) Historical manuscripts, D) All of the above</t>
  </si>
  <si>
    <t>What was the primary role of Pambaram in ancient South Indian royal education?</t>
  </si>
  <si>
    <t>A) Military strategy, B) Cultural education, C) Diplomatic training, D) Administrative skills</t>
  </si>
  <si>
    <t>A) Military strategy</t>
  </si>
  <si>
    <t>Which South Indian region is historically known for its elaborate Pambaram boards and tournaments?</t>
  </si>
  <si>
    <t>What was the impact of colonial rule on the traditional game of Pambaram?</t>
  </si>
  <si>
    <t>A) It led to its decline, B) It led to its modernization, C) It preserved traditional practices, D) It introduced new variants</t>
  </si>
  <si>
    <t>Which historical event led to a decline in the popularity of Pambaram in South India?</t>
  </si>
  <si>
    <t>How did the colonial period affect traditional South Indian games like Pambaram?</t>
  </si>
  <si>
    <t>A) It introduced new rules, B) It led to their decline, C) It modernized them, D) It preserved them</t>
  </si>
  <si>
    <t>B) It led to their decline</t>
  </si>
  <si>
    <t>Which South Indian king is associated with promoting and documenting traditional games like Pambaram?</t>
  </si>
  <si>
    <t>What historical significance does Pambaram hold in the context of South Indian culture?</t>
  </si>
  <si>
    <t>Which ancient South Indian dynasty is known for its elaborate Pambaram boards and competitions?</t>
  </si>
  <si>
    <t>A) Temple carvings, B) Historical manuscripts, C) Oral traditions, D) All of the above</t>
  </si>
  <si>
    <t>What was the primary purpose of Pambaram in ancient South Indian royal courts?</t>
  </si>
  <si>
    <t>A) Entertainment, B) Military training, C) Diplomatic events, D) Religious ceremonies</t>
  </si>
  <si>
    <t>Which historical text provides insights into the rules and significance of Pambaram in ancient South India?</t>
  </si>
  <si>
    <t>A) It led to a decline in practice, B) It led to a revival of interest, C) It introduced new variants, D) It preserved traditional practices</t>
  </si>
  <si>
    <t>Which South Indian festival historically featured Pambaram as a key event?</t>
  </si>
  <si>
    <t>What role did Pambaram play in the social and cultural life of ancient South India?</t>
  </si>
  <si>
    <t>A) It was a form of entertainment, B) It was a military training tool, C) It was a religious ritual, D) It was a form of diplomacy</t>
  </si>
  <si>
    <t>Which ancient South Indian kingdom is associated with the development of Pambaram boards and tournaments?</t>
  </si>
  <si>
    <t>What was the historical impact of the colonial period on traditional games like Pambaram?</t>
  </si>
  <si>
    <t>A) It led to their decline, B) It led to their revival, C) It modernized them, D) It preserved traditional practices</t>
  </si>
  <si>
    <t>Which state in India is traditionally associated with the origins of Dhop Khel?</t>
  </si>
  <si>
    <t>A) Punjab, B) Maharashtra, C) Tamil Nadu, D) Rajasthan</t>
  </si>
  <si>
    <t>D) Rajasthan</t>
  </si>
  <si>
    <t>In which year was the All India Dhop Khel Federation established?</t>
  </si>
  <si>
    <t>Which Indian king is historically known to have popularized Dhop Khel in the 18th century?</t>
  </si>
  <si>
    <t>A) Maharaja Jai Singh II, B) Maharaja Ranjit Singh, C) Maharaja Pratap Singh, D) Maharaja Shivaji</t>
  </si>
  <si>
    <t>A) Maharaja Jai Singh II</t>
  </si>
  <si>
    <t>Who won the first National Dhop Khel Championship held in 1985?</t>
  </si>
  <si>
    <t>A) Delhi, B) Haryana, C) Punjab, D) Rajasthan</t>
  </si>
  <si>
    <t>Which Indian state won the most number of Dhop Khel championships in the 1990s?</t>
  </si>
  <si>
    <t>A) Gujarat, B) Kerala, C) Rajasthan, D) Punjab</t>
  </si>
  <si>
    <t>What is the traditional attire worn by players during a Dhop Khel match?</t>
  </si>
  <si>
    <t>A) Dhoti and Kurta, B) Sari and Blouse, C) Sherwani, D) Lehenga</t>
  </si>
  <si>
    <t>Which famous Dhop Khel player from Rajasthan is known for their strategic gameplay in the 2000s?</t>
  </si>
  <si>
    <t>A) Gopal Singh, B) Suresh Sharma, C) Rajesh Kumar, D) Mohan Lal</t>
  </si>
  <si>
    <t>A) Gopal Singh</t>
  </si>
  <si>
    <t>In which year did the Dhop Khel sport first gain international recognition?</t>
  </si>
  <si>
    <t>Which technique is commonly used by Dhop Khel players to gain an advantage over their opponents?</t>
  </si>
  <si>
    <t>A) The Sidestep, B) The Overhead Throw, C) The Quick Turn, D) The Low Dive</t>
  </si>
  <si>
    <t>C) The Quick Turn</t>
  </si>
  <si>
    <t>What is the standard duration of a Dhop Khel match?</t>
  </si>
  <si>
    <t>A) 30 minutes, B) 45 minutes, C) 60 minutes, D) 90 minutes</t>
  </si>
  <si>
    <t>B) 45 minutes</t>
  </si>
  <si>
    <t>Which Indian state introduced the Dhop Khel game as a compulsory part of its school sports curriculum in 2008?</t>
  </si>
  <si>
    <t>A) Uttar Pradesh, B) Maharashtra, C) Karnataka, D) Bihar</t>
  </si>
  <si>
    <t>Which famous Dhop Khel player set a record for the most number of consecutive wins in the 2010s?</t>
  </si>
  <si>
    <t>A) Ajay Patel, B) Anil Sharma, C) Vijay Singh, D) Raj Kumar</t>
  </si>
  <si>
    <t>B) Anil Sharma</t>
  </si>
  <si>
    <t>Which international tournament was held for Dhop Khel for the first time in 2015?</t>
  </si>
  <si>
    <t>A) World Dhop Khel Cup, B) International Dhop Khel Championship, C) Dhop Khel World Series, D) Global Dhop Khel Tournament</t>
  </si>
  <si>
    <t>B) International Dhop Khel Championship</t>
  </si>
  <si>
    <t>Who was the winner of the first International Dhop Khel Championship in 2015?</t>
  </si>
  <si>
    <t>A) India, B) Pakistan, C) Nepal, D) Sri Lanka</t>
  </si>
  <si>
    <t>What is the primary objective of the game in Dhop Khel?</t>
  </si>
  <si>
    <t>A) To score the most points, B) To capture the flag, C) To avoid being tagged, D) To complete a circuit</t>
  </si>
  <si>
    <t>C) To avoid being tagged</t>
  </si>
  <si>
    <t>Which famous Indian Dhop Khel player was awarded the Padma Shri for their contributions to the sport in 2018?</t>
  </si>
  <si>
    <t>A) Sunil Joshi, B) Vijay Kumar, C) Rajesh Yadav, D) Sanjay Patel</t>
  </si>
  <si>
    <t>D) Sanjay Patel</t>
  </si>
  <si>
    <t>In which city was the 2020 National Dhop Khel Championship held?</t>
  </si>
  <si>
    <t>A) Jaipur, B) Delhi, C) Mumbai, D) Hyderabad</t>
  </si>
  <si>
    <t>A) Jaipur</t>
  </si>
  <si>
    <t>What type of field is traditionally used for playing Dhop Khel?</t>
  </si>
  <si>
    <t>A) Grass field, B) Clay field, C) Sand field, D) Synthetic field</t>
  </si>
  <si>
    <t>B) Clay field</t>
  </si>
  <si>
    <t>Which Dhop Khel player is known for their innovative strategies and has authored a book on the sport?</t>
  </si>
  <si>
    <t>A) Ajit Singh, B) Ravi Kumar, C) Deepak Mehta, D) Vikram Sharma</t>
  </si>
  <si>
    <t>C) Deepak Mehta</t>
  </si>
  <si>
    <t>Which Indian state is known for producing the highest number of Dhop Khel coaches and trainers?</t>
  </si>
  <si>
    <t>A) Punjab, B) Gujarat, C) Rajasthan, D) Haryana</t>
  </si>
  <si>
    <t>In Dhop Khel, what is the term used for a move that successfully avoids being tagged?</t>
  </si>
  <si>
    <t>A) Dodge, B) Spin, C) Escape, D) Slip</t>
  </si>
  <si>
    <t>A) Dodge</t>
  </si>
  <si>
    <t>Which famous Dhop Khel tournament is held annually in the city of Udaipur?</t>
  </si>
  <si>
    <t>A) Udaipur Cup, B) Rajasthan Championship, C) Lake City Tournament, D) Dhop Khel Festival</t>
  </si>
  <si>
    <t>C) Lake City Tournament</t>
  </si>
  <si>
    <t>Which historical event in India contributed to the rise in popularity of Dhop Khel during the early 20th century?</t>
  </si>
  <si>
    <t>A) The Indian Independence Movement, B) The British Colonial Era, C) The Formation of Indian States, D) The Post-Independence Reforms</t>
  </si>
  <si>
    <t>A) The Indian Independence Movement</t>
  </si>
  <si>
    <t>Which famous Dhop Khel player was the captain of the Indian team during the 2018 Asian Games?</t>
  </si>
  <si>
    <t>A) Manoj Singh, B) Rajeev Patel, C) Arjun Sharma, D) Rahul Mehta</t>
  </si>
  <si>
    <t>B) Rajeev Patel</t>
  </si>
  <si>
    <t>What significant rule change was introduced in Dhop Khel in 2004?</t>
  </si>
  <si>
    <t>A) Increase in team size, B) Addition of a time limit for each game, C) Change in scoring system, D) Introduction of new equipment</t>
  </si>
  <si>
    <t>C) Change in scoring system</t>
  </si>
  <si>
    <t>Who is considered the father of modern Dhop Khel?</t>
  </si>
  <si>
    <t>A) Mahendra Singh, B) Suraj Kumar, C) Harish Chandra, D) Vijay Kumar</t>
  </si>
  <si>
    <t>D) Vijay Kumar</t>
  </si>
  <si>
    <t>In which decade did Dhop Khel first appear in the Indian Sports Authority's official directory?</t>
  </si>
  <si>
    <t>A) 1950s, B) 1960s, C) 1970s, D) 1980s</t>
  </si>
  <si>
    <t>C) 1970s</t>
  </si>
  <si>
    <t>Which Dhop Khel move involves a sudden change of direction to confuse the opponent?</t>
  </si>
  <si>
    <t>A) Quick Shift, B) Side Step, C) Pivot Turn, D) Fake</t>
  </si>
  <si>
    <t>C) Pivot Turn</t>
  </si>
  <si>
    <t>Who was the MVP of the 2019 Dhop Khel World Series?</t>
  </si>
  <si>
    <t>A) Dev Raj, B) Nitin Kumar, C) Manish Sharma, D) Rajeev Singh</t>
  </si>
  <si>
    <t>A) Dev Raj</t>
  </si>
  <si>
    <t>Which Dhop Khel coach is known for revolutionizing training techniques in the sport?</t>
  </si>
  <si>
    <t>A) Sunil Rathi, B) Anil Sharma, C) Deepak Joshi, D) Ravi Patel</t>
  </si>
  <si>
    <t>C) Deepak Joshi</t>
  </si>
  <si>
    <t>In which year did the International Dhop Khel Federation establish the official rules of the game?</t>
  </si>
  <si>
    <t>Which Indian city hosted the first Asian Dhop Khel Games in 2019?</t>
  </si>
  <si>
    <t>A) Bangalore, B) Chennai, C) Jaipur, D) Mumbai</t>
  </si>
  <si>
    <t>C) Jaipur</t>
  </si>
  <si>
    <t>Which Dhop Khel player is known for their signature move, the 'High Jump Dodge'?</t>
  </si>
  <si>
    <t>A) Arun Sharma, B) Pradeep Yadav, C) Rajesh Kumar, D) Mohit Singh</t>
  </si>
  <si>
    <t>B) Pradeep Yadav</t>
  </si>
  <si>
    <t>Which Indian state has the highest number of Dhop Khel players representing the national team?</t>
  </si>
  <si>
    <t>A) Punjab, B) Haryana, C) Rajasthan, D) Uttar Pradesh</t>
  </si>
  <si>
    <t>Which famous Dhop Khel player has been awarded the Arjuna Award for their contribution to the sport?</t>
  </si>
  <si>
    <t>A) Anil Patel, B) Rajesh Gupta, C) Sanjay Verma, D) Manish Rawat</t>
  </si>
  <si>
    <t>C) Sanjay Verma</t>
  </si>
  <si>
    <t>Which year marked the introduction of electronic scoring systems in Dhop Khel tournaments?</t>
  </si>
  <si>
    <t>A) 2010, B) 2012, C) 2014, D) 2016</t>
  </si>
  <si>
    <t>B) 2012</t>
  </si>
  <si>
    <t>Which country first invited India to participate in the international Dhop Khel tournament?</t>
  </si>
  <si>
    <t>A) Nepal, B) Bangladesh, C) Sri Lanka, D) Pakistan</t>
  </si>
  <si>
    <t>Which Dhop Khel player is renowned for their defensive techniques and has won multiple defensive player awards?</t>
  </si>
  <si>
    <t>A) Ravi Kumar, B) Sunil Patel, C) Vijay Mehta, D) Arjun Sharma</t>
  </si>
  <si>
    <t>B) Sunil Patel</t>
  </si>
  <si>
    <t>What is the maximum number of players allowed on each team in a standard Dhop Khel match?</t>
  </si>
  <si>
    <t>A) 8, B) 10, C) 12, D) 14</t>
  </si>
  <si>
    <t>C) 12</t>
  </si>
  <si>
    <t>Which Dhop Khel team won the most consecutive titles in the National Championships during the 2000s?</t>
  </si>
  <si>
    <t>What year saw the first Dhop Khel match played on an artificial turf?</t>
  </si>
  <si>
    <t>A) 2002, B) 2005, C) 2008, D) 2010</t>
  </si>
  <si>
    <t>Which Dhop Khel player was known for their strategic use of the 'Reverse Tag' move?</t>
  </si>
  <si>
    <t>A) Deepak Verma, B) Rajesh Singh, C) Manoj Yadav, D) Ramesh Kumar</t>
  </si>
  <si>
    <t>A) Deepak Verma</t>
  </si>
  <si>
    <t>Which Dhop Khel tournament introduced the use of video analysis for officiating in 2017?</t>
  </si>
  <si>
    <t>A) National Championship, B) State Championship, C) International Cup, D) World Series</t>
  </si>
  <si>
    <t>C) International Cup</t>
  </si>
  <si>
    <t>What is the traditional length of a Dhop Khel field?</t>
  </si>
  <si>
    <t>B) 40 meters</t>
  </si>
  <si>
    <t>Which Dhop Khel player holds the record for the most points scored in a single game?</t>
  </si>
  <si>
    <t>A) Vijay Singh, B) Arun Patel, C) Sunil Kumar, D) Rajeev Mehta</t>
  </si>
  <si>
    <t>D) Rajeev Mehta</t>
  </si>
  <si>
    <t>Which historic event led to the formal codification of Dhop Khel rules and regulations in the early 1970s?</t>
  </si>
  <si>
    <t>A) The First Dhop Khel Congress, B) The National Sports Act, C) The Establishment of the Sports Authority of India, D) The Formation of the All India Dhop Khel Federation</t>
  </si>
  <si>
    <t>D) The Formation of the All India Dhop Khel Federation</t>
  </si>
  <si>
    <t>Which famous player introduced the 'Low Dive' move into competitive Dhop Khel play?</t>
  </si>
  <si>
    <t>A) Ramesh Yadav, B) Sunil Sharma, C) Vikram Singh, D) Anil Patel</t>
  </si>
  <si>
    <t>C) Vikram Singh</t>
  </si>
  <si>
    <t>What was the primary purpose of Dhop Khel when it was first played centuries ago?</t>
  </si>
  <si>
    <t>A) Entertainment, B) Training for warfare, C) Religious ceremony, D) Social gathering</t>
  </si>
  <si>
    <t>B) Training for warfare</t>
  </si>
  <si>
    <t>Which major Indian festival is often associated with regional Dhop Khel tournaments?</t>
  </si>
  <si>
    <t>A) Diwali, B) Holi, C) Makar Sankranti, D) Ganesh Chaturthi</t>
  </si>
  <si>
    <t>Which famous Dhop Khel player was awarded the Rajiv Gandhi Khel Ratna in 2019?</t>
  </si>
  <si>
    <t>A) Arvind Kumar, B) Pradeep Patel, C) Anil Verma, D) Rajeev Sharma</t>
  </si>
  <si>
    <t>B) Pradeep Patel</t>
  </si>
  <si>
    <t>What is the maximum duration for each quarter in a Dhop Khel match?</t>
  </si>
  <si>
    <t>A) 10 minutes, B) 15 minutes, C) 20 minutes, D) 25 minutes</t>
  </si>
  <si>
    <t>B) 15 minutes</t>
  </si>
  <si>
    <t>Which region in India is known for its traditional Dhop Khel training academies?</t>
  </si>
  <si>
    <t>A) Northern India, B) Eastern India, C) Western India, D) Southern India</t>
  </si>
  <si>
    <t>C) Western India</t>
  </si>
  <si>
    <t>Who was the chief organizer of the first International Dhop Khel Tournament held in 2015?</t>
  </si>
  <si>
    <t>A) Rajeev Kumar, B) Vikram Joshi, C) Manoj Patel, D) Anil Sharma</t>
  </si>
  <si>
    <t>B) Vikram Joshi</t>
  </si>
  <si>
    <t>Which Dhop Khel player was known for their exceptional stamina and speed during the 1990s?</t>
  </si>
  <si>
    <t>A) Ramesh Singh, B) Ravi Kumar, C) Vijay Patel, D) Mohan Sharma</t>
  </si>
  <si>
    <t>A) Ramesh Singh</t>
  </si>
  <si>
    <t>What significant development in Dhop Khel occurred in the 1980s?</t>
  </si>
  <si>
    <t>A) Introduction of standard rules, B) Establishment of national championships, C) Introduction of professional leagues, D) Inclusion in school sports curriculum</t>
  </si>
  <si>
    <t>B) Establishment of national championships</t>
  </si>
  <si>
    <t>Which famous historical figure was known to play Dhop Khel during their youth?</t>
  </si>
  <si>
    <t>A) Maharaja Jai Singh II, B) Maharaja Ranjit Singh, C) Rajput King Prithviraj Chauhan, D) Emperor Ashoka</t>
  </si>
  <si>
    <t>C) Rajput King Prithviraj Chauhan</t>
  </si>
  <si>
    <t>Which Indian state was the first to introduce Dhop Khel as a professional sport in the 1990s?</t>
  </si>
  <si>
    <t>A) Punjab, B) Rajasthan, C) Haryana, D) Gujarat</t>
  </si>
  <si>
    <t>Which Dhop Khel player was known for their innovative use of the 'Side Step' technique?</t>
  </si>
  <si>
    <t>A) Arun Kumar, B) Rajesh Patel, C) Anil Yadav, D) Manoj Mehta</t>
  </si>
  <si>
    <t>A) Arun Kumar</t>
  </si>
  <si>
    <t>What year saw the introduction of the Dhop Khel World Series?</t>
  </si>
  <si>
    <t>C) 2012</t>
  </si>
  <si>
    <t>Which Dhop Khel player was awarded the Best Defensive Player of the Year in 2016?</t>
  </si>
  <si>
    <t>A) Ravi Patel, B) Mohan Sharma, C) Rajeev Singh, D) Arjun Mehta</t>
  </si>
  <si>
    <t>C) Rajeev Singh</t>
  </si>
  <si>
    <t>Which Indian state has the oldest tradition of Dhop Khel playing?</t>
  </si>
  <si>
    <t>What major rule change was implemented in Dhop Khel in 1998?</t>
  </si>
  <si>
    <t>A) Change in field dimensions, B) Introduction of new scoring rules, C) Addition of new player positions, D) Modification of game duration</t>
  </si>
  <si>
    <t>B) Introduction of new scoring rules</t>
  </si>
  <si>
    <t>Who was the first player to achieve a 'Perfect Game' in Dhop Khel?</t>
  </si>
  <si>
    <t>A) Vijay Singh, B) Arjun Kumar, C) Rajesh Yadav, D) Deepak Patel</t>
  </si>
  <si>
    <t>D) Deepak Patel</t>
  </si>
  <si>
    <t>Which Dhop Khel player is renowned for their exceptional skills in the 'Tag and Run' strategy?</t>
  </si>
  <si>
    <t>A) Sunil Patel, B) Mohan Kumar, C) Rajesh Sharma, D) Ramesh Singh</t>
  </si>
  <si>
    <t>B) Mohan Kumar</t>
  </si>
  <si>
    <t>In which year did the Dhop Khel sport see its first international competition held outside India?</t>
  </si>
  <si>
    <t>A) 2005, B) 2007, C) 2009, D) 2011</t>
  </si>
  <si>
    <t>What significant milestone did the Dhop Khel sport achieve in 2020?</t>
  </si>
  <si>
    <t>A) Inclusion in the Asian Games, B) Formation of the World Dhop Khel Federation, C) Establishment of a professional league, D) Launch of international coaching programs</t>
  </si>
  <si>
    <t>B) Formation of the World Dhop Khel Federation</t>
  </si>
  <si>
    <t>Which Dhop Khel player is credited with developing the 'Double Dodge' technique?</t>
  </si>
  <si>
    <t>A) Anil Sharma, B) Rajeev Patel, C) Arvind Kumar, D) Deepak Verma</t>
  </si>
  <si>
    <t>C) Arvind Kumar</t>
  </si>
  <si>
    <t>Which state introduced Dhop Khel as a part of its university sports programs in the 1990s?</t>
  </si>
  <si>
    <t>A) Gujarat, B) Karnataka, C) Maharashtra, D) West Bengal</t>
  </si>
  <si>
    <t>What traditional Dhop Khel move involves a player swiftly changing direction to evade a tag?</t>
  </si>
  <si>
    <t>A) Spin Move, B) Quick Turn, C) High Leap, D) Ground Slide</t>
  </si>
  <si>
    <t>B) Quick Turn</t>
  </si>
  <si>
    <t>Which historical figure is known to have played Dhop Khel during their reign in Rajasthan?</t>
  </si>
  <si>
    <t>A) Maharaja Jai Singh, B) Maharaja Ranjit Singh, C) Maharaja Sawai Man Singh, D) Maharaja Shivaji</t>
  </si>
  <si>
    <t>A) Maharaja Jai Singh</t>
  </si>
  <si>
    <t>Who was the winner of the Dhop Khel Tournament held in Mumbai in 2011?</t>
  </si>
  <si>
    <t>A) Delhi, B) Maharashtra, C) Rajasthan, D) Punjab</t>
  </si>
  <si>
    <t>Which Dhop Khel player was the first to score 100 points in a single match?</t>
  </si>
  <si>
    <t>A) Ramesh Kumar, B) Anil Sharma, C) Ravi Patel, D) Sunil Joshi</t>
  </si>
  <si>
    <t>A) Ramesh Kumar</t>
  </si>
  <si>
    <t>What is the traditional name of the referee in a Dhop Khel match?</t>
  </si>
  <si>
    <t>A) Umpire, B) Referee, C) Judge, D) Official</t>
  </si>
  <si>
    <t>A) Umpire</t>
  </si>
  <si>
    <t>Which state in India is known for having the most Dhop Khel academies?</t>
  </si>
  <si>
    <t>A) Punjab, B) Haryana, C) Rajasthan, D) Gujarat</t>
  </si>
  <si>
    <t>What is the key objective for the defending team in Dhop Khel?</t>
  </si>
  <si>
    <t>A) To tag all opposing players, B) To hold possession of the ball, C) To score the most points, D) To prevent the offensive team from scoring</t>
  </si>
  <si>
    <t>D) To prevent the offensive team from scoring</t>
  </si>
  <si>
    <t>Which Indian player was awarded the Best Player in the 2019 International Dhop Khel Cup?</t>
  </si>
  <si>
    <t>A) Manoj Yadav, B) Sunil Kumar, C) Rajeev Patel, D) Deepak Mehta</t>
  </si>
  <si>
    <t>D) Deepak Mehta</t>
  </si>
  <si>
    <t>Which Dhop Khel player holds the record for the most defensive plays in a single season?</t>
  </si>
  <si>
    <t>A) Rajesh Yadav, B) Arvind Patel, C) Ramesh Singh, D) Mohan Kumar</t>
  </si>
  <si>
    <t>A) Rajesh Yadav</t>
  </si>
  <si>
    <t>What is the traditional length of a Dhop Khel match in terms of time?</t>
  </si>
  <si>
    <t>Which Dhop Khel player was known for their aggressive attacking style in the 2000s?</t>
  </si>
  <si>
    <t>A) Ravi Kumar, B) Anil Sharma, C) Vijay Patel, D) Mohit Singh</t>
  </si>
  <si>
    <t>In which year did Dhop Khel first include international teams in its championship?</t>
  </si>
  <si>
    <t>A) 2010</t>
  </si>
  <si>
    <t>Which Dhop Khel team is known for its strong defensive strategies and has won several national titles?</t>
  </si>
  <si>
    <t>Which famous historical battle was believed to have been influenced by Dhop Khel strategies?</t>
  </si>
  <si>
    <t>A) Battle of Panipat, B) Battle of Plassey, C) Battle of Haldighati, D) Battle of Buxar</t>
  </si>
  <si>
    <t>C) Battle of Haldighati</t>
  </si>
  <si>
    <t>Which Dhop Khel player is known for their exceptional use of the 'Double Tag' move?</t>
  </si>
  <si>
    <t>A) Rajeev Kumar, B) Ramesh Patel, C) Mohan Sharma, D) Sunil Singh</t>
  </si>
  <si>
    <t>A) Rajeev Kumar</t>
  </si>
  <si>
    <t>What year did the Dhop Khel sport first introduce a standardized scoring system?</t>
  </si>
  <si>
    <t>Which player is known for developing the 'High Jump Dodge' technique in Dhop Khel?</t>
  </si>
  <si>
    <t>A) Anil Yadav, B) Rajesh Kumar, C) Mohit Patel, D) Ramesh Singh</t>
  </si>
  <si>
    <t>B) Rajesh Kumar</t>
  </si>
  <si>
    <t>Which Indian city is known for hosting the annual Dhop Khel festival?</t>
  </si>
  <si>
    <t>A) Udaipur, B) Jaipur, C) Delhi, D) Mumbai</t>
  </si>
  <si>
    <t>A) Udaipur</t>
  </si>
  <si>
    <t>Which Indian state has the oldest Dhop Khel traditions and tournaments?</t>
  </si>
  <si>
    <t>A) Haryana, B) Gujarat, C) Punjab, D) Rajasthan</t>
  </si>
  <si>
    <t>What is the most common injury reported in Dhop Khel matches?</t>
  </si>
  <si>
    <t>A) Sprains, B) Fractures, C) Dislocations, D) Muscle Strains</t>
  </si>
  <si>
    <t>D) Muscle Strains</t>
  </si>
  <si>
    <t>Who was the coach of the Indian team during their victory in the 2019 Dhop Khel World Cup?</t>
  </si>
  <si>
    <t>A) Rajesh Kumar, B) Anil Sharma, C) Vikram Joshi, D) Deepak Patel</t>
  </si>
  <si>
    <t>C) Vikram Joshi</t>
  </si>
  <si>
    <t>Which Dhop Khel player is known for their successful use of the 'Fake Tag' move?</t>
  </si>
  <si>
    <t>A) Sunil Patel, B) Ravi Sharma, C) Rajeev Singh, D) Mohan Kumar</t>
  </si>
  <si>
    <t>A) Sunil Patel</t>
  </si>
  <si>
    <t>What year did Dhop Khel introduce its first official coaching certification program?</t>
  </si>
  <si>
    <t>Which Dhop Khel team has the most international titles?</t>
  </si>
  <si>
    <t>A) India, B) Nepal, C) Pakistan, D) Sri Lanka</t>
  </si>
  <si>
    <t>Which Indian state was the first to introduce a professional Dhop Khel league?</t>
  </si>
  <si>
    <t>What traditional Dhop Khel strategy involves a player making quick, unpredictable movements to avoid being tagged?</t>
  </si>
  <si>
    <t>A) Random Pattern, B) Zigzag Run, C) Quick Steps, D) Erratic Motion</t>
  </si>
  <si>
    <t>B) Zigzag Run</t>
  </si>
  <si>
    <t>Which player is famous for their use of the 'Double Dodge' in Dhop Khel?</t>
  </si>
  <si>
    <t>A) Ravi Patel, B) Sunil Mehta, C) Arvind Sharma, D) Anil Kumar</t>
  </si>
  <si>
    <t>D) Anil Kumar</t>
  </si>
  <si>
    <t>Which Indian state has produced the most Dhop Khel national team captains?</t>
  </si>
  <si>
    <t>Who was the captain of the Indian Dhop Khel team during their 2020 World Cup victory?</t>
  </si>
  <si>
    <t>A) Rajesh Kumar, B) Anil Yadav, C) Mohit Sharma, D) Vijay Singh</t>
  </si>
  <si>
    <t>D) Vijay Singh</t>
  </si>
  <si>
    <t>In what year was the Dhop Khel Association of India established?</t>
  </si>
  <si>
    <t>C) 1965</t>
  </si>
  <si>
    <t>Which player is known for the 'Quick Turn Dodge' technique in Dhop Khel?</t>
  </si>
  <si>
    <t>A) Arun Sharma, B) Rajesh Patel, C) Mohit Singh, D) Deepak Yadav</t>
  </si>
  <si>
    <t>A) Arun Sharma</t>
  </si>
  <si>
    <t>Which Indian city hosted the Dhop Khel World Championship in 2018?</t>
  </si>
  <si>
    <t>A) Bangalore, B) Mumbai, C) Delhi, D) Kolkata</t>
  </si>
  <si>
    <t>What is the typical duration of a Dhop Khel match's halftime break?</t>
  </si>
  <si>
    <t>A) 5 minutes, B) 10 minutes, C) 15 minutes, D) 20 minutes</t>
  </si>
  <si>
    <t>B) 10 minutes</t>
  </si>
  <si>
    <t>Which state was the first to introduce a state-level Dhop Khel tournament?</t>
  </si>
  <si>
    <t>A) Haryana, B) Gujarat, C) Rajasthan, D) Punjab</t>
  </si>
  <si>
    <t>D) Punjab</t>
  </si>
  <si>
    <t>What is the primary objective of the offensive team in a Dhop Khel match?</t>
  </si>
  <si>
    <t>A) To tag all defensive players, B) To avoid being tagged, C) To score the most points, D) To hold possession of the ball</t>
  </si>
  <si>
    <t>A) To tag all defensive players</t>
  </si>
  <si>
    <t>Which famous player is known for their use of the 'Fake Tag' technique?</t>
  </si>
  <si>
    <t>A) Sunil Patel, B) Rajesh Kumar, C) Mohan Sharma, D) Deepak Verma</t>
  </si>
  <si>
    <t>Who was awarded the Best Player in the 2021 Asian Dhop Khel Games?</t>
  </si>
  <si>
    <t>A) Ravi Kumar, B) Anil Sharma, C) Rajeev Patel, D) Mohit Yadav</t>
  </si>
  <si>
    <t>What year did Dhop Khel introduce a standardized rulebook for international play?</t>
  </si>
  <si>
    <t>Which player is renowned for their high-speed maneuvers and agility in Dhop Khel?</t>
  </si>
  <si>
    <t>A) Ravi Patel, B) Sunil Kumar, C) Mohit Singh, D) Rajesh Yadav</t>
  </si>
  <si>
    <t>C) Mohit Singh</t>
  </si>
  <si>
    <t>What is the typical width of a Dhop Khel playing field?</t>
  </si>
  <si>
    <t>A) 20 meters, B) 30 meters, C) 40 meters, D) 50 meters</t>
  </si>
  <si>
    <t>C) 40 meters</t>
  </si>
  <si>
    <t>Which state has the most successful Dhop Khel team in the history of national championships?</t>
  </si>
  <si>
    <t>Which historical figure is known for their contribution to the development of Dhop Khel strategies?</t>
  </si>
  <si>
    <t>Which Indian player introduced the 'Spin Dodge' technique in Dhop Khel?</t>
  </si>
  <si>
    <t>A) Arvind Kumar, B) Rajesh Patel, C) Mohan Sharma, D) Anil Sharma</t>
  </si>
  <si>
    <t>D) Anil Sharma</t>
  </si>
  <si>
    <t>Which country hosted the first Dhop Khel World Cup in 2015?</t>
  </si>
  <si>
    <t>What significant change was made to Dhop Khel's scoring system in 2005?</t>
  </si>
  <si>
    <t>A) Introduction of bonus points, B) Introduction of penalty points, C) Change in point allocation for tags, D) Introduction of digital scoring</t>
  </si>
  <si>
    <t>D) Introduction of digital scoring</t>
  </si>
  <si>
    <t>Which Dhop Khel player is known for their innovative use of the 'Double Jump' technique?</t>
  </si>
  <si>
    <t>A) Rajeev Singh, B) Mohan Patel, C) Deepak Kumar, D) Arun Yadav</t>
  </si>
  <si>
    <t>C) Deepak Kumar</t>
  </si>
  <si>
    <t>Which state has the most number of Dhop Khel clubs and academies?</t>
  </si>
  <si>
    <t>Which player was recognized for their exceptional defensive skills in the 2018 World Cup?</t>
  </si>
  <si>
    <t>A) Rajesh Yadav, B) Ravi Patel, C) Mohan Singh, D) Anil Verma</t>
  </si>
  <si>
    <t>What is the most common type of injury in Dhop Khel matches?</t>
  </si>
  <si>
    <t>A) Muscle Strains, B) Sprains, C) Fractures, D) Dislocations</t>
  </si>
  <si>
    <t>A) Muscle Strains</t>
  </si>
  <si>
    <t>Which Indian city is known for its annual Dhop Khel festival?</t>
  </si>
  <si>
    <t>A) Jaipur, B) Udaipur, C) Delhi, D) Mumbai</t>
  </si>
  <si>
    <t>B) Udaipur</t>
  </si>
  <si>
    <t>What year saw the introduction of video analysis for Dhop Khel officiating?</t>
  </si>
  <si>
    <t>A) 2005, B) 2010, C) 2012, D) 2015</t>
  </si>
  <si>
    <t>Which Indian state was the first to host a professional Dhop Khel league?</t>
  </si>
  <si>
    <t>Who was the chief organizer of the 2015 International Dhop Khel Tournament?</t>
  </si>
  <si>
    <t>Which Indian Dhop Khel player won the Most Valuable Player award in the 2020 World Cup?</t>
  </si>
  <si>
    <t>A) Rajesh Kumar, B) Mohit Sharma, C) Arvind Patel, D) Anil Yadav</t>
  </si>
  <si>
    <t>C) Arvind Patel</t>
  </si>
  <si>
    <t>What year did Dhop Khel first introduce an international coaching certification program?</t>
  </si>
  <si>
    <t>Which famous Dhop Khel player is known for their strategic use of the 'Reverse Dodge'?</t>
  </si>
  <si>
    <t>A) Ravi Patel, B) Anil Kumar, C) Deepak Verma, D) Mohan Singh</t>
  </si>
  <si>
    <t>B) Anil Kumar</t>
  </si>
  <si>
    <t>Which country first introduced the concept of professional Dhop Khel leagues?</t>
  </si>
  <si>
    <t>Which Dhop Khel player set a record for the most points scored in a single season?</t>
  </si>
  <si>
    <t>A) Rajesh Kumar, B) Sunil Patel, C) Mohit Singh, D) Ravi Yadav</t>
  </si>
  <si>
    <t>D) Ravi Yadav</t>
  </si>
  <si>
    <t>Which Indian city hosted the Dhop Khel Asian Championships in 2022?</t>
  </si>
  <si>
    <t>What is the typical length of a Dhop Khel field?</t>
  </si>
  <si>
    <t>A) 50 meters, B) 60 meters, C) 70 meters, D) 80 meters</t>
  </si>
  <si>
    <t>C) 70 meters</t>
  </si>
  <si>
    <t>Which player is known for their mastery of the 'Side-Step Dodge' technique?</t>
  </si>
  <si>
    <t>A) Anil Sharma, B) Rajesh Yadav, C) Deepak Patel, D) Sunil Kumar</t>
  </si>
  <si>
    <t>A) Anil Sharma</t>
  </si>
  <si>
    <t>What year did Dhop Khel first introduce a computerized scoring system?</t>
  </si>
  <si>
    <t>A) 2000</t>
  </si>
  <si>
    <t>Which state has produced the most Dhop Khel national team captains?</t>
  </si>
  <si>
    <t>Which Dhop Khel player was awarded the Player of the Tournament in the 2017 South Asian Games?</t>
  </si>
  <si>
    <t>A) Ravi Kumar, B) Mohit Singh, C) Rajesh Patel, D) Anil Sharma</t>
  </si>
  <si>
    <t>B) Mohit Singh</t>
  </si>
  <si>
    <t>What significant change was made to the Dhop Khel rulebook in 2008?</t>
  </si>
  <si>
    <t>A) Introduction of new player positions, B) Change in field dimensions, C) Modification of the scoring system, D) Addition of a time limit for each half</t>
  </si>
  <si>
    <t>C) Modification of the scoring system</t>
  </si>
  <si>
    <t>Which player is credited with popularizing the 'High Jump Dodge' in Dhop Khel?</t>
  </si>
  <si>
    <t>A) Sunil Patel, B) Rajesh Kumar, C) Mohit Sharma, D) Arvind Yadav</t>
  </si>
  <si>
    <t>Which Indian state is known for having the most successful Dhop Khel team in the national championships?</t>
  </si>
  <si>
    <t>Which Indian city hosted the first ever Dhop Khel National Championship in 1995?</t>
  </si>
  <si>
    <t>A) Delhi, B) Mumbai, C) Jaipur, D) Kolkata</t>
  </si>
  <si>
    <t>What is the most common type of move used in Dhop Khel to avoid being tagged?</t>
  </si>
  <si>
    <t>A) Quick Turn, B) High Jump, C) Side-Step, D) Spin Move</t>
  </si>
  <si>
    <t>A) Quick Turn</t>
  </si>
  <si>
    <t>Which Indian state was the first to include Dhop Khel in its school sports curriculum?</t>
  </si>
  <si>
    <t>Which Dhop Khel player is known for their exceptional skills in the 'Tag and Run' strategy?</t>
  </si>
  <si>
    <t>A) Mohan Kumar, B) Arvind Sharma, C) Rajesh Yadav, D) Sunil Patel</t>
  </si>
  <si>
    <t>A) Mohan Kumar</t>
  </si>
  <si>
    <t>In which year did the Dhop Khel sport first appear in the Asian Games?</t>
  </si>
  <si>
    <t>A) 2006, B) 2010, C) 2014, D) 2018</t>
  </si>
  <si>
    <t>A) 2006</t>
  </si>
  <si>
    <t>Which Dhop Khel team won the first International Dhop Khel Cup in 2015?</t>
  </si>
  <si>
    <t>Which Indian city is known for having the most number of Dhop Khel academies?</t>
  </si>
  <si>
    <t>A) Jaipur, B) Delhi, C) Mumbai, D) Udaipur</t>
  </si>
  <si>
    <t>D) Udaipur</t>
  </si>
  <si>
    <t>Which player is known for developing the 'Double Tag' technique in Dhop Khel?</t>
  </si>
  <si>
    <t>A) Rajeev Kumar, B) Mohan Sharma, C) Arvind Patel, D) Sunil Singh</t>
  </si>
  <si>
    <t>What is the traditional term for a 'Dhop Khel' coach in India?</t>
  </si>
  <si>
    <t>A) Umpire, B) Referee, C) Mentor, D) Trainer</t>
  </si>
  <si>
    <t>D) Trainer</t>
  </si>
  <si>
    <t>Which state was the first to establish a Dhop Khel professional league?</t>
  </si>
  <si>
    <t>A) Maharashtra, B) Punjab, C) Rajasthan, D) Haryana</t>
  </si>
  <si>
    <t>Who was the captain of the Indian team during their 2018 Dhop Khel World Cup victory?</t>
  </si>
  <si>
    <t>A) Rajesh Yadav, B) Mohit Singh, C) Sunil Patel, D) Anil Sharma</t>
  </si>
  <si>
    <t>Which Dhop Khel player is famous for their innovative use of the 'Reverse Dodge' move?</t>
  </si>
  <si>
    <t>A) Ravi Kumar, B) Arvind Patel, C) Rajesh Sharma, D) Mohan Singh</t>
  </si>
  <si>
    <t>B) Arvind Patel</t>
  </si>
  <si>
    <t>Which Indian state has the highest number of Dhop Khel training camps?</t>
  </si>
  <si>
    <t>Who is credited with introducing the 'Double Dodge' technique in Dhop Khel?</t>
  </si>
  <si>
    <t>A) Arvind Kumar, B) Sunil Patel, C) Ravi Yadav, D) Deepak Singh</t>
  </si>
  <si>
    <t>A) Arvind Kumar</t>
  </si>
  <si>
    <t>Which player was known for their aggressive defensive style in the early 2000s?</t>
  </si>
  <si>
    <t>A) Ravi Kumar, B) Rajesh Patel, C) Mohit Sharma, D) Anil Yadav</t>
  </si>
  <si>
    <t>B) Rajesh Patel</t>
  </si>
  <si>
    <t>In which year did Dhop Khel first introduce a standardized international rulebook?</t>
  </si>
  <si>
    <t>Which Dhop Khel player holds the record for the most tags in a single match?</t>
  </si>
  <si>
    <t>A) Mohit Kumar, B) Anil Sharma, C) Ravi Patel, D) Rajesh Singh</t>
  </si>
  <si>
    <t>A) Mohit Kumar</t>
  </si>
  <si>
    <t>What is the maximum number of players allowed on a Dhop Khel field during a game?</t>
  </si>
  <si>
    <t>Which Indian state is renowned for its historic Dhop Khel tournaments?</t>
  </si>
  <si>
    <t>A) Rajasthan, B) Haryana, C) Punjab, D) Gujarat</t>
  </si>
  <si>
    <t>What significant change was introduced to Dhop Khel's field dimensions in 2010?</t>
  </si>
  <si>
    <t>A) Reduction in field size, B) Increase in field size, C) Introduction of specific zones, D) Change in field shape</t>
  </si>
  <si>
    <t>B) Increase in field size</t>
  </si>
  <si>
    <t>Who was the first female player to compete in the Dhop Khel World Cup?</t>
  </si>
  <si>
    <t>A) Anita Sharma, B) Priya Patel, C) Sunita Kumar, D) Neelam Yadav</t>
  </si>
  <si>
    <t>C) Sunita Kumar</t>
  </si>
  <si>
    <t>Which historical event is believed to have popularized Dhop Khel strategies?</t>
  </si>
  <si>
    <t>A) The Mughal Empire's military training, B) The Rajputana battles, C) The British colonial sports festivals, D) The Maratha wars</t>
  </si>
  <si>
    <t>B) The Rajputana battles</t>
  </si>
  <si>
    <t>Which Indian Dhop Khel player is known for their innovative use of the 'Triple Tag' technique?</t>
  </si>
  <si>
    <t>A) Ravi Patel, B) Mohit Sharma, C) Rajesh Kumar, D) Sunil Singh</t>
  </si>
  <si>
    <t>B) Mohit Sharma</t>
  </si>
  <si>
    <t>What year did Dhop Khel first appear in the Commonwealth Games?</t>
  </si>
  <si>
    <t>A) 2010, B) 2014, C) 2018, D) 2022</t>
  </si>
  <si>
    <t>Which Dhop Khel team won the 2022 South Asian Games gold medal?</t>
  </si>
  <si>
    <t>A) India, B) Nepal, C) Bangladesh, D) Pakistan</t>
  </si>
  <si>
    <t>Which Indian city is famous for hosting the annual Dhop Khel Challenge Cup?</t>
  </si>
  <si>
    <t>A) Mumbai, B) Delhi, C) Jaipur, D) Udaipur</t>
  </si>
  <si>
    <t>What traditional equipment is used by Dhop Khel players to enhance their grip?</t>
  </si>
  <si>
    <t>A) Gloves, B) Wristbands, C) Tape, D) Grip powder</t>
  </si>
  <si>
    <t>D) Grip powder</t>
  </si>
  <si>
    <t>Which Dhop Khel player is famous for their strategic use of the 'High Kick Dodge' technique?</t>
  </si>
  <si>
    <t>A) Anil Sharma, B) Ravi Kumar, C) Sunil Patel, D) Rajesh Yadav</t>
  </si>
  <si>
    <t>Which year did Dhop Khel introduce the concept of 'Super League' for professional teams?</t>
  </si>
  <si>
    <t>Which state has produced the most international Dhop Khel referees?</t>
  </si>
  <si>
    <t>Which Indian player is known for their expertise in the 'Long Reach Tag' technique?</t>
  </si>
  <si>
    <t>A) Mohan Sharma, B) Anil Kumar, C) Rajesh Patel, D) Ravi Yadav</t>
  </si>
  <si>
    <t>What is the average number of players on each team in a standard Dhop Khel match?</t>
  </si>
  <si>
    <t>A) 8, B) 9, C) 10, D) 11</t>
  </si>
  <si>
    <t>B) 9</t>
  </si>
  <si>
    <t>Which Indian state is known for its historic Dhop Khel tournaments that date back to the 19th century?</t>
  </si>
  <si>
    <t>A) Punjab, B) Rajasthan, C) Gujarat, D) Maharashtra</t>
  </si>
  <si>
    <t>Who was the first player to achieve a perfect game score in a Dhop Khel World Cup match?</t>
  </si>
  <si>
    <t>A) Mohit Kumar, B) Ravi Patel, C) Rajesh Kumar, D) Arvind Sharma</t>
  </si>
  <si>
    <t>Which Indian state has the most number of Dhop Khel international players?</t>
  </si>
  <si>
    <t>What is the average duration of a professional Dhop Khel match?</t>
  </si>
  <si>
    <t>A) 30 minutes, B) 45 minutes, C) 60 minutes, D) 75 minutes</t>
  </si>
  <si>
    <t>Which Indian player was awarded the Best Defensive Player in the 2019 World Cup?</t>
  </si>
  <si>
    <t>A) Mohit Singh, B) Anil Kumar, C) Rajesh Patel, D) Ravi Kumar</t>
  </si>
  <si>
    <t>A) Mohit Singh</t>
  </si>
  <si>
    <t>Which Dhop Khel player is known for their exceptional speed and agility on the field?</t>
  </si>
  <si>
    <t>A) Sunil Kumar, B) Arvind Yadav, C) Deepak Patel, D) Ravi Sharma</t>
  </si>
  <si>
    <t>B) Arvind Yadav</t>
  </si>
  <si>
    <t>Which Indian state was the first to introduce Dhop Khel in its college sports curriculum?</t>
  </si>
  <si>
    <t>Which player is known for their innovative use of the 'Jump Tag' technique in Dhop Khel?</t>
  </si>
  <si>
    <t>A) Rajesh Singh, B) Anil Sharma, C) Ravi Patel, D) Mohit Kumar</t>
  </si>
  <si>
    <t>D) Mohit Kumar</t>
  </si>
  <si>
    <t>Which Dhop Khel team won the gold medal at the 2019 Asian Championships?</t>
  </si>
  <si>
    <t>A) India, B) Nepal, C) Pakistan, D) Bangladesh</t>
  </si>
  <si>
    <t>What year did Dhop Khel introduce a standardized international coaching certification program?</t>
  </si>
  <si>
    <t>Which Indian player is famous for their strategic use of the 'Fake Tag' technique?</t>
  </si>
  <si>
    <t>A) Mohit Sharma, B) Rajesh Kumar, C) Ravi Patel, D) Sunil Yadav</t>
  </si>
  <si>
    <t>C) Ravi Patel</t>
  </si>
  <si>
    <t>Which city hosted the Dhop Khel National Championship in 2021?</t>
  </si>
  <si>
    <t>A) Delhi, B) Mumbai, C) Jaipur, D) Chennai</t>
  </si>
  <si>
    <t>Which Dhop Khel player holds the record for the most number of tags in a single match?</t>
  </si>
  <si>
    <t>A) Mohit Yadav, B) Ravi Sharma, C) Anil Singh, D) Rajesh Patel</t>
  </si>
  <si>
    <t>A) Mohit Yadav</t>
  </si>
  <si>
    <t>What is the most popular Dhop Khel move for escaping a tag in the final minutes of a match?</t>
  </si>
  <si>
    <t>A) Quick Sprint, B) Zigzag Run, C) High Jump, D) Spin Move</t>
  </si>
  <si>
    <t>Which Indian player was awarded the Player of the Tournament in the 2021 South Asian Games?</t>
  </si>
  <si>
    <t>A) Ravi Kumar, B) Anil Sharma, C) Rajesh Singh, D) Mohit Patel</t>
  </si>
  <si>
    <t>Which Dhop Khel player is known for their innovative 'Low Crawl Dodge' technique?</t>
  </si>
  <si>
    <t>A) Mohan Singh, B) Sunil Patel, C) Rajesh Kumar, D) Ravi Yadav</t>
  </si>
  <si>
    <t>A) Mohan Singh</t>
  </si>
  <si>
    <t>What is the typical length of a Dhop Khel match's extra time period?</t>
  </si>
  <si>
    <t>A) 5 minutes</t>
  </si>
  <si>
    <t>Which Indian state has produced the most number of Dhop Khel referees?</t>
  </si>
  <si>
    <t>A) Haryana, B) Punjab, C) Rajasthan, D) Gujarat</t>
  </si>
  <si>
    <t>Who was the first player to win the Dhop Khel Player of the Year award?</t>
  </si>
  <si>
    <t>A) Ravi Patel, B) Anil Sharma, C) Rajesh Kumar, D) Mohit Yadav</t>
  </si>
  <si>
    <t>Which state is known for its historic Dhop Khel rivalry that has lasted for decades?</t>
  </si>
  <si>
    <t>What year did Dhop Khel first introduce a standardized international tournament format?</t>
  </si>
  <si>
    <t>Which Indian Dhop Khel player is known for their exceptional use of the 'Side-Step Dodge' technique?</t>
  </si>
  <si>
    <t>A) Ravi Kumar, B) Rajesh Patel, C) Mohit Singh, D) Sunil Sharma</t>
  </si>
  <si>
    <t>Which country first introduced the concept of 'Dhop Khel Professional Leagues'?</t>
  </si>
  <si>
    <t>Which player is known for their mastery of the 'Reverse Spin' technique in Dhop Khel?</t>
  </si>
  <si>
    <t>A) Ravi Kumar, B) Arvind Patel, C) Mohan Sharma, D) Rajesh Yadav</t>
  </si>
  <si>
    <t>D) Rajesh Yadav</t>
  </si>
  <si>
    <t>Which Indian state is known for its historic Dhop Khel tournaments and annual competitions?</t>
  </si>
  <si>
    <t>A) Haryana, B) Punjab, C) Gujarat, D) Rajasthan</t>
  </si>
  <si>
    <t>What is the traditional term for a Dhop Khel referee in India?</t>
  </si>
  <si>
    <t>A) Umpire, B) Judge, C) Referee, D) Adjudicator</t>
  </si>
  <si>
    <t>C) Referee</t>
  </si>
  <si>
    <t>Who is considered the greatest Dhop Khel player of the 21st century?</t>
  </si>
  <si>
    <t>A) Rajesh Singh, B) Mohan Sharma, C) Ravi Kumar, D) Anil Yadav</t>
  </si>
  <si>
    <t>A) Rajesh Singh</t>
  </si>
  <si>
    <t>Which Dhop Khel tournament is known as the most prestigious event in the sport?</t>
  </si>
  <si>
    <t>A) Asian Championship, B) World Cup, C) Commonwealth Games, D) South Asian Games</t>
  </si>
  <si>
    <t>B) World Cup</t>
  </si>
  <si>
    <t>What is the maximum number of players allowed on a Dhop Khel team?</t>
  </si>
  <si>
    <t>A) 9, B) 10, C) 11, D) 12</t>
  </si>
  <si>
    <t>C) 11</t>
  </si>
  <si>
    <t>In which year was Dhop Khel officially recognized by the International Sports Federation?</t>
  </si>
  <si>
    <t>Which player holds the record for the most points scored in a single Dhop Khel World Cup match?</t>
  </si>
  <si>
    <t>A) Mohit Sharma, B) Anil Kumar, C) Ravi Patel, D) Sunil Yadav</t>
  </si>
  <si>
    <t>A) Mohit Sharma</t>
  </si>
  <si>
    <t>Which country won the first-ever Dhop Khel World Cup?</t>
  </si>
  <si>
    <t>Which Indian city hosted the first Dhop Khel World Cup?</t>
  </si>
  <si>
    <t>A) Jaipur, B) Delhi, C) Mumbai, D) Kolkata</t>
  </si>
  <si>
    <t>What year was the first professional Dhop Khel league established?</t>
  </si>
  <si>
    <t>Which Dhop Khel player is renowned for the 'Air Spin' move?</t>
  </si>
  <si>
    <t>A) Anil Yadav, B) Ravi Sharma, C) Sunil Patel, D) Mohit Kumar</t>
  </si>
  <si>
    <t>Who is the first female Dhop Khel player to win the World Player of the Year award?</t>
  </si>
  <si>
    <t>A) Meera Patel, B) Anjali Sharma, C) Sita Yadav, D) Rina Kumari</t>
  </si>
  <si>
    <t>B) Anjali Sharma</t>
  </si>
  <si>
    <t>Which country hosted the Dhop Khel World Cup in 2019?</t>
  </si>
  <si>
    <t>B) Nepal</t>
  </si>
  <si>
    <t>Which Dhop Khel move is used primarily for defensive maneuvers?</t>
  </si>
  <si>
    <t>A) Jump Tag, B) Spin Dodge, C) Quick Tackle, D) Low Crawl</t>
  </si>
  <si>
    <t>B) Spin Dodge</t>
  </si>
  <si>
    <t>Which Dhop Khel team won the 2020 National Championship in India?</t>
  </si>
  <si>
    <t>A) Rajasthan Royals, B) Punjab Panthers, C) Delhi Warriors, D) Mumbai Mavericks</t>
  </si>
  <si>
    <t>C) Delhi Warriors</t>
  </si>
  <si>
    <t>What year did Dhop Khel first appear in the Asian Games?</t>
  </si>
  <si>
    <t>Which Indian player is known for their mastery of the 'Underarm Tag' technique?</t>
  </si>
  <si>
    <t>A) Anil Sharma, B) Ravi Patel, C) Mohan Kumar, D) Sunil Yadav</t>
  </si>
  <si>
    <t>B) Ravi Patel</t>
  </si>
  <si>
    <t>What is the traditional playing field surface for Dhop Khel?</t>
  </si>
  <si>
    <t>A) Grass, B) Clay, C) Sand, D) Astroturf</t>
  </si>
  <si>
    <t>A) Grass</t>
  </si>
  <si>
    <t>Which Dhop Khel player is famous for the 'Backflip Escape' technique?</t>
  </si>
  <si>
    <t>A) Sunil Kumar, B) Anil Yadav, C) Mohit Sharma, D) Ravi Patel</t>
  </si>
  <si>
    <t>C) Mohit Sharma</t>
  </si>
  <si>
    <t>Which country is known for introducing the concept of Dhop Khel training academies?</t>
  </si>
  <si>
    <t>What is the duration of each half in a standard Dhop Khel match?</t>
  </si>
  <si>
    <t>C) 20 minutes</t>
  </si>
  <si>
    <t>Which Indian player holds the record for the most consecutive Dhop Khel National Championships won?</t>
  </si>
  <si>
    <t>A) Rajesh Kumar, B) Anil Sharma, C) Mohit Patel, D) Ravi Yadav</t>
  </si>
  <si>
    <t>Who is the youngest player to ever compete in a Dhop Khel World Cup?</t>
  </si>
  <si>
    <t>A) Rajesh Yadav, B) Mohan Patel, C) Sunil Sharma, D) Anil Kumar</t>
  </si>
  <si>
    <t>Which Indian city is famous for its annual Dhop Khel Marathon?</t>
  </si>
  <si>
    <t>A) Delhi, B) Mumbai, C) Jaipur, D) Bangalore</t>
  </si>
  <si>
    <t>What is the primary objective of the 'Blind Tag' technique in Dhop Khel?</t>
  </si>
  <si>
    <t>A) To surprise the opponent, B) To evade a tag, C) To confuse the referee, D) To distract the crowd</t>
  </si>
  <si>
    <t>A) To surprise the opponent</t>
  </si>
  <si>
    <t>Which player is known for their exceptional performance in the 2018 Dhop Khel World Cup?</t>
  </si>
  <si>
    <t>A) Ravi Sharma, B) Anil Yadav, C) Mohit Kumar, D) Sunil Patel</t>
  </si>
  <si>
    <t>B) Anil Yadav</t>
  </si>
  <si>
    <t>What is the official size of a Dhop Khel playing field?</t>
  </si>
  <si>
    <t>A) 50m x 25m, B) 60m x 30m, C) 70m x 35m, D) 80m x 40m</t>
  </si>
  <si>
    <t>B) 60m x 30m</t>
  </si>
  <si>
    <t>Which Dhop Khel team is known as the 'Invincibles' due to their unbeaten streak?</t>
  </si>
  <si>
    <t>A) Delhi Warriors, B) Punjab Panthers, C) Rajasthan Royals, D) Mumbai Mavericks</t>
  </si>
  <si>
    <t>A) Delhi Warriors</t>
  </si>
  <si>
    <t>Which Dhop Khel move involves quickly changing direction to evade a tag?</t>
  </si>
  <si>
    <t>A) Quick Tackle, B) Zigzag Run, C) Spin Dodge, D) High Jump</t>
  </si>
  <si>
    <t>Who won the Most Valuable Player (MVP) award in the 2020 Dhop Khel World Cup?</t>
  </si>
  <si>
    <t>Which player is famous for the 'Triple Spin' move in Dhop Khel?</t>
  </si>
  <si>
    <t>A) Mohan Kumar, B) Ravi Sharma, C) Anil Yadav, D) Rajesh Patel</t>
  </si>
  <si>
    <t>C) Anil Yadav</t>
  </si>
  <si>
    <t>What year did Dhop Khel introduce a women's division in international competitions?</t>
  </si>
  <si>
    <t>A) 2008, B) 2012, C) 2016, D) 2020</t>
  </si>
  <si>
    <t>C) 2016</t>
  </si>
  <si>
    <t>Which Indian state is renowned for producing the most skilled Dhop Khel players?</t>
  </si>
  <si>
    <t>Who was the first coach to win back-to-back Dhop Khel World Cups?</t>
  </si>
  <si>
    <t>A) Rajesh Singh, B) Anil Kumar, C) Mohit Yadav, D) Ravi Patel</t>
  </si>
  <si>
    <t>Which Dhop Khel player is renowned for their endurance and stamina in matches?</t>
  </si>
  <si>
    <t>A) Sunil Yadav, B) Mohan Sharma, C) Ravi Patel, D) Anil Kumar</t>
  </si>
  <si>
    <t>A) Sunil Yadav</t>
  </si>
  <si>
    <t>Which country's team is known as the 'Lions' in Dhop Khel?</t>
  </si>
  <si>
    <t>Which Dhop Khel move is primarily used to tag an opponent who is running?</t>
  </si>
  <si>
    <t>A) High Jump, B) Quick Tackle, C) Spin Dodge, D) Low Crawl</t>
  </si>
  <si>
    <t>B) Quick Tackle</t>
  </si>
  <si>
    <t>What is the significance of the 'Golden Tag' in Dhop Khel?</t>
  </si>
  <si>
    <t>A) It ends the game, B) It gives double points, C) It is used to break a tie, D) It eliminates a player permanently</t>
  </si>
  <si>
    <t>B) It gives double points</t>
  </si>
  <si>
    <t>Which player holds the record for the longest career in Dhop Khel history?</t>
  </si>
  <si>
    <t>A) Ravi Sharma, B) Mohan Yadav, C) Sunil Kumar, D) Anil Patel</t>
  </si>
  <si>
    <t>D) Anil Patel</t>
  </si>
  <si>
    <t>Which Dhop Khel tournament is held annually in honor of a legendary player?</t>
  </si>
  <si>
    <t>A) Sharma Cup, B) Patel Memorial, C) Yadav Trophy, D) Kumar Classic</t>
  </si>
  <si>
    <t>B) Patel Memorial</t>
  </si>
  <si>
    <t>Which Dhop Khel team is known for their aggressive style of play?</t>
  </si>
  <si>
    <t>A) Mumbai Mavericks, B) Punjab Panthers, C) Delhi Warriors, D) Rajasthan Royals</t>
  </si>
  <si>
    <t>B) Punjab Panthers</t>
  </si>
  <si>
    <t>Which player is famous for the 'Diving Catch' in Dhop Khel?</t>
  </si>
  <si>
    <t>D) Sunil Yadav</t>
  </si>
  <si>
    <t>Which Indian city is known as the 'Home of Dhop Khel'?</t>
  </si>
  <si>
    <t>A) Jaipur, B) Mumbai, C) Delhi, D) Kolkata</t>
  </si>
  <si>
    <t>Which year did the Dhop Khel World Cup introduce a knockout stage format?</t>
  </si>
  <si>
    <t>Which Dhop Khel player is known for their ability to perform under pressure?</t>
  </si>
  <si>
    <t>A) Rajesh Kumar, B) Anil Yadav, C) Mohit Sharma, D) Ravi Patel</t>
  </si>
  <si>
    <t>Which Dhop Khel team won the 2018 Asian Championship?</t>
  </si>
  <si>
    <t>Which player is known for the 'Backward Run' technique in Dhop Khel?</t>
  </si>
  <si>
    <t>A) Mohan Kumar, B) Anil Yadav, C) Ravi Sharma, D) Sunil Patel</t>
  </si>
  <si>
    <t>Which Dhop Khel move is used to deceive the opponent by faking a tag?</t>
  </si>
  <si>
    <t>A) Fake Spin, B) False Tag, C) Shadow Move, D) Dummy Run</t>
  </si>
  <si>
    <t>D) Dummy Run</t>
  </si>
  <si>
    <t>Which country's team is nicknamed the 'Eagles' in Dhop Khel?</t>
  </si>
  <si>
    <t>D) Bangladesh</t>
  </si>
  <si>
    <t>Which player won the Best Defender award in the 2019 Dhop Khel World Cup?</t>
  </si>
  <si>
    <t>A) Mohit Sharma, B) Ravi Patel, C) Anil Yadav, D) Sunil Kumar</t>
  </si>
  <si>
    <t>Which Indian state has the most Dhop Khel clubs?</t>
  </si>
  <si>
    <t>A) Gujarat, B) Rajasthan, C) Punjab, D) Haryana</t>
  </si>
  <si>
    <t>What is the primary objective of the 'Double Tackle' technique in Dhop Khel?</t>
  </si>
  <si>
    <t>A) To tag two players simultaneously, B) To distract the opponent, C) To evade a tag, D) To confuse the referee</t>
  </si>
  <si>
    <t>A) To tag two players simultaneously</t>
  </si>
  <si>
    <t>Which Dhop Khel player is renowned for their agility and speed on the field?</t>
  </si>
  <si>
    <t>A) Anil Kumar, B) Ravi Patel, C) Mohan Sharma, D) Sunil Yadav</t>
  </si>
  <si>
    <t>Who is the current coach of the Indian Dhop Khel national team?</t>
  </si>
  <si>
    <t>A) Rajesh Yadav, B) Mohan Kumar, C) Ravi Sharma, D) Anil Patel</t>
  </si>
  <si>
    <t>Which Dhop Khel tournament is known for its high level of competition?</t>
  </si>
  <si>
    <t>A) National Championship, B) Asian Championship, C) World Cup, D) Commonwealth Games</t>
  </si>
  <si>
    <t>C) World Cup</t>
  </si>
  <si>
    <t>Which player is famous for their defensive prowess in Dhop Khel?</t>
  </si>
  <si>
    <t>A) Ravi Patel, B) Mohan Kumar, C) Sunil Yadav, D) Anil Sharma</t>
  </si>
  <si>
    <t>Which player is known for the 'Reverse Spin' technique in Dhop Khel?</t>
  </si>
  <si>
    <t>Which Indian state is famous for the traditional style of Dhop Khel known as 'Mukti Khel'?</t>
  </si>
  <si>
    <t>A) Maharashtra, B) Kerala, C) Assam, D) Karnataka</t>
  </si>
  <si>
    <t>C) Assam</t>
  </si>
  <si>
    <t>Which year did Dhop Khel get included in the National Games of India?</t>
  </si>
  <si>
    <t>C) 2017</t>
  </si>
  <si>
    <t>Which player is renowned for the 'Silent Tag' technique in Dhop Khel?</t>
  </si>
  <si>
    <t>A) Mohan Sharma, B) Anil Yadav, C) Ravi Patel, D) Sunil Kumar</t>
  </si>
  <si>
    <t>Which Indian city hosted the 2021 Dhop Khel National Championship?</t>
  </si>
  <si>
    <t>A) Delhi, B) Kolkata, C) Jaipur, D) Mumbai</t>
  </si>
  <si>
    <t>Which Dhop Khel move involves a sudden dive to avoid a tag?</t>
  </si>
  <si>
    <t>A) Low Sweep, B) High Jump, C) Duck and Roll, D) Slide Escape</t>
  </si>
  <si>
    <t>D) Slide Escape</t>
  </si>
  <si>
    <t>Which player won the 2020 Dhop Khel World Cup Golden Boot for the most points scored?</t>
  </si>
  <si>
    <t>A) Ravi Kumar, B) Mohit Sharma, C) Anil Patel, D) Sunil Yadav</t>
  </si>
  <si>
    <t>Which country is the main rival of India in international Dhop Khel competitions?</t>
  </si>
  <si>
    <t>Which Dhop Khel team is known as the 'Tigers' due to their fierce gameplay?</t>
  </si>
  <si>
    <t>A) Rajasthan Royals, B) Delhi Warriors, C) Punjab Panthers, D) Mumbai Mavericks</t>
  </si>
  <si>
    <t>C) Punjab Panthers</t>
  </si>
  <si>
    <t>Which player is famous for the 'Airborne Tag' in Dhop Khel?</t>
  </si>
  <si>
    <t>A) Anil Yadav, B) Mohan Sharma, C) Ravi Patel, D) Sunil Kumar</t>
  </si>
  <si>
    <t>D) Sunil Kumar</t>
  </si>
  <si>
    <t>Which Dhop Khel team won the 2019 Asian Championship?</t>
  </si>
  <si>
    <t>A) Nepal, B) Pakistan, C) India, D) Bangladesh</t>
  </si>
  <si>
    <t>Which player is known for their exceptional tackling skills in Dhop Khel?</t>
  </si>
  <si>
    <t>A) Mohan Kumar, B) Anil Sharma, C) Ravi Patel, D) Sunil Yadav</t>
  </si>
  <si>
    <t>Which Indian state has a rich history of Dhop Khel and regularly hosts state-level tournaments?</t>
  </si>
  <si>
    <t>A) Gujarat, B) Punjab, C) Haryana, D) Rajasthan</t>
  </si>
  <si>
    <t>Who is the youngest player to win the Dhop Khel World Cup?</t>
  </si>
  <si>
    <t>A) Mohan Sharma, B) Sunil Kumar, C) Ravi Patel, D) Anil Yadav</t>
  </si>
  <si>
    <t>B) Sunil Kumar</t>
  </si>
  <si>
    <t>Which Dhop Khel tournament is known for its unique round-robin format?</t>
  </si>
  <si>
    <t>A) National Championship, B) Asian Games, C) Commonwealth Cup, D) World Cup</t>
  </si>
  <si>
    <t>A) National Championship</t>
  </si>
  <si>
    <t>Which Dhop Khel player has the highest number of tags in a single match?</t>
  </si>
  <si>
    <t>A) Rajesh Kumar, B) Anil Sharma, C) Mohan Yadav, D) Sunil Patel</t>
  </si>
  <si>
    <t>D) Sunil Patel</t>
  </si>
  <si>
    <t>Which year did the first international Dhop Khel match take place?</t>
  </si>
  <si>
    <t>Which player is known for the 'Shadow Defense' technique in Dhop Khel?</t>
  </si>
  <si>
    <t>A) Ravi Sharma, B) Mohan Patel, C) Sunil Kumar, D) Anil Yadav</t>
  </si>
  <si>
    <t>A) Ravi Sharma</t>
  </si>
  <si>
    <t>Which country hosted the 2015 Dhop Khel World Cup?</t>
  </si>
  <si>
    <t>A) India, B) Bangladesh, C) Nepal, D) Pakistan</t>
  </si>
  <si>
    <t>Which Dhop Khel team is nicknamed 'The Gladiators'?</t>
  </si>
  <si>
    <t>A) Rajasthan Royals, B) Delhi Warriors, C) Punjab Panthers, D) Gujarat Gladiators</t>
  </si>
  <si>
    <t>D) Gujarat Gladiators</t>
  </si>
  <si>
    <t>Which player is famous for the 'Crouching Dash' move in Dhop Khel?</t>
  </si>
  <si>
    <t>A) Mohan Sharma, B) Anil Yadav, C) Sunil Patel, D) Ravi Kumar</t>
  </si>
  <si>
    <t>Which Dhop Khel event is known as the 'Battle of the Titans'?</t>
  </si>
  <si>
    <t>A) India vs. Pakistan Match, B) National Championship Final, C) World Cup Semifinal, D) Asian Championship Qualifier</t>
  </si>
  <si>
    <t>A) India vs. Pakistan Match</t>
  </si>
  <si>
    <t>Who was the captain of the Indian team in the 2020 Dhop Khel World Cup?</t>
  </si>
  <si>
    <t>Which player is known for the 'Tornado Spin' technique in Dhop Khel?</t>
  </si>
  <si>
    <t>A) Mohan Sharma, B) Ravi Kumar, C) Sunil Yadav, D) Anil Patel</t>
  </si>
  <si>
    <t>Which Indian state introduced the Dhop Khel sport in schools as a mandatory activity?</t>
  </si>
  <si>
    <t>Which Dhop Khel player is known for their outstanding leadership qualities on the field?</t>
  </si>
  <si>
    <t>A) Ravi Sharma, B) Mohan Kumar, C) Sunil Yadav, D) Anil Yadav</t>
  </si>
  <si>
    <t>Which move in Dhop Khel is used to counter an aggressive tag attempt?</t>
  </si>
  <si>
    <t>A) Slide Tackle, B) Reverse Dodge, C) Backflip Escape, D) Spin Defense</t>
  </si>
  <si>
    <t>C) Backflip Escape</t>
  </si>
  <si>
    <t>Which year was the first Dhop Khel World Cup held?</t>
  </si>
  <si>
    <t>Which Dhop Khel player is famous for their quick reflexes and agility?</t>
  </si>
  <si>
    <t>A) Mohan Sharma, B) Sunil Yadav, C) Anil Kumar, D) Ravi Patel</t>
  </si>
  <si>
    <t>B) Sunil Yadav</t>
  </si>
  <si>
    <t>Which team is known for its defensive strategies in Dhop Khel?</t>
  </si>
  <si>
    <t>A) Delhi Warriors, B) Mumbai Mavericks, C) Punjab Panthers, D) Rajasthan Royals</t>
  </si>
  <si>
    <t>Which country won the Dhop Khel World Cup in 2014?</t>
  </si>
  <si>
    <t>Which player is known for the 'Lightning Bolt' tag in Dhop Khel?</t>
  </si>
  <si>
    <t>A) Ravi Patel, B) Mohan Sharma, C) Anil Kumar, D) Sunil Yadav</t>
  </si>
  <si>
    <t>C) Anil Kumar</t>
  </si>
  <si>
    <t>Which Indian city is famous for hosting the Dhop Khel Festival annually?</t>
  </si>
  <si>
    <t>A) Mumbai, B) Jaipur, C) Delhi, D) Kolkata</t>
  </si>
  <si>
    <t>B) Jaipur</t>
  </si>
  <si>
    <t>Which player has the most number of 'Player of the Match' awards in Dhop Khel history?</t>
  </si>
  <si>
    <t>A) Sunil Kumar, B) Ravi Sharma, C) Anil Yadav, D) Mohan Kumar</t>
  </si>
  <si>
    <t>A) Sunil Kumar</t>
  </si>
  <si>
    <t>Which country's Dhop Khel team is nicknamed the 'Pioneers'?</t>
  </si>
  <si>
    <t>C) Nepal</t>
  </si>
  <si>
    <t>Which Dhop Khel move involves a combination of speed and a sudden change of direction?</t>
  </si>
  <si>
    <t>A) Quick Shift, B) Double Twist, C) Zigzag Run, D) Side Step</t>
  </si>
  <si>
    <t>C) Zigzag Run</t>
  </si>
  <si>
    <t>Who won the Best All-Rounder award in the 2021 Dhop Khel World Cup?</t>
  </si>
  <si>
    <t>D) Anil Yadav</t>
  </si>
  <si>
    <t>Which player is famous for their strategic thinking in Dhop Khel?</t>
  </si>
  <si>
    <t>A) Rajesh Kumar, B) Anil Sharma, C) Mohan Yadav, D) Ravi Patel</t>
  </si>
  <si>
    <t>C) Mohan Yadav</t>
  </si>
  <si>
    <t>Which Dhop Khel event features a unique 'Elimination Round' format?</t>
  </si>
  <si>
    <t>A) Asian Games, B) National Championship, C) World Cup, D) State League</t>
  </si>
  <si>
    <t>B) National Championship</t>
  </si>
  <si>
    <t>Which year did the Dhop Khel Federation of India form?</t>
  </si>
  <si>
    <t>A) 2005, B) 2008, C) 2010, D) 2013</t>
  </si>
  <si>
    <t>D) 2013</t>
  </si>
  <si>
    <t>Which Dhop Khel player is known for their power and strength in tackles?</t>
  </si>
  <si>
    <t>A) Ravi Sharma, B) Mohan Patel, C) Sunil Yadav, D) Anil Kumar</t>
  </si>
  <si>
    <t>Which country introduced the 'Golden Point' rule in Dhop Khel?</t>
  </si>
  <si>
    <t>Which player is known for the 'Flying Tackle' in Dhop Khel?</t>
  </si>
  <si>
    <t>A) Sunil Patel, B) Ravi Sharma, C) Mohan Kumar, D) Anil Yadav</t>
  </si>
  <si>
    <t>Which Dhop Khel team is known as the 'Masters of Defense'?</t>
  </si>
  <si>
    <t>A) Rajasthan Royals, B) Delhi Warriors, C) Gujarat Gladiators, D) Punjab Panthers</t>
  </si>
  <si>
    <t>B) Delhi Warriors</t>
  </si>
  <si>
    <t>Which year did Dhop Khel become part of the Commonwealth Games?</t>
  </si>
  <si>
    <t>A) 2016, B) 2018, C) 2020, D) 2022</t>
  </si>
  <si>
    <t>B) 2018</t>
  </si>
  <si>
    <t>Which player is renowned for their endurance and stamina in Dhop Khel?</t>
  </si>
  <si>
    <t>A) Mohan Sharma, B) Sunil Yadav, C) Ravi Kumar, D) Anil Patel</t>
  </si>
  <si>
    <t>Which Dhop Khel match is famously known as the 'Clash of the Titans'?</t>
  </si>
  <si>
    <t>A) India vs. Nepal, B) India vs. Bangladesh, C) India vs. Pakistan, D) Bangladesh vs. Nepal</t>
  </si>
  <si>
    <t>C) India vs. Pakistan</t>
  </si>
  <si>
    <t>Which Dhop Khel player is known for the 'Serpent Run' move?</t>
  </si>
  <si>
    <t>A) Anil Kumar, B) Ravi Patel, C) Mohan Yadav, D) Sunil Sharma</t>
  </si>
  <si>
    <t>A) Anil Kumar</t>
  </si>
  <si>
    <t>Which Indian state has produced the most Dhop Khel players for the national team?</t>
  </si>
  <si>
    <t>Which player is famous for their strategic game plans in Dhop Khel?</t>
  </si>
  <si>
    <t>A) Mohan Kumar, B) Ravi Sharma, C) Anil Yadav, D) Sunil Patel</t>
  </si>
  <si>
    <t>Which Dhop Khel tournament is known for its knockout format?</t>
  </si>
  <si>
    <t>A) World Cup, B) National Championship, C) Asian Games, D) State League</t>
  </si>
  <si>
    <t>A) World Cup</t>
  </si>
  <si>
    <t>Which country won the first Dhop Khel Commonwealth Cup?</t>
  </si>
  <si>
    <t>Which Dhop Khel player is known for the 'Eagle Dive' move?</t>
  </si>
  <si>
    <t>A) Sunil Patel, B) Anil Kumar, C) Mohan Sharma, D) Ravi Yadav</t>
  </si>
  <si>
    <t>Which Indian state is the host of the Dhop Khel Masters Tournament?</t>
  </si>
  <si>
    <t>Which player has the record for the fastest tag in Dhop Khel history?</t>
  </si>
  <si>
    <t>C) Sunil Yadav</t>
  </si>
  <si>
    <t>Which country hosted the 2022 Dhop Khel World Cup?</t>
  </si>
  <si>
    <t>B) Bangladesh</t>
  </si>
  <si>
    <t>Which Dhop Khel player is known for the 'Phoenix Jump' technique?</t>
  </si>
  <si>
    <t>A) Ravi Patel, B) Sunil Yadav, C) Anil Kumar, D) Mohan Sharma</t>
  </si>
  <si>
    <t>D) Mohan Sharma</t>
  </si>
  <si>
    <t>Which team won the 2018 Dhop Khel Asian Championship?</t>
  </si>
  <si>
    <t>C) Bangladesh</t>
  </si>
  <si>
    <t>Which player is famous for the 'Dragon Dash' move in Dhop Khel?</t>
  </si>
  <si>
    <t>A) Anil Kumar, B) Ravi Yadav, C) Mohan Sharma, D) Sunil Patel</t>
  </si>
  <si>
    <t>B) Ravi Yadav</t>
  </si>
  <si>
    <t>Which Dhop Khel team is known for their offensive playstyle?</t>
  </si>
  <si>
    <t>A) Gujarat Gladiators, B) Punjab Panthers, C) Delhi Warriors, D) Rajasthan Royals</t>
  </si>
  <si>
    <t>D) Rajasthan Royals</t>
  </si>
  <si>
    <t>Which player has the most consecutive wins as captain in Dhop Khel history?</t>
  </si>
  <si>
    <t>A) Mohan Kumar, B) Ravi Sharma, C) Sunil Patel, D) Anil Yadav</t>
  </si>
  <si>
    <t>Which Dhop Khel event is known for its traditional opening ceremony?</t>
  </si>
  <si>
    <t>A) World Cup, B) National Championship, C) State League, D) Asian Games</t>
  </si>
  <si>
    <t>Which Dhop Khel player is known for their defensive prowess?</t>
  </si>
  <si>
    <t>A) Sunil Patel, B) Mohan Sharma, C) Anil Kumar, D) Ravi Yadav</t>
  </si>
  <si>
    <t>Which Dhop Khel match is famously known for its last-minute comeback victory?</t>
  </si>
  <si>
    <t>A) India vs. Pakistan 2014, B) Nepal vs. Bangladesh 2015, C) India vs. Bangladesh 2016, D) Pakistan vs. Nepal 2017</t>
  </si>
  <si>
    <t>A) India vs. Pakistan 2014</t>
  </si>
  <si>
    <t>In which year was Dhop Khel first introduced as a formal sport?</t>
  </si>
  <si>
    <t>A) 1880, B) 1900, C) 1920, D) 1950</t>
  </si>
  <si>
    <t>C) 1920</t>
  </si>
  <si>
    <t>Which Indian state is believed to be the origin of Dhop Khel?</t>
  </si>
  <si>
    <t>A) Assam, B) Punjab, C) Maharashtra, D) Kerala</t>
  </si>
  <si>
    <t>A) Assam</t>
  </si>
  <si>
    <t>When was the first Dhop Khel National Championship held?</t>
  </si>
  <si>
    <t>Who is regarded as the first legendary player of Dhop Khel?</t>
  </si>
  <si>
    <t>A) Manohar Das, B) Rajesh Kumar, C) Subir Sinha, D) Harendra Choudhury</t>
  </si>
  <si>
    <t>D) Harendra Choudhury</t>
  </si>
  <si>
    <t>Which country hosted the first international Dhop Khel match?</t>
  </si>
  <si>
    <t>A) India, B) Bangladesh, C) Nepal, D) Bhutan</t>
  </si>
  <si>
    <t>In which year was Dhop Khel introduced into the National Games of India?</t>
  </si>
  <si>
    <t>A) 1998, B) 2004, C) 2008, D) 2010</t>
  </si>
  <si>
    <t>B) 2004</t>
  </si>
  <si>
    <t>A) Guwahati, B) Kolkata, C) Mumbai, D) New Delhi</t>
  </si>
  <si>
    <t>A) Guwahati</t>
  </si>
  <si>
    <t>What is the historical term used for a Dhop Khel coach in India?</t>
  </si>
  <si>
    <t>A) Guru, B) Ustad, C) Sikshak, D) Khelacharya</t>
  </si>
  <si>
    <t>D) Khelacharya</t>
  </si>
  <si>
    <t>Which year marked the introduction of Dhop Khel's professional league?</t>
  </si>
  <si>
    <t>Who was the captain of the Indian Dhop Khel team during the 2018 World Cup?</t>
  </si>
  <si>
    <t>A) Arjun Singh, B) Rahul Verma, C) Suresh Das, D) Anil Sharma</t>
  </si>
  <si>
    <t>C) Suresh Das</t>
  </si>
  <si>
    <t>A) Assam, B) Punjab, C) Kerala, D) Uttar Pradesh</t>
  </si>
  <si>
    <t>In which year was the first Dhop Khel international rulebook standardized?</t>
  </si>
  <si>
    <t>A) Harsh Patel, B) Vikas Sharma, C) Ranjan Das, D) Subodh Rai</t>
  </si>
  <si>
    <t>B) Vikas Sharma</t>
  </si>
  <si>
    <t>A) Pooja Das, B) Asha Gupta, C) Nandini Sharma, D) Sunita Sen</t>
  </si>
  <si>
    <t>D) Sunita Sen</t>
  </si>
  <si>
    <t>Which state was the first to introduce a Dhop Khel professional league?</t>
  </si>
  <si>
    <t>A) Assam, B) Maharashtra, C) West Bengal, D) Punjab</t>
  </si>
  <si>
    <t>A) Reduced field size, B) Increased goalpost height, C) Standardized field markings, D) Time limit per game</t>
  </si>
  <si>
    <t>C) Standardized field markings</t>
  </si>
  <si>
    <t>Who won the Best Defensive Player award in the 2019 Dhop Khel World Cup?</t>
  </si>
  <si>
    <t>A) Suraj Rai, B) Amit Singh, C) Ajay Kumar, D) Manoj Das</t>
  </si>
  <si>
    <t>A) Suraj Rai</t>
  </si>
  <si>
    <t>In which year did Dhop Khel first appear in the Commonwealth Games?</t>
  </si>
  <si>
    <t>A) 2018, B) 2020, C) 2022, D) 2024</t>
  </si>
  <si>
    <t>A) 2018</t>
  </si>
  <si>
    <t>Who was the first player to achieve a perfect score in a Dhop Khel World Cup match?</t>
  </si>
  <si>
    <t>A) Vinod Sinha, B) Arjun Desai, C) Santosh Patel, D) Ravi Kiran</t>
  </si>
  <si>
    <t>C) Santosh Patel</t>
  </si>
  <si>
    <t>Which Indian state is renowned for its historic Dhop Khel tournaments dating back to the 19th century?</t>
  </si>
  <si>
    <t>A) Assam, B) Punjab, C) Rajasthan, D) Maharashtra</t>
  </si>
  <si>
    <t>A) Sumit Das, B) Neeraj Pandey, C) Kiran Sharma, D) Rajiv Sinha</t>
  </si>
  <si>
    <t>B) Neeraj Pandey</t>
  </si>
  <si>
    <t>Which Indian player is credited with introducing the 'Triple Tag' technique in Dhop Khel?</t>
  </si>
  <si>
    <t>A) Rakesh Patel, B) Ajay Das, C) Surya Kumar, D) Anil Kumar</t>
  </si>
  <si>
    <t>In which year did Dhop Khel become a recognized national sport in India?</t>
  </si>
  <si>
    <t>A) 1985, B) 1992, C) 1998, D) 2004</t>
  </si>
  <si>
    <t>D) 2004</t>
  </si>
  <si>
    <t>A) Ravi Das, B) Harish Kumar, C) Suraj Patil, D) Vinay Verma</t>
  </si>
  <si>
    <t>C) Suraj Patil</t>
  </si>
  <si>
    <t>A) Ravi Das, B) Manoj Rai, C) Harish Patel, D) Amit Kumar</t>
  </si>
  <si>
    <t>A) Ravi Das</t>
  </si>
  <si>
    <t>Which Indian state has the most number of Dhop Khel clubs?</t>
  </si>
  <si>
    <t>A) Assam, B) West Bengal, C) Gujarat, D) Kerala</t>
  </si>
  <si>
    <t>Who was the first Dhop Khel player to win the Player of the Year award?</t>
  </si>
  <si>
    <t>A) Amit Singh, B) Rakesh Sharma, C) Arjun Patel, D) Subodh Das</t>
  </si>
  <si>
    <t>B) Rakesh Sharma</t>
  </si>
  <si>
    <t>Which year did the Dhop Khel World Cup introduce the knockout stage format?</t>
  </si>
  <si>
    <t>A) Assam, B) Kerala, C) West Bengal, D) Punjab</t>
  </si>
  <si>
    <t>A) Harinder Choudhury, B) Rahul Verma, C) Pankaj Rai, D) Deepak Sen</t>
  </si>
  <si>
    <t>D) Deepak Sen</t>
  </si>
  <si>
    <t>A) Assam, B) Punjab, C) Maharashtra, D) Uttar Pradesh</t>
  </si>
  <si>
    <t>What year did Dhop Khel first appear in the South Asian Games?</t>
  </si>
  <si>
    <t>A) 2010, B) 2014, C) 2016, D) 2018</t>
  </si>
  <si>
    <t>Which player holds the record for the most goals scored in a single Dhop Khel match?</t>
  </si>
  <si>
    <t>A) Rohan Das, B) Ankit Patel, C) Suraj Singh, D) Rakesh Sharma</t>
  </si>
  <si>
    <t>C) Suraj Singh</t>
  </si>
  <si>
    <t>When was the official Dhop Khel Federation of India established?</t>
  </si>
  <si>
    <t>Which country competed against India in the first international Dhop Khel match?</t>
  </si>
  <si>
    <t>A) Bangladesh, B) Sri Lanka, C) Nepal, D) Bhutan</t>
  </si>
  <si>
    <t>A) Bangladesh</t>
  </si>
  <si>
    <t>Who was the first Dhop Khel player to win an international Player of the Year award?</t>
  </si>
  <si>
    <t>A) Subodh Kumar, B) Ravi Das, C) Suresh Singh, D) Suraj Rai</t>
  </si>
  <si>
    <t>B) Ravi Das</t>
  </si>
  <si>
    <t>Which year marked the first televised Dhop Khel match in India?</t>
  </si>
  <si>
    <t>Who was the youngest player to represent India in a Dhop Khel World Cup?</t>
  </si>
  <si>
    <t>A) Amit Das, B) Nilesh Patel, C) Rajiv Kumar, D) Rohit Sharma</t>
  </si>
  <si>
    <t>A) Amit Das</t>
  </si>
  <si>
    <t>Which Indian state established the first official Dhop Khel academy?</t>
  </si>
  <si>
    <t>A) Assam, B) Uttar Pradesh, C) West Bengal, D) Kerala</t>
  </si>
  <si>
    <t>Which year did Dhop Khel become a part of the National Youth Games in India?</t>
  </si>
  <si>
    <t>Who holds the record for the fastest goal in Dhop Khel World Cup history?</t>
  </si>
  <si>
    <t>A) Rakesh Das, B) Ajay Patel, C) Suresh Kumar, D) Amit Singh</t>
  </si>
  <si>
    <t>A) Rakesh Das</t>
  </si>
  <si>
    <t>Which Indian Dhop Khel player is famous for their agility and speed in the game?</t>
  </si>
  <si>
    <t>A) Anil Sinha, B) Rajiv Sharma, C) Surya Sen, D) Ravi Kumar</t>
  </si>
  <si>
    <t>D) Ravi Kumar</t>
  </si>
  <si>
    <t>Which Indian player won the Best Attacker award in the 2021 Dhop Khel World Cup?</t>
  </si>
  <si>
    <t>A) Amit Kumar, B) Suraj Singh, C) Rajan Das, D) Manoj Sinha</t>
  </si>
  <si>
    <t>B) Suraj Singh</t>
  </si>
  <si>
    <t>When was the Dhop Khel International Federation established?</t>
  </si>
  <si>
    <t>In which region of India did Dhop Khel originate?</t>
  </si>
  <si>
    <t>A) Assam, B) Punjab, C) Gujarat, D) Rajasthan</t>
  </si>
  <si>
    <t>Which community is historically associated with the development of Dhop Khel?</t>
  </si>
  <si>
    <t>A) Ahom, B) Maratha, C) Rajput, D) Mughal</t>
  </si>
  <si>
    <t>A) Ahom</t>
  </si>
  <si>
    <t>In ancient times, Dhop Khel was mainly played during which festival?</t>
  </si>
  <si>
    <t>A) Bihu, B) Holi, C) Diwali, D) Pongal</t>
  </si>
  <si>
    <t>A) Bihu</t>
  </si>
  <si>
    <t>What was the primary purpose of Dhop Khel in ancient Assam?</t>
  </si>
  <si>
    <t>A) Entertainment during festivals, B) Military training, C) Agricultural celebrations, D) Religious rituals</t>
  </si>
  <si>
    <t>Which century saw the first recorded mention of Dhop Khel in Assamese literature?</t>
  </si>
  <si>
    <t>A) 13th century, B) 15th century, C) 17th century, D) 19th century</t>
  </si>
  <si>
    <t>C) 17th century</t>
  </si>
  <si>
    <t>Which king is known to have promoted Dhop Khel as a royal sport in Assam?</t>
  </si>
  <si>
    <t>A) Rudra Singha, B) Ahom Burhagohain, C) Pratap Singha, D) Sukapha</t>
  </si>
  <si>
    <t>A) Rudra Singha</t>
  </si>
  <si>
    <t>Dhop Khel was traditionally played with what kind of ball?</t>
  </si>
  <si>
    <t>A) A leather ball, B) A wooden ball, C) A cloth ball, D) A rubber ball</t>
  </si>
  <si>
    <t>C) A cloth ball</t>
  </si>
  <si>
    <t>Which British official recorded the rules of Dhop Khel in the 19th century?</t>
  </si>
  <si>
    <t>A) Charles Allen, B) John Butler, C) Henry Cotton, D) William Robinson</t>
  </si>
  <si>
    <t>D) William Robinson</t>
  </si>
  <si>
    <t>In what century did Dhop Khel gain recognition outside Assam?</t>
  </si>
  <si>
    <t>A) 19th century, B) 20th century, C) 18th century, D) 17th century</t>
  </si>
  <si>
    <t>B) 20th century</t>
  </si>
  <si>
    <t>Which historical event led to the decline of Dhop Khel as a regular sport?</t>
  </si>
  <si>
    <t>A) British colonization, B) Indian independence, C) Industrial Revolution, D) Partition of India</t>
  </si>
  <si>
    <t>A) British colonization</t>
  </si>
  <si>
    <t>Dhop Khel was revived during which major Indian independence movement?</t>
  </si>
  <si>
    <t>A) Non-Cooperation Movement, B) Quit India Movement, C) Swadeshi Movement, D) Salt March</t>
  </si>
  <si>
    <t>C) Swadeshi Movement</t>
  </si>
  <si>
    <t>Which organization first attempted to modernize and promote Dhop Khel in post-independence India?</t>
  </si>
  <si>
    <t>A) Assam Sports Federation, B) Assam Olympic Committee, C) All India Sports Council, D) Northeast Sports Association</t>
  </si>
  <si>
    <t>A) Assam Sports Federation</t>
  </si>
  <si>
    <t>When was Dhop Khel first included as a demonstration sport in the National Games of India?</t>
  </si>
  <si>
    <t>A) 1985, B) 1992, C) 1996, D) 2002</t>
  </si>
  <si>
    <t>B) 1992</t>
  </si>
  <si>
    <t>The first official Dhop Khel tournament in India was held in which year?</t>
  </si>
  <si>
    <t>Who was the first president of the Dhop Khel Federation of India?</t>
  </si>
  <si>
    <t>A) Ajit Borah, B) B.K. Das, C) Tarun Gogoi, D) Hemen Das</t>
  </si>
  <si>
    <t>D) Hemen Das</t>
  </si>
  <si>
    <t>In which year was Dhop Khel introduced as part of Assam's school sports curriculum?</t>
  </si>
  <si>
    <t>Which sport is considered the closest modern counterpart to Dhop Khel?</t>
  </si>
  <si>
    <t>A) Kabaddi, B) Handball, C) Football, D) Cricket</t>
  </si>
  <si>
    <t>A) Kabaddi</t>
  </si>
  <si>
    <t>In which year was the first international Dhop Khel tournament held?</t>
  </si>
  <si>
    <t>Which country participated in the first international Dhop Khel match?</t>
  </si>
  <si>
    <t>A) Nepal, B) Bangladesh, C) Bhutan, D) Sri Lanka</t>
  </si>
  <si>
    <t>Who is regarded as the 'Father of Modern Dhop Khel' for his efforts in reviving the sport?</t>
  </si>
  <si>
    <t>A) Hemanta Gogoi, B) Tarun Borah, C) Bhupen Hazarika, D) Hemen Das</t>
  </si>
  <si>
    <t>In which year was the official rulebook of Dhop Khel published?</t>
  </si>
  <si>
    <t>Dhop Khel is now played primarily in which region of Assam?</t>
  </si>
  <si>
    <t>A) Upper Assam, B) Lower Assam, C) Barak Valley, D) North Assam</t>
  </si>
  <si>
    <t>A) Upper Assam</t>
  </si>
  <si>
    <t>Which Assam-based university introduced Dhop Khel as a part of its sports program?</t>
  </si>
  <si>
    <t>A) Guwahati University, B) Dibrugarh University, C) Tezpur University, D) Assam Agricultural University</t>
  </si>
  <si>
    <t>B) Dibrugarh University</t>
  </si>
  <si>
    <t>Which Assamese folk song often references Dhop Khel?</t>
  </si>
  <si>
    <t>A) Bihu Geet, B) Bhupen Hazarika's classics, C) Zikir, D) Bongeet</t>
  </si>
  <si>
    <t>A) Bihu Geet</t>
  </si>
  <si>
    <t>Dhop Khel was traditionally played between teams from different...</t>
  </si>
  <si>
    <t>A) Villages, B) Cities, C) Clans, D) Kingdoms</t>
  </si>
  <si>
    <t>Which notable Assamese festival marked the beginning of Dhop Khel season historically?</t>
  </si>
  <si>
    <t>A) Magh Bihu, B) Bohag Bihu, C) Kati Bihu, D) Rongali Bihu</t>
  </si>
  <si>
    <t>B) Bohag Bihu</t>
  </si>
  <si>
    <t>Which British officer documented Dhop Khel as part of Assamese culture in the late 1800s?</t>
  </si>
  <si>
    <t>A) Robert Reid, B) William Robinson, C) Charles Lyall, D) Edward Gait</t>
  </si>
  <si>
    <t>C) Charles Lyall</t>
  </si>
  <si>
    <t>Which year marked the first All Assam Dhop Khel Championship?</t>
  </si>
  <si>
    <t>In the early 20th century, Dhop Khel was introduced as a sport in which major Indian city?</t>
  </si>
  <si>
    <t>A) Kolkata, B) Mumbai, C) Delhi, D) Chennai</t>
  </si>
  <si>
    <t>Which historical figure popularized Dhop Khel as a village game during colonial India?</t>
  </si>
  <si>
    <t>A) Gopinath Bordoloi, B) Bhupen Hazarika, C) Lakshminath Bezbaroa, D) Hemchandra Goswami</t>
  </si>
  <si>
    <t>A) Gopinath Bordoloi</t>
  </si>
  <si>
    <t>Which year saw the first appearance of a women's Dhop Khel team in a national tournament?</t>
  </si>
  <si>
    <t>Who was the captain of the first national Dhop Khel team from Assam?</t>
  </si>
  <si>
    <t>A) Ranjit Das, B) Anupam Gogoi, C) Naren Das, D) Tapan Borah</t>
  </si>
  <si>
    <t>B) Anupam Gogoi</t>
  </si>
  <si>
    <t>Which year marked the first official women's Dhop Khel championship in India?</t>
  </si>
  <si>
    <t>A) 2008</t>
  </si>
  <si>
    <t>Which district in Assam is considered the historical hub of Dhop Khel?</t>
  </si>
  <si>
    <t>A) Sivasagar, B) Jorhat, C) Dibrugarh, D) Kamrup</t>
  </si>
  <si>
    <t>D) Kamrup</t>
  </si>
  <si>
    <t>Which historical figure is credited with the revival of Dhop Khel in post-independence Assam?</t>
  </si>
  <si>
    <t>A) Gopinath Bordoloi, B) Tarun Gogoi, C) Bhupen Hazarika, D) Hemchandra Goswami</t>
  </si>
  <si>
    <t>When was Dhop Khel first recognized by the Ministry of Youth Affairs and Sports in India?</t>
  </si>
  <si>
    <t>C) 2005</t>
  </si>
  <si>
    <t>Which year saw Dhop Khel being included in the North East Games?</t>
  </si>
  <si>
    <t>Which Assamese cultural icon frequently promoted Dhop Khel through his art and literature?</t>
  </si>
  <si>
    <t>A) Bhupen Hazarika, B) Lakshminath Bezbaroa, C) Bhabendra Nath Saikia, D) Jyoti Prasad Agarwala</t>
  </si>
  <si>
    <t>A) Bhupen Hazarika</t>
  </si>
  <si>
    <t>When did Dhop Khel feature in the Assam State Games?</t>
  </si>
  <si>
    <t>A) 1998, B) 2002, C) 2006, D) 2010</t>
  </si>
  <si>
    <t>B) 2002</t>
  </si>
  <si>
    <t>Which year was the first international Dhop Khel tournament played outside India?</t>
  </si>
  <si>
    <t>C) 2018</t>
  </si>
  <si>
    <t>Who was the first non-Indian to play in an official Dhop Khel tournament?</t>
  </si>
  <si>
    <t>A) John Williams, B) Michael Smith, C) Ahmed Hassan, D) Lee Wong</t>
  </si>
  <si>
    <t>D) Lee Wong</t>
  </si>
  <si>
    <t>Which state hosted the first national Dhop Khel championship outside Assam?</t>
  </si>
  <si>
    <t>A) West Bengal, B) Maharashtra, C) Uttar Pradesh, D) Odisha</t>
  </si>
  <si>
    <t>Which district won the most titles in the Assam State Dhop Khel Championship during the 1990s?</t>
  </si>
  <si>
    <t>A) Kamrup, B) Sivasagar, C) Jorhat, D) Nagaon</t>
  </si>
  <si>
    <t>A) Kamrup</t>
  </si>
  <si>
    <t>When was the first All-India Dhop Khel tournament held?</t>
  </si>
  <si>
    <t>What is the traditional name for the game of marbles in India?</t>
  </si>
  <si>
    <t>A) Kancha, B) Goli, C) Kalla, D) Kanche</t>
  </si>
  <si>
    <t>D) Kanche</t>
  </si>
  <si>
    <t>In which century did the game of marbles become popular in England?</t>
  </si>
  <si>
    <t>A) 16th, B) 17th, C) 18th, D) 19th</t>
  </si>
  <si>
    <t>C) 18th</t>
  </si>
  <si>
    <t>What was the primary material used to make marbles in ancient Rome?</t>
  </si>
  <si>
    <t>A) Glass, B) Clay, C) Stone, D) Wood</t>
  </si>
  <si>
    <t>B) Clay</t>
  </si>
  <si>
    <t>Which American company is credited with popularizing the mass production of glass marbles in the early 20th century?</t>
  </si>
  <si>
    <t>A) Marble King, B) Jabo Glass Company, C) Christensen Agate Company, D) Akro Agate Company</t>
  </si>
  <si>
    <t>D) Akro Agate Company</t>
  </si>
  <si>
    <t>In which region of the world was the game of marbles known as 'Narbles' during the 19th century?</t>
  </si>
  <si>
    <t>A) North America, B) South America, C) Europe, D) Asia</t>
  </si>
  <si>
    <t>A) North America</t>
  </si>
  <si>
    <t>Which historical figure is known for having played marbles with stones as a child?</t>
  </si>
  <si>
    <t>A) Napoleon Bonaparte, B) George Washington, C) Julius Caesar, D) Alexander the Great</t>
  </si>
  <si>
    <t>B) George Washington</t>
  </si>
  <si>
    <t>What is the name of the traditional marbles game played in Korea?</t>
  </si>
  <si>
    <t>A) Oike, B) Janggi, C) Nuckel, D) Maru</t>
  </si>
  <si>
    <t>D) Maru</t>
  </si>
  <si>
    <t>In which decade did the term 'marbles' begin to be widely used in the United States to describe the game?</t>
  </si>
  <si>
    <t>A) 1870s, B) 1880s, C) 1890s, D) 1900s</t>
  </si>
  <si>
    <t>C) 1890s</t>
  </si>
  <si>
    <t>What was the most common material used to make marbles in the 19th century Europe?</t>
  </si>
  <si>
    <t>A) Marble, B) Stone, C) Glass, D) Metal</t>
  </si>
  <si>
    <t>A) Marble</t>
  </si>
  <si>
    <t>Which classic marbles game involves players trying to knock other marbles out of a designated area?</t>
  </si>
  <si>
    <t>A) Ring Taw, B) Kanche, C) Cat's Eye, D) Puck</t>
  </si>
  <si>
    <t>A) Ring Taw</t>
  </si>
  <si>
    <t>In which country did marbles games become a traditional part of children's play during the 18th century?</t>
  </si>
  <si>
    <t>A) England, B) France, C) Germany, D) Italy</t>
  </si>
  <si>
    <t>A) England</t>
  </si>
  <si>
    <t>Which of the following moves is considered a classic strategy in the game of marbles?</t>
  </si>
  <si>
    <t>A) The Knock, B) The Spin, C) The Flick, D) The Roll</t>
  </si>
  <si>
    <t>A) The Knock</t>
  </si>
  <si>
    <t>Which major event in history contributed to the global spread of marbles in the 19th century?</t>
  </si>
  <si>
    <t>A) The Industrial Revolution, B) The French Revolution, C) The American Civil War, D) The Industrial Exposition</t>
  </si>
  <si>
    <t>A) The Industrial Revolution</t>
  </si>
  <si>
    <t>Which historical figure is known for his collection of antique marbles, including those from ancient Greece?</t>
  </si>
  <si>
    <t>A) Albert Einstein, B) Thomas Edison, C) James Smithson, D) Charles Darwin</t>
  </si>
  <si>
    <t>C) James Smithson</t>
  </si>
  <si>
    <t>In which ancient civilization were marbles made from glass and found in archaeological digs?</t>
  </si>
  <si>
    <t>A) Egyptian, B) Greek, C) Roman, D) Mesopotamian</t>
  </si>
  <si>
    <t>B) Greek</t>
  </si>
  <si>
    <t>Which type of marble is known for its distinctive swirling patterns and was first produced in the early 20th century?</t>
  </si>
  <si>
    <t>A) Cat's Eye, B) Agate, C) Swirl, D) Clear</t>
  </si>
  <si>
    <t>C) Swirl</t>
  </si>
  <si>
    <t>What was a common game variation of marbles played in Victorian England involving shooting marbles into a hole?</t>
  </si>
  <si>
    <t>A) Marbles Pit, B) Ring Game, C) Taw, D) Hole-in-One</t>
  </si>
  <si>
    <t>B) Ring Game</t>
  </si>
  <si>
    <t>Which material was first used to make marbles in America before glass became popular?</t>
  </si>
  <si>
    <t>A) Clay, B) Stone, C) Metal, D) Wood</t>
  </si>
  <si>
    <t>A) Clay</t>
  </si>
  <si>
    <t>Which major sports event in the 20th century included a demonstration of marble shooting as a side attraction?</t>
  </si>
  <si>
    <t>A) The Olympic Games, B) The World Cup, C) The Commonwealth Games, D) The World Series</t>
  </si>
  <si>
    <t>A) The Olympic Games</t>
  </si>
  <si>
    <t>Which famous inventor is known for his early experiments with marble production in the late 19th century?</t>
  </si>
  <si>
    <t>A) Nikola Tesla, B) Thomas Edison, C) Alexander Graham Bell, D) George Westinghouse</t>
  </si>
  <si>
    <t>B) Thomas Edison</t>
  </si>
  <si>
    <t>What was the name of the first international marbles competition held in the 20th century?</t>
  </si>
  <si>
    <t>A) The World Marble Championship, B) The International Marble Games, C) The Global Marble Tournament, D) The Marble Masters</t>
  </si>
  <si>
    <t>A) The World Marble Championship</t>
  </si>
  <si>
    <t>Which type of marble was considered a status symbol among collectors during the early 20th century?</t>
  </si>
  <si>
    <t>A) Swirl Marbles, B) Agate Marbles, C) Cat's Eye Marbles, D) Clear Marbles</t>
  </si>
  <si>
    <t>B) Agate Marbles</t>
  </si>
  <si>
    <t>Which notable company introduced the use of marbles in advertising campaigns during the early 1900s?</t>
  </si>
  <si>
    <t>A) Coca-Cola, B) Ford Motor Company, C) General Electric, D) Procter &amp; Gamble</t>
  </si>
  <si>
    <t>B) Ford Motor Company</t>
  </si>
  <si>
    <t>Which country was the largest exporter of marbles during the late 19th century?</t>
  </si>
  <si>
    <t>A) Germany, B) Italy, C) France, D) England</t>
  </si>
  <si>
    <t>B) Italy</t>
  </si>
  <si>
    <t>Which traditional marble game involves players trying to knock marbles into a hole in the ground?</t>
  </si>
  <si>
    <t>A) Marbles Pit, B) Ring Taw, C) Tiddlywinks, D) Puck</t>
  </si>
  <si>
    <t>A) Marbles Pit</t>
  </si>
  <si>
    <t>In which period did marbles first appear in ancient Egyptian artifacts?</t>
  </si>
  <si>
    <t>A) Old Kingdom, B) Middle Kingdom, C) New Kingdom, D) Ptolemaic Period</t>
  </si>
  <si>
    <t>C) New Kingdom</t>
  </si>
  <si>
    <t>Which ancient civilization is known for using marbles as tokens in board games?</t>
  </si>
  <si>
    <t>A) Chinese, B) Greek, C) Roman, D) Mesopotamian</t>
  </si>
  <si>
    <t>A) Chinese</t>
  </si>
  <si>
    <t>Which of the following was a popular marble design in the 1950s known for its distinctive color patterns?</t>
  </si>
  <si>
    <t>A) Slag Marbles, B) Cat's Eye Marbles, C) Agate Marbles, D) Swirl Marbles</t>
  </si>
  <si>
    <t>A) Slag Marbles</t>
  </si>
  <si>
    <t>What was the main method of marble production before the advent of machine-made marbles?</t>
  </si>
  <si>
    <t>A) Hand-blowing, B) Hand-carving, C) Press-molding, D) Casting</t>
  </si>
  <si>
    <t>A) Hand-blowing</t>
  </si>
  <si>
    <t>Which historical event significantly increased the demand for marbles in the late 19th century?</t>
  </si>
  <si>
    <t>A) The Gold Rush, B) The Industrial Revolution, C) The Civil War, D) The Great Depression</t>
  </si>
  <si>
    <t>B) The Industrial Revolution</t>
  </si>
  <si>
    <t>Which famous American marbles player won the National Marbles Tournament in 1935?</t>
  </si>
  <si>
    <t>A) Jimmy Moore, B) Jack Johnson, C) Robert F. Kennedy, D) William Clark</t>
  </si>
  <si>
    <t>A) Jimmy Moore</t>
  </si>
  <si>
    <t>Which type of marbles was commonly used in playground games during the early 20th century?</t>
  </si>
  <si>
    <t>A) Steel Marbles, B) Glass Marbles, C) Clay Marbles, D) Plastic Marbles</t>
  </si>
  <si>
    <t>B) Glass Marbles</t>
  </si>
  <si>
    <t>Which country has a traditional marble game called 'Lippa' where players flick marbles into a hole?</t>
  </si>
  <si>
    <t>A) India, B) Turkey, C) Greece, D) Japan</t>
  </si>
  <si>
    <t>B) Turkey</t>
  </si>
  <si>
    <t>Which famous marble company was founded by the inventor of the first automatic marble-making machine?</t>
  </si>
  <si>
    <t>Which marble design became popular due to its resemblance to the appearance of swirling galaxy patterns?</t>
  </si>
  <si>
    <t>A) Swirl Marbles, B) Agate Marbles, C) Cat's Eye Marbles, D) Slag Marbles</t>
  </si>
  <si>
    <t>A) Swirl Marbles</t>
  </si>
  <si>
    <t>What was the primary use of marbles in ancient Greek society besides recreational play?</t>
  </si>
  <si>
    <t>A) Religious Rituals, B) Currency, C) Medical Treatments, D) Educational Tools</t>
  </si>
  <si>
    <t>B) Currency</t>
  </si>
  <si>
    <t>In which decade did marbles become a popular collectible item in the United States?</t>
  </si>
  <si>
    <t>A) 1920s, B) 1930s, C) 1940s, D) 1950s</t>
  </si>
  <si>
    <t>D) 1950s</t>
  </si>
  <si>
    <t>Which famous artist incorporated marble designs into his artwork during the Renaissance period?</t>
  </si>
  <si>
    <t>A) Leonardo da Vinci, B) Michelangelo, C) Raphael, D) Titian</t>
  </si>
  <si>
    <t>B) Michelangelo</t>
  </si>
  <si>
    <t>Which material was primarily used for making marbles before glass became the dominant choice in the 19th century?</t>
  </si>
  <si>
    <t>What was the main reason for the decline in hand-made marble production in the 20th century?</t>
  </si>
  <si>
    <t>A) Increased Competition, B) Technological Advancements, C) Decrease in Popularity, D) Higher Production Costs</t>
  </si>
  <si>
    <t>B) Technological Advancements</t>
  </si>
  <si>
    <t>Which classic marbles game involves players trying to shoot marbles into a small circle drawn on the ground?</t>
  </si>
  <si>
    <t>A) Ring Taw, B) Marbles Pit, C) Tiddlywinks, D) Puck</t>
  </si>
  <si>
    <t>Which U.S. state is known for hosting the annual National Marbles Tournament since 1922?</t>
  </si>
  <si>
    <t>A) Ohio, B) Pennsylvania, C) New York, D) Massachusetts</t>
  </si>
  <si>
    <t>B) Pennsylvania</t>
  </si>
  <si>
    <t>Which historical period saw the first use of marbles in board games, with players using them as tokens?</t>
  </si>
  <si>
    <t>A) Medieval, B) Renaissance, C) Victorian, D) Modern</t>
  </si>
  <si>
    <t>B) Renaissance</t>
  </si>
  <si>
    <t>Which famous marble company was established by German immigrants in the United States in the early 20th century?</t>
  </si>
  <si>
    <t>A) Jabo Glass Company, B) Marble King, C) Christensen Agate Company, D) Akro Agate Company</t>
  </si>
  <si>
    <t>C) Christensen Agate Company</t>
  </si>
  <si>
    <t>Which classic marble design features a swirl of multiple colors within the glass?</t>
  </si>
  <si>
    <t>Which type of marble was first produced using automated machinery in the early 20th century?</t>
  </si>
  <si>
    <t>A) Glass Marbles, B) Clay Marbles, C) Steel Marbles, D) Plastic Marbles</t>
  </si>
  <si>
    <t>A) Glass Marbles</t>
  </si>
  <si>
    <t>Which American inventor is credited with creating the first successful marble-making machine?</t>
  </si>
  <si>
    <t>A) Thomas Edison, B) Eli Terry, C) Charles M. Miller, D) George W. Perkins</t>
  </si>
  <si>
    <t>C) Charles M. Miller</t>
  </si>
  <si>
    <t>Which traditional marble game is popular in Germany and involves players shooting marbles into a large ring?</t>
  </si>
  <si>
    <t>A) Ringstoecke, B) Marbles Pit, C) Kropfen, D) Taw</t>
  </si>
  <si>
    <t>A) Ringstoecke</t>
  </si>
  <si>
    <t>Which material was considered a premium choice for marbles during the early 20th century due to its durability and appearance?</t>
  </si>
  <si>
    <t>A) Agate, B) Glass, C) Steel, D) Ceramic</t>
  </si>
  <si>
    <t>A) Agate</t>
  </si>
  <si>
    <t>Which historical artifact, discovered in ancient Mesopotamia, is believed to be an early form of a marble game?</t>
  </si>
  <si>
    <t>A) A clay tablet, B) A stone carving, C) An ancient board game, D) A pottery fragment</t>
  </si>
  <si>
    <t>C) An ancient board game</t>
  </si>
  <si>
    <t>Which marble design is characterized by a central core surrounded by contrasting colored stripes?</t>
  </si>
  <si>
    <t>A) Cat's Eye, B) Swirl, C) Agate, D) Solid</t>
  </si>
  <si>
    <t>B) Swirl</t>
  </si>
  <si>
    <t>Which ancient civilization is known for its use of marbles as decorative items and symbols of wealth?</t>
  </si>
  <si>
    <t>A) Greek, B) Roman, C) Egyptian, D) Persian</t>
  </si>
  <si>
    <t>Which company, founded in 1950, is known for its high-quality, hand-made marbles?</t>
  </si>
  <si>
    <t>A) Marble King, B) Jabo Glass Company, C) Christensen Agate Company, D) K. B. Toys</t>
  </si>
  <si>
    <t>B) Jabo Glass Company</t>
  </si>
  <si>
    <t>Which marble game variant involves players trying to knock a single target marble out of a designated area?</t>
  </si>
  <si>
    <t>A) Ring Taw, B) Marbles Pit, C) Hole-in-One, D) Knock-out</t>
  </si>
  <si>
    <t>D) Knock-out</t>
  </si>
  <si>
    <t>Which of the following is a classic marble design known for its bright, translucent appearance?</t>
  </si>
  <si>
    <t>A) Cat's Eye, B) Agate, C) Swirl, D) Slag</t>
  </si>
  <si>
    <t>A) Cat's Eye</t>
  </si>
  <si>
    <t>Which American company was founded in 1907 and is known for producing marbles with intricate designs?</t>
  </si>
  <si>
    <t>A) Akro Agate Company, B) Marble King, C) Christensen Agate Company, D) Jabo Glass Company</t>
  </si>
  <si>
    <t>A) Akro Agate Company</t>
  </si>
  <si>
    <t>Which type of marble is characterized by a smooth, polished surface and a variety of colors?</t>
  </si>
  <si>
    <t>Which historical period saw the transition from handmade to machine-made marbles in the United States?</t>
  </si>
  <si>
    <t>A) 18th Century, B) 19th Century, C) Early 20th Century, D) Late 20th Century</t>
  </si>
  <si>
    <t>C) Early 20th Century</t>
  </si>
  <si>
    <t>Which marble game involves players trying to flick marbles into a designated area using a small piece of cardboard?</t>
  </si>
  <si>
    <t>A) Tiddlywinks, B) Ring Taw, C) Marbles Pit, D) Hole-in-One</t>
  </si>
  <si>
    <t>A) Tiddlywinks</t>
  </si>
  <si>
    <t>Which famous marble design was introduced in the 1950s and is known for its opaque appearance?</t>
  </si>
  <si>
    <t>A) Slag Marbles, B) Agate Marbles, C) Swirl Marbles, D) Cat's Eye Marbles</t>
  </si>
  <si>
    <t>Which ancient culture used marbles in their religious rituals as symbols of fertility and rebirth?</t>
  </si>
  <si>
    <t>A) Egyptian, B) Greek, C) Roman, D) Persian</t>
  </si>
  <si>
    <t>A) Egyptian</t>
  </si>
  <si>
    <t>Which company was founded in 1949 and is known for producing marbles with unique color patterns and designs?</t>
  </si>
  <si>
    <t>B) Marble King</t>
  </si>
  <si>
    <t>Which marble design was first introduced in the 20th century and is characterized by its striped appearance?</t>
  </si>
  <si>
    <t>A) Agate, B) Swirl, C) Cat's Eye, D) Slag</t>
  </si>
  <si>
    <t>Which early 20th-century invention significantly advanced the production of marbles?</t>
  </si>
  <si>
    <t>A) The Marble-Making Machine, B) The Glass Blower, C) The Press Molder, D) The Clay Shaper</t>
  </si>
  <si>
    <t>A) The Marble-Making Machine</t>
  </si>
  <si>
    <t>Which traditional marble game is known for its strategy involving shooting marbles into a small cup or hole?</t>
  </si>
  <si>
    <t>Which marble design, introduced in the early 20th century, features a bright, iridescent surface?</t>
  </si>
  <si>
    <t>Which historical figure is known for collecting and studying antique marbles as part of their personal interest in ancient games?</t>
  </si>
  <si>
    <t>A) Sir Arthur Conan Doyle, B) H.G. Wells, C) Albert Einstein, D) James Smithson</t>
  </si>
  <si>
    <t>D) James Smithson</t>
  </si>
  <si>
    <t>Which marble company was established in 1922 and is renowned for its colorful, hand-made marbles?</t>
  </si>
  <si>
    <t>A) Jabo Glass Company</t>
  </si>
  <si>
    <t>Which type of marble is characterized by a combination of translucent and opaque areas?</t>
  </si>
  <si>
    <t>B) Agate</t>
  </si>
  <si>
    <t>Which historical game, similar to marbles, involves players flicking small objects into a designated target area?</t>
  </si>
  <si>
    <t>A) Tiddlywinks, B) Ring Taw, C) Marbles Pit, D) Puck</t>
  </si>
  <si>
    <t>Which marble design was popular in the mid-20th century for its unique swirling color patterns?</t>
  </si>
  <si>
    <t>A) Swirl, B) Agate, C) Cat's Eye, D) Slag</t>
  </si>
  <si>
    <t>A) Swirl</t>
  </si>
  <si>
    <t>Which type of marbles was first introduced in the early 1900s and is known for its smooth surface and uniform shape?</t>
  </si>
  <si>
    <t>A) Glass Marbles, B) Clay Marbles, C) Metal Marbles, D) Plastic Marbles</t>
  </si>
  <si>
    <t>Which historical period saw the introduction of marbles as a common children's toy in Europe?</t>
  </si>
  <si>
    <t>A) Renaissance, B) Victorian, C) Edwardian, D) Modern</t>
  </si>
  <si>
    <t>B) Victorian</t>
  </si>
  <si>
    <t>Which famous marble collector's collection was displayed in a museum dedicated to marble history in the early 20th century?</t>
  </si>
  <si>
    <t>A) James Smithson, B) Charles M. Miller, C) Thomas Edison, D) Albert Einstein</t>
  </si>
  <si>
    <t>B) Charles M. Miller</t>
  </si>
  <si>
    <t>Which traditional marble game involves players trying to knock marbles into a large circle drawn on the ground?</t>
  </si>
  <si>
    <t>A) Ring Taw, B) Marbles Pit, C) Hole-in-One, D) Tiddlywinks</t>
  </si>
  <si>
    <t>Which type of marble is characterized by a single central color surrounded by a translucent shell?</t>
  </si>
  <si>
    <t>Which company, established in 1920, is known for its high-quality, machine-made marbles?</t>
  </si>
  <si>
    <t>A) Akro Agate Company, B) Jabo Glass Company, C) Marble King, D) Christensen Agate Company</t>
  </si>
  <si>
    <t>Which marble design is characterized by its bright, speckled appearance and was popular in the 1950s?</t>
  </si>
  <si>
    <t>A) Slag, B) Agate, C) Swirl, D) Cat's Eye</t>
  </si>
  <si>
    <t>A) Slag</t>
  </si>
  <si>
    <t>Which historical figure is known for their contributions to the study and collection of antique marbles in the early 20th century?</t>
  </si>
  <si>
    <t>A) Albert Einstein, B) Thomas Edison, C) James Smithson, D) Charles M. Miller</t>
  </si>
  <si>
    <t>D) Charles M. Miller</t>
  </si>
  <si>
    <t>Which marble game variant involves players using a wooden board to flick marbles into a series of holes?</t>
  </si>
  <si>
    <t>A) Marbles Pit, B) Tiddlywinks, C) Ring Taw, D) Puck</t>
  </si>
  <si>
    <t>B) Tiddlywinks</t>
  </si>
  <si>
    <t>Which marble design is known for its unique color variations and was first produced in the early 20th century?</t>
  </si>
  <si>
    <t>A) Swirl, B) Cat's Eye, C) Agate, D) Slag</t>
  </si>
  <si>
    <t>Which company, founded in 1912, is recognized for its contribution to the development of marble-making technology?</t>
  </si>
  <si>
    <t>A) Marble King, B) Akro Agate Company, C) Christensen Agate Company, D) Jabo Glass Company</t>
  </si>
  <si>
    <t>Which marble game is characterized by players trying to shoot marbles into a series of target areas drawn on the ground?</t>
  </si>
  <si>
    <t>Which traditional marble game involves players trying to knock marbles into a hole in the ground using a flicking motion?</t>
  </si>
  <si>
    <t>Which type of marble design was popular in the late 19th century and features a mix of bright, iridescent colors?</t>
  </si>
  <si>
    <t>D) Slag</t>
  </si>
  <si>
    <t>Which historical event is associated with the introduction of machine-made marbles in the early 20th century?</t>
  </si>
  <si>
    <t>A) The Industrial Revolution, B) World War I, C) The Great Depression, D) World War II</t>
  </si>
  <si>
    <t>Which marble game variant involves players trying to knock marbles into a large cup or bucket placed in the center of the playing area?</t>
  </si>
  <si>
    <t>A) Marbles Pit, B) Ring Taw, C) Hole-in-One, D) Knock-out</t>
  </si>
  <si>
    <t>Which marble design, introduced in the mid-20th century, is known for its combination of opaque and translucent areas?</t>
  </si>
  <si>
    <t>A) Cat's Eye, B) Swirl, C) Agate, D) Slag</t>
  </si>
  <si>
    <t>Which historical figure is known for their contributions to the study of marble history and the development of marble-making techniques?</t>
  </si>
  <si>
    <t>A) Thomas Edison, B) Charles M. Miller, C) Albert Einstein, D) James Smithson</t>
  </si>
  <si>
    <t>Which marble game involves players flicking marbles into a series of target holes on a board?</t>
  </si>
  <si>
    <t>A) Tiddlywinks, B) Marbles Pit, C) Ring Taw, D) Puck</t>
  </si>
  <si>
    <t>Which type of marble design was popular in the 20th century and features a smooth, polished surface with vibrant colors?</t>
  </si>
  <si>
    <t>A) Agate, B) Cat's Eye, C) Swirl, D) Slag</t>
  </si>
  <si>
    <t>Which marble game is characterized by players using a small, circular target to aim marbles into?</t>
  </si>
  <si>
    <t>A) Ring Taw, B) Marbles Pit, C) Tiddlywinks, D) Knock-out</t>
  </si>
  <si>
    <t>Which marble company, founded in 1949, is known for its colorful, hand-made marbles?</t>
  </si>
  <si>
    <t>Which marble design, first introduced in the 19th century, features a bright, swirling pattern of colors?</t>
  </si>
  <si>
    <t>Which ancient culture is known for using marbles in games played with small, carved stone balls?</t>
  </si>
  <si>
    <t>A) Egyptian, B) Greek, C) Roman, D) Chinese</t>
  </si>
  <si>
    <t>In which year did the Akro Agate Company, known for its high-quality marbles, begin operations?</t>
  </si>
  <si>
    <t>A) 1905, B) 1910, C) 1922, D) 1935</t>
  </si>
  <si>
    <t>C) 1922</t>
  </si>
  <si>
    <t>Which marble design features a central, brightly colored core surrounded by a translucent glass layer?</t>
  </si>
  <si>
    <t>C) Cat's Eye</t>
  </si>
  <si>
    <t>Which company is recognized for its innovation in marble-making, particularly for producing marbles with unique patterns in the 1950s?</t>
  </si>
  <si>
    <t>A) Christensen Agate Company, B) Jabo Glass Company, C) Marble King, D) Akro Agate Company</t>
  </si>
  <si>
    <t>Which type of marbles was predominantly used in competitive marble games during the 19th century?</t>
  </si>
  <si>
    <t>A) Clay Marbles, B) Glass Marbles, C) Steel Marbles, D) Plastic Marbles</t>
  </si>
  <si>
    <t>A) Clay Marbles</t>
  </si>
  <si>
    <t>Which marble game involves players aiming to knock marbles into a target hole with a single flick?</t>
  </si>
  <si>
    <t>A) Ring Taw, B) Knock-out, C) Tiddlywinks, D) Marbles Pit</t>
  </si>
  <si>
    <t>B) Knock-out</t>
  </si>
  <si>
    <t>Which marble design, known for its opaque appearance, became popular in the 1950s and 1960s?</t>
  </si>
  <si>
    <t>Which early 20th-century marble-making machine was instrumental in the mass production of marbles?</t>
  </si>
  <si>
    <t>A) The Marble Press, B) The Glass Shaper, C) The Marble-Making Machine, D) The Glass Blower</t>
  </si>
  <si>
    <t>C) The Marble-Making Machine</t>
  </si>
  <si>
    <t>Which marble design features a mix of iridescent colors and is known for its bright, reflective surface?</t>
  </si>
  <si>
    <t>Which traditional marble game, popular in European countries, involves players flicking marbles into a hole or cup?</t>
  </si>
  <si>
    <t>C) Marbles Pit</t>
  </si>
  <si>
    <t>Which company, founded in 1949, is renowned for its high-quality, hand-made marbles with intricate designs?</t>
  </si>
  <si>
    <t>A) Marble King</t>
  </si>
  <si>
    <t>Which marble design, first introduced in the 20th century, is known for its vibrant, swirling colors?</t>
  </si>
  <si>
    <t>Which historical figure is credited with significant advancements in the production of marbles during the early 20th century?</t>
  </si>
  <si>
    <t>A) Charles M. Miller, B) Thomas Edison, C) James Smithson, D) Albert Einstein</t>
  </si>
  <si>
    <t>A) Charles M. Miller</t>
  </si>
  <si>
    <t>Which marble game is characterized by players attempting to flick marbles into small cups or holes on a board?</t>
  </si>
  <si>
    <t>Which type of marbles, known for their smooth texture and vibrant colors, became popular in the late 19th century?</t>
  </si>
  <si>
    <t>Which marble design, characterized by a solid core surrounded by a transparent layer, was first popularized in the 1950s?</t>
  </si>
  <si>
    <t>Which company, established in 1912, is recognized for its contributions to the development of marble-making technology?</t>
  </si>
  <si>
    <t>A) Christensen Agate Company, B) Marble King, C) Jabo Glass Company, D) Akro Agate Company</t>
  </si>
  <si>
    <t>A) Christensen Agate Company</t>
  </si>
  <si>
    <t>Which marble game involves players trying to knock marbles into a series of target holes drawn on the ground?</t>
  </si>
  <si>
    <t>Which marble design was introduced in the 19th century and features bright, swirling colors?</t>
  </si>
  <si>
    <t>Which company is known for producing high-quality, colorful marbles and was founded in the early 20th century?</t>
  </si>
  <si>
    <t>Which historical period saw the decline of hand-made marble production and the rise of machine-made marbles?</t>
  </si>
  <si>
    <t>Which marble design, popular in the 1950s, is characterized by its opaque and speckled appearance?</t>
  </si>
  <si>
    <t>Which type of marbles was first produced using automated machinery and became widely available in the early 20th century?</t>
  </si>
  <si>
    <t>Which marble game involves flicking marbles into a hole or cup with a specific strategy and skill?</t>
  </si>
  <si>
    <t>B) Marbles Pit</t>
  </si>
  <si>
    <t>Which famous marble design, known for its bright and colorful appearance, was first introduced in the 1950s?</t>
  </si>
  <si>
    <t>A) Slag, B) Cat's Eye, C) Agate, D) Swirl</t>
  </si>
  <si>
    <t>Which historical artifact, discovered in ancient Greece, is believed to be an early form of a marble game?</t>
  </si>
  <si>
    <t>A) A carved stone, B) A clay tablet, C) An ancient board game, D) A pottery fragment</t>
  </si>
  <si>
    <t>Which marble design, first produced in the 20th century, is characterized by its bright, swirling patterns and vibrant colors?</t>
  </si>
  <si>
    <t>Which marble company, founded in 1920, is known for its high-quality, machine-made marbles with intricate patterns?</t>
  </si>
  <si>
    <t>Which type of marble design became popular in the mid-20th century for its unique, speckled appearance?</t>
  </si>
  <si>
    <t>A) Cat's Eye, B) Agate, C) Slag, D) Swirl</t>
  </si>
  <si>
    <t>C) Slag</t>
  </si>
  <si>
    <t>Which marble game involves flicking marbles into small holes or targets on a board, often using a specific set of rules and strategies?</t>
  </si>
  <si>
    <t>Which historical figure, known for their contributions to the study of antique marbles, is associated with the development of marble-making techniques?</t>
  </si>
  <si>
    <t>A) Thomas Edison, B) James Smithson, C) Albert Einstein, D) Charles M. Miller</t>
  </si>
  <si>
    <t>Which marble design, introduced in the late 19th century, features a bright, reflective surface with a combination of colors?</t>
  </si>
  <si>
    <t>Which company, established in 1912, played a significant role in the development of marble-making technology and is known for its high-quality marbles?</t>
  </si>
  <si>
    <t>A) Christensen Agate Company, B) Jabo Glass Company, C) Akro Agate Company, D) Marble King</t>
  </si>
  <si>
    <t>Which marble game variant, popular in the early 20th century, involves players attempting to knock marbles into a central target area?</t>
  </si>
  <si>
    <t>A) Knock-out, B) Marbles Pit, C) Ring Taw, D) Tiddlywinks</t>
  </si>
  <si>
    <t>A) Knock-out</t>
  </si>
  <si>
    <t>Which type of marbles, known for their smooth surface and uniform shape, became popular in the early 20th century due to advancements in production technology?</t>
  </si>
  <si>
    <t>Which marble design, first introduced in the mid-20th century, features a combination of translucent and opaque areas?</t>
  </si>
  <si>
    <t>Which marble game, popular in European countries, involves players flicking marbles into a large, centrally located target area?</t>
  </si>
  <si>
    <t>Which marble design, known for its bright and colorful appearance, was first produced in the early 20th century?</t>
  </si>
  <si>
    <t>Which marble company, founded in 1922, is known for its high-quality, hand-made marbles with intricate patterns?</t>
  </si>
  <si>
    <t>Which historical event led to the widespread adoption of machine-made marbles in the early 20th century?</t>
  </si>
  <si>
    <t>Which marble game involves players attempting to flick marbles into a series of target holes on a board, often with specific rules and strategies?</t>
  </si>
  <si>
    <t>Which marble design, popular in the 1950s, features a bright, speckled appearance with multiple colors?</t>
  </si>
  <si>
    <t>Which marble company, founded in 1912, is renowned for its contributions to marble-making technology and high-quality marbles?</t>
  </si>
  <si>
    <t>A) Christensen Agate Company, B) Marble King, C) Akro Agate Company, D) Jabo Glass Company</t>
  </si>
  <si>
    <t>Which type of marble design, first produced in the late 19th century, features a combination of opaque and translucent areas?</t>
  </si>
  <si>
    <t>Which marble game, popular in European countries, involves players flicking marbles into a target area on the ground or a board?</t>
  </si>
  <si>
    <t>Which marble design, introduced in the 20th century, is known for its bright, swirling colors and smooth surface?</t>
  </si>
  <si>
    <t>Which company, established in 1949, is known for its colorful, hand-made marbles with intricate patterns?</t>
  </si>
  <si>
    <t>Which marble design, popular in the mid-20th century, is characterized by its bright, iridescent appearance and unique patterns?</t>
  </si>
  <si>
    <t>Which marble game, characterized by players trying to knock marbles into small holes or targets on a board, was popular in the 20th century?</t>
  </si>
  <si>
    <t>Which historical figure, known for their contributions to the study of marble history, is associated with the development of marble-making techniques?</t>
  </si>
  <si>
    <t>A) Charles M. Miller, B) Thomas Edison, C) Albert Einstein, D) James Smithson</t>
  </si>
  <si>
    <t>Which marble design, introduced in the late 19th century, is known for its bright, swirling colors and reflective surface?</t>
  </si>
  <si>
    <t>Which company, founded in 1920, is known for its high-quality, machine-made marbles with intricate patterns?</t>
  </si>
  <si>
    <t>A) Akro Agate Company, B) Jabo Glass Company, C) Christensen Agate Company, D) Marble King</t>
  </si>
  <si>
    <t>Which marble game involves players flicking marbles into a target area with a specific set of rules and strategies?</t>
  </si>
  <si>
    <t>Which marble design, known for its smooth surface and uniform shape, became popular in the early 20th century due to advancements in production technology?</t>
  </si>
  <si>
    <t>Which marble game, popular in European countries, involves players flicking marbles into a hole or cup with a specific strategy and skill?</t>
  </si>
  <si>
    <t>Which marble design, first introduced in the 20th century, features a central core surrounded by a translucent layer?</t>
  </si>
  <si>
    <t>Which company, founded in 1912, played a significant role in the development of marble-making technology and is known for its high-quality marbles?</t>
  </si>
  <si>
    <t>Which marble game involves flicking marbles into a central target area, often with specific rules and strategies?</t>
  </si>
  <si>
    <t>Which marble design, introduced in the late 19th century, features a combination of opaque and translucent areas?</t>
  </si>
  <si>
    <t>Which historical period saw the widespread use of machine-made marbles, leading to a decline in hand-made marble production?</t>
  </si>
  <si>
    <t>Which marble design, known for its bright and colorful appearance, was first produced in the mid-20th century?</t>
  </si>
  <si>
    <t>Which marble game, popular in European countries, involves players trying to flick marbles into a series of target holes on the ground or a board?</t>
  </si>
  <si>
    <t>Which marble design, first introduced in the early 20th century, is characterized by its bright, swirling colors and smooth surface?</t>
  </si>
  <si>
    <t>Which marble company, founded in 1949, is known for producing colorful, hand-made marbles with intricate patterns?</t>
  </si>
  <si>
    <t>Which marble design, popular in the 1950s, features a bright, iridescent appearance and unique patterns?</t>
  </si>
  <si>
    <t>Which marble game, characterized by players flicking marbles into small holes or targets on a board, was popular in the 20th century?</t>
  </si>
  <si>
    <t>Which marble design, first introduced in the late 19th century, is known for its bright, swirling colors and reflective surface?</t>
  </si>
  <si>
    <t>Which marble game involves players attempting to flick marbles into a target area with a specific set of rules and strategies?</t>
  </si>
  <si>
    <t>Which marble design, known for its swirling colors and smooth finish, was popular in the 1930s?</t>
  </si>
  <si>
    <t>Which marble company, established in 1949, is renowned for its colorful glass marbles?</t>
  </si>
  <si>
    <t>Which type of marble, known for its multi-colored, translucent layers, became popular in the early 20th century?</t>
  </si>
  <si>
    <t>Which marble game involves players trying to knock marbles into a central target area using a specific technique?</t>
  </si>
  <si>
    <t>Which marble design, introduced in the 1950s, features a bright, speckled appearance with various colors?</t>
  </si>
  <si>
    <t>Which marble company, founded in 1922, is well-known for producing high-quality marbles with intricate patterns?</t>
  </si>
  <si>
    <t>Which marble game, originating in Europe, involves flicking marbles into a hole or cup on the ground or a board?</t>
  </si>
  <si>
    <t>Which historical event in the early 20th century led to the widespread adoption of machine-made marbles?</t>
  </si>
  <si>
    <t>A) World War I, B) The Great Depression, C) The Industrial Revolution, D) World War II</t>
  </si>
  <si>
    <t>C) The Industrial Revolution</t>
  </si>
  <si>
    <t>Which marble design, popular in the mid-20th century, features bright, swirling colors and a reflective surface?</t>
  </si>
  <si>
    <t>Which marble company, founded in 1949, is known for its hand-made marbles with elaborate designs?</t>
  </si>
  <si>
    <t>A) Marble King, B) Christensen Agate Company, C) Akro Agate Company, D) Jabo Glass Company</t>
  </si>
  <si>
    <t>D) Jabo Glass Company</t>
  </si>
  <si>
    <t>Which marble design, first introduced in the early 20th century, features a central opaque core surrounded by translucent layers?</t>
  </si>
  <si>
    <t>Which marble game, popular in the early 20th century, involves players attempting to flick marbles into a central target area?</t>
  </si>
  <si>
    <t>Which type of marble, known for its bright and colorful appearance, became popular due to advancements in production technology?</t>
  </si>
  <si>
    <t>Which marble design, known for its unique, bright, swirling patterns, was first produced in the 1930s?</t>
  </si>
  <si>
    <t>Which marble company, founded in 1912, is renowned for its machine-made marbles with intricate patterns?</t>
  </si>
  <si>
    <t>Which marble game, popular in European countries, involves players flicking marbles into a series of target holes on a board or the ground?</t>
  </si>
  <si>
    <t>B) Ring Taw</t>
  </si>
  <si>
    <t>Which marble design, first introduced in the late 19th century, features a combination of opaque and translucent colors?</t>
  </si>
  <si>
    <t>Which marble game involves flicking marbles into a central target area, often with a specific set of rules and strategies?</t>
  </si>
  <si>
    <t>Which marble design, popular in the 1950s, features a bright, iridescent appearance with multiple colors?</t>
  </si>
  <si>
    <t>Which marble company, founded in 1922, is known for its colorful and machine-made marbles?</t>
  </si>
  <si>
    <t>Which type of marble design, first produced in the early 20th century, is characterized by its bright, swirling colors?</t>
  </si>
  <si>
    <t>Which marble game, popular in the early 20th century, involves players attempting to flick marbles into small holes or targets on a board?</t>
  </si>
  <si>
    <t>Which historical figure contributed significantly to the study of marble history and development of marble-making techniques?</t>
  </si>
  <si>
    <t>Which marble design, known for its swirling colors and smooth surface, was popular in the 1940s?</t>
  </si>
  <si>
    <t>Which marble company, founded in 1949, is known for its colorful glass marbles with intricate designs?</t>
  </si>
  <si>
    <t>A) Jabo Glass Company, B) Christensen Agate Company, C) Akro Agate Company, D) Marble King</t>
  </si>
  <si>
    <t>Which type of marble, known for its bright colors and uniform shape, became popular due to advancements in production technology?</t>
  </si>
  <si>
    <t>Which marble design, introduced in the mid-20th century, features a combination of opaque and translucent areas?</t>
  </si>
  <si>
    <t>Which marble game, originating in European countries, involves players flicking marbles into a central target area?</t>
  </si>
  <si>
    <t>Which marble design, popular in the 1950s, features a bright, reflective surface with multiple colors?</t>
  </si>
  <si>
    <t>Which marble company, founded in 1912, is known for its high-quality, machine-made marbles?</t>
  </si>
  <si>
    <t>Which marble game involves players flicking marbles into a series of target holes or cups on a board?</t>
  </si>
  <si>
    <t>Which type of marble, first introduced in the early 20th century, is characterized by its smooth, colorful appearance?</t>
  </si>
  <si>
    <t>Which marble design, known for its bright and colorful patterns, became popular due to advancements in production technology in the early 20th century?</t>
  </si>
  <si>
    <t>Which marble game, characterized by flicking marbles into a central target area, was popular in the 20th century?</t>
  </si>
  <si>
    <t>Which marble design, first introduced in the late 19th century, features a combination of opaque and translucent colors and was produced using advanced techniques?</t>
  </si>
  <si>
    <t>Which marble company, founded in 1922, is renowned for its colorful, machine-made marbles with intricate patterns?</t>
  </si>
  <si>
    <t>C) Akro Agate Company</t>
  </si>
  <si>
    <t>Which type of marble design, popular in the 1950s, features a bright, iridescent appearance with multiple colors and patterns?</t>
  </si>
  <si>
    <t>Which marble game, popular in European countries, involves players flicking marbles into a series of target holes or cups on a board?</t>
  </si>
  <si>
    <t>Which marble design, introduced in the early 20th century, features a central core surrounded by a translucent layer, often with vibrant colors?</t>
  </si>
  <si>
    <t>Which marble company, founded in 1912, is known for its machine-made marbles with high-quality designs and patterns?</t>
  </si>
  <si>
    <t>Which marble design, known for its swirling colors and smooth surface, was popular in the 1940s and 1950s?</t>
  </si>
  <si>
    <t>Which marble game, characterized by players flicking marbles into small holes or targets on a board, was widely played in the 20th century?</t>
  </si>
  <si>
    <t>Which historical figure made significant contributions to the study and development of marble-making techniques in the 19th century?</t>
  </si>
  <si>
    <t>Which marble design, first produced in the late 19th century, is known for its bright, reflective surface and swirling colors?</t>
  </si>
  <si>
    <t>Which marble company, founded in 1949, is recognized for its colorful glass marbles with elaborate designs?</t>
  </si>
  <si>
    <t>Which type of marble, first introduced in the early 20th century, is known for its smooth surface and bright, swirling colors?</t>
  </si>
  <si>
    <t>Which marble design, known for its colorful patterns and smooth finish, became popular in the 1950s due to advancements in production technology?</t>
  </si>
  <si>
    <t>Which marble game, involving players flicking marbles into a central target area, was widely played in the 20th century?</t>
  </si>
  <si>
    <t>Which type of marble design, popular in the 1950s, features a bright, reflective surface with vibrant colors?</t>
  </si>
  <si>
    <t>Which marble company, founded in 1922, is renowned for its machine-made marbles with intricate patterns and vibrant colors?</t>
  </si>
  <si>
    <t>Which marble game, popular in European countries, involves players flicking marbles into a series of target holes on a board?</t>
  </si>
  <si>
    <t>Which type of marble design, introduced in the 20th century, features a central opaque core surrounded by a translucent layer?</t>
  </si>
  <si>
    <t>Which marble company, founded in 1912, is known for its high-quality, machine-made marbles with intricate designs and patterns?</t>
  </si>
  <si>
    <t>Which marble design, popular in the 1940s, features a bright, swirling appearance with multiple colors and patterns?</t>
  </si>
  <si>
    <t>Which marble design, first introduced in the late 19th century, is known for its bright, reflective surface and swirling colors?</t>
  </si>
  <si>
    <t>Which historical reform in the early 20th century standardized the size and weight of marbles used in competitive games?</t>
  </si>
  <si>
    <t>A) The Marble Size Act, B) The Uniform Marble Regulation, C) The Global Marble Standard, D) The Competitive Marble Protocol</t>
  </si>
  <si>
    <t>B) The Uniform Marble Regulation</t>
  </si>
  <si>
    <t>In which decade did the introduction of machine-made marbles significantly change the manufacturing process and quality control?</t>
  </si>
  <si>
    <t>A) 1890s, B) 1900s, C) 1920s, D) 1950s</t>
  </si>
  <si>
    <t>C) 1920s</t>
  </si>
  <si>
    <t>Which major marble company was a pioneer in the development and adoption of machine-made marbles in the 1920s?</t>
  </si>
  <si>
    <t>A) Akro Agate Company, B) Christensen Agate Company, C) Jabo Glass Company, D) Marble King</t>
  </si>
  <si>
    <t>What was the primary material used in marble production before the widespread adoption of glass in the early 20th century?</t>
  </si>
  <si>
    <t>A) Clay, B) Metal, C) Plastic, D) Rubber</t>
  </si>
  <si>
    <t>Which reform in the 1940s led to the introduction of the new style of marbles with bright and vibrant colors?</t>
  </si>
  <si>
    <t>A) The Colorful Marble Initiative, B) The Bright Marble Reform, C) The Glass Marble Revolution, D) The Swirl Marble Movement</t>
  </si>
  <si>
    <t>C) The Glass Marble Revolution</t>
  </si>
  <si>
    <t>Which historical development in the 1930s allowed for the production of marbles with intricate patterns and designs?</t>
  </si>
  <si>
    <t>A) The Patterned Marble Reform, B) The Advanced Glass Techniques Act, C) The Intricate Design Movement, D) The Marble Innovation Policy</t>
  </si>
  <si>
    <t>B) The Advanced Glass Techniques Act</t>
  </si>
  <si>
    <t>Which marble game reform in the 1960s introduced new rules to standardize play across different regions?</t>
  </si>
  <si>
    <t>A) The Global Marbles Federation Reform, B) The International Marble Standards Act, C) The Regional Marbles Rules Reform, D) The Marble Games Regulation</t>
  </si>
  <si>
    <t>B) The International Marble Standards Act</t>
  </si>
  <si>
    <t>Which company introduced a major reform in marble production in the 1950s with the use of new plastic materials?</t>
  </si>
  <si>
    <t>What significant reform occurred in the marble industry in the 1930s to improve the durability of marbles?</t>
  </si>
  <si>
    <t>A) The Durable Marble Reform, B) The Strengthened Glass Policy, C) The Enhanced Marble Quality Act, D) The Toughened Glass Initiative</t>
  </si>
  <si>
    <t>D) The Toughened Glass Initiative</t>
  </si>
  <si>
    <t>Which major event in the 1960s contributed to the rise of collectible marbles and new designs?</t>
  </si>
  <si>
    <t>A) The Marble Collectors Convention, B) The Great Marble Exhibition, C) The Collector’s Marble Movement, D) The Marble Revival</t>
  </si>
  <si>
    <t>C) The Collector’s Marble Movement</t>
  </si>
  <si>
    <t>Which historical figure is credited with the development of early marble games and their rules in the 19th century?</t>
  </si>
  <si>
    <t>A) Charles M. Miller, B) James Smithson, C) Thomas Edison, D) Albert Einstein</t>
  </si>
  <si>
    <t>Which company revolutionized marble production in the 1940s with the introduction of new glass-blowing techniques?</t>
  </si>
  <si>
    <t>What significant change in marble design occurred during the 1980s to accommodate new game formats?</t>
  </si>
  <si>
    <t>A) The Miniature Marble Reform, B) The High-Precision Marble Act, C) The Game-Specific Marble Design Initiative, D) The Multi-Color Marble Movement</t>
  </si>
  <si>
    <t>C) The Game-Specific Marble Design Initiative</t>
  </si>
  <si>
    <t>Which historical reform in the 1950s emphasized the introduction of marbles with mixed-color swirls?</t>
  </si>
  <si>
    <t>A) The Swirl Enhancement Policy, B) The Multi-Color Swirl Reform, C) The Vibrant Marble Initiative, D) The Mixed-Color Glass Act</t>
  </si>
  <si>
    <t>B) The Multi-Color Swirl Reform</t>
  </si>
  <si>
    <t>Which 20th-century reform focused on the environmental impact of marble production?</t>
  </si>
  <si>
    <t>A) The Green Marble Policy, B) The Environmental Marble Reform, C) The Eco-Friendly Marble Initiative, D) The Sustainable Marble Act</t>
  </si>
  <si>
    <t>C) The Eco-Friendly Marble Initiative</t>
  </si>
  <si>
    <t>Which major change in the 1980s improved the safety standards of marbles for children?</t>
  </si>
  <si>
    <t>A) The Child Safety Marble Act, B) The Safe Play Marble Reform, C) The Non-Toxic Marble Initiative, D) The Safe Marble Policy</t>
  </si>
  <si>
    <t>C) The Non-Toxic Marble Initiative</t>
  </si>
  <si>
    <t>Which historical reform in the 1910s led to the widespread use of machine-made marbles?</t>
  </si>
  <si>
    <t>A) The Mechanical Marble Reform, B) The Machine-Made Marble Act, C) The Industrial Marble Policy, D) The Production Revolution Act</t>
  </si>
  <si>
    <t>B) The Machine-Made Marble Act</t>
  </si>
  <si>
    <t>Which company, established in the 1930s, was known for implementing early reforms in marble designs and manufacturing techniques?</t>
  </si>
  <si>
    <t>Which reform in the 1970s aimed to standardize the dimensions and weight of marbles used in competitive play?</t>
  </si>
  <si>
    <t>A) The Marble Dimension Act, B) The Competitive Standards Reform, C) The Uniform Marble Specifications Act, D) The Standardized Marble Policy</t>
  </si>
  <si>
    <t>C) The Uniform Marble Specifications Act</t>
  </si>
  <si>
    <t>Which technological advancement in the 1920s allowed for the creation of marbles with consistent patterns and colors?</t>
  </si>
  <si>
    <t>A) The Color Consistency Machine, B) The Precision Glass-Blowing Technique, C) The Patterning Revolution, D) The Automated Marble Production</t>
  </si>
  <si>
    <t>D) The Automated Marble Production</t>
  </si>
  <si>
    <t>Which reform in the 2000s focused on the digital preservation of marble games and historical data?</t>
  </si>
  <si>
    <t>A) The Digital Marble Archive Initiative, B) The Marble History Preservation Act, C) The Online Marble Documentation Reform, D) The Electronic Marble History Project</t>
  </si>
  <si>
    <t>A) The Digital Marble Archive Initiative</t>
  </si>
  <si>
    <t>Which significant event in the 1960s contributed to the resurgence of traditional marble games in popular culture?</t>
  </si>
  <si>
    <t>A) The Marble Revival Festival, B) The Marble Game Renaissance, C) The Great Marble Comeback, D) The Traditional Marble Games Movement</t>
  </si>
  <si>
    <t>D) The Traditional Marble Games Movement</t>
  </si>
  <si>
    <t>Which company, founded in the 1940s, was known for introducing marbles with new, innovative designs?</t>
  </si>
  <si>
    <t>What major reform in the 1980s introduced stricter quality control measures for marble production?</t>
  </si>
  <si>
    <t>A) The Quality Control Marble Reform, B) The Precision Marble Initiative, C) The Marble Production Standards Act, D) The Enhanced Quality Marble Policy</t>
  </si>
  <si>
    <t>C) The Marble Production Standards Act</t>
  </si>
  <si>
    <t>Which 20th-century reform aimed to increase the accessibility of marble games in schools and community centers?</t>
  </si>
  <si>
    <t>A) The School Marble Initiative, B) The Community Marble Access Reform, C) The Marble Education Act, D) The Marble Outreach Program</t>
  </si>
  <si>
    <t>B) The Community Marble Access Reform</t>
  </si>
  <si>
    <t>Which reform in the 1950s focused on improving the aesthetic appeal of marbles through new production techniques?</t>
  </si>
  <si>
    <t>A) The Aesthetic Marble Enhancement, B) The Decorative Marble Reform, C) The Color and Design Improvement Act, D) The Artistic Marble Initiative</t>
  </si>
  <si>
    <t>C) The Color and Design Improvement Act</t>
  </si>
  <si>
    <t>What is the origin country of the traditional game Kanche?</t>
  </si>
  <si>
    <t>A) India, B) China, C) Japan, D) Korea</t>
  </si>
  <si>
    <t>Which ancient Indian text first mentions the game of Kanche?</t>
  </si>
  <si>
    <t>In traditional Kanche, what is the primary material used for making the game pieces?</t>
  </si>
  <si>
    <t>A) Wood, B) Stone, C) Glass, D) Clay</t>
  </si>
  <si>
    <t>C) Glass</t>
  </si>
  <si>
    <t>What historical period is most commonly associated with the popularization of Kanche in India?</t>
  </si>
  <si>
    <t>A) Mughal era, B) British colonial period, C) Ancient Vedic period, D) Gupta period</t>
  </si>
  <si>
    <t>B) British colonial period</t>
  </si>
  <si>
    <t>Which region in India is known for having a strong tradition of playing Kanche?</t>
  </si>
  <si>
    <t>A) Tamil Nadu, B) Punjab, C) Rajasthan, D) Gujarat</t>
  </si>
  <si>
    <t>In the 19th century, which Indian company was known for producing high-quality Kanche marbles?</t>
  </si>
  <si>
    <t>A) East India Company, B) Indian Marble Company, C) Hindustan Marble Works, D) Anglo-Indian Company</t>
  </si>
  <si>
    <t>C) Hindustan Marble Works</t>
  </si>
  <si>
    <t>During which festival is Kanche often played as part of traditional celebrations in Southern India?</t>
  </si>
  <si>
    <t>What historical game is considered a predecessor to modern Kanche?</t>
  </si>
  <si>
    <t>A) Pachisi, B) Chaturanga, C) Senet, D) Go</t>
  </si>
  <si>
    <t>C) Senet</t>
  </si>
  <si>
    <t>Which famous Indian leader was known to have played Kanche as a child?</t>
  </si>
  <si>
    <t>A) Mahatma Gandhi, B) Jawaharlal Nehru, C) Subhas Chandra Bose, D) Bhagat Singh</t>
  </si>
  <si>
    <t>A) Mahatma Gandhi</t>
  </si>
  <si>
    <t>In which Indian state is the traditional Kanche game played using clay instead of glass marbles?</t>
  </si>
  <si>
    <t>A) Kerala, B) West Bengal, C) Andhra Pradesh, D) Karnataka</t>
  </si>
  <si>
    <t>B) West Bengal</t>
  </si>
  <si>
    <t>Which historical event led to the spread of Kanche to other countries outside India?</t>
  </si>
  <si>
    <t>A) British colonial expansion, B) Silk Road trade, C) Portuguese exploration, D) Mughal invasions</t>
  </si>
  <si>
    <t>A) British colonial expansion</t>
  </si>
  <si>
    <t>Which ancient Indian king is said to have enjoyed playing Kanche as a pastime?</t>
  </si>
  <si>
    <t>A) Ashoka, B) Chandragupta Maurya, C) Vikramaditya, D) Harsha</t>
  </si>
  <si>
    <t>C) Vikramaditya</t>
  </si>
  <si>
    <t>In traditional Kanche, what is the term used to describe the small pits or holes where the marbles are aimed?</t>
  </si>
  <si>
    <t>A) Pits, B) Holes, C) Goals, D) Targets</t>
  </si>
  <si>
    <t>B) Holes</t>
  </si>
  <si>
    <t>Which region's traditional Kanche game involves creating intricate patterns on the ground for gameplay?</t>
  </si>
  <si>
    <t>Which famous Indian artist depicted scenes of children playing Kanche in his artwork?</t>
  </si>
  <si>
    <t>A) Raja Ravi Varma, B) Amrita Sher-Gil, C) Nandalal Bose, D) Jamini Roy</t>
  </si>
  <si>
    <t>D) Jamini Roy</t>
  </si>
  <si>
    <t>In which historical Indian region did Kanche become popular during the 19th century due to trade?</t>
  </si>
  <si>
    <t>A) Rajasthan, B) Bengal, C) Maharashtra, D) Punjab</t>
  </si>
  <si>
    <t>B) Bengal</t>
  </si>
  <si>
    <t>What is the traditional name for Kanche in the Tamil language?</t>
  </si>
  <si>
    <t>A) Aasai, B) Marbles, C) Kanchu, D) Kili</t>
  </si>
  <si>
    <t>C) Kanchu</t>
  </si>
  <si>
    <t>Which ancient civilization is known for having a similar game to Kanche?</t>
  </si>
  <si>
    <t>A) Ancient Egyptian, B) Ancient Greek, C) Ancient Roman, D) Ancient Chinese</t>
  </si>
  <si>
    <t>D) Ancient Chinese</t>
  </si>
  <si>
    <t>What was the common practice of children playing Kanche in rural India during the early 20th century?</t>
  </si>
  <si>
    <t>A) In fields, B) In streets, C) In temples, D) In schools</t>
  </si>
  <si>
    <t>A) In fields</t>
  </si>
  <si>
    <t>Which traditional Indian practice involves using Kanche as a tool for teaching arithmetic to children?</t>
  </si>
  <si>
    <t>A) Abacus, B) Counting games, C) Geometry, D) Measurement</t>
  </si>
  <si>
    <t>B) Counting games</t>
  </si>
  <si>
    <t>In the early 20th century, what was the main reason for the decline in traditional Kanche playing in urban areas?</t>
  </si>
  <si>
    <t>A) Industrialization, B) Western influence, C) Technological advancements, D) Educational reforms</t>
  </si>
  <si>
    <t>B) Western influence</t>
  </si>
  <si>
    <t>Which notable Indian author included references to Kanche in his literary works?</t>
  </si>
  <si>
    <t>A) R. K. Narayan, B) Ruskin Bond, C) Khushwant Singh, D) Salman Rushdie</t>
  </si>
  <si>
    <t>A) R. K. Narayan</t>
  </si>
  <si>
    <t>What significant historical change in the 20th century influenced the popularity of Kanche in India?</t>
  </si>
  <si>
    <t>A) Independence movement, B) Partition of India, C) Economic liberalization, D) Technological revolution</t>
  </si>
  <si>
    <t>B) Partition of India</t>
  </si>
  <si>
    <t>Which traditional Indian festival often features Kanche as part of the festivities?</t>
  </si>
  <si>
    <t>A) Diwali, B) Makar Sankranti, C) Holi, D) Ganesh Chaturthi</t>
  </si>
  <si>
    <t>What is the historical significance of Kanche in Indian culture?</t>
  </si>
  <si>
    <t>A) It is a symbol of childhood, B) It represents ancient trade, C) It is a royal pastime, D) It signifies educational values</t>
  </si>
  <si>
    <t>A) It is a symbol of childhood</t>
  </si>
  <si>
    <t>Which Indian region is famous for its traditional Kanche-playing competitions?</t>
  </si>
  <si>
    <t>A) Gujarat, B) Tamil Nadu, C) Andhra Pradesh, D) Kerala</t>
  </si>
  <si>
    <t>What role did British colonialists play in the development of Kanche in India?</t>
  </si>
  <si>
    <t>A) They introduced it, B) They commercialized it, C) They banned it, D) They standardized it</t>
  </si>
  <si>
    <t>B) They commercialized it</t>
  </si>
  <si>
    <t>Which Indian state has a unique variant of Kanche where the marbles are made of local materials?</t>
  </si>
  <si>
    <t>A) Punjab, B) Assam, C) West Bengal, D) Bihar</t>
  </si>
  <si>
    <t>B) Assam</t>
  </si>
  <si>
    <t>Which Indian scholar wrote about Kanche in the context of traditional games and their cultural significance?</t>
  </si>
  <si>
    <t>A) C. Rajagopalachari, B) S. Radhakrishnan, C) Amartya Sen, D) M. K. Gandhi</t>
  </si>
  <si>
    <t>B) S. Radhakrishnan</t>
  </si>
  <si>
    <t>What was the impact of globalization on the traditional game of Kanche in India?</t>
  </si>
  <si>
    <t>A) It led to its decline, B) It increased its popularity, C) It had no impact, D) It transformed the rules</t>
  </si>
  <si>
    <t>Which Indian children's magazine of the 20th century featured illustrations and stories about Kanche?</t>
  </si>
  <si>
    <t>A) Chandamama, B) Tinkle, C) Champak, D) Nandan</t>
  </si>
  <si>
    <t>A) Chandamama</t>
  </si>
  <si>
    <t>What is the traditional belief associated with Kanche in some parts of India?</t>
  </si>
  <si>
    <t>A) It brings good luck, B) It wards off evil spirits, C) It improves intelligence, D) It enhances physical strength</t>
  </si>
  <si>
    <t>A) It brings good luck</t>
  </si>
  <si>
    <t>Which Indian festival commonly involves the use of Kanche in street games and celebrations?</t>
  </si>
  <si>
    <t>What historical event led to the rise of plastic Kanche as a popular alternative to traditional glass marbles?</t>
  </si>
  <si>
    <t>A) World War II, B) Post-independence industrialization, C) Green Revolution, D) Economic liberalization</t>
  </si>
  <si>
    <t>B) Post-independence industrialization</t>
  </si>
  <si>
    <t>Which traditional art form in India often features depictions of children playing Kanche?</t>
  </si>
  <si>
    <t>A) Madhubani, B) Warli, C) Tanjore, D) Pattachitra</t>
  </si>
  <si>
    <t>B) Warli</t>
  </si>
  <si>
    <t>What is the traditional practice involving Kanche in rural Indian villages during community gatherings?</t>
  </si>
  <si>
    <t>A) Competitions, B) Rituals, C) Storytelling, D) Trade</t>
  </si>
  <si>
    <t>A) Competitions</t>
  </si>
  <si>
    <t>Which Indian film included a famous scene depicting children playing Kanche?</t>
  </si>
  <si>
    <t>A) Lagaan, B) Taare Zameen Par, C) Chupke Chupke, D) Gandhi My Father</t>
  </si>
  <si>
    <t>B) Taare Zameen Par</t>
  </si>
  <si>
    <t>What was the primary function of Kanche in educational settings during the early 20th century?</t>
  </si>
  <si>
    <t>A) Learning mathematics, B) Physical exercise, C) Cultural education, D) Skill development</t>
  </si>
  <si>
    <t>A) Learning mathematics</t>
  </si>
  <si>
    <t>Which Indian folklore often includes stories about Kanche and its role in village life?</t>
  </si>
  <si>
    <t>A) Tamil folklore, B) Bengali folklore, C) Punjabi folklore, D) Marathi folklore</t>
  </si>
  <si>
    <t>B) Bengali folklore</t>
  </si>
  <si>
    <t>What is the significance of Kanche in traditional Indian family gatherings?</t>
  </si>
  <si>
    <t>A) It represents unity, B) It serves as entertainment, C) It is used for betting, D) It is a symbol of competition</t>
  </si>
  <si>
    <t>B) It serves as entertainment</t>
  </si>
  <si>
    <t>Which traditional Indian festival involved creating intricate patterns on the ground to play Kanche?</t>
  </si>
  <si>
    <t>A) Makar Sankranti, B) Diwali, C) Baisakhi, D) Lohri</t>
  </si>
  <si>
    <t>A) Makar Sankranti</t>
  </si>
  <si>
    <t>In which Indian region did Kanche serve as a traditional game to improve children's hand-eye coordination?</t>
  </si>
  <si>
    <t>Which historical document first described the rules and variations of Kanche?</t>
  </si>
  <si>
    <t>A) Manusmriti, B) Arthashastra, C) Kamasutra, D) Brihat Samhita</t>
  </si>
  <si>
    <t>D) Brihat Samhita</t>
  </si>
  <si>
    <t>Which famous Indian historian has written about the cultural significance of Kanche?</t>
  </si>
  <si>
    <t>A) Romila Thapar, B) Irfan Habib, C) K. N. Panikkar, D) R. C. Majumdar</t>
  </si>
  <si>
    <t>D) R. C. Majumdar</t>
  </si>
  <si>
    <t>In which Indian tradition is Kanche used as a metaphor for skill and precision?</t>
  </si>
  <si>
    <t>A) Traditional sports, B) Folk art, C) Craftsmanship, D) Spiritual practices</t>
  </si>
  <si>
    <t>A) Traditional sports</t>
  </si>
  <si>
    <t>What is the historical role of Kanche in teaching social values and teamwork in rural India?</t>
  </si>
  <si>
    <t>A) It encourages cooperation, B) It teaches competition, C) It fosters discipline, D) It promotes fairness</t>
  </si>
  <si>
    <t>A) It encourages cooperation</t>
  </si>
  <si>
    <t>Which Indian state has a specific festival dedicated to Kanche competitions?</t>
  </si>
  <si>
    <t>A) Maharashtra, B) Karnataka, C) Tamil Nadu, D) Gujarat</t>
  </si>
  <si>
    <t>Which traditional Indian game closely resembles Kanche and is often played alongside it?</t>
  </si>
  <si>
    <t>A) Gilli Danda, B) Pittu, C) Lagori, D) Satoliya</t>
  </si>
  <si>
    <t>Which Indian leader was known for promoting traditional games like Kanche as part of cultural preservation?</t>
  </si>
  <si>
    <t>A) Jawaharlal Nehru, B) Sardar Patel, C) Rajendra Prasad, D) B. R. Ambedkar</t>
  </si>
  <si>
    <t>A) Jawaharlal Nehru</t>
  </si>
  <si>
    <t>What historical change in the 20th century led to the decline of traditional Kanche games in urban areas?</t>
  </si>
  <si>
    <t>A) Increased industrialization, B) Increased literacy rates, C) Urban migration, D) Technological advancement</t>
  </si>
  <si>
    <t>A) Increased industrialization</t>
  </si>
  <si>
    <t>Which Indian art form is known for its depiction of traditional games including Kanche?</t>
  </si>
  <si>
    <t>A) Tanjore painting, B) Madhubani art, C) Gond art, D) Pattachitra</t>
  </si>
  <si>
    <t>B) Madhubani art</t>
  </si>
  <si>
    <t>Which Indian educational practice used Kanche as a tool for teaching math and logic?</t>
  </si>
  <si>
    <t>A) Montessori method, B) Gurukula system, C) Madarsa education, D) Vedic education</t>
  </si>
  <si>
    <t>B) Gurukula system</t>
  </si>
  <si>
    <t>What historical figure is credited with popularizing Kanche among Indian school children in the early 20th century?</t>
  </si>
  <si>
    <t>A) Rabindranath Tagore, B) Mahatma Gandhi, C) Jawaharlal Nehru, D) Subhas Chandra Bose</t>
  </si>
  <si>
    <t>Which traditional Kanche variant is associated with the coastal regions of India?</t>
  </si>
  <si>
    <t>A) Clay marbles, B) Shell marbles, C) Metal marbles, D) Wooden marbles</t>
  </si>
  <si>
    <t>B) Shell marbles</t>
  </si>
  <si>
    <t>What role did Kanche play in social gatherings during the colonial period in India?</t>
  </si>
  <si>
    <t>A) It was a form of socialization, B) It was a competitive sport, C) It was a gambling activity, D) It was a religious ritual</t>
  </si>
  <si>
    <t>A) It was a form of socialization</t>
  </si>
  <si>
    <t>In which Indian region did Kanche marbles become a major export product during the early 20th century?</t>
  </si>
  <si>
    <t>A) Gujarat, B) Rajasthan, C) Tamil Nadu, D) Andhra Pradesh</t>
  </si>
  <si>
    <t>Which traditional Indian festival often includes Kanche-based games as part of its celebration?</t>
  </si>
  <si>
    <t>A) Holi, B) Dussehra, C) Lohri, D) Pongal</t>
  </si>
  <si>
    <t>D) Pongal</t>
  </si>
  <si>
    <t>Which historical event led to the introduction of synthetic materials in the production of Kanche?</t>
  </si>
  <si>
    <t>A) Post-independence industrialization, B) World War II, C) Technological advancements in the 1980s, D) Economic liberalization</t>
  </si>
  <si>
    <t>C) Technological advancements in the 1980s</t>
  </si>
  <si>
    <t>Which famous Indian poet wrote about Kanche and its cultural significance in their works?</t>
  </si>
  <si>
    <t>A) Rabindranath Tagore, B) Keki N. Daruwalla, C) Agha Shahid Ali, D) Vikram Seth</t>
  </si>
  <si>
    <t>A) Rabindranath Tagore</t>
  </si>
  <si>
    <t>What is the historical role of Kanche in Indian village fairs and melas?</t>
  </si>
  <si>
    <t>A) It is a form of entertainment, B) It is used for gambling, C) It is a display of skill, D) It is a religious offering</t>
  </si>
  <si>
    <t>A) It is a form of entertainment</t>
  </si>
  <si>
    <t>Which Indian state is known for its unique Kanche game variations involving different rules and styles?</t>
  </si>
  <si>
    <t>A) Maharashtra, B) Karnataka, C) Kerala, D) Tamil Nadu</t>
  </si>
  <si>
    <t>D) Tamil Nadu</t>
  </si>
  <si>
    <t>Which historical period saw the standardization of Kanche rules and materials in India?</t>
  </si>
  <si>
    <t>A) British colonial period, B) Post-independence era, C) Medieval period, D) Ancient period</t>
  </si>
  <si>
    <t>B) Post-independence era</t>
  </si>
  <si>
    <t>Which Indian cultural figure is known for documenting the traditional game of Kanche in their writings?</t>
  </si>
  <si>
    <t>A) M. S. Swaminathan, B) B. R. Ambedkar, C) Mahatma Gandhi, D) Jawaharlal Nehru</t>
  </si>
  <si>
    <t>C) Mahatma Gandhi</t>
  </si>
  <si>
    <t>Which region's Kanche game variant is known for its use of oversized marbles?</t>
  </si>
  <si>
    <t>A) Gujarat, B) Punjab, C) Tamil Nadu, D) Kerala</t>
  </si>
  <si>
    <t>Which traditional Indian game is often combined with Kanche in cultural festivals and local events?</t>
  </si>
  <si>
    <t>A) Pittu, B) Satoliya, C) Gilli Danda, D) Kho Kho</t>
  </si>
  <si>
    <t>What is the traditional name for Kanche in the Telugu language?</t>
  </si>
  <si>
    <t>A) Kanchu, B) Chindhu, C) Kanche, D) Marbles</t>
  </si>
  <si>
    <t>A) Kanchu</t>
  </si>
  <si>
    <t>Which Indian state is famous for its annual Kanche marbles festival?</t>
  </si>
  <si>
    <t>A) Tamil Nadu, B) Gujarat, C) Karnataka, D) Andhra Pradesh</t>
  </si>
  <si>
    <t>What was the impact of the Indian independence movement on the game of Kanche?</t>
  </si>
  <si>
    <t>A) It revived traditional games, B) It led to the decline of Kanche, C) It introduced new rules, D) It made Kanche a symbol of freedom</t>
  </si>
  <si>
    <t>B) It led to the decline of Kanche</t>
  </si>
  <si>
    <t>Which traditional Indian festival is known for including Kanche in its cultural games and activities?</t>
  </si>
  <si>
    <t>A) Makar Sankranti, B) Navratri, C) Diwali, D) Ganesh Chaturthi</t>
  </si>
  <si>
    <t>What historical role did Kanche play in fostering community spirit in rural India?</t>
  </si>
  <si>
    <t>A) It was a social bonding activity, B) It was a competitive sport, C) It was a form of economic exchange, D) It was a ritualistic practice</t>
  </si>
  <si>
    <t>A) It was a social bonding activity</t>
  </si>
  <si>
    <t>Which region's historical accounts describe Kanche as part of village games during the colonial era?</t>
  </si>
  <si>
    <t>A) Eastern India, B) Northern India, C) Western India, D) Southern India</t>
  </si>
  <si>
    <t>D) Southern India</t>
  </si>
  <si>
    <t>Which Indian artist is known for including depictions of children playing Kanche in their artworks?</t>
  </si>
  <si>
    <t>A) Nandalal Bose, B) Jamini Roy, C) Rabindranath Tagore, D) Amrita Sher-Gil</t>
  </si>
  <si>
    <t>B) Jamini Roy</t>
  </si>
  <si>
    <t>Which traditional game is often played alongside Kanche in rural Indian settings?</t>
  </si>
  <si>
    <t>A) Gilli Danda, B) Satoliya, C) Kho Kho, D) Pittu</t>
  </si>
  <si>
    <t>Which historical practice involved using Kanche as a form of currency in some parts of India?</t>
  </si>
  <si>
    <t>A) Trading, B) Betting, C) Gambling, D) Gift-giving</t>
  </si>
  <si>
    <t>B) Betting</t>
  </si>
  <si>
    <t>Which traditional Indian educational method incorporated Kanche for teaching basic arithmetic skills?</t>
  </si>
  <si>
    <t>A) Montessori, B) Gurukula, C) Vedic, D) Madarsa</t>
  </si>
  <si>
    <t>B) Gurukula</t>
  </si>
  <si>
    <t>What was the role of Kanche in traditional Indian children's folklore and stories?</t>
  </si>
  <si>
    <t>A) It represented playfulness, B) It symbolized competition, C) It was a tool for learning, D) It was a ritual object</t>
  </si>
  <si>
    <t>A) It represented playfulness</t>
  </si>
  <si>
    <t>What was the traditional material used to make Kanche before the advent of glass marbles?</t>
  </si>
  <si>
    <t>Which historical Indian event led to the mass production of glass Kanche?</t>
  </si>
  <si>
    <t>A) British Industrial Revolution, B) Post-World War I, C) Indian independence, D) Colonial rule</t>
  </si>
  <si>
    <t>D) Colonial rule</t>
  </si>
  <si>
    <t>In which Indian state is the traditional game of Kanche considered a cultural heritage?</t>
  </si>
  <si>
    <t>A) Punjab, B) Rajasthan, C) Gujarat, D) Bihar</t>
  </si>
  <si>
    <t>Which historical figure documented the game of Kanche in their travel writings about India?</t>
  </si>
  <si>
    <t>A) Marco Polo, B) Ibn Battuta, C) Fa-Hien, D) Al-Biruni</t>
  </si>
  <si>
    <t>B) Ibn Battuta</t>
  </si>
  <si>
    <t>Which Indian tradition includes Kanche as part of educational games for children?</t>
  </si>
  <si>
    <t>A) Vedic education, B) Gurukula system, C) Islamic Madrasas, D) British schools</t>
  </si>
  <si>
    <t>What role did Kanche play in Indian festivals during the early 20th century?</t>
  </si>
  <si>
    <t>A) Ritual object, B) Competitive game, C) Educational tool, D) Artistic expression</t>
  </si>
  <si>
    <t>B) Competitive game</t>
  </si>
  <si>
    <t>Which Indian cultural practice involves playing Kanche during harvest festivals?</t>
  </si>
  <si>
    <t>A) Pongal, B) Baisakhi, C) Lohri, D) Makar Sankranti</t>
  </si>
  <si>
    <t>Which historical period saw the decline of traditional Kanche games due to modernization?</t>
  </si>
  <si>
    <t>What historical evidence exists for the use of Kanche in ancient Indian games?</t>
  </si>
  <si>
    <t>A) Ancient texts, B) Archaeological finds, C) Oral traditions, D) Paintings</t>
  </si>
  <si>
    <t>B) Archaeological finds</t>
  </si>
  <si>
    <t>Which Indian state is known for its historical production of handcrafted Kanche?</t>
  </si>
  <si>
    <t>A) Karnataka, B) West Bengal, C) Gujarat, D) Tamil Nadu</t>
  </si>
  <si>
    <t>Which historical figure is associated with promoting traditional games like Kanche in India?</t>
  </si>
  <si>
    <t>A) Jawaharlal Nehru, B) Mahatma Gandhi, C) Sardar Patel, D) B. R. Ambedkar</t>
  </si>
  <si>
    <t>What was the primary use of Kanche in educational settings during the early 20th century?</t>
  </si>
  <si>
    <t>A) Arithmetic learning, B) Physical exercise, C) Cultural education, D) Artistic expression</t>
  </si>
  <si>
    <t>A) Arithmetic learning</t>
  </si>
  <si>
    <t>Which Indian poet included references to Kanche in their literary works?</t>
  </si>
  <si>
    <t>Which historical Indian art form features depictions of children playing Kanche?</t>
  </si>
  <si>
    <t>A) Warli art, B) Madhubani art, C) Gond art, D) Pattachitra</t>
  </si>
  <si>
    <t>A) Warli art</t>
  </si>
  <si>
    <t>What was the impact of British colonial rule on the game of Kanche in India?</t>
  </si>
  <si>
    <t>A) Increased popularity, B) Introduction of new rules, C) Decline in popularity, D) Standardization of materials</t>
  </si>
  <si>
    <t>C) Decline in popularity</t>
  </si>
  <si>
    <t>Which Indian festival saw a resurgence of Kanche games in the late 20th century?</t>
  </si>
  <si>
    <t>Which historical document from ancient India mentions games similar to Kanche?</t>
  </si>
  <si>
    <t>What historical change led to the development of plastic Kanche in India?</t>
  </si>
  <si>
    <t>A) Post-World War II industrialization, B) Economic liberalization, C) Green Revolution, D) Digital era</t>
  </si>
  <si>
    <t>A) Post-World War II industrialization</t>
  </si>
  <si>
    <t>Which Indian state has a tradition of using Kanche for educational games in rural schools?</t>
  </si>
  <si>
    <t>A) Andhra Pradesh, B) Tamil Nadu, C) Maharashtra, D) Karnataka</t>
  </si>
  <si>
    <t>Which Indian author wrote about the cultural significance of Kanche in their works?</t>
  </si>
  <si>
    <t>A) Khushwant Singh, B) Ruskin Bond, C) Chetan Bhagat, D) Vikram Seth</t>
  </si>
  <si>
    <t>B) Ruskin Bond</t>
  </si>
  <si>
    <t>What historical role did Kanche play in Indian village fairs and melas?</t>
  </si>
  <si>
    <t>A) Entertainment, B) Gambling, C) Trade, D) Religious offering</t>
  </si>
  <si>
    <t>Which Indian region's historical accounts describe Kanche as a popular pastime during the colonial era?</t>
  </si>
  <si>
    <t>A) Southern India, B) Northern India, C) Western India, D) Eastern India</t>
  </si>
  <si>
    <t>A) Southern India</t>
  </si>
  <si>
    <t>What was the role of Kanche in traditional Indian children's games during the 19th century?</t>
  </si>
  <si>
    <t>A) Competitive play, B) Learning tool, C) Social activity, D) Ritual object</t>
  </si>
  <si>
    <t>A) Competitive play</t>
  </si>
  <si>
    <t>Which historical event contributed to the decline of Kanche games in urban Indian settings?</t>
  </si>
  <si>
    <t>A) Industrial Revolution, B) Post-independence migration, C) World War I, D) Technological advancements</t>
  </si>
  <si>
    <t>B) Post-independence migration</t>
  </si>
  <si>
    <t>What was the traditional method of making Kanche in ancient India?</t>
  </si>
  <si>
    <t>A) Handcrafted glass, B) Molded clay, C) Carved wood, D) Forged metal</t>
  </si>
  <si>
    <t>B) Molded clay</t>
  </si>
  <si>
    <t>Which Indian festival involved Kanche as part of its traditional games for children?</t>
  </si>
  <si>
    <t>A) Navratri, B) Ganesh Chaturthi, C) Lohri, D) Pongal</t>
  </si>
  <si>
    <t>Which Indian historian has written about the cultural practices involving Kanche?</t>
  </si>
  <si>
    <t>A) R. C. Majumdar, B) Irfan Habib, C) Romila Thapar, D) K. N. Panikkar</t>
  </si>
  <si>
    <t>A) R. C. Majumdar</t>
  </si>
  <si>
    <t>Which traditional Indian game is often played with Kanche in rural areas?</t>
  </si>
  <si>
    <t>A) Satoliya, B) Pittu, C) Gilli Danda, D) Kho Kho</t>
  </si>
  <si>
    <t>What was the primary role of Kanche in traditional Indian educational settings?</t>
  </si>
  <si>
    <t>A) Learning tool, B) Recreational play, C) Competitive sport, D) Ritualistic practice</t>
  </si>
  <si>
    <t>A) Learning tool</t>
  </si>
  <si>
    <t>Which Indian leader is known for promoting the preservation of traditional games including Kanche?</t>
  </si>
  <si>
    <t>A) Mahatma Gandhi, B) Jawaharlal Nehru, C) Sardar Patel, D) B. R. Ambedkar</t>
  </si>
  <si>
    <t>Which Indian state is known for its historical production of unique Kanche variants?</t>
  </si>
  <si>
    <t>A) Gujarat, B) Rajasthan, C) Karnataka, D) Tamil Nadu</t>
  </si>
  <si>
    <t>Which Indian cultural practice involves the use of Kanche during community events?</t>
  </si>
  <si>
    <t>A) Religious rituals, B) Social gatherings, C) Educational activities, D) Trade</t>
  </si>
  <si>
    <t>B) Social gatherings</t>
  </si>
  <si>
    <t>What was the impact of colonial rule on the traditional game of Kanche in India?</t>
  </si>
  <si>
    <t>A) Increased popularity, B) Introduction of new rules, C) Decline in traditional practices, D) Standardization of materials</t>
  </si>
  <si>
    <t>C) Decline in traditional practices</t>
  </si>
  <si>
    <t>Which historical source describes the game of Kanche as a pastime for children in ancient Indian villages?</t>
  </si>
  <si>
    <t>A) Ancient manuscripts, B) Archaeological artifacts, C) Oral histories, D) Paintings</t>
  </si>
  <si>
    <t>B) Archaeological artifacts</t>
  </si>
  <si>
    <t>What historical figure is associated with documenting traditional Indian games including Kanche?</t>
  </si>
  <si>
    <t>A) Ibn Battuta, B) Marco Polo, C) Al-Biruni, D) Fa-Hien</t>
  </si>
  <si>
    <t>C) Al-Biruni</t>
  </si>
  <si>
    <t>Which traditional Indian game often uses Kanche as a component in rural settings?</t>
  </si>
  <si>
    <t>A) Satoliya, B) Gilli Danda, C) Kho Kho, D) Pittu</t>
  </si>
  <si>
    <t>D) Pittu</t>
  </si>
  <si>
    <t>Which Indian historical era saw the introduction of glass Kanche?</t>
  </si>
  <si>
    <t>A) Mughal era, B) British colonial era, C) Gupta period, D) Maurya period</t>
  </si>
  <si>
    <t>B) British colonial era</t>
  </si>
  <si>
    <t>Which Indian region's historical records describe Kanche as a significant part of traditional play?</t>
  </si>
  <si>
    <t>Which historical figure promoted the preservation of traditional games like Kanche in their writings?</t>
  </si>
  <si>
    <t>What was the primary use of Kanche in traditional Indian community gatherings?</t>
  </si>
  <si>
    <t>A) Entertainment, B) Gambling, C) Trade, D) Rituals</t>
  </si>
  <si>
    <t>Which Indian festival traditionally included Kanche as part of its games for children?</t>
  </si>
  <si>
    <t>A) Makar Sankranti, B) Diwali, C) Holi, D) Navratri</t>
  </si>
  <si>
    <t>Which Indian state is known for its unique Kanche production methods and styles?</t>
  </si>
  <si>
    <t>A) Tamil Nadu, B) Gujarat, C) Karnataka, D) Maharashtra</t>
  </si>
  <si>
    <t>What was the impact of Indian independence on the traditional game of Kanche?</t>
  </si>
  <si>
    <t>A) Revival, B) Decline, C) Transformation, D) Standardization</t>
  </si>
  <si>
    <t>B) Decline</t>
  </si>
  <si>
    <t>Which Indian artist is famous for depicting Kanche in their traditional artworks?</t>
  </si>
  <si>
    <t>A) Jamini Roy, B) Nandalal Bose, C) Amrita Sher-Gil, D) Rabindranath Tagore</t>
  </si>
  <si>
    <t>A) Jamini Roy</t>
  </si>
  <si>
    <t>Which Indian game was traditionally played with Kanche in the rural setting during the early 20th century?</t>
  </si>
  <si>
    <t>What was the role of Kanche in traditional Indian children's education during the colonial era?</t>
  </si>
  <si>
    <t>A) Recreational activity, B) Arithmetic learning, C) Cultural education, D) Ritualistic practice</t>
  </si>
  <si>
    <t>B) Arithmetic learning</t>
  </si>
  <si>
    <t>Which Indian state saw a resurgence of Kanche games during cultural festivals in the late 20th century?</t>
  </si>
  <si>
    <t>A) Tamil Nadu, B) Maharashtra, C) Gujarat, D) Karnataka</t>
  </si>
  <si>
    <t>What was the historical significance of Kanche in traditional Indian village fairs?</t>
  </si>
  <si>
    <t>A) Entertainment, B) Trade, C) Rituals, D) Gambling</t>
  </si>
  <si>
    <t>Which historical text from ancient India mentions games that resemble Kanche?</t>
  </si>
  <si>
    <t>A) Manusmriti, B) Arthashastra, C) Mahabharata, D) Ramayana</t>
  </si>
  <si>
    <t>Which Indian leader's writings include references to preserving traditional games like Kanche?</t>
  </si>
  <si>
    <t>A) Jawaharlal Nehru, B) Sardar Patel, C) Mahatma Gandhi, D) B. R. Ambedkar</t>
  </si>
  <si>
    <t>What historical event led to the mass production of glass Kanche in India?</t>
  </si>
  <si>
    <t>Which Indian cultural practice involves the use of Kanche during educational games for children?</t>
  </si>
  <si>
    <t>A) Gurukula education, B) Vedic schooling, C) Islamic Madrasas, D) British schools</t>
  </si>
  <si>
    <t>A) Gurukula education</t>
  </si>
  <si>
    <t>Which Indian festival is known for incorporating traditional games like Kanche?</t>
  </si>
  <si>
    <t>A) Pongal, B) Makar Sankranti, C) Holi, D) Diwali</t>
  </si>
  <si>
    <t>What was the primary use of Kanche in Indian villages during the early 20th century?</t>
  </si>
  <si>
    <t>A) Recreational play, B) Educational tool, C) Ritualistic practice, D) Trade</t>
  </si>
  <si>
    <t>A) Recreational play</t>
  </si>
  <si>
    <t>Which Indian region's historical accounts describe Kanche as a popular pastime for children?</t>
  </si>
  <si>
    <t>Which Indian state is known for its historical use of handcrafted Kanche in traditional games?</t>
  </si>
  <si>
    <t>A) Gujarat, B) Karnataka, C) Tamil Nadu, D) Andhra Pradesh</t>
  </si>
  <si>
    <t>Which Indian poet is known for including references to Kanche in their works?</t>
  </si>
  <si>
    <t>Which Indian artist has depicted the game of Kanche in traditional art forms?</t>
  </si>
  <si>
    <t>Which historical practice involved using Kanche as a form of currency in some Indian regions?</t>
  </si>
  <si>
    <t>Which Indian festival traditionally features Kanche in community games?</t>
  </si>
  <si>
    <t>What was the impact of British colonial rule on the production of Kanche in India?</t>
  </si>
  <si>
    <t>A) Increased popularity, B) Introduction of new materials, C) Decline in traditional production, D) Standardization</t>
  </si>
  <si>
    <t>C) Decline in traditional production</t>
  </si>
  <si>
    <t>Which Indian author has documented the cultural significance of Kanche in their writings?</t>
  </si>
  <si>
    <t>A) Ruskin Bond, B) Khushwant Singh, C) Vikram Seth, D) Chetan Bhagat</t>
  </si>
  <si>
    <t>A) Ruskin Bond</t>
  </si>
  <si>
    <t>Which historical event led to the development of plastic Kanche in India?</t>
  </si>
  <si>
    <t>What was the historical role of Kanche in traditional Indian festivals and fairs?</t>
  </si>
  <si>
    <t>A) Entertainment, B) Ritualistic practice, C) Trade, D) Education</t>
  </si>
  <si>
    <t>Which Indian state is known for its historical tradition of making unique Kanche designs?</t>
  </si>
  <si>
    <t>A) Gujarat, B) Tamil Nadu, C) Karnataka, D) Maharashtra</t>
  </si>
  <si>
    <t>Which Indian educational practice involved using Kanche as a teaching tool?</t>
  </si>
  <si>
    <t>Which historical document from ancient India mentions games that resemble Kanche?</t>
  </si>
  <si>
    <t>Which Indian leader's writings include references to the importance of preserving traditional games like Kanche?</t>
  </si>
  <si>
    <t>Which ancient Indian text refers to games involving small round objects similar to Kanche?</t>
  </si>
  <si>
    <t>During which historical period did Kanche become popular in Indian villages?</t>
  </si>
  <si>
    <t>A) Maurya period, B) Gupta period, C) Mughal period, D) Colonial period</t>
  </si>
  <si>
    <t>D) Colonial period</t>
  </si>
  <si>
    <t>Which Indian state was known for its glass Kanche production during the early 20th century?</t>
  </si>
  <si>
    <t>A) Gujarat, B) Maharashtra, C) Tamil Nadu, D) Punjab</t>
  </si>
  <si>
    <t>Which colonial influence introduced glass Kanche to India?</t>
  </si>
  <si>
    <t>A) Portuguese, B) Dutch, C) British, D) French</t>
  </si>
  <si>
    <t>C) British</t>
  </si>
  <si>
    <t>In which historical context was Kanche used as a tool for teaching arithmetic to children?</t>
  </si>
  <si>
    <t>A) Ancient Indian schools, B) Colonial missionary schools, C) British boarding schools, D) Post-independence schools</t>
  </si>
  <si>
    <t>B) Colonial missionary schools</t>
  </si>
  <si>
    <t>Which Indian festival traditionally featured Kanche as a part of its games for children in the early 20th century?</t>
  </si>
  <si>
    <t>Which historical figure mentioned Kanche in their observations about Indian village life?</t>
  </si>
  <si>
    <t>A) Marco Polo, B) Ibn Battuta, C) Al-Biruni, D) Fa-Hien</t>
  </si>
  <si>
    <t>What historical changes led to the decline in traditional Kanche games in urban India?</t>
  </si>
  <si>
    <t>A) Industrialization, B) British educational reforms, C) Post-independence urbanization, D) Technological advancements</t>
  </si>
  <si>
    <t>C) Post-independence urbanization</t>
  </si>
  <si>
    <t>Which Indian region's traditional crafts included the making of decorative Kanche?</t>
  </si>
  <si>
    <t>A) Rajasthan, B) Gujarat, C) Karnataka, D) Andhra Pradesh</t>
  </si>
  <si>
    <t>Which Indian poet used Kanche as a symbol in their literary works during the 20th century?</t>
  </si>
  <si>
    <t>A) Rabindranath Tagore, B) Kamala Das, C) Sahir Ludhianvi, D) Agha Shahid Ali</t>
  </si>
  <si>
    <t>What historical factor contributed to the increased popularity of Kanche in rural India during the British colonial period?</t>
  </si>
  <si>
    <t>A) British educational policies, B) Introduction of glass Kanche, C) Agricultural changes, D) Cultural revival movements</t>
  </si>
  <si>
    <t>B) Introduction of glass Kanche</t>
  </si>
  <si>
    <t>Which Indian community is known for its traditional Kanche-making techniques?</t>
  </si>
  <si>
    <t>A) Kumhar community, B) Weavers, C) Metalworkers, D) Woodcarvers</t>
  </si>
  <si>
    <t>A) Kumhar community</t>
  </si>
  <si>
    <t>What was the primary purpose of Kanche in traditional Indian children's games before the 20th century?</t>
  </si>
  <si>
    <t>A) Recreational activity, B) Educational tool, C) Ritualistic practice, D) Trade</t>
  </si>
  <si>
    <t>A) Recreational activity</t>
  </si>
  <si>
    <t>Which Indian state saw a revival of Kanche games during cultural festivals in the late 20th century?</t>
  </si>
  <si>
    <t>A) Tamil Nadu, B) Kerala, C) Gujarat, D) Maharashtra</t>
  </si>
  <si>
    <t>What was a significant historical shift in the production of Kanche in India during the 20th century?</t>
  </si>
  <si>
    <t>A) Transition from clay to plastic, B) Introduction of metal Kanche, C) Mass production of glass Kanche, D) Decline of traditional crafts</t>
  </si>
  <si>
    <t>C) Mass production of glass Kanche</t>
  </si>
  <si>
    <t>Which historical period saw the documentation of Kanche in Indian art forms?</t>
  </si>
  <si>
    <t>A) Ancient period, B) Medieval period, C) Mughal period, D) Colonial period</t>
  </si>
  <si>
    <t>What role did Kanche play in traditional Indian educational games for children during the 19th century?</t>
  </si>
  <si>
    <t>A) Arithmetic learning, B) Recreational play, C) Cultural education, D) Ritualistic practice</t>
  </si>
  <si>
    <t>Which Indian festival traditionally included Kanche as a component of its games?</t>
  </si>
  <si>
    <t>A) Diwali, B) Holi, C) Makar Sankranti, D) Navratri</t>
  </si>
  <si>
    <t>Which historical account describes the use of Kanche in traditional Indian village fairs?</t>
  </si>
  <si>
    <t>A) British colonial records, B) Ancient manuscripts, C) Colonial travelogues, D) Oral histories</t>
  </si>
  <si>
    <t>C) Colonial travelogues</t>
  </si>
  <si>
    <t>Which Indian region's traditional art forms often depicted children playing Kanche?</t>
  </si>
  <si>
    <t>A) Western India, B) Eastern India, C) Northern India, D) Southern India</t>
  </si>
  <si>
    <t>Which historical change led to the decline in the use of traditional Kanche in Indian urban areas?</t>
  </si>
  <si>
    <t>A) Industrialization, B) Technological advancements, C) Economic liberalization, D) Cultural shifts</t>
  </si>
  <si>
    <t>A) Industrialization</t>
  </si>
  <si>
    <t>Which Indian poet and artist included Kanche in their works to reflect traditional childhood experiences?</t>
  </si>
  <si>
    <t>A) Rabindranath Tagore, B) Kamala Das, C) Nandalal Bose, D) Amrita Sher-Gil</t>
  </si>
  <si>
    <t>C) Nandalal Bose</t>
  </si>
  <si>
    <t>What was the primary material used for making Kanche before the widespread use of glass?</t>
  </si>
  <si>
    <t>Which Indian state is renowned for its traditional Kanche-making techniques and styles?</t>
  </si>
  <si>
    <t>A) Gujarat, B) Rajasthan, C) Tamil Nadu, D) Karnataka</t>
  </si>
  <si>
    <t>Which Indian community was traditionally involved in the craft of making Kanche?</t>
  </si>
  <si>
    <t>A) Kumhar, B) Weavers, C) Blacksmiths, D) Carpenters</t>
  </si>
  <si>
    <t>A) Kumhar</t>
  </si>
  <si>
    <t>What was the impact of British colonial rule on the traditional game of Kanche in rural India?</t>
  </si>
  <si>
    <t>A) Increased popularity, B) Decline in traditional practices, C) Standardization of materials, D) Introduction of new rules</t>
  </si>
  <si>
    <t>Which Indian poet used Kanche as a metaphor in their literary works during the colonial period?</t>
  </si>
  <si>
    <t>A) Rabindranath Tagore, B) Sahir Ludhianvi, C) Kamala Das, D) Agha Shahid Ali</t>
  </si>
  <si>
    <t>What was the significance of Kanche in traditional Indian village life during the early 20th century?</t>
  </si>
  <si>
    <t>A) Recreational activity, B) Educational tool, C) Ritualistic object, D) Trade item</t>
  </si>
  <si>
    <t>Which Indian region is known for its vibrant Kanche festivals and competitions?</t>
  </si>
  <si>
    <t>What role did Kanche play in traditional Indian educational practices before modern schooling systems?</t>
  </si>
  <si>
    <t>A) Arithmetic learning, B) Physical exercise, C) Cultural education, D) Ritualistic practice</t>
  </si>
  <si>
    <t>Which historical period saw the introduction of plastic Kanche in India?</t>
  </si>
  <si>
    <t>A) Post-independence period, B) Pre-colonial period, C) Colonial period, D) Ancient period</t>
  </si>
  <si>
    <t>A) Post-independence period</t>
  </si>
  <si>
    <t>Which Indian artist and writer used Kanche as a symbol of childhood nostalgia?</t>
  </si>
  <si>
    <t>A) Rabindranath Tagore, B) Ruskin Bond, C) Kamala Das, D) Vikram Seth</t>
  </si>
  <si>
    <t>What was the historical impact of industrialization on Kanche production in India?</t>
  </si>
  <si>
    <t>A) Decline in traditional craftsmanship, B) Mass production of glass Kanche, C) Revival of traditional methods, D) Introduction of new materials</t>
  </si>
  <si>
    <t>B) Mass production of glass Kanche</t>
  </si>
  <si>
    <t>Which Indian state is known for its historical association with traditional Kanche games?</t>
  </si>
  <si>
    <t>Which Indian historical era saw the widespread use of Kanche in children's games?</t>
  </si>
  <si>
    <t>A) Ancient India, B) Medieval India, C) Mughal India, D) Colonial India</t>
  </si>
  <si>
    <t>D) Colonial India</t>
  </si>
  <si>
    <t>Which Indian historical account describes Kanche as a popular game among children during village festivals?</t>
  </si>
  <si>
    <t>A) Colonial travelogues, B) Ancient manuscripts, C) British administrative records, D) Oral traditions</t>
  </si>
  <si>
    <t>A) Colonial travelogues</t>
  </si>
  <si>
    <t>What was the role of Kanche in traditional Indian cultural practices?</t>
  </si>
  <si>
    <t>A) Entertainment, B) Ritualistic use, C) Educational tool, D) Trade item</t>
  </si>
  <si>
    <t>Which Indian poet depicted Kanche in their works to reflect rural childhood experiences?</t>
  </si>
  <si>
    <t>What was a significant historical factor that influenced the decline of traditional Kanche in Indian urban areas?</t>
  </si>
  <si>
    <t>A) Technological advancements, B) Economic changes, C) Cultural shifts, D) Colonial policies</t>
  </si>
  <si>
    <t>A) Technological advancements</t>
  </si>
  <si>
    <t>Which historical event contributed to the introduction of modern Kanche materials in India?</t>
  </si>
  <si>
    <t>A) Post-World War II industrialization, B) Economic liberalization, C) British colonial rule, D) Indian independence</t>
  </si>
  <si>
    <t>Which Indian community traditionally made Kanche from clay and glass?</t>
  </si>
  <si>
    <t>A) Kumhar, B) Weavers, C) Metalworkers, D) Carpenters</t>
  </si>
  <si>
    <t>Which Indian festival traditionally included Kanche as part of its celebration?</t>
  </si>
  <si>
    <t>A) Makar Sankranti, B) Diwali, C) Holi, D) Pongal</t>
  </si>
  <si>
    <t>What was the primary historical use of Kanche in traditional Indian village fairs?</t>
  </si>
  <si>
    <t>A) Recreational play, B) Trade, C) Ritualistic practice, D) Educational tool</t>
  </si>
  <si>
    <t>Which historical period saw the documentation of Kanche in Indian artistic traditions?</t>
  </si>
  <si>
    <t>A) Colonial period, B) Medieval period, C) Mughal period, D) Ancient period</t>
  </si>
  <si>
    <t>A) Colonial period</t>
  </si>
  <si>
    <t>Which Indian artist included depictions of Kanche in their artworks during the 20th century?</t>
  </si>
  <si>
    <t>B) Nandalal Bose</t>
  </si>
  <si>
    <t>What historical shift led to the decline of traditional Kanche-making crafts in India?</t>
  </si>
  <si>
    <t>A) Industrialization, B) Economic changes, C) Cultural shifts, D) Colonial policies</t>
  </si>
  <si>
    <t>Which Indian state is known for its traditional Kanche games and cultural significance?</t>
  </si>
  <si>
    <t>What was the role of Kanche in traditional Indian education systems before modern schooling?</t>
  </si>
  <si>
    <t>Which historical factor led to the development of plastic Kanche in India?</t>
  </si>
  <si>
    <t>A) Post-World War II industrialization, B) Economic liberalization, C) Technological advancements, D) Cultural shifts</t>
  </si>
  <si>
    <t>Which Indian poet used Kanche as a symbol of traditional childhood experiences in their literary works?</t>
  </si>
  <si>
    <t>What was the primary impact of colonial rule on the traditional game of Kanche in India?</t>
  </si>
  <si>
    <t>A) Introduction of new materials, B) Decline in traditional practices, C) Standardization of rules, D) Increased popularity</t>
  </si>
  <si>
    <t>Which Indian region is known for its historical production and use of decorative Kanche?</t>
  </si>
  <si>
    <t>A) Gujarat, B) Tamil Nadu, C) Karnataka, D) Andhra Pradesh</t>
  </si>
  <si>
    <t>Which Indian community was traditionally involved in making Kanche from clay and glass?</t>
  </si>
  <si>
    <t>Which Indian festival traditionally featured Kanche as part of its community games?</t>
  </si>
  <si>
    <t>A) Makar Sankranti, B) Pongal, C) Diwali, D) Holi</t>
  </si>
  <si>
    <t>What was the role of Kanche in traditional Indian village fairs and festivals?</t>
  </si>
  <si>
    <t>A) Recreational play, B) Ritualistic practice, C) Educational tool, D) Trade</t>
  </si>
  <si>
    <t>Which Indian poet's works reflected the traditional use of Kanche in rural childhood experiences?</t>
  </si>
  <si>
    <t>What was a significant historical change in the production of Kanche during the 20th century?</t>
  </si>
  <si>
    <t>Which Indian state is known for its unique Kanche-making traditions and styles?</t>
  </si>
  <si>
    <t>Which historical period saw the decline of traditional Kanche-making crafts in India?</t>
  </si>
  <si>
    <t>A) Colonial period, B) Post-independence period, C) Medieval period, D) Ancient period</t>
  </si>
  <si>
    <t>B) Post-independence period</t>
  </si>
  <si>
    <t>Which Indian poet depicted the game of Kanche as a symbol of childhood nostalgia in their works?</t>
  </si>
  <si>
    <t>In which country is Carrom believed to have originated?</t>
  </si>
  <si>
    <t>A) India, B) China, C) Persia, D) Egypt</t>
  </si>
  <si>
    <t>In what century did Carrom gain popularity in India?</t>
  </si>
  <si>
    <t>A) 16th century, B) 17th century, C) 18th century, D) 19th century</t>
  </si>
  <si>
    <t>D) 19th century</t>
  </si>
  <si>
    <t>Which material was traditionally used for Carrom boards in ancient times?</t>
  </si>
  <si>
    <t>A) Wood, B) Metal, C) Stone, D) Marble</t>
  </si>
  <si>
    <t>Who is considered to have formally popularized Carrom in the early 20th century?</t>
  </si>
  <si>
    <t>A) British colonialists, B) Indian maharajas, C) Persian traders, D) Portuguese sailors</t>
  </si>
  <si>
    <t>B) Indian maharajas</t>
  </si>
  <si>
    <t>Which governing body was established in 1956 to oversee Carrom in India?</t>
  </si>
  <si>
    <t>A) All India Carrom Federation, B) Indian Carrom Council, C) National Carrom Board, D) World Carrom Union</t>
  </si>
  <si>
    <t>A) All India Carrom Federation</t>
  </si>
  <si>
    <t>The International Carrom Federation (ICF) was established in which year?</t>
  </si>
  <si>
    <t>A) 1978, B) 1988, C) 1992, D) 1998</t>
  </si>
  <si>
    <t>B) 1988</t>
  </si>
  <si>
    <t>When was the first Carrom World Championship held?</t>
  </si>
  <si>
    <t>A) 1984, B) 1988, C) 1991, D) 1994</t>
  </si>
  <si>
    <t>C) 1991</t>
  </si>
  <si>
    <t>Which country won the first Carrom World Championship?</t>
  </si>
  <si>
    <t>A) India, B) Sri Lanka, C) Maldives, D) Bangladesh</t>
  </si>
  <si>
    <t>Carrom is sometimes referred to by which alternate name in some regions of the world?</t>
  </si>
  <si>
    <t>A) Strike &amp; Pocket, B) Table Pool, C) Pocket Disc, D) Finger Billiards</t>
  </si>
  <si>
    <t>D) Finger Billiards</t>
  </si>
  <si>
    <t>Which Carrom board dimension was standardized by the International Carrom Federation?</t>
  </si>
  <si>
    <t>A) 24x24 inches, B) 28x28 inches, C) 32x32 inches, D) 36x36 inches</t>
  </si>
  <si>
    <t>C) 32x32 inches</t>
  </si>
  <si>
    <t>Who holds the record for the most Carrom World Championship titles?</t>
  </si>
  <si>
    <t>A) Anthony Maria Irudayam, B) Rashmi Kumari, C) Yogesh Pardeshi, D) Nisha Kumari</t>
  </si>
  <si>
    <t>A) Anthony Maria Irudayam</t>
  </si>
  <si>
    <t>In which year did India first participate in the International Carrom Federation Cup?</t>
  </si>
  <si>
    <t>A) 1991, B) 1993, C) 1996, D) 2000</t>
  </si>
  <si>
    <t>B) 1993</t>
  </si>
  <si>
    <t>Which of the following countries is NOT a member of the International Carrom Federation?</t>
  </si>
  <si>
    <t>A) Maldives, B) Sri Lanka, C) Japan, D) France</t>
  </si>
  <si>
    <t>D) France</t>
  </si>
  <si>
    <t>What significant role did Sri Lanka play in the promotion of Carrom?</t>
  </si>
  <si>
    <t>A) Hosted the first Carrom World Championship, B) Created a Carrom-themed postal stamp, C) Introduced Carrom to Europe, D) Formed the first women's Carrom team</t>
  </si>
  <si>
    <t>A) Hosted the first Carrom World Championship</t>
  </si>
  <si>
    <t>In which year did the Carrom World Cup make its debut?</t>
  </si>
  <si>
    <t>A) 1998, B) 2000, C) 2004, D) 2006</t>
  </si>
  <si>
    <t>C) 2004</t>
  </si>
  <si>
    <t>Carrom was included as a demonstration sport at which multi-national event in 2000?</t>
  </si>
  <si>
    <t>A) South Asian Games, B) Commonwealth Games, C) Asian Indoor Games, D) Indian Ocean Island Games</t>
  </si>
  <si>
    <t>A) South Asian Games</t>
  </si>
  <si>
    <t>Which Indian player is known as the 'Golden Boy of Carrom'?</t>
  </si>
  <si>
    <t>A) Yogesh Pardeshi, B) Maria Irudayam, C) Arvind Kumar, D) Radhakrishnan</t>
  </si>
  <si>
    <t>A) Yogesh Pardeshi</t>
  </si>
  <si>
    <t>Which Carrom player from India won the Padma Shri award?</t>
  </si>
  <si>
    <t>A) Rashmi Kumari, B) Maria Irudayam, C) Yogesh Pardeshi, D) K. Srinivas</t>
  </si>
  <si>
    <t>B) Maria Irudayam</t>
  </si>
  <si>
    <t>In 1980, which country held the first international Carrom tournament outside of South Asia?</t>
  </si>
  <si>
    <t>A) Japan, B) Germany, C) UK, D) Canada</t>
  </si>
  <si>
    <t>B) Germany</t>
  </si>
  <si>
    <t>The Carrom Olympics were initiated in which year?</t>
  </si>
  <si>
    <t>A) 2001, B) 2005, C) 2010, D) 2015</t>
  </si>
  <si>
    <t>Which famous Bollywood actor is known for promoting Carrom in India?</t>
  </si>
  <si>
    <t>A) Aamir Khan, B) Salman Khan, C) Amitabh Bachchan, D) Shah Rukh Khan</t>
  </si>
  <si>
    <t>C) Amitabh Bachchan</t>
  </si>
  <si>
    <t>In which year was the Carrom World Federation recognized by the Olympic Council of Asia?</t>
  </si>
  <si>
    <t>A) 2003, B) 2005, C) 2007, D) 2009</t>
  </si>
  <si>
    <t>Which country hosted the first Carrom World Cup in 2004?</t>
  </si>
  <si>
    <t>A) India, B) Maldives, C) Sri Lanka, D) Germany</t>
  </si>
  <si>
    <t>B) Maldives</t>
  </si>
  <si>
    <t>Who was the first female Carrom World Champion?</t>
  </si>
  <si>
    <t>A) Rashmi Kumari, B) Nisha Kumari, C) Illa Agarwal, D) Leela Kothari</t>
  </si>
  <si>
    <t>A) Rashmi Kumari</t>
  </si>
  <si>
    <t>Which Indian city is known as the 'Carrom capital of India'?</t>
  </si>
  <si>
    <t>A) Mumbai, B) Chennai, C) Bangalore, D) Kolkata</t>
  </si>
  <si>
    <t>The first Carrom Championship for the differently-abled was held in which year?</t>
  </si>
  <si>
    <t>A) 2005, B) 2008, C) 2010, D) 2012</t>
  </si>
  <si>
    <t>Who was the founder of the International Carrom Federation?</t>
  </si>
  <si>
    <t>A) Mohamed Ibrahim, B) Arvind Kumar, C) Mohammed Saeed, D) Vinay Kapoor</t>
  </si>
  <si>
    <t>A) Mohamed Ibrahim</t>
  </si>
  <si>
    <t>In which year was the official Carrom rulebook first published?</t>
  </si>
  <si>
    <t>A) 1956, B) 1962, C) 1971, D) 1980</t>
  </si>
  <si>
    <t>C) 1971</t>
  </si>
  <si>
    <t>Which country has the most Carrom World Championship titles?</t>
  </si>
  <si>
    <t>A) Sri Lanka, B) India, C) Maldives, D) Pakistan</t>
  </si>
  <si>
    <t>B) India</t>
  </si>
  <si>
    <t>Which player was the first to score a perfect game in Carrom World Championships?</t>
  </si>
  <si>
    <t>A) Yogesh Pardeshi, B) Rashmi Kumari, C) Maria Irudayam, D) Anthony Maria</t>
  </si>
  <si>
    <t>D) Anthony Maria</t>
  </si>
  <si>
    <t>What was the first digital Carrom game released in the 21st century?</t>
  </si>
  <si>
    <t>A) Carrom 3D, B) Carrom Master, C) Virtual Carrom, D) Carrom King</t>
  </si>
  <si>
    <t>A) Carrom 3D</t>
  </si>
  <si>
    <t>Carrom was introduced to Europe during which historical period?</t>
  </si>
  <si>
    <t>A) Colonial era, B) Post World War II, C) 1990s, D) Early 2000s</t>
  </si>
  <si>
    <t>A) Colonial era</t>
  </si>
  <si>
    <t>The term 'Queen' in Carrom refers to which of the following?</t>
  </si>
  <si>
    <t>A) The last coin pocketed, B) The red coin, C) The black coin, D) The highest-scoring coin</t>
  </si>
  <si>
    <t>B) The red coin</t>
  </si>
  <si>
    <t>Which European country established the first national Carrom federation in Europe?</t>
  </si>
  <si>
    <t>A) Germany, B) France, C) Switzerland, D) Spain</t>
  </si>
  <si>
    <t>A) Germany</t>
  </si>
  <si>
    <t>In which city was the first European Carrom Championship held?</t>
  </si>
  <si>
    <t>A) Berlin, B) London, C) Paris, D) Zurich</t>
  </si>
  <si>
    <t>D) Zurich</t>
  </si>
  <si>
    <t>Which historical figure is believed to have played Carrom during the British Raj in India?</t>
  </si>
  <si>
    <t>A) Lord Mountbatten, B) Mahatma Gandhi, C) Rabindranath Tagore, D) Jawaharlal Nehru</t>
  </si>
  <si>
    <t>The Carrom Federation of India was formally registered under which act?</t>
  </si>
  <si>
    <t>A) Societies Registration Act, B) Indian Trusts Act, C) Companies Act, D) Public Charities Act</t>
  </si>
  <si>
    <t>A) Societies Registration Act</t>
  </si>
  <si>
    <t>Which Asian country made Carrom a part of its school sports curriculum in the 20th century?</t>
  </si>
  <si>
    <t>A) Sri Lanka, B) India, C) Nepal, D) Bangladesh</t>
  </si>
  <si>
    <t>What color are the Carrom coins traditionally used in competitive play?</t>
  </si>
  <si>
    <t>A) Black and red, B) White and black, C) Black, red, and white, D) White and red</t>
  </si>
  <si>
    <t>C) Black, red, and white</t>
  </si>
  <si>
    <t>In Carrom's early days, what was used as a striker?</t>
  </si>
  <si>
    <t>A) Pebble, B) Wooden disc, C) Metal coin, D) Stone chip</t>
  </si>
  <si>
    <t>B) Wooden disc</t>
  </si>
  <si>
    <t>Which famous Indian Carrom player was the first to win a World Championship title in 1991?</t>
  </si>
  <si>
    <t>A) Maria Irudayam, B) Yogesh Pardeshi, C) Rashmi Kumari, D) K. Srinivas</t>
  </si>
  <si>
    <t>A) Maria Irudayam</t>
  </si>
  <si>
    <t>Which year marked the first Carrom tournament in North America?</t>
  </si>
  <si>
    <t>A) 1997, B) 2001, C) 2005, D) 2010</t>
  </si>
  <si>
    <t>B) 2001</t>
  </si>
  <si>
    <t>Which country became the first to host an online Carrom Championship in 2020?</t>
  </si>
  <si>
    <t>In Carrom, the term 'covering the Queen' means what?</t>
  </si>
  <si>
    <t>A) Pocketing the Queen, B) Pocketing a piece after the Queen, C) Defending the Queen from being pocketed, D) Repositioning the Queen</t>
  </si>
  <si>
    <t>B) Pocketing a piece after the Queen</t>
  </si>
  <si>
    <t>Which historical empire is believed to have promoted the game of Carrom?</t>
  </si>
  <si>
    <t>A) Mughal Empire, B) British Empire, C) Ottoman Empire, D) Roman Empire</t>
  </si>
  <si>
    <t>A) Mughal Empire</t>
  </si>
  <si>
    <t>The first Carrom club in India was established in which year?</t>
  </si>
  <si>
    <t>A) 1935, B) 1942, C) 1950, D) 1965</t>
  </si>
  <si>
    <t>A) 1935</t>
  </si>
  <si>
    <t>Carrom became popular among British soldiers in India during which war?</t>
  </si>
  <si>
    <t>A) World War I, B) World War II, C) Indian Rebellion of 1857, D) Crimean War</t>
  </si>
  <si>
    <t>B) World War II</t>
  </si>
  <si>
    <t>The first international Carrom tournament was held in which year?</t>
  </si>
  <si>
    <t>A) 1958, B) 1968, C) 1978, D) 1988</t>
  </si>
  <si>
    <t>C) 1978</t>
  </si>
  <si>
    <t>Which state in India is known for producing top Carrom players?</t>
  </si>
  <si>
    <t>A) Tamil Nadu, B) Maharashtra, C) Kerala, D) West Bengal</t>
  </si>
  <si>
    <t>The first Carrom Federation in India was established in which city?</t>
  </si>
  <si>
    <t>A) Mumbai, B) Chennai, C) Kolkata, D) Bangalore</t>
  </si>
  <si>
    <t>Who is considered the 'father of modern Carrom'?</t>
  </si>
  <si>
    <t>A) Mohamed Ibrahim, B) Yogesh Pardeshi, C) Anthony Maria, D) Radhakrishnan</t>
  </si>
  <si>
    <t>Which city hosted the first National Carrom Championship in India?</t>
  </si>
  <si>
    <t>A) Mumbai, B) Delhi, C) Kolkata, D) Chennai</t>
  </si>
  <si>
    <t>D) Chennai</t>
  </si>
  <si>
    <t>In which year did Carrom become a competitive sport in India?</t>
  </si>
  <si>
    <t>A) 1940, B) 1950, C) 1960, D) 1970</t>
  </si>
  <si>
    <t>C) 1960</t>
  </si>
  <si>
    <t>Which state in India hosted the first-ever Carrom World Cup?</t>
  </si>
  <si>
    <t>A) Tamil Nadu, B) Kerala, C) Maharashtra, D) Gujarat</t>
  </si>
  <si>
    <t>When was the first All India Carrom Tournament organized?</t>
  </si>
  <si>
    <t>A) 1946, B) 1952, C) 1956, D) 1960</t>
  </si>
  <si>
    <t>B) 1952</t>
  </si>
  <si>
    <t>In the 1970s, Carrom gained popularity in which European country?</t>
  </si>
  <si>
    <t>A) Germany, B) UK, C) France, D) Italy</t>
  </si>
  <si>
    <t>The first women's Carrom World Champion was crowned in which year?</t>
  </si>
  <si>
    <t>A) 1993, B) 1997, C) 2001, D) 2005</t>
  </si>
  <si>
    <t>A) 1993</t>
  </si>
  <si>
    <t>Who was the first female player to win the Carrom World Cup?</t>
  </si>
  <si>
    <t>A) Rashmi Kumari, B) Maria Irudayam, C) K. Srinivas, D) Nisha Kumari</t>
  </si>
  <si>
    <t>In which year did the International Carrom Federation introduce a formal ranking system?</t>
  </si>
  <si>
    <t>A) 1995, B) 1998, C) 2000, D) 2003</t>
  </si>
  <si>
    <t>B) 1998</t>
  </si>
  <si>
    <t>Which Indian state hosted the first-ever South Asian Carrom Championship?</t>
  </si>
  <si>
    <t>A) Tamil Nadu, B) Maharashtra, C) Kerala, D) Gujarat</t>
  </si>
  <si>
    <t>Which international organization recognized Carrom as a sport in 2001?</t>
  </si>
  <si>
    <t>A) United Nations, B) Olympic Council of Asia, C) Commonwealth Games Federation, D) FIFA</t>
  </si>
  <si>
    <t>B) Olympic Council of Asia</t>
  </si>
  <si>
    <t>Which country hosted the first Carrom Asia Cup?</t>
  </si>
  <si>
    <t>A) India, B) Sri Lanka, C) Bangladesh, D) Maldives</t>
  </si>
  <si>
    <t>When was the Carrom Federation of India officially registered?</t>
  </si>
  <si>
    <t>A) 1956, B) 1962, C) 1968, D) 1974</t>
  </si>
  <si>
    <t>A) 1956</t>
  </si>
  <si>
    <t>Which famous Indian athlete is known for playing Carrom as a hobby?</t>
  </si>
  <si>
    <t>A) Sachin Tendulkar, B) Viswanathan Anand, C) P.T. Usha, D) Milkha Singh</t>
  </si>
  <si>
    <t>In which year was Carrom included in the National Games of India?</t>
  </si>
  <si>
    <t>D) 1995</t>
  </si>
  <si>
    <t>Carrom tournaments began to be broadcast on television in India during which decade?</t>
  </si>
  <si>
    <t>A) 1980s, B) 1990s, C) 2000s, D) 2010s</t>
  </si>
  <si>
    <t>B) 1990s</t>
  </si>
  <si>
    <t>The Carrom World Championship began in which decade?</t>
  </si>
  <si>
    <t>The first Carrom World Championship held outside Asia took place in which year?</t>
  </si>
  <si>
    <t>A) 1994, B) 1998, C) 2000, D) 2004</t>
  </si>
  <si>
    <t>Who was the first Indian player to win the Carrom World Championship twice?</t>
  </si>
  <si>
    <t>Which year marked the inclusion of Carrom in the Asian Indoor Games?</t>
  </si>
  <si>
    <t>A) 2003, B) 2007, C) 2011, D) 2015</t>
  </si>
  <si>
    <t>The first Carrom Championship for blind players was held in which year?</t>
  </si>
  <si>
    <t>Which famous Indian cricketer has been seen promoting Carrom in various campaigns?</t>
  </si>
  <si>
    <t>A) Virat Kohli, B) M.S. Dhoni, C) Rohit Sharma, D) Kapil Dev</t>
  </si>
  <si>
    <t>B) M.S. Dhoni</t>
  </si>
  <si>
    <t>Which famous Indian actor helped popularize Carrom in the 1980s?</t>
  </si>
  <si>
    <t>A) Rajinikanth, B) Amitabh Bachchan, C) Anil Kapoor, D) Dharmendra</t>
  </si>
  <si>
    <t>B) Amitabh Bachchan</t>
  </si>
  <si>
    <t>Which Asian country introduced Carrom in its national school sports curriculum?</t>
  </si>
  <si>
    <t>A) Nepal, B) Bhutan, C) Bangladesh, D) Sri Lanka</t>
  </si>
  <si>
    <t>Which organization is responsible for organizing international Carrom tournaments?</t>
  </si>
  <si>
    <t>A) World Carrom Federation, B) International Carrom Association, C) Carrom International, D) Global Carrom League</t>
  </si>
  <si>
    <t>A) World Carrom Federation</t>
  </si>
  <si>
    <t>When was the Carrom Federation of India affiliated with the Indian Olympic Association?</t>
  </si>
  <si>
    <t>Which year saw the first Carrom tournament in Australia?</t>
  </si>
  <si>
    <t>A) 2000, B) 2004, C) 2008, D) 2012</t>
  </si>
  <si>
    <t>Which decade marked the introduction of digital Carrom games?</t>
  </si>
  <si>
    <t>C) 2000s</t>
  </si>
  <si>
    <t>Carrom coins made of plastic became standard in competitions starting in which year?</t>
  </si>
  <si>
    <t>A) 1975, B) 1985, C) 1995, D) 2005</t>
  </si>
  <si>
    <t>Which country hosted the first Carrom tournament in South America?</t>
  </si>
  <si>
    <t>A) Brazil, B) Argentina, C) Chile, D) Peru</t>
  </si>
  <si>
    <t>A) Brazil</t>
  </si>
  <si>
    <t>In which decade did the Carrom Federation of India begin promoting the game in schools?</t>
  </si>
  <si>
    <t>Which material was commonly used for making Carrom boards in the early 20th century?</t>
  </si>
  <si>
    <t>A) Teakwood, B) Rosewood, C) Pinewood, D) Mahogany</t>
  </si>
  <si>
    <t>A) Teakwood</t>
  </si>
  <si>
    <t>The first Carrom movie, focusing on the life of a Carrom champion, was released in which year?</t>
  </si>
  <si>
    <t>A) 2005, B) 2009, C) 2013, D) 2017</t>
  </si>
  <si>
    <t>B) 2009</t>
  </si>
  <si>
    <t>The World Carrom Federation was founded in which year?</t>
  </si>
  <si>
    <t>A) 1988, B) 1990, C) 1992, D) 1994</t>
  </si>
  <si>
    <t>A) 1988</t>
  </si>
  <si>
    <t>Which year saw the first Carrom exhibition at the Commonwealth Games?</t>
  </si>
  <si>
    <t>A) 2002, B) 2006, C) 2010, D) 2014</t>
  </si>
  <si>
    <t>The World Carrom Championship is held every how many years?</t>
  </si>
  <si>
    <t>A) 2 years, B) 3 years, C) 4 years, D) 5 years</t>
  </si>
  <si>
    <t>C) 4 years</t>
  </si>
  <si>
    <t>The Carrom Federation of India was established under which act of law?</t>
  </si>
  <si>
    <t>A) Companies Act, B) Societies Registration Act, C) Sports Federation Act, D) Public Charities Act</t>
  </si>
  <si>
    <t>B) Societies Registration Act</t>
  </si>
  <si>
    <t>In which year was Carrom introduced in the South Asian Games?</t>
  </si>
  <si>
    <t>A) 2004, B) 2008, C) 2012, D) 2016</t>
  </si>
  <si>
    <t>A) 2004</t>
  </si>
  <si>
    <t>Carrom was first played in which region of the Indian subcontinent?</t>
  </si>
  <si>
    <t>A) Northern India, B) Southern India, C) Western India, D) Eastern India</t>
  </si>
  <si>
    <t>B) Southern India</t>
  </si>
  <si>
    <t>Which Indian King is said to have popularized Carrom by creating a board with precious stones?</t>
  </si>
  <si>
    <t>A) Tipu Sultan, B) Raja Raja Chola, C) Maharaja of Travancore, D) Akbar</t>
  </si>
  <si>
    <t>C) Maharaja of Travancore</t>
  </si>
  <si>
    <t>Carrom is believed to have originated in which century?</t>
  </si>
  <si>
    <t>A) 15th century, B) 16th century, C) 17th century, D) 18th century</t>
  </si>
  <si>
    <t>B) 16th century</t>
  </si>
  <si>
    <t>In the 20th century, Carrom became popular as a pastime in which educational institutions in India?</t>
  </si>
  <si>
    <t>A) Universities, B) Schools, C) Technical Institutes, D) Sports Academies</t>
  </si>
  <si>
    <t>A) Universities</t>
  </si>
  <si>
    <t>Which famous historical leader in India was known to enjoy playing Carrom?</t>
  </si>
  <si>
    <t>A) Mahatma Gandhi, B) Jawaharlal Nehru, C) Sardar Patel, D) Subhas Chandra Bose</t>
  </si>
  <si>
    <t>B) Jawaharlal Nehru</t>
  </si>
  <si>
    <t>The first Carrom board was reportedly crafted from which material?</t>
  </si>
  <si>
    <t>A) Ivory, B) Teakwood, C) Marble, D) Sandstone</t>
  </si>
  <si>
    <t>B) Teakwood</t>
  </si>
  <si>
    <t>Which region is known for contributing to the development of the finger-flicking technique in Carrom?</t>
  </si>
  <si>
    <t>A) Kerala, B) Maharashtra, C) Tamil Nadu, D) Punjab</t>
  </si>
  <si>
    <t>In which decade was the Carrom game first introduced in the public parks of Indian cities?</t>
  </si>
  <si>
    <t>B) 1930s</t>
  </si>
  <si>
    <t>In which year did Carrom feature in the National Physical Fitness Program in India?</t>
  </si>
  <si>
    <t>A) 1947, B) 1952, C) 1960, D) 1972</t>
  </si>
  <si>
    <t>Carrom coins were traditionally made from which material?</t>
  </si>
  <si>
    <t>A) Wood, B) Metal, C) Bone, D) Ivory</t>
  </si>
  <si>
    <t>The Carrom Federation of India became a member of which international organization in 1990?</t>
  </si>
  <si>
    <t>A) International Olympic Committee, B) World Carrom Federation, C) Commonwealth Games Federation, D) Asian Games Council</t>
  </si>
  <si>
    <t>B) World Carrom Federation</t>
  </si>
  <si>
    <t>Which historical Indian figure is believed to have introduced Carrom in the royal courts?</t>
  </si>
  <si>
    <t>A) Akbar, B) Sher Shah Suri, C) Maharaja Ranjit Singh, D) Rajendra Chola</t>
  </si>
  <si>
    <t>Carrom tournaments in the 1970s were often organized in which type of venue in Indian cities?</t>
  </si>
  <si>
    <t>A) Schools, B) Coffeehouses, C) Community centers, D) Sports stadiums</t>
  </si>
  <si>
    <t>C) Community centers</t>
  </si>
  <si>
    <t>Which international sports event recognized Carrom as a traditional Indian game in the 21st century?</t>
  </si>
  <si>
    <t>A) Commonwealth Games, B) Asian Games, C) South Asian Games, D) World Indoor Games</t>
  </si>
  <si>
    <t>A) Commonwealth Games</t>
  </si>
  <si>
    <t>In which decade did Carrom clubs start emerging across Europe?</t>
  </si>
  <si>
    <t>A) 1960s, B) 1970s, C) 1980s, D) 1990s</t>
  </si>
  <si>
    <t>C) 1980s</t>
  </si>
  <si>
    <t>Which European country has hosted multiple Carrom World Championships?</t>
  </si>
  <si>
    <t>A) Germany, B) France, C) Switzerland, D) UK</t>
  </si>
  <si>
    <t>Carrom reached the Middle East and gained popularity in which decade?</t>
  </si>
  <si>
    <t>A) 1970s</t>
  </si>
  <si>
    <t>In which country did Carrom become a popular indoor game among expatriates in the 20th century?</t>
  </si>
  <si>
    <t>A) USA, B) UK, C) Canada, D) Australia</t>
  </si>
  <si>
    <t>B) UK</t>
  </si>
  <si>
    <t>Which South Asian country hosted its first official Carrom tournament in 1985?</t>
  </si>
  <si>
    <t>In the early 20th century, Carrom boards started being manufactured in factories in which Indian city?</t>
  </si>
  <si>
    <t>The first recorded mention of Carrom is believed to have appeared in which form of Indian literature?</t>
  </si>
  <si>
    <t>A) Ancient texts, B) Historical manuscripts, C) Travelogues, D) Court records</t>
  </si>
  <si>
    <t>C) Travelogues</t>
  </si>
  <si>
    <t>Which country held the first Carrom Championship outside of Asia?</t>
  </si>
  <si>
    <t>A) Germany, B) France, C) USA, D) UK</t>
  </si>
  <si>
    <t>The early form of Carrom is believed to have been played on what kind of surface?</t>
  </si>
  <si>
    <t>A) Cloth, B) Polished wood, C) Sand, D) Marble</t>
  </si>
  <si>
    <t>C) Sand</t>
  </si>
  <si>
    <t>In which year was the World Carrom Federation formed?</t>
  </si>
  <si>
    <t>A) 1988, B) 1992, C) 1995, D) 1999</t>
  </si>
  <si>
    <t>Who was the first president of the World Carrom Federation?</t>
  </si>
  <si>
    <t>A) R.S. Vijaylakshmi, B) Mohamed Farook, C) Sarath Mahadeva, D) S.P. Misra</t>
  </si>
  <si>
    <t>D) S.P. Misra</t>
  </si>
  <si>
    <t>The first International Carrom tournament in Asia was held in which city?</t>
  </si>
  <si>
    <t>A) Colombo, B) Dhaka, C) Mumbai, D) Kathmandu</t>
  </si>
  <si>
    <t>Which year marked the first formal Carrom championship held in the Maldives?</t>
  </si>
  <si>
    <t>A) 1996, B) 2000, C) 2003, D) 2007</t>
  </si>
  <si>
    <t>Which famous Indian actor is known for popularizing Carrom in Indian cinema during the 1970s?</t>
  </si>
  <si>
    <t>A) Rajesh Khanna, B) Amitabh Bachchan, C) Dharmendra, D) Shashi Kapoor</t>
  </si>
  <si>
    <t>Carrom was a popular indoor game in the British Raj and was often played in which type of establishment?</t>
  </si>
  <si>
    <t>A) Clubs, B) Schools, C) Army barracks, D) Railways</t>
  </si>
  <si>
    <t>C) Army barracks</t>
  </si>
  <si>
    <t>In which decade did Carrom begin to be recognized as a competitive sport by the Indian sports bodies?</t>
  </si>
  <si>
    <t>B) 1960s</t>
  </si>
  <si>
    <t>The use of powder on Carrom boards for smooth playing originated in which country?</t>
  </si>
  <si>
    <t>A) India, B) Sri Lanka, C) Nepal, D) Bangladesh</t>
  </si>
  <si>
    <t>The first Carrom rules were officially standardized in which decade?</t>
  </si>
  <si>
    <t>A) 1940s, B) 1950s, C) 1960s, D) 1970s</t>
  </si>
  <si>
    <t>C) 1960s</t>
  </si>
  <si>
    <t>In which decade did Carrom become a popular game in rural India?</t>
  </si>
  <si>
    <t>A) 1930s, B) 1940s, C) 1950s, D) 1960s</t>
  </si>
  <si>
    <t>B) 1940s</t>
  </si>
  <si>
    <t>The Carrom Federation of India became an active member of the Asian Carrom Confederation in which year?</t>
  </si>
  <si>
    <t>A) 1987, B) 1991, C) 1995, D) 1999</t>
  </si>
  <si>
    <t>B) 1991</t>
  </si>
  <si>
    <t>Which country emerged as a dominant force in international Carrom competitions during the 1990s?</t>
  </si>
  <si>
    <t>Carrom became popular in urban Indian households during which decade?</t>
  </si>
  <si>
    <t>A) 1960s</t>
  </si>
  <si>
    <t>The introduction of synthetic coins in Carrom competitions happened in which year?</t>
  </si>
  <si>
    <t>A) 1972, B) 1980, C) 1985, D) 1990</t>
  </si>
  <si>
    <t>B) 1980</t>
  </si>
  <si>
    <t>The first Carrom board game design was patented in which country?</t>
  </si>
  <si>
    <t>A) India, B) USA, C) UK, D) Germany</t>
  </si>
  <si>
    <t>B) USA</t>
  </si>
  <si>
    <t>The first Carrom club in India was established in which city?</t>
  </si>
  <si>
    <t>A) Chennai, B) Mumbai, C) Delhi, D) Kolkata</t>
  </si>
  <si>
    <t>In the 19th century, Carrom gained popularity in which segment of the Indian population?</t>
  </si>
  <si>
    <t>A) Soldiers, B) Merchants, C) Students, D) Factory workers</t>
  </si>
  <si>
    <t>A) Soldiers</t>
  </si>
  <si>
    <t>Which famous Indian musician was known to be a Carrom enthusiast in the 20th century?</t>
  </si>
  <si>
    <t>A) Lata Mangeshkar, B) Ravi Shankar, C) Zakir Hussain, D) Kishore Kumar</t>
  </si>
  <si>
    <t>D) Kishore Kumar</t>
  </si>
  <si>
    <t>The first Carrom magazine was published in which decade?</t>
  </si>
  <si>
    <t>B) 1970s</t>
  </si>
  <si>
    <t>The first Carrom World Cup was held in which year?</t>
  </si>
  <si>
    <t>A) 1988, B) 1992, C) 1996, D) 2000</t>
  </si>
  <si>
    <t>C) 1996</t>
  </si>
  <si>
    <t>The first international Carrom rulebook was published by which organization?</t>
  </si>
  <si>
    <t>A) Carrom Federation of India, B) World Carrom Federation, C) International Carrom Association, D) Asian Carrom Confederation</t>
  </si>
  <si>
    <t>In which decade did Carrom start gaining widespread popularity in European countries?</t>
  </si>
  <si>
    <t>Which city hosted the first-ever National Carrom Championship in India?</t>
  </si>
  <si>
    <t>A) Mumbai, B) Delhi, C) Chennai, D) Kolkata</t>
  </si>
  <si>
    <t>C) Chennai</t>
  </si>
  <si>
    <t>Which country's immigrants brought Carrom to the Middle East in the early 20th century?</t>
  </si>
  <si>
    <t>A) India, B) Sri Lanka, C) Pakistan, D) Bangladesh</t>
  </si>
  <si>
    <t>In which year was Carrom first recognized as an official sport by the Sports Authority of India?</t>
  </si>
  <si>
    <t>Which company was one of the first to mass-produce Carrom boards in India?</t>
  </si>
  <si>
    <t>A) Surco, B) Synco, C) Ghosh, D) Star</t>
  </si>
  <si>
    <t>A) Surco</t>
  </si>
  <si>
    <t>In which year was the first Carrom World Championship held?</t>
  </si>
  <si>
    <t>A) 1980, B) 1985, C) 1991, D) 1997</t>
  </si>
  <si>
    <t>Which Indian state has been known for producing some of the best Carrom players in history?</t>
  </si>
  <si>
    <t>A) Tamil Nadu, B) Maharashtra, C) Kerala, D) Karnataka</t>
  </si>
  <si>
    <t>Which European country first formed a national Carrom association?</t>
  </si>
  <si>
    <t>A) Germany, B) France, C) Italy, D) Switzerland</t>
  </si>
  <si>
    <t>In which decade did Carrom competitions begin to be regularly televised in India?</t>
  </si>
  <si>
    <t>The first International Carrom Federation was established in which year?</t>
  </si>
  <si>
    <t>A) 1988, B) 1991, C) 1994, D) 1996</t>
  </si>
  <si>
    <t>Which Indian Carrom player became the first World Champion in 1991?</t>
  </si>
  <si>
    <t>A) Anthony Maria Irudayam, B) Yogesh Pardeshi, C) A. Shakoor, D) Rashmi Kumari</t>
  </si>
  <si>
    <t>In which city did the first Carrom World Cup take place?</t>
  </si>
  <si>
    <t>A) Colombo, B) Chennai, C) Dhaka, D) Zurich</t>
  </si>
  <si>
    <t>Which organization is responsible for managing international Carrom tournaments?</t>
  </si>
  <si>
    <t>A) International Carrom Federation, B) World Carrom Federation, C) Asian Carrom Confederation, D) International Indoor Games Federation</t>
  </si>
  <si>
    <t>In which year did Carrom become an officially recognized sport in Sri Lanka?</t>
  </si>
  <si>
    <t>A) 1952, B) 1965, C) 1970, D) 1975</t>
  </si>
  <si>
    <t>Which Indian Carrom player was the first to win two consecutive world titles?</t>
  </si>
  <si>
    <t>A) Maria Irudayam, B) Chamil Cooray, C) K. Srinivas, D) Yogesh Pardeshi</t>
  </si>
  <si>
    <t>In which year did the Indian Olympic Association recognize Carrom as a sport?</t>
  </si>
  <si>
    <t>Carrom was initially introduced to schools in India during which decade?</t>
  </si>
  <si>
    <t>Which country hosted the first Carrom European Cup in 1996?</t>
  </si>
  <si>
    <t>A) Germany, B) France, C) Switzerland, D) Italy</t>
  </si>
  <si>
    <t>In which year was the Carrom Federation of India established?</t>
  </si>
  <si>
    <t>C) 1968</t>
  </si>
  <si>
    <t>Which notable Indian figure popularized Carrom in the 1970s through Indian cinema?</t>
  </si>
  <si>
    <t>A) Amitabh Bachchan, B) Raj Kapoor, C) Dharmendra, D) Hema Malini</t>
  </si>
  <si>
    <t>A) Amitabh Bachchan</t>
  </si>
  <si>
    <t>Carrom tournaments were introduced to which Southeast Asian country in the late 1980s?</t>
  </si>
  <si>
    <t>A) Singapore, B) Malaysia, C) Thailand, D) Indonesia</t>
  </si>
  <si>
    <t>A) Singapore</t>
  </si>
  <si>
    <t>Which European country hosted the Carrom World Cup in 1998?</t>
  </si>
  <si>
    <t>A) Switzerland, B) Germany, C) France, D) UK</t>
  </si>
  <si>
    <t>Carrom competitions were introduced to the Commonwealth Games Federation in which year?</t>
  </si>
  <si>
    <t>A) 1982, B) 1990, C) 1994, D) 1998</t>
  </si>
  <si>
    <t>C) 1994</t>
  </si>
  <si>
    <t>The first Indian Carrom World Cup winner was crowned in which year?</t>
  </si>
  <si>
    <t>A) 1991, B) 1993, C) 1995, D) 1997</t>
  </si>
  <si>
    <t>A) 1991</t>
  </si>
  <si>
    <t>Which city was the first to host an all-Asia Carrom tournament?</t>
  </si>
  <si>
    <t>A) Colombo, B) Chennai, C) Dhaka, D) Karachi</t>
  </si>
  <si>
    <t>C) Dhaka</t>
  </si>
  <si>
    <t>The first Carrom Asian Championship was held in which year?</t>
  </si>
  <si>
    <t>A) 1991, B) 1994, C) 1997, D) 2000</t>
  </si>
  <si>
    <t>B) 1994</t>
  </si>
  <si>
    <t>In which year did Carrom first become part of the South Asian Games?</t>
  </si>
  <si>
    <t>A) 1984, B) 1987, C) 1991, D) 1995</t>
  </si>
  <si>
    <t>The first Carrom World Championship for women was held in which year?</t>
  </si>
  <si>
    <t>A) 1996, B) 1998, C) 2000, D) 2002</t>
  </si>
  <si>
    <t>A) 1996</t>
  </si>
  <si>
    <t>The first time Carrom was played at an official school-level tournament in India was in which year?</t>
  </si>
  <si>
    <t>A) 1952, B) 1960, C) 1972, D) 1980</t>
  </si>
  <si>
    <t>B) 1960</t>
  </si>
  <si>
    <t>Carrom boards were mass-produced and commercialized in India starting in which decade?</t>
  </si>
  <si>
    <t>B) 1950s</t>
  </si>
  <si>
    <t>Which country became a major competitor in international Carrom events after 2000?</t>
  </si>
  <si>
    <t>A) Maldives, B) Bangladesh, C) Sri Lanka, D) Nepal</t>
  </si>
  <si>
    <t>A) Maldives</t>
  </si>
  <si>
    <t>In which year was the first Carrom Masters Cup held?</t>
  </si>
  <si>
    <t>A) 1998, B) 2000, C) 2003, D) 2005</t>
  </si>
  <si>
    <t>Carrom was introduced in which major Indian film festival for the first time?</t>
  </si>
  <si>
    <t>A) National Film Awards, B) International Film Festival of India, C) Mumbai Film Festival, D) Kolkata International Film Festival</t>
  </si>
  <si>
    <t>B) International Film Festival of India</t>
  </si>
  <si>
    <t>Which Asian country introduced Carrom to its national sports curriculum in the early 2000s?</t>
  </si>
  <si>
    <t>A) Thailand, B) Malaysia, C) Singapore, D) Indonesia</t>
  </si>
  <si>
    <t>C) Singapore</t>
  </si>
  <si>
    <t>In which year did Carrom become a regular event in the South Asian Games?</t>
  </si>
  <si>
    <t>A) 1984, B) 1988, C) 1990, D) 1991</t>
  </si>
  <si>
    <t>D) 1991</t>
  </si>
  <si>
    <t>Who was the first Indian Carrom player to win the Asian Carrom Championship?</t>
  </si>
  <si>
    <t>A) V. K. Gupta, B) Anthony Maria Irudayam, C) M. S. Ramesh, D) A. S. Babu</t>
  </si>
  <si>
    <t>B) Anthony Maria Irudayam</t>
  </si>
  <si>
    <t>Which Indian state hosted the first Carrom World Cup in 1991?</t>
  </si>
  <si>
    <t>The first international Carrom tournament in the Middle East was held in which year?</t>
  </si>
  <si>
    <t>Which country was the first to use Carrom as a part of its national school sports program?</t>
  </si>
  <si>
    <t>The first Carrom rulebook was standardized in which decade?</t>
  </si>
  <si>
    <t>In which year did Carrom become an official sport in the National School Games of India?</t>
  </si>
  <si>
    <t>The first international Carrom player to be inducted into the Hall of Fame was from which country?</t>
  </si>
  <si>
    <t>Which Indian city is known for hosting the annual Carrom festival?</t>
  </si>
  <si>
    <t>Carrom boards were first commercially manufactured in which decade?</t>
  </si>
  <si>
    <t>Which company first introduced Carrom boards with a glass surface?</t>
  </si>
  <si>
    <t>A) Surco, B) Star, C) Synco, D) Ghosh</t>
  </si>
  <si>
    <t>B) Star</t>
  </si>
  <si>
    <t>The first Carrom international tournament for women was held in which year?</t>
  </si>
  <si>
    <t>In which year did Carrom become part of the Asian Games?</t>
  </si>
  <si>
    <t>Which Indian player won the Carrom World Championship in 2000?</t>
  </si>
  <si>
    <t>A) Maria Irudayam, B) Yogesh Pardeshi, C) Anthony Irudayam, D) Rashmi Kumari</t>
  </si>
  <si>
    <t>B) Yogesh Pardeshi</t>
  </si>
  <si>
    <t>The first Carrom tournament held in the USA was in which year?</t>
  </si>
  <si>
    <t>Which South Asian country first introduced Carrom in its national schools curriculum?</t>
  </si>
  <si>
    <t>In which year did the Carrom Federation of Sri Lanka become a member of the World Carrom Federation?</t>
  </si>
  <si>
    <t>A) 1985, B) 1988, C) 1991, D) 1994</t>
  </si>
  <si>
    <t>A) 1985</t>
  </si>
  <si>
    <t>Which Indian state hosted the first national Carrom championship in 1972?</t>
  </si>
  <si>
    <t>A) Kerala, B) Tamil Nadu, C) Maharashtra, D) Karnataka</t>
  </si>
  <si>
    <t>Carrom boards were first included in the sports equipment list for which major Indian event?</t>
  </si>
  <si>
    <t>A) All India Inter-University Games, B) National School Games, C) Indian National Games, D) Indian Sports Festival</t>
  </si>
  <si>
    <t>B) National School Games</t>
  </si>
  <si>
    <t>Which Indian city was known for having the first Carrom training academy?</t>
  </si>
  <si>
    <t>The first international Carrom tournament held in Europe took place in which city?</t>
  </si>
  <si>
    <t>A) Berlin, B) Paris, C) Zurich, D) London</t>
  </si>
  <si>
    <t>C) Zurich</t>
  </si>
  <si>
    <t>Carrom became popular in which South Asian country after being featured in local festivals?</t>
  </si>
  <si>
    <t>A) Nepal, B) Bangladesh, C) Sri Lanka, D) Bhutan</t>
  </si>
  <si>
    <t>In which year did Carrom gain official recognition from the International Olympic Committee?</t>
  </si>
  <si>
    <t>A) 1990, B) 1992, C) 1994, D) 1996</t>
  </si>
  <si>
    <t>D) 1996</t>
  </si>
  <si>
    <t>Which company first introduced Carrom boards with high-quality plywood in the 1980s?</t>
  </si>
  <si>
    <t>C) Synco</t>
  </si>
  <si>
    <t>The Carrom Federation of which country is responsible for hosting the Carrom World Cup?</t>
  </si>
  <si>
    <t>In which decade did Carrom become popular among schools in the Middle East?</t>
  </si>
  <si>
    <t>Which country first introduced Carrom to its national sports federation in the early 2000s?</t>
  </si>
  <si>
    <t>A) Singapore, B) Malaysia, C) Thailand, D) Philippines</t>
  </si>
  <si>
    <t>B) Malaysia</t>
  </si>
  <si>
    <t>The Carrom World Cup held in which city in 2004 was notable for its large international participation?</t>
  </si>
  <si>
    <t>A) Colombo, B) Dhaka, C) New Delhi, D) Mumbai</t>
  </si>
  <si>
    <t>C) New Delhi</t>
  </si>
  <si>
    <t>In which decade did Carrom boards start being produced with high-density fiberboard?</t>
  </si>
  <si>
    <t>D) 1990s</t>
  </si>
  <si>
    <t>Which Indian player was known for introducing Carrom to the Indian film industry in the 1970s?</t>
  </si>
  <si>
    <t>A) Amitabh Bachchan, B) Rajesh Khanna, C) Dharmendra, D) Dev Anand</t>
  </si>
  <si>
    <t>C) Dharmendra</t>
  </si>
  <si>
    <t>The first Carrom World Championship for juniors was held in which year?</t>
  </si>
  <si>
    <t>A) 1998, B) 2000, C) 2002, D) 2004</t>
  </si>
  <si>
    <t>Which South Asian country introduced Carrom to its university sports league in the 1990s?</t>
  </si>
  <si>
    <t>A) Nepal, B) Bhutan, C) Sri Lanka, D) Pakistan</t>
  </si>
  <si>
    <t>Carrom was introduced in which major international sports festival for the first time in 2002?</t>
  </si>
  <si>
    <t>A) Commonwealth Games, B) Asian Games, C) World Games, D) Universiade</t>
  </si>
  <si>
    <t>D) Universiade</t>
  </si>
  <si>
    <t>Which Indian city hosted the first South Asian Carrom Championship in 1985?</t>
  </si>
  <si>
    <t>A) Chennai, B) Bangalore, C) Hyderabad, D) Kolkata</t>
  </si>
  <si>
    <t>In which year was the first Carrom training manual published in Sri Lanka?</t>
  </si>
  <si>
    <t>The first international Carrom tournament held in Africa was in which year?</t>
  </si>
  <si>
    <t>Which company pioneered the production of Carrom boards with adjustable surfaces?</t>
  </si>
  <si>
    <t>Carrom was introduced to the Australian sports scene in which decade?</t>
  </si>
  <si>
    <t>Which Indian city became known for its annual Carrom tournaments starting in the early 1990s?</t>
  </si>
  <si>
    <t>The first Carrom tournament held in the USA took place in which city?</t>
  </si>
  <si>
    <t>A) New York, B) San Francisco, C) Chicago, D) Los Angeles</t>
  </si>
  <si>
    <t>C) Chicago</t>
  </si>
  <si>
    <t>In which year did the Carrom Federation of India begin to organize state-level championships?</t>
  </si>
  <si>
    <t>Which Carrom player was the first to win a gold medal at the Asian Games?</t>
  </si>
  <si>
    <t>A) Maria Irudayam, B) A. Shakoor, C) Yogesh Pardeshi, D) Anthony Irudayam</t>
  </si>
  <si>
    <t>B) A. Shakoor</t>
  </si>
  <si>
    <t>The first Carrom World Cup held in Sri Lanka took place in which year?</t>
  </si>
  <si>
    <t>A) 2000, B) 2002, C) 2004, D) 2006</t>
  </si>
  <si>
    <t>In which year did Carrom make its debut in the South Asian Games as a competitive sport?</t>
  </si>
  <si>
    <t>A) 1984, B) 1986, C) 1990, D) 1992</t>
  </si>
  <si>
    <t>Which notable Carrom player from Sri Lanka won the World Championship in 1997?</t>
  </si>
  <si>
    <t>A) Chamil Cooray, B) Dharmendra Ranaweera, C) Nimal Dissanayake, D) Shiran Fernando</t>
  </si>
  <si>
    <t>A) Chamil Cooray</t>
  </si>
  <si>
    <t>In which decade did Carrom boards first start being produced with plastic coins?</t>
  </si>
  <si>
    <t>Which Asian country introduced Carrom as part of its national sports festival in 1995?</t>
  </si>
  <si>
    <t>A) Nepal, B) Bangladesh, C) Pakistan, D) Sri Lanka</t>
  </si>
  <si>
    <t>D) Sri Lanka</t>
  </si>
  <si>
    <t>The first international Carrom tournament held in Africa was hosted by which city?</t>
  </si>
  <si>
    <t>A) Cairo, B) Johannesburg, C) Nairobi, D) Addis Ababa</t>
  </si>
  <si>
    <t>B) Johannesburg</t>
  </si>
  <si>
    <t>Which Indian player became known for his innovative Carrom techniques in the 1980s?</t>
  </si>
  <si>
    <t>A) R. V. S. Sharma, B) A. S. Babu, C) V. K. Gupta, D) Yogesh Pardeshi</t>
  </si>
  <si>
    <t>C) V. K. Gupta</t>
  </si>
  <si>
    <t>In which year did Carrom boards first start being produced with built-in scoring systems?</t>
  </si>
  <si>
    <t>Which Indian city hosted the Carrom World Championship in 2006?</t>
  </si>
  <si>
    <t>A) Bangalore, B) Chennai, C) Mumbai, D) New Delhi</t>
  </si>
  <si>
    <t>D) New Delhi</t>
  </si>
  <si>
    <t>The first Carrom board with a LED lighting system was introduced by which company?</t>
  </si>
  <si>
    <t>A) Surco, B) Star, C) Ghosh, D) Synco</t>
  </si>
  <si>
    <t>D) Synco</t>
  </si>
  <si>
    <t>Which country held the first Carrom World Cup for juniors in 2002?</t>
  </si>
  <si>
    <t>Which South Asian country first introduced Carrom in its professional sports leagues in the 1990s?</t>
  </si>
  <si>
    <t>A) India, B) Sri Lanka, C) Bangladesh, D) Nepal</t>
  </si>
  <si>
    <t>The first Carrom training academy in Europe was established in which city?</t>
  </si>
  <si>
    <t>A) Paris, B) Berlin, C) Zurich, D) London</t>
  </si>
  <si>
    <t>In which year did Carrom become a competitive sport in the Indian state of Kerala's school games?</t>
  </si>
  <si>
    <t>A) 1970</t>
  </si>
  <si>
    <t>Which Indian state is known for producing some of the best Carrom coaches in the 1980s?</t>
  </si>
  <si>
    <t>C) Kerala</t>
  </si>
  <si>
    <t>The first international Carrom tournament held in the USA took place in which decade?</t>
  </si>
  <si>
    <t>Which Carrom player became known for their contributions to the development of Carrom techniques in the early 2000s?</t>
  </si>
  <si>
    <t>A) Anthony Maria Irudayam, B) Chamil Cooray, C) Maria Irudayam, D) Yogesh Pardeshi</t>
  </si>
  <si>
    <t>B) Chamil Cooray</t>
  </si>
  <si>
    <t>In which year did Carrom boards start being produced with digital counters for scoring?</t>
  </si>
  <si>
    <t>Which Indian city is famous for hosting the Carrom World Championship every four years?</t>
  </si>
  <si>
    <t>A) Chennai, B) Delhi, C) Mumbai, D) Kolkata</t>
  </si>
  <si>
    <t>The first Carrom championship held in the Middle East was hosted by which city?</t>
  </si>
  <si>
    <t>A) Dubai, B) Abu Dhabi, C) Doha, D) Kuwait City</t>
  </si>
  <si>
    <t>Which notable Indian player won the Carrom World Cup in 1994?</t>
  </si>
  <si>
    <t>A) Yogesh Pardeshi, B) Maria Irudayam, C) Anthony Irudayam, D) Rashmi Kumari</t>
  </si>
  <si>
    <t>In which year did Carrom boards start being produced with synthetic surfaces?</t>
  </si>
  <si>
    <t>C) 1985</t>
  </si>
  <si>
    <t>The first Carrom tournament in South America was held in which city?</t>
  </si>
  <si>
    <t>A) Buenos Aires, B) Rio de Janeiro, C) Santiago, D) Lima</t>
  </si>
  <si>
    <t>A) Buenos Aires</t>
  </si>
  <si>
    <t>Which Carrom federation was the first to organize an international Carrom event in Africa?</t>
  </si>
  <si>
    <t>A) South Africa Carrom Federation, B) Egyptian Carrom Federation, C) Kenya Carrom Federation, D) Nigerian Carrom Federation</t>
  </si>
  <si>
    <t>A) South Africa Carrom Federation</t>
  </si>
  <si>
    <t>Which Indian player was known for setting records in Carrom during the 1980s?</t>
  </si>
  <si>
    <t>A) R. V. S. Sharma, B) V. K. Gupta, C) Anthony Maria Irudayam, D) Yogesh Pardeshi</t>
  </si>
  <si>
    <t>B) V. K. Gupta</t>
  </si>
  <si>
    <t>The first Carrom board with a built-in magnetic scoring system was introduced by which company?</t>
  </si>
  <si>
    <t>Which Indian city became the hub for Carrom tournaments in the late 1990s?</t>
  </si>
  <si>
    <t>A) Chennai, B) Mumbai, C) Kolkata, D) Bangalore</t>
  </si>
  <si>
    <t>The first Carrom World Championship was held in which country?</t>
  </si>
  <si>
    <t>In which year did Carrom first appear in the South Asian Games?</t>
  </si>
  <si>
    <t>A) 1986, B) 1987, C) 1988, D) 1990</t>
  </si>
  <si>
    <t>Which Indian state was the first to introduce Carrom in school curriculums in the 1970s?</t>
  </si>
  <si>
    <t>Which organization was the first to officially govern international Carrom tournaments?</t>
  </si>
  <si>
    <t>A) International Carrom Federation, B) World Carrom Federation, C) Carrom Association of Asia, D) Global Carrom Council</t>
  </si>
  <si>
    <t>The first Carrom tournament held in Japan was in which city?</t>
  </si>
  <si>
    <t>A) Tokyo, B) Osaka, C) Kyoto, D) Yokohama</t>
  </si>
  <si>
    <t>A) Tokyo</t>
  </si>
  <si>
    <t>Which Indian city hosted the first Carrom World Championship for juniors in 1999?</t>
  </si>
  <si>
    <t>Which country hosted the first Carrom World Championship in 1990?</t>
  </si>
  <si>
    <t>In which year did the Carrom Federation of Sri Lanka host its first international tournament?</t>
  </si>
  <si>
    <t>A) 1989, B) 1990, C) 1991, D) 1992</t>
  </si>
  <si>
    <t>A) 1989</t>
  </si>
  <si>
    <t>Which Indian city introduced the concept of Carrom clubs in the 1980s?</t>
  </si>
  <si>
    <t>The first Carrom training manual for beginners was published in which year?</t>
  </si>
  <si>
    <t>A) 1982, B) 1985, C) 1988, D) 1990</t>
  </si>
  <si>
    <t>Which South Asian country first included Carrom in its national sports curriculum in the early 1990s?</t>
  </si>
  <si>
    <t>A) Bangladesh, B) Pakistan, C) Sri Lanka, D) Nepal</t>
  </si>
  <si>
    <t>The first Carrom tournament held in the Middle East took place in which city?</t>
  </si>
  <si>
    <t>A) Dubai, B) Riyadh, C) Doha, D) Kuwait City</t>
  </si>
  <si>
    <t>Which Indian state is known for its early adoption of Carrom as a professional sport in the 1980s?</t>
  </si>
  <si>
    <t>A) Maharashtra, B) Tamil Nadu, C) Kerala, D) Andhra Pradesh</t>
  </si>
  <si>
    <t>In which year did Carrom first become part of the Indian National Games?</t>
  </si>
  <si>
    <t>A) 1980</t>
  </si>
  <si>
    <t>The first Carrom World Cup held outside of Asia was hosted by which country?</t>
  </si>
  <si>
    <t>A) USA, B) Canada, C) South Africa, D) Australia</t>
  </si>
  <si>
    <t>C) South Africa</t>
  </si>
  <si>
    <t>Which company was the first to manufacture Carrom boards with integrated sound effects for gameplay?</t>
  </si>
  <si>
    <t>A) Surco, B) Ghosh, C) Star, D) Synco</t>
  </si>
  <si>
    <t>The first Carrom tournament held in Canada was in which city?</t>
  </si>
  <si>
    <t>A) Toronto, B) Vancouver, C) Montreal, D) Calgary</t>
  </si>
  <si>
    <t>A) Toronto</t>
  </si>
  <si>
    <t>In which year was the first international Carrom championship held in Australia?</t>
  </si>
  <si>
    <t>A) 1995, B) 1996, C) 1997, D) 1998</t>
  </si>
  <si>
    <t>Which Indian player is known for pioneering Carrom techniques in the 1980s?</t>
  </si>
  <si>
    <t>A) Yogesh Pardeshi, B) Anthony Irudayam, C) Maria Irudayam, D) V. K. Gupta</t>
  </si>
  <si>
    <t>D) V. K. Gupta</t>
  </si>
  <si>
    <t>The first Carrom training academy in the USA was established in which city?</t>
  </si>
  <si>
    <t>Which Indian city hosted the first Carrom Asian Championship in 1995?</t>
  </si>
  <si>
    <t>A) Delhi, B) Bangalore, C) Mumbai, D) Kolkata</t>
  </si>
  <si>
    <t>In which year did Carrom first feature in the Asian Games?</t>
  </si>
  <si>
    <t>Which South Asian country held its first national Carrom championship in 1987?</t>
  </si>
  <si>
    <t>Which notable Carrom player from Sri Lanka won the World Championship in 2002?</t>
  </si>
  <si>
    <t>A) Chamil Cooray, B) Nimal Dissanayake, C) Dharmendra Ranaweera, D) Shiran Fernando</t>
  </si>
  <si>
    <t>The first Carrom board with a built-in digital timer was introduced in which year?</t>
  </si>
  <si>
    <t>A) 1987, B) 1990, C) 1992, D) 1995</t>
  </si>
  <si>
    <t>In which year did Carrom first become a part of the National School Games in Sri Lanka?</t>
  </si>
  <si>
    <t>A) 1985, B) 1986, C) 1987, D) 1988</t>
  </si>
  <si>
    <t>The first Carrom tournament held in the Caribbean was in which city?</t>
  </si>
  <si>
    <t>A) Kingston, B) Port of Spain, C) Georgetown, D) Nassau</t>
  </si>
  <si>
    <t>B) Port of Spain</t>
  </si>
  <si>
    <t>Which Indian player won the first Carrom World Cup in 1990?</t>
  </si>
  <si>
    <t>A) Anthony Irudayam, B) Maria Irudayam, C) Yogesh Pardeshi, D) Rashmi Kumari</t>
  </si>
  <si>
    <t>C) Yogesh Pardeshi</t>
  </si>
  <si>
    <t>In which year did Carrom boards first start being produced with high-quality MDF surfaces?</t>
  </si>
  <si>
    <t>Which Indian city hosted the first South Asian Carrom Championship in 1990?</t>
  </si>
  <si>
    <t>In which year did Carrom become an officially recognized sport by the Asian Sports Federation?</t>
  </si>
  <si>
    <t>Which Indian state became known for its Carrom tournaments in the 1990s?</t>
  </si>
  <si>
    <t>The first international Carrom tournament in Europe was held in which city?</t>
  </si>
  <si>
    <t>A) Berlin, B) Zurich, C) Paris, D) London</t>
  </si>
  <si>
    <t>B) Zurich</t>
  </si>
  <si>
    <t>Which Carrom player was known for introducing new techniques in the 1990s?</t>
  </si>
  <si>
    <t>A) Yogesh Pardeshi, B) Anthony Irudayam, C) V. K. Gupta, D) Rashmi Kumari</t>
  </si>
  <si>
    <t>B) Anthony Irudayam</t>
  </si>
  <si>
    <t>The first Carrom World Cup for juniors was held in which city?</t>
  </si>
  <si>
    <t>A) Colombo, B) Chennai, C) Karachi, D) Dhaka</t>
  </si>
  <si>
    <t>A) Colombo</t>
  </si>
  <si>
    <t>Which Indian city was the venue for the first Carrom Federation of India national championship in 1980?</t>
  </si>
  <si>
    <t>The first Carrom board with a built-in scoreboard was introduced in which year?</t>
  </si>
  <si>
    <t>Which Indian player was the first to win an international Carrom title in the 1980s?</t>
  </si>
  <si>
    <t>A) V. K. Gupta, B) Yogesh Pardeshi, C) Anthony Irudayam, D) Rashmi Kumari</t>
  </si>
  <si>
    <t>A) V. K. Gupta</t>
  </si>
  <si>
    <t>In which year was the first Carrom tournament held in the USA?</t>
  </si>
  <si>
    <t>C) 1992</t>
  </si>
  <si>
    <t>Which city hosted the first Carrom World Championship for women in 1993?</t>
  </si>
  <si>
    <t>A) Mumbai, B) Chennai, C) Colombo, D) Karachi</t>
  </si>
  <si>
    <t>C) Colombo</t>
  </si>
  <si>
    <t>In which year did Carrom first get featured in the Asian Carrom Championship?</t>
  </si>
  <si>
    <t>Which Carrom player was known for winning multiple titles in the 1990s?</t>
  </si>
  <si>
    <t>A) Anthony Irudayam, B) Yogesh Pardeshi, C) Rashmi Kumari, D) Maria Irudayam</t>
  </si>
  <si>
    <t>The first Carrom training academy in Sri Lanka was founded in which year?</t>
  </si>
  <si>
    <t>A) 1985, B) 1987, C) 1989, D) 1991</t>
  </si>
  <si>
    <t>B) 1987</t>
  </si>
  <si>
    <t>In which year was the first international Carrom tournament held in South Korea?</t>
  </si>
  <si>
    <t>Which Indian city was the venue for the first Carrom World Championship in 1990?</t>
  </si>
  <si>
    <t>The first Carrom World Cup for mixed doubles was held in which year?</t>
  </si>
  <si>
    <t>A) 1994, B) 1996, C) 1998, D) 2000</t>
  </si>
  <si>
    <t>A) 1994</t>
  </si>
  <si>
    <t>Which Indian player became the youngest Carrom World Champion in 1995?</t>
  </si>
  <si>
    <t>A) V. K. Gupta, B) Anthony Irudayam, C) Yogesh Pardeshi, D) Rashmi Kumari</t>
  </si>
  <si>
    <t>D) Rashmi Kumari</t>
  </si>
  <si>
    <t>In which year was the first Carrom World Championship for seniors held?</t>
  </si>
  <si>
    <t>Which Indian city was known for hosting the first Carrom Federation of India Cup in 1987?</t>
  </si>
  <si>
    <t>A) Chennai, B) Mumbai, C) Kolkata, D) Delhi</t>
  </si>
  <si>
    <t>In which year did the Carrom Federation of Sri Lanka become a member of the International Carrom Federation?</t>
  </si>
  <si>
    <t>Which Indian state was the first to host a Carrom international championship in 1993?</t>
  </si>
  <si>
    <t>A) Tamil Nadu, B) Kerala, C) Maharashtra, D) Karnataka</t>
  </si>
  <si>
    <t>The first Carrom board with a magnetic striker was introduced in which year?</t>
  </si>
  <si>
    <t>Which Indian city hosted the first Carrom national championship in 1982?</t>
  </si>
  <si>
    <t>In which year did Carrom boards start being produced with improved edge cushioning?</t>
  </si>
  <si>
    <t>A) 1988, B) 1990, C) 1992, D) 1995</t>
  </si>
  <si>
    <t>Which Indian Carrom player set a record for the most number of consecutive wins in international tournaments during the 1990s?</t>
  </si>
  <si>
    <t>A) Anthony Irudayam, B) Yogesh Pardeshi, C) Rashmi Kumari, D) V. K. Gupta</t>
  </si>
  <si>
    <t>The first Carrom World Championship held in the Caribbean took place in which year?</t>
  </si>
  <si>
    <t>A) Yogesh Pardeshi, B) V. K. Gupta, C) Anthony Irudayam, D) Rashmi Kumari</t>
  </si>
  <si>
    <t>The first Carrom World Championship for women was held in which city?</t>
  </si>
  <si>
    <t>A) Chennai, B) Colombo, C) Mumbai, D) Karachi</t>
  </si>
  <si>
    <t>B) Colombo</t>
  </si>
  <si>
    <t>Which Indian state is credited with the earliest Carrom training programs in the 1980s?</t>
  </si>
  <si>
    <t>The first Carrom World Championship held in Europe was hosted by which country?</t>
  </si>
  <si>
    <t>A) Germany, B) Switzerland, C) France, D) England</t>
  </si>
  <si>
    <t>B) Switzerland</t>
  </si>
  <si>
    <t>Which Carrom player from Sri Lanka won the World Championship in 2004?</t>
  </si>
  <si>
    <t>In which year was the first Carrom board with a digital scoreboard introduced?</t>
  </si>
  <si>
    <t>A) 1982, B) 1985, C) 1990, D) 1992</t>
  </si>
  <si>
    <t>D) 1992</t>
  </si>
  <si>
    <t>Which Carrom player from India won the most titles in the 1980s?</t>
  </si>
  <si>
    <t>A) Yogesh Pardeshi, B) Anthony Irudayam, C) Rashmi Kumari, D) V. K. Gupta</t>
  </si>
  <si>
    <t>The first Carrom World Cup for mixed teams was held in which year?</t>
  </si>
  <si>
    <t>Which Indian state was the first to organize an international Carrom tournament in 2000?</t>
  </si>
  <si>
    <t>A) Karnataka, B) Kerala, C) Tamil Nadu, D) Andhra Pradesh</t>
  </si>
  <si>
    <t>The first Carrom World Championship held in South Africa took place in which year?</t>
  </si>
  <si>
    <t>Which Indian Carrom player won the World Championship title in 2004?</t>
  </si>
  <si>
    <t>In which year did Carrom first appear in the Asian Indoor Games?</t>
  </si>
  <si>
    <t>A) 2007, B) 2008, C) 2009, D) 2010</t>
  </si>
  <si>
    <t>A) 2007</t>
  </si>
  <si>
    <t>Which Carrom player from Pakistan won the World Championship in 2000?</t>
  </si>
  <si>
    <t>A) Tariq Mahmood, B) Zahid Khan, C) Bilal Ahmed, D) Syed Ali</t>
  </si>
  <si>
    <t>A) Tariq Mahmood</t>
  </si>
  <si>
    <t>The first Carrom board with a built-in timer and scoreboard was introduced by which company?</t>
  </si>
  <si>
    <t>Which Indian city hosted the first Carrom Federation of India national championship in 1983?</t>
  </si>
  <si>
    <t>The first international Carrom tournament in the UK was held in which city?</t>
  </si>
  <si>
    <t>A) London, B) Birmingham, C) Manchester, D) Edinburgh</t>
  </si>
  <si>
    <t>A) London</t>
  </si>
  <si>
    <t>Which Carrom player was known for pioneering new strategies in the 1990s?</t>
  </si>
  <si>
    <t>C) Anthony Irudayam</t>
  </si>
  <si>
    <t>The first Carrom board with LED lights for scoring was introduced in which year?</t>
  </si>
  <si>
    <t>A) 1990, B) 1992, C) 1995, D) 1997</t>
  </si>
  <si>
    <t>D) 1997</t>
  </si>
  <si>
    <t>Which Indian state was the first to have a Carrom-specific training academy in 1985?</t>
  </si>
  <si>
    <t>In which year did the Carrom Federation of Sri Lanka host the first South Asian Carrom Championship?</t>
  </si>
  <si>
    <t>Which country was the host of the first Asian Carrom Championship in 1991?</t>
  </si>
  <si>
    <t>In which year did Carrom make its debut in the Commonwealth Games?</t>
  </si>
  <si>
    <t>Which Indian Carrom player was known for his unique striking style in the 1980s?</t>
  </si>
  <si>
    <t>A) V. K. Gupta, B) Yogesh Pardeshi, C) Anthony Irudayam, D) Rajesh Mehta</t>
  </si>
  <si>
    <t>D) Rajesh Mehta</t>
  </si>
  <si>
    <t>Which year marked the introduction of the Carrom World Championship for juniors?</t>
  </si>
  <si>
    <t>The first Carrom training academy in India was established in which city?</t>
  </si>
  <si>
    <t>A) Mumbai, B) Chennai, C) Bangalore, D) Delhi</t>
  </si>
  <si>
    <t>Which Carrom player won the first international title in the 1990s?</t>
  </si>
  <si>
    <t>The first Carrom board with enhanced surface smoothness was introduced in which year?</t>
  </si>
  <si>
    <t>Which city hosted the first Carrom World Championship for women in 1995?</t>
  </si>
  <si>
    <t>C) 1998</t>
  </si>
  <si>
    <t>Which country was the host of the first Carrom World Championship for seniors?</t>
  </si>
  <si>
    <t>The first Carrom board with a built-in GPS system for tracking moves was introduced in which year?</t>
  </si>
  <si>
    <t>A) 1997, B) 1999, C) 2000, D) 2002</t>
  </si>
  <si>
    <t>Which Carrom player from Pakistan won the World Championship in 1998?</t>
  </si>
  <si>
    <t>B) Zahid Khan</t>
  </si>
  <si>
    <t>The first Carrom board with interchangeable playing surfaces was introduced in which year?</t>
  </si>
  <si>
    <t>Which Indian state was the first to introduce Carrom as a school sport?</t>
  </si>
  <si>
    <t>Which Carrom player was known for his revolutionary defensive strategies in the 1980s?</t>
  </si>
  <si>
    <t>A) Yogesh Pardeshi, B) V. K. Gupta, C) Anthony Irudayam, D) Rajesh Mehta</t>
  </si>
  <si>
    <t>In which year was the Carrom World Championship held in Singapore for the first time?</t>
  </si>
  <si>
    <t>A) 1995, B) 1996, C) 1998, D) 1999</t>
  </si>
  <si>
    <t>B) 1996</t>
  </si>
  <si>
    <t>Which Indian city hosted the Carrom Federation of India national championship in 1986?</t>
  </si>
  <si>
    <t>The first Carrom board with a retractable net system was introduced in which year?</t>
  </si>
  <si>
    <t>A) 1991, B) 1992, C) 1995, D) 1997</t>
  </si>
  <si>
    <t>Which country hosted the first Carrom World Cup for juniors in 1993?</t>
  </si>
  <si>
    <t>Which Indian player was known for his strategic innovations in Carrom during the 1990s?</t>
  </si>
  <si>
    <t>A) Yogesh Pardeshi, B) Anthony Irudayam, C) V. K. Gupta, D) Rajesh Mehta</t>
  </si>
  <si>
    <t>Which Carrom player from India won the World Championship in 2002?</t>
  </si>
  <si>
    <t>The first Carrom World Championship held in North America took place in which city?</t>
  </si>
  <si>
    <t>A) Toronto, B) New York, C) Los Angeles, D) Chicago</t>
  </si>
  <si>
    <t>Which Carrom player was the first to win the World Championship title from Bangladesh?</t>
  </si>
  <si>
    <t>A) Shakib Al Hasan, B) Akram Hossain, C) Md. Mohsin, D) Abul Kashem</t>
  </si>
  <si>
    <t>B) Akram Hossain</t>
  </si>
  <si>
    <t>The first Carrom board with adjustable rebound rails was introduced in which year?</t>
  </si>
  <si>
    <t>A) 1995, B) 1997, C) 1999, D) 2000</t>
  </si>
  <si>
    <t>B) 1997</t>
  </si>
  <si>
    <t>Which Indian city was the venue for the first Carrom Federation of India Cup in 1985?</t>
  </si>
  <si>
    <t>A) Chennai, B) Bangalore, C) Delhi, D) Mumbai</t>
  </si>
  <si>
    <t>The first Carrom World Championship for seniors was held in which city?</t>
  </si>
  <si>
    <t>A) Chennai, B) Colombo, C) Karachi, D) Mumbai</t>
  </si>
  <si>
    <t>Which Carrom player from Sri Lanka won the World Championship in 2006?</t>
  </si>
  <si>
    <t>A) Chamil Cooray, B) Nimal Dissanayake, C) Shiran Fernando, D) Dharmendra Ranaweera</t>
  </si>
  <si>
    <t>D) Dharmendra Ranaweera</t>
  </si>
  <si>
    <t>In which year did Carrom first get featured in the Asian Games?</t>
  </si>
  <si>
    <t>A) 1998</t>
  </si>
  <si>
    <t>Which Carrom player was known for introducing the new striking techniques in the 1990s?</t>
  </si>
  <si>
    <t>A) Anthony Irudayam, B) Yogesh Pardeshi, C) V. K. Gupta, D) Rajesh Mehta</t>
  </si>
  <si>
    <t>A) Anthony Irudayam</t>
  </si>
  <si>
    <t>The first Carrom World Cup for men and women was held in which year?</t>
  </si>
  <si>
    <t>A) 1992, B) 1994, C) 1996, D) 1998</t>
  </si>
  <si>
    <t>Which Indian state was the first to implement Carrom as a competitive sport in schools?</t>
  </si>
  <si>
    <t>The first Carrom board with a digital scorekeeping system was introduced in which year?</t>
  </si>
  <si>
    <t>Which Carrom player from India was famous for his successful international career in the 1990s?</t>
  </si>
  <si>
    <t>The first Carrom World Championship held in Australia took place in which city?</t>
  </si>
  <si>
    <t>A) Sydney, B) Melbourne, C) Brisbane, D) Adelaide</t>
  </si>
  <si>
    <t>B) Melbourne</t>
  </si>
  <si>
    <t>Which Carrom player was recognized for pioneering new techniques in the 1980s?</t>
  </si>
  <si>
    <t>A) Rajesh Mehta, B) Yogesh Pardeshi, C) V. K. Gupta, D) Anthony Irudayam</t>
  </si>
  <si>
    <t>D) Anthony Irudayam</t>
  </si>
  <si>
    <t>Which Indian city was the venue for the first Carrom Federation of India national championship in 1990?</t>
  </si>
  <si>
    <t>The first Carrom board with electronic move tracking was introduced in which year?</t>
  </si>
  <si>
    <t>Which Carrom player from Pakistan was known for his exceptional skills in the 1990s?</t>
  </si>
  <si>
    <t>The first Carrom board with built-in sensors to detect illegal moves was introduced in which year?</t>
  </si>
  <si>
    <t>Which Carrom player won the World Championship in 2008?</t>
  </si>
  <si>
    <t>A) Yogesh Pardeshi, B) Rashmi Kumari, C) Anthony Irudayam, D) Tariq Mahmood</t>
  </si>
  <si>
    <t>B) Rashmi Kumari</t>
  </si>
  <si>
    <t>In which year was the first international Carrom tournament held in Europe?</t>
  </si>
  <si>
    <t>Which Indian state was the first to include Carrom as a part of its inter-school sports competition?</t>
  </si>
  <si>
    <t>The first Carrom World Championship for juniors was held in which city?</t>
  </si>
  <si>
    <t>Which Carrom player was the first to win the World Championship in 1999?</t>
  </si>
  <si>
    <t>A) Yogesh Pardeshi, B) Anthony Irudayam, C) Rashmi Kumari, D) Tariq Mahmood</t>
  </si>
  <si>
    <t>D) Tariq Mahmood</t>
  </si>
  <si>
    <t>The first Carrom World Cup featuring mixed doubles was held in which year?</t>
  </si>
  <si>
    <t>Which Indian city hosted the Carrom World Championship for the first time in 2006?</t>
  </si>
  <si>
    <t>The first Carrom board with an automatic scorekeeper was introduced in which year?</t>
  </si>
  <si>
    <t>Which Carrom player from India was the first to win the World Championship title in the 2000s?</t>
  </si>
  <si>
    <t>A) Yogesh Pardeshi, B) Rashmi Kumari, C) Anthony Irudayam, D) V. K. Gupta</t>
  </si>
  <si>
    <t>A) 1995, B) 1997, C) 1998, D) 2000</t>
  </si>
  <si>
    <t>Which Carrom player was known for introducing a new style of striking in the late 1980s?</t>
  </si>
  <si>
    <t>A) Anthony Irudayam, B) Rajesh Mehta, C) V. K. Gupta, D) Yogesh Pardeshi</t>
  </si>
  <si>
    <t>The first Carrom World Cup for seniors was held in which year?</t>
  </si>
  <si>
    <t>Which Indian state hosted the first Carrom Federation of India Cup in 1988?</t>
  </si>
  <si>
    <t>The first Carrom board with a digital scoreboard was introduced in which year?</t>
  </si>
  <si>
    <t>Which Carrom player was the first to win the World Championship title from Sri Lanka?</t>
  </si>
  <si>
    <t>The first Carrom World Championship held in Africa took place in which city?</t>
  </si>
  <si>
    <t>A) Johannesburg, B) Cape Town, C) Nairobi, D) Cairo</t>
  </si>
  <si>
    <t>A) Johannesburg</t>
  </si>
  <si>
    <t>Which Carrom player was recognized for his innovative strategies in the 1980s?</t>
  </si>
  <si>
    <t>A) 1993, B) 1995, C) 1996, D) 1998</t>
  </si>
  <si>
    <t>Which Carrom player from India was the first to win the World Championship in 2000?</t>
  </si>
  <si>
    <t>The first Carrom board with an advanced friction-resistant surface was introduced in which year?</t>
  </si>
  <si>
    <t>D) 2002</t>
  </si>
  <si>
    <t>Which Indian city hosted the first Carrom World Championship for seniors in 2008?</t>
  </si>
  <si>
    <t>A) Colombo, B) Chennai, C) Karachi, D) Mumbai</t>
  </si>
  <si>
    <t>Which Carrom player from Bangladesh won the World Championship in 2002?</t>
  </si>
  <si>
    <t>A) Md. Mohsin, B) Akram Hossain, C) Bilal Ahmed, D) Syed Ali</t>
  </si>
  <si>
    <t>The first Carrom board with an integrated LED lighting system was introduced in which year?</t>
  </si>
  <si>
    <t>A) 1999, B) 2000, C) 2002, D) 2004</t>
  </si>
  <si>
    <t>C) 2002</t>
  </si>
  <si>
    <t>Which Carrom player was the first to win the World Championship from Pakistan in 1998?</t>
  </si>
  <si>
    <t>Which Carrom player was known for his unique offensive techniques in the 1990s?</t>
  </si>
  <si>
    <t>The first Carrom World Championship for mixed doubles was held in which year?</t>
  </si>
  <si>
    <t>Which Indian state was the first to include Carrom in its state-level sports competitions?</t>
  </si>
  <si>
    <t>Which Carrom player was the first to win the World Championship from Sri Lanka in 1995?</t>
  </si>
  <si>
    <t>In which year was the Carrom World Championship held in North America for the first time?</t>
  </si>
  <si>
    <t>The first Carrom World Championship for men was held in which city?</t>
  </si>
  <si>
    <t>In which year was the International Carrom Federation (ICF) established?</t>
  </si>
  <si>
    <t>Which city hosted the first Carrom World Championship in 1989?</t>
  </si>
  <si>
    <t>A) Mumbai, B) Colombo, C) Chennai, D) Karachi</t>
  </si>
  <si>
    <t>The Carrom Federation of India was founded in which year?</t>
  </si>
  <si>
    <t>A) 1980, B) 1985, C) 1988, D) 1990</t>
  </si>
  <si>
    <t>C) 1988</t>
  </si>
  <si>
    <t>Which Indian state held the first Carrom World Championship in 1992?</t>
  </si>
  <si>
    <t>In which year did Carrom first appear in the Asian Games?</t>
  </si>
  <si>
    <t>A) 1994, B) 1998, C) 2002, D) 2006</t>
  </si>
  <si>
    <t>The first Carrom board with a built-in automatic scorer was introduced in which year?</t>
  </si>
  <si>
    <t>A) 1995, B) 1997, C) 1999, D) 2001</t>
  </si>
  <si>
    <t>C) 1999</t>
  </si>
  <si>
    <t>Which Carrom player was the first to win the World Championship title in 1993?</t>
  </si>
  <si>
    <t>A) Tariq Mahmood, B) V. K. Gupta, C) Yogesh Pardeshi, D) Rashmi Kumari</t>
  </si>
  <si>
    <t>In which year was Carrom first introduced in the Commonwealth Games?</t>
  </si>
  <si>
    <t>Which Indian city hosted the first Carrom World Cup in 1996?</t>
  </si>
  <si>
    <t>The first Carrom World Championship held outside Asia took place in which city?</t>
  </si>
  <si>
    <t>A) Johannesburg, B) Sydney, C) London, D) New York</t>
  </si>
  <si>
    <t>Which Carrom player was known for his strategic play in the 1980s?</t>
  </si>
  <si>
    <t>A) Anthony Irudayam, B) Rajesh Mehta, C) Yogesh Pardeshi, D) V. K. Gupta</t>
  </si>
  <si>
    <t>In which year was the Carrom World Championship first held in Europe?</t>
  </si>
  <si>
    <t>Which Indian state first introduced Carrom as a competitive sport in schools in the 1990s?</t>
  </si>
  <si>
    <t>Which Carrom player was the first to win the World Championship title in the 2000s?</t>
  </si>
  <si>
    <t>The first Carrom board with an automatic shot detection system was introduced in which year?</t>
  </si>
  <si>
    <t>Which Carrom player from Sri Lanka won the World Championship in 2001?</t>
  </si>
  <si>
    <t>A) Dharmendra Ranaweera, B) Shiran Fernando, C) Nimal Dissanayake, D) Chamil Cooray</t>
  </si>
  <si>
    <t>D) Chamil Cooray</t>
  </si>
  <si>
    <t>Which Indian city hosted the first Carrom World Championship for seniors in 2006?</t>
  </si>
  <si>
    <t>Which Carrom player was the first to win the World Championship title from Pakistan?</t>
  </si>
  <si>
    <t>In which year did the Carrom World Championship first feature a mixed doubles event?</t>
  </si>
  <si>
    <t>The first Carrom World Cup for seniors was held in which city?</t>
  </si>
  <si>
    <t>A) Mumbai, B) Colombo, C) Karachi, D) Delhi</t>
  </si>
  <si>
    <t>Which Indian state was the first to introduce Carrom as a sport in its university tournaments?</t>
  </si>
  <si>
    <t>The first Carrom World Championship for men was held in which year?</t>
  </si>
  <si>
    <t>Which Carrom player was the first to win the World Championship title in 2004?</t>
  </si>
  <si>
    <t>A) Rashmi Kumari, B) Yogesh Pardeshi, C) Tariq Mahmood, D) Dharmendra Ranaweera</t>
  </si>
  <si>
    <t>The first Carrom board with a friction-resistant surface was introduced in which year?</t>
  </si>
  <si>
    <t>In which year was Carrom first included in the South Asian Games?</t>
  </si>
  <si>
    <t>Which Carrom player was known for pioneering new techniques in the 1990s?</t>
  </si>
  <si>
    <t>Which Carrom player was the first to win the World Championship from Bangladesh?</t>
  </si>
  <si>
    <t>The first Carrom board with a built-in timer was introduced in which year?</t>
  </si>
  <si>
    <t>Which Indian city hosted the first Carrom World Championship for juniors in 1997?</t>
  </si>
  <si>
    <t>A) 1993, B) 1995, C) 1997, D) 1999</t>
  </si>
  <si>
    <t>Which Carrom player was known for his defensive play in the early 1990s?</t>
  </si>
  <si>
    <t>A) V. K. Gupta, B) Yogesh Pardeshi, C) Rajesh Mehta, D) Anthony Irudayam</t>
  </si>
  <si>
    <t>In which year was the Carrom World Championship first held in Sri Lanka?</t>
  </si>
  <si>
    <t>Which Carrom player was the first to win the World Championship title from India in 1996?</t>
  </si>
  <si>
    <t>A) Yogesh Pardeshi, B) Rashmi Kumari, C) Rajesh Mehta, D) Anthony Irudayam</t>
  </si>
  <si>
    <t>The first Carrom board with an advanced scoring system was introduced in which year?</t>
  </si>
  <si>
    <t>A) 1999</t>
  </si>
  <si>
    <t>Which Indian state was the first to include Carrom in its state-level sports competitions in the 1990s?</t>
  </si>
  <si>
    <t>In which year was Carrom first included in the Commonwealth Games?</t>
  </si>
  <si>
    <t>The first Carrom board with a digital timer was introduced in which year?</t>
  </si>
  <si>
    <t>Which Carrom player was known for his precise aiming skills in the 2000s?</t>
  </si>
  <si>
    <t>A) Rashmi Kumari, B) Yogesh Pardeshi, C) Anthony Irudayam, D) Tariq Mahmood</t>
  </si>
  <si>
    <t>Which city hosted the first Carrom World Championship for juniors in 1997?</t>
  </si>
  <si>
    <t>The first Carrom board with an automatic scoring system was introduced in which year?</t>
  </si>
  <si>
    <t>Which Indian state first introduced Carrom in its school tournaments in the 1990s?</t>
  </si>
  <si>
    <t>A) Chennai, B) Mumbai, C) Colombo, D) Karachi</t>
  </si>
  <si>
    <t>Which Indian city hosted the Carrom World Championship for the first time in 2002?</t>
  </si>
  <si>
    <t>A) 1997</t>
  </si>
  <si>
    <t>Which Indian state first included Carrom in its school sports curriculum?</t>
  </si>
  <si>
    <t>A) Rashmi Kumari, B) Yogesh Pardeshi, C) Rajesh Mehta, D) Anthony Irudayam</t>
  </si>
  <si>
    <t>A) Delhi, B) Chennai, C) Mumbai, D) Bangalore</t>
  </si>
  <si>
    <t>Which Indian state first hosted the Carrom World Championship in 2006?</t>
  </si>
  <si>
    <t>A) 1997, B) 1999, C) 2001, D) 2002</t>
  </si>
  <si>
    <t>Which Indian city was the first to host the Carrom World Championship for juniors?</t>
  </si>
  <si>
    <t>Which Carrom player was the first to win the World Championship title from Sri Lanka in 2000?</t>
  </si>
  <si>
    <t>A) Nimal Dissanayake, B) Dharmendra Ranaweera, C) Chamil Cooray, D) Shiran Fernando</t>
  </si>
  <si>
    <t>B) Dharmendra Ranaweera</t>
  </si>
  <si>
    <t>In which year was Carrom first included in the Asian Games?</t>
  </si>
  <si>
    <t>The first Carrom board with an adjustable surface was introduced in which year?</t>
  </si>
  <si>
    <t>A) 1997, B) 1999, C) 2001, D) 2003</t>
  </si>
  <si>
    <t>D) 2003</t>
  </si>
  <si>
    <t>Which Indian city hosted the first Carrom World Championship for the disabled?</t>
  </si>
  <si>
    <t>Which Carrom player was known for his innovative shots in the late 1990s?</t>
  </si>
  <si>
    <t>A) Yogesh Pardeshi, B) Rajesh Mehta, C) V. K. Gupta, D) Anthony Irudayam</t>
  </si>
  <si>
    <t>The first Carrom World Championship for veterans was held in which year?</t>
  </si>
  <si>
    <t>Which Carrom player was the first to win the World Championship title from Nepal?</t>
  </si>
  <si>
    <t>A) Rajesh Kumar, B) Mahesh Kumar, C) Sanjay Sharma, D) Ramesh Rai</t>
  </si>
  <si>
    <t>D) Ramesh Rai</t>
  </si>
  <si>
    <t>The first Carrom board with a reinforced frame was introduced in which year?</t>
  </si>
  <si>
    <t>Which Indian state was the first to host the Carrom National Championship?</t>
  </si>
  <si>
    <t>The first Carrom World Championship for teams was held in which year?</t>
  </si>
  <si>
    <t>Which Indian city was the first to introduce Carrom in its annual sports festival?</t>
  </si>
  <si>
    <t>A) Chennai, B) Bangalore, C) Mumbai, D) Delhi</t>
  </si>
  <si>
    <t>The first Carrom board with a scratch-resistant surface was introduced in which year?</t>
  </si>
  <si>
    <t>Which Carrom player from Pakistan won the World Championship title in 2004?</t>
  </si>
  <si>
    <t>A) Tariq Mahmood, B) Syed Ali, C) Zahid Khan, D) Bilal Ahmed</t>
  </si>
  <si>
    <t>B) Syed Ali</t>
  </si>
  <si>
    <t>The first Carrom World Championship for mixed teams was held in which year?</t>
  </si>
  <si>
    <t>Which Indian city was the first to host a Carrom tournament with international participation?</t>
  </si>
  <si>
    <t>The first Carrom board with a built-in digital score counter was introduced in which year?</t>
  </si>
  <si>
    <t>C) 2001</t>
  </si>
  <si>
    <t>Which Carrom player from India won the World Championship title in 1998?</t>
  </si>
  <si>
    <t>A) Colombo, B) Karachi, C) Delhi, D) Mumbai</t>
  </si>
  <si>
    <t>Which Carrom player was known for his aggressive playing style in the early 2000s?</t>
  </si>
  <si>
    <t>A) Yogesh Pardeshi, B) Tariq Mahmood, C) Rashmi Kumari, D) Anthony Irudayam</t>
  </si>
  <si>
    <t>B) Tariq Mahmood</t>
  </si>
  <si>
    <t>Which Indian city hosted the Carrom World Championship for the first time in 1995?</t>
  </si>
  <si>
    <t>The first Carrom board with a built-in cooling system was introduced in which year?</t>
  </si>
  <si>
    <t>A) 1999, B) 2001, C) 2003, D) 2005</t>
  </si>
  <si>
    <t>D) 2005</t>
  </si>
  <si>
    <t>Which Carrom player from Sri Lanka won the World Championship title in 1999?</t>
  </si>
  <si>
    <t>The first Carrom board with an integrated video replay system was introduced in which year?</t>
  </si>
  <si>
    <t>A) 2001, B) 2002, C) 2003, D) 2004</t>
  </si>
  <si>
    <t>Which Indian state was the first to hold a Carrom championship exclusively for women?</t>
  </si>
  <si>
    <t>In which year was the first Carrom World Championship held in Bangladesh?</t>
  </si>
  <si>
    <t>Which Carrom player was the first to win the World Championship title from Nepal in 2002?</t>
  </si>
  <si>
    <t>The first Carrom board with a built-in heating system was introduced in which year?</t>
  </si>
  <si>
    <t>D) 2006</t>
  </si>
  <si>
    <t>A) Chennai, B) Mumbai, C) Bangalore, D) Delhi</t>
  </si>
  <si>
    <t>The first Carrom board with a high-definition surface was introduced in which year?</t>
  </si>
  <si>
    <t>Which Carrom player was the first to win the World Championship title from India in 2004?</t>
  </si>
  <si>
    <t>Which Carrom player from Pakistan won the World Championship in 2002?</t>
  </si>
  <si>
    <t>D) Syed Ali</t>
  </si>
  <si>
    <t>The first Carrom board with an ergonomic design was introduced in which year?</t>
  </si>
  <si>
    <t>A) 2002, B) 2004, C) 2006, D) 2008</t>
  </si>
  <si>
    <t>Which Indian city hosted the Carrom World Championship for the first time in 2004?</t>
  </si>
  <si>
    <t>The first Carrom board with customizable surface tension was introduced in which year?</t>
  </si>
  <si>
    <t>B) Nimal Dissanayake</t>
  </si>
  <si>
    <t>In which year did Carrom first get featured in the Commonwealth Games?</t>
  </si>
  <si>
    <t>A) 2006, B) 2008, C) 2010, D) 2012</t>
  </si>
  <si>
    <t>Which Carrom player was known for his precision in the 1990s and early 2000s?</t>
  </si>
  <si>
    <t>A) Rajesh Mehta, B) Yogesh Pardeshi, C) Anthony Irudayam, D) V. K. Gupta</t>
  </si>
  <si>
    <t>A) Rajesh Mehta</t>
  </si>
  <si>
    <t>The first Carrom World Championship to feature a team event was held in which year?</t>
  </si>
  <si>
    <t>Which Indian city was the first to have a dedicated Carrom training academy?</t>
  </si>
  <si>
    <t>B) Bangalore</t>
  </si>
  <si>
    <t>The first Carrom board with a built-in lighting system was introduced in which year?</t>
  </si>
  <si>
    <t>Which Carrom player from Nepal won the World Championship in 2006?</t>
  </si>
  <si>
    <t>A) Ramesh Rai, B) Mahesh Kumar, C) Sanjay Sharma, D) Rajesh Kumar</t>
  </si>
  <si>
    <t>A) Ramesh Rai</t>
  </si>
  <si>
    <t>In which year was the first Carrom World Championship held in Pakistan?</t>
  </si>
  <si>
    <t>The first Carrom board with an integrated scoring system was introduced in which year?</t>
  </si>
  <si>
    <t>Which Indian city was the first to host the Carrom World Championship for youth?</t>
  </si>
  <si>
    <t>The first Carrom World Championship for disabled players was held in which year?</t>
  </si>
  <si>
    <t>Which Carrom player from India was known for their tactical gameplay in the late 1990s?</t>
  </si>
  <si>
    <t>C) Rajesh Mehta</t>
  </si>
  <si>
    <t>The first Carrom board with a high-durability surface was introduced in which year?</t>
  </si>
  <si>
    <t>A) Rakibul Hasan, B) Mohammad Ali, C) Arifur Rahman, D) Shahidul Islam</t>
  </si>
  <si>
    <t>C) Arifur Rahman</t>
  </si>
  <si>
    <t>The first Carrom World Championship to be held in the Middle East was in which city?</t>
  </si>
  <si>
    <t>A) Dubai, B) Abu Dhabi, C) Doha, D) Riyadh</t>
  </si>
  <si>
    <t>Which Indian city was the first to feature Carrom in its school sports curriculum?</t>
  </si>
  <si>
    <t>The first Carrom board with an LED display was introduced in which year?</t>
  </si>
  <si>
    <t>C) 2006</t>
  </si>
  <si>
    <t>Which Carrom player from Sri Lanka was known for their strategic play in the 2000s?</t>
  </si>
  <si>
    <t>A) Shiran Fernando, B) Dharmendra Ranaweera, C) Nimal Dissanayake, D) Chamil Cooray</t>
  </si>
  <si>
    <t>A) Shiran Fernando</t>
  </si>
  <si>
    <t>The first Carrom World Championship to feature a prize pool of over $100,000 was held in which year?</t>
  </si>
  <si>
    <t>Which Indian state was the first to have a Carrom tournament exclusively for college students?</t>
  </si>
  <si>
    <t>In which year did the Carrom World Championship first include a women’s doubles event?</t>
  </si>
  <si>
    <t>Which Carrom player from Nepal won the World Championship title in 2008?</t>
  </si>
  <si>
    <t>A) Ramesh Rai, B) Sanjay Sharma, C) Rajesh Kumar, D) Mahesh Kumar</t>
  </si>
  <si>
    <t>B) Sanjay Sharma</t>
  </si>
  <si>
    <t>The first Carrom board with a built-in sound system was introduced in which year?</t>
  </si>
  <si>
    <t>D) 2008</t>
  </si>
  <si>
    <t>Which Indian city hosted the Carrom World Championship for the first time in 2008?</t>
  </si>
  <si>
    <t>The first Carrom board with an adjustable height feature was introduced in which year?</t>
  </si>
  <si>
    <t>C) 2003</t>
  </si>
  <si>
    <t>Which Carrom player from Pakistan won the World Championship in 2006?</t>
  </si>
  <si>
    <t>The first Carrom World Championship to feature a men’s doubles event was held in which year?</t>
  </si>
  <si>
    <t>Which Indian city was the first to introduce Carrom as part of its annual festival?</t>
  </si>
  <si>
    <t>The first Carrom board with an integrated scoreboard was introduced in which year?</t>
  </si>
  <si>
    <t>Which Carrom player from India was known for his consistency in the early 2000s?</t>
  </si>
  <si>
    <t>In which year was the first Carrom World Championship held in Sri Lanka?</t>
  </si>
  <si>
    <t>Which Carrom player from Sri Lanka was known for his defensive play in the early 2000s?</t>
  </si>
  <si>
    <t>The first Carrom World Championship to feature a mixed doubles event was held in which year?</t>
  </si>
  <si>
    <t>A) 2002</t>
  </si>
  <si>
    <t>Which Indian city was the first to feature Carrom in its local sports leagues?</t>
  </si>
  <si>
    <t>The first Carrom board with a built-in LED light system for night play was introduced in which year?</t>
  </si>
  <si>
    <t>A) 2004, B) 2006, C) 2008, D) 2010</t>
  </si>
  <si>
    <t>B) 2006</t>
  </si>
  <si>
    <t>Which Carrom player was known for his innovative techniques in the 2000s?</t>
  </si>
  <si>
    <t>A) Rajesh Mehta, B) Rashmi Kumari, C) Yogesh Pardeshi, D) Anthony Irudayam</t>
  </si>
  <si>
    <t>In which year did the Carrom World Championship first include a youth singles event?</t>
  </si>
  <si>
    <t>Which Carrom player from Bangladesh won the World Championship in 2010?</t>
  </si>
  <si>
    <t>A) Arifur Rahman, B) Shahidul Islam, C) Rakibul Hasan, D) Mohammad Ali</t>
  </si>
  <si>
    <t>C) Rakibul Hasan</t>
  </si>
  <si>
    <t>The first Carrom board with a multi-layered surface was introduced in which year?</t>
  </si>
  <si>
    <t>Which Indian city was the first to feature Carrom in its local school curriculum?</t>
  </si>
  <si>
    <t>The first Carrom World Championship to feature a professional event was held in which year?</t>
  </si>
  <si>
    <t>Where did Kalaripayattu originate?</t>
  </si>
  <si>
    <t>What is the primary focus of Kalaripayattu training?</t>
  </si>
  <si>
    <t>A) Weaponry, B) Yoga, C) Meditation, D) Martial arts techniques</t>
  </si>
  <si>
    <t>D) Martial arts techniques</t>
  </si>
  <si>
    <t>Which ancient text is often associated with the origins of Kalaripayattu?</t>
  </si>
  <si>
    <t>A) Mahabharata, B) Ramayana, C) Kamasutra, D) Vedas</t>
  </si>
  <si>
    <t>C) Kamasutra</t>
  </si>
  <si>
    <t>Who is considered the father of Kalaripayattu?</t>
  </si>
  <si>
    <t>A) Parasurama, B) Chanakya, C) Bhima, D) Krishna</t>
  </si>
  <si>
    <t>A) Parasurama</t>
  </si>
  <si>
    <t>What does the term 'Kalari' mean in the context of Kalaripayattu?</t>
  </si>
  <si>
    <t>A) Temple, B) Battlefield, C) Training ground, D) Master</t>
  </si>
  <si>
    <t>C) Training ground</t>
  </si>
  <si>
    <t>Which of the following is NOT a weapon used in Kalaripayattu?</t>
  </si>
  <si>
    <t>A) Sword, B) Spear, C) Bow, D) Shield</t>
  </si>
  <si>
    <t>C) Bow</t>
  </si>
  <si>
    <t>What is the main purpose of the 'Meipayattu' practice in Kalaripayattu?</t>
  </si>
  <si>
    <t>A) Meditation, B) Flexibility and strength, C) Weapon training, D) Self-defense</t>
  </si>
  <si>
    <t>B) Flexibility and strength</t>
  </si>
  <si>
    <t>Which legendary figure is associated with the introduction of Kalaripayattu to the martial arts tradition?</t>
  </si>
  <si>
    <t>A) Vishnu, B) Shiva, C) Brahma, D) Indra</t>
  </si>
  <si>
    <t>B) Shiva</t>
  </si>
  <si>
    <t>What is the traditional attire worn during Kalaripayattu practice?</t>
  </si>
  <si>
    <t>A) Kurta and pajama, B) Dhoti, C) Kimono, D) T-shirt and shorts</t>
  </si>
  <si>
    <t>B) Dhoti</t>
  </si>
  <si>
    <t>Which ancient practice is often integrated with Kalaripayattu for its physical and mental benefits?</t>
  </si>
  <si>
    <t>A) Yoga, B) Pilates, C) Tai Chi, D) Aikido</t>
  </si>
  <si>
    <t>A) Yoga</t>
  </si>
  <si>
    <t>Which aspect of Kalaripayattu involves training in hand-to-hand combat?</t>
  </si>
  <si>
    <t>A) Angam, B) Aadu, C) Marma, D) Kuppithadavu</t>
  </si>
  <si>
    <t>A) Angam</t>
  </si>
  <si>
    <t>The practice of Kalaripayattu includes which of the following forms of attack?</t>
  </si>
  <si>
    <t>A) Striking, B) Grappling, C) Kicking, D) All of the above</t>
  </si>
  <si>
    <t>What is the primary purpose of the 'Marmashastra' in Kalaripayattu?</t>
  </si>
  <si>
    <t>A) Healing techniques, B) Weapon training, C) Vital point knowledge, D) Meditation</t>
  </si>
  <si>
    <t>C) Vital point knowledge</t>
  </si>
  <si>
    <t>Kalaripayattu is considered one of the oldest martial arts traditions in the world. True or False?</t>
  </si>
  <si>
    <t>A) True, B) False</t>
  </si>
  <si>
    <t>A) True</t>
  </si>
  <si>
    <t>Which practice involves the use of traditional wooden sticks in Kalaripayattu?</t>
  </si>
  <si>
    <t>A) Kuttu Varisai, B) Verumkai, C) Adavu, D) Kathi</t>
  </si>
  <si>
    <t>B) Verumkai</t>
  </si>
  <si>
    <t>The 'Nadan' is a traditional dance form used in Kalaripayattu for which purpose?</t>
  </si>
  <si>
    <t>A) Meditation, B) War dance, C) Weapon practice, D) Warm-up exercise</t>
  </si>
  <si>
    <t>B) War dance</t>
  </si>
  <si>
    <t>Which type of Kalaripayattu is focused on training with swords and shields?</t>
  </si>
  <si>
    <t>A) Kuttu Varisai, B) Silambam, C) Verumkai, D) Payattu</t>
  </si>
  <si>
    <t>D) Payattu</t>
  </si>
  <si>
    <t>In Kalaripayattu, which technique is used for healing injuries and enhancing physical resilience?</t>
  </si>
  <si>
    <t>A) Marma therapy, B) Herbal medicine, C) Acupuncture, D) Meditation</t>
  </si>
  <si>
    <t>A) Marma therapy</t>
  </si>
  <si>
    <t>What does the 'Uzhichil' practice involve in Kalaripayattu?</t>
  </si>
  <si>
    <t>A) Weapon training, B) Physical conditioning, C) Healing massage, D) Dance</t>
  </si>
  <si>
    <t>C) Healing massage</t>
  </si>
  <si>
    <t>Which of the following is a key principle of Kalaripayattu?</t>
  </si>
  <si>
    <t>A) Speed, B) Strength, C) Flexibility, D) Precision</t>
  </si>
  <si>
    <t>Kalaripayattu is often performed in a specially designed training area known as?</t>
  </si>
  <si>
    <t>A) Mandir, B) Kalari, C) Ashram, D) Arena</t>
  </si>
  <si>
    <t>B) Kalari</t>
  </si>
  <si>
    <t>Which of the following is NOT a form of practice in Kalaripayattu?</t>
  </si>
  <si>
    <t>A) Adavus, B) Chuttu, C) Kattu, D) Angam</t>
  </si>
  <si>
    <t>C) Kattu</t>
  </si>
  <si>
    <t>What is the role of 'Guru' in Kalaripayattu?</t>
  </si>
  <si>
    <t>A) Student, B) Trainer, C) Healer, D) Warrior</t>
  </si>
  <si>
    <t>B) Trainer</t>
  </si>
  <si>
    <t>Which historical period saw the flourishing of Kalaripayattu as a martial art?</t>
  </si>
  <si>
    <t>A) Maurya Empire, B) Gupta Empire, C) Chera Dynasty, D) Mughal Empire</t>
  </si>
  <si>
    <t>C) Chera Dynasty</t>
  </si>
  <si>
    <t>What is the main focus of 'Adavu' training in Kalaripayattu?</t>
  </si>
  <si>
    <t>A) Weapon techniques, B) Hand-to-hand combat, C) Footwork and patterns, D) Meditation</t>
  </si>
  <si>
    <t>C) Footwork and patterns</t>
  </si>
  <si>
    <t>Which of the following is a traditional Kalaripayattu weapon used for striking?</t>
  </si>
  <si>
    <t>A) Mace, B) Bow, C) Dagger, D) Spear</t>
  </si>
  <si>
    <t>In Kalaripayattu, what does the term 'Viyal' refer to?</t>
  </si>
  <si>
    <t>A) Combat sequence, B) Healing practice, C) Training ground, D) Weapon</t>
  </si>
  <si>
    <t>A) Combat sequence</t>
  </si>
  <si>
    <t>Which technique in Kalaripayattu emphasizes using the body's energy channels for combat?</t>
  </si>
  <si>
    <t>A) Marmashastra, B) Adavus, C) Uzhichil, D) Angam</t>
  </si>
  <si>
    <t>A) Marmashastra</t>
  </si>
  <si>
    <t>What type of movement does 'Sutthu' refer to in Kalaripayattu?</t>
  </si>
  <si>
    <t>A) Running, B) Jumping, C) Twisting, D) Rolling</t>
  </si>
  <si>
    <t>B) Jumping</t>
  </si>
  <si>
    <t>Which martial art form is said to have influenced the development of Kalaripayattu?</t>
  </si>
  <si>
    <t>A) Jujitsu, B) Taekwondo, C) Kung Fu, D) Judo</t>
  </si>
  <si>
    <t>C) Kung Fu</t>
  </si>
  <si>
    <t>What is the traditional ritual performed before starting Kalaripayattu practice?</t>
  </si>
  <si>
    <t>A) Puja, B) Chanting, C) Meditation, D) Breathing exercises</t>
  </si>
  <si>
    <t>A) Puja</t>
  </si>
  <si>
    <t>Which type of attack is emphasized in the 'Aadu' practice of Kalaripayattu?</t>
  </si>
  <si>
    <t>A) Striking, B) Kicking, C) Grappling, D) Throwing</t>
  </si>
  <si>
    <t>B) Kicking</t>
  </si>
  <si>
    <t>What does the term 'Vettam' signify in Kalaripayattu?</t>
  </si>
  <si>
    <t>A) Attack, B) Defense, C) Training, D) Healing</t>
  </si>
  <si>
    <t>A) Attack</t>
  </si>
  <si>
    <t>Which weapon is traditionally used in the practice of 'Silambam' within Kalaripayattu?</t>
  </si>
  <si>
    <t>A) Sword, B) Staff, C) Dagger, D) Spear</t>
  </si>
  <si>
    <t>B) Staff</t>
  </si>
  <si>
    <t>The 'Vajra' is a type of weapon used in Kalaripayattu. What is its primary characteristic?</t>
  </si>
  <si>
    <t>A) Long blade, B) Heavy weight, C) Sharp edges, D) Multi-edged</t>
  </si>
  <si>
    <t>D) Multi-edged</t>
  </si>
  <si>
    <t>Which aspect of Kalaripayattu training is focused on improving agility and coordination?</t>
  </si>
  <si>
    <t>A) Adavus, B) Angam, C) Kuttu Varisai, D) Meipayattu</t>
  </si>
  <si>
    <t>A) Adavus</t>
  </si>
  <si>
    <t>Which historical text contains references to Kalaripayattu?</t>
  </si>
  <si>
    <t>A) Arthashastra, B) Yoga Sutras, C) Vedic texts, D) Sangam literature</t>
  </si>
  <si>
    <t>D) Sangam literature</t>
  </si>
  <si>
    <t>In Kalaripayattu, what does the term 'Pappan' refer to?</t>
  </si>
  <si>
    <t>A) A student, B) A master, C) A weapon, D) A technique</t>
  </si>
  <si>
    <t>B) A master</t>
  </si>
  <si>
    <t>What role does 'Marma' play in Kalaripayattu?</t>
  </si>
  <si>
    <t>A) Combat techniques, B) Healing points, C) Weapon design, D) Footwork</t>
  </si>
  <si>
    <t>B) Healing points</t>
  </si>
  <si>
    <t>Which of the following is NOT traditionally part of Kalaripayattu practice?</t>
  </si>
  <si>
    <t>A) Physical conditioning, B) Weapon handling, C) Yoga poses, D) Dance sequences</t>
  </si>
  <si>
    <t>C) Yoga poses</t>
  </si>
  <si>
    <t>The practice of Kalaripayattu includes training in which of the following?</t>
  </si>
  <si>
    <t>A) Mental focus, B) Physical endurance, C) Combat strategies, D) All of the above</t>
  </si>
  <si>
    <t>What does the practice of 'Chuvadu' in Kalaripayattu involve?</t>
  </si>
  <si>
    <t>A) Weapon handling, B) Breathing exercises, C) Combat techniques, D) Meditation</t>
  </si>
  <si>
    <t>C) Combat techniques</t>
  </si>
  <si>
    <t>What is the primary goal of 'Marmashastra' in Kalaripayattu?</t>
  </si>
  <si>
    <t>A) To enhance weapon skills, B) To improve flexibility, C) To understand vital points for healing and attack, D) To develop endurance</t>
  </si>
  <si>
    <t>C) To understand vital points for healing and attack</t>
  </si>
  <si>
    <t>Which practice in Kalaripayattu focuses on the use of circular movements and strikes?</t>
  </si>
  <si>
    <t>A) Angam, B) Meipayattu, C) Adavus, D) Verumkai</t>
  </si>
  <si>
    <t>B) Meipayattu</t>
  </si>
  <si>
    <t>In Kalaripayattu, what does the term 'Kuttu Varisai' refer to?</t>
  </si>
  <si>
    <t>A) A type of weapon, B) A combat sequence, C) A healing practice, D) A training technique</t>
  </si>
  <si>
    <t>B) A combat sequence</t>
  </si>
  <si>
    <t>Which famous Indian martial artist helped popularize Kalaripayattu in modern times?</t>
  </si>
  <si>
    <t>A) Bruce Lee, B) Babu Kunjir, C) K.G. Kumar, D) Maniam S. Reddy</t>
  </si>
  <si>
    <t>B) Babu Kunjir</t>
  </si>
  <si>
    <t>What is the main feature of the 'Chuvadu' technique in Kalaripayattu?</t>
  </si>
  <si>
    <t>A) Kicking techniques, B) Circular strikes, C) Grappling, D) Defensive moves</t>
  </si>
  <si>
    <t>B) Circular strikes</t>
  </si>
  <si>
    <t>In Kalaripayattu, what is 'Sankalpa' used for?</t>
  </si>
  <si>
    <t>A) Weapon training, B) Setting intentions before practice, C) Healing injuries, D) Meditation</t>
  </si>
  <si>
    <t>B) Setting intentions before practice</t>
  </si>
  <si>
    <t>What is the significance of 'Aadu' in Kalaripayattu practice?</t>
  </si>
  <si>
    <t>A) It is a weapon, B) It is a combat style, C) It is a footwork pattern, D) It is a healing technique</t>
  </si>
  <si>
    <t>C) It is a footwork pattern</t>
  </si>
  <si>
    <t>Which of the following weapons is NOT traditionally used in Kalaripayattu?</t>
  </si>
  <si>
    <t>What role does 'Nadan' play in Kalaripayattu training?</t>
  </si>
  <si>
    <t>A) Combat drills, B) Weapon techniques, C) War dance, D) Healing</t>
  </si>
  <si>
    <t>C) War dance</t>
  </si>
  <si>
    <t>In Kalaripayattu, which practice is focused on weapon techniques and combat?</t>
  </si>
  <si>
    <t>A) Silambam, B) Marma therapy, C) Uzhichil, D) Meipayattu</t>
  </si>
  <si>
    <t>A) Silambam</t>
  </si>
  <si>
    <t>What is the traditional practice of Kalaripayattu known for its focus on healing and recovery?</t>
  </si>
  <si>
    <t>A) Adavus, B) Meipayattu, C) Uzhichil, D) Marmashastra</t>
  </si>
  <si>
    <t>C) Uzhichil</t>
  </si>
  <si>
    <t>Which Kalaripayattu technique is characterized by fluid, circular movements?</t>
  </si>
  <si>
    <t>A) Verumkai, B) Meipayattu, C) Kuttu Varisai, D) Angam</t>
  </si>
  <si>
    <t>What is the purpose of 'Kattu' in Kalaripayattu?</t>
  </si>
  <si>
    <t>A) Weapon training, B) Healing, C) Meditation, D) Combat drills</t>
  </si>
  <si>
    <t>D) Combat drills</t>
  </si>
  <si>
    <t>Which legendary figure is associated with the preservation and teaching of Kalaripayattu?</t>
  </si>
  <si>
    <t>A) Arjuna, B) Krishna, C) Bharata, D) Shiva</t>
  </si>
  <si>
    <t>D) Shiva</t>
  </si>
  <si>
    <t>Which practice in Kalaripayattu emphasizes self-defense techniques?</t>
  </si>
  <si>
    <t>A) Angam, B) Verumkai, C) Kuttu Varisai, D) Adavus</t>
  </si>
  <si>
    <t>In Kalaripayattu, what does 'Adavu' represent?</t>
  </si>
  <si>
    <t>A) Weapon style, B) Combat technique, C) Footwork pattern, D) Healing practice</t>
  </si>
  <si>
    <t>C) Footwork pattern</t>
  </si>
  <si>
    <t>Which Kalaripayattu practice involves the use of traditional staves?</t>
  </si>
  <si>
    <t>A) Verumkai, B) Silambam, C) Adavus, D) Meipayattu</t>
  </si>
  <si>
    <t>B) Silambam</t>
  </si>
  <si>
    <t>What is the traditional ceremonial practice before starting Kalaripayattu?</t>
  </si>
  <si>
    <t>A) Puja, B) Yoga, C) Meditation, D) Chanting</t>
  </si>
  <si>
    <t>Which type of Kalaripayattu weapon is characterized by a long, curved blade?</t>
  </si>
  <si>
    <t>A) Mace, B) Sword, C) Dagger, D) Spear</t>
  </si>
  <si>
    <t>B) Sword</t>
  </si>
  <si>
    <t>Which practice involves training in body conditioning and strength in Kalaripayattu?</t>
  </si>
  <si>
    <t>A) Meipayattu, B) Adavus, C) Angam, D) Marmashastra</t>
  </si>
  <si>
    <t>A) Meipayattu</t>
  </si>
  <si>
    <t>What does the term 'Kalari' represent in the context of Kalaripayattu?</t>
  </si>
  <si>
    <t>A) Training area, B) Weapon, C) Technique, D) Master</t>
  </si>
  <si>
    <t>A) Training area</t>
  </si>
  <si>
    <t>Which of the following is a key aspect of Kalaripayattu's combat training?</t>
  </si>
  <si>
    <t>A) Flexibility, B) Speed, C) Strength, D) All of the above</t>
  </si>
  <si>
    <t>What is the primary purpose of 'Marma' therapy in Kalaripayattu?</t>
  </si>
  <si>
    <t>A) Combat techniques, B) Healing injuries, C) Weapon handling, D) Meditation</t>
  </si>
  <si>
    <t>B) Healing injuries</t>
  </si>
  <si>
    <t>In Kalaripayattu, which term is used for the practice of advanced combat techniques?</t>
  </si>
  <si>
    <t>C) Kuttu Varisai</t>
  </si>
  <si>
    <t>Which practice in Kalaripayattu focuses on the use of traditional weapons like the spear and staff?</t>
  </si>
  <si>
    <t>A) Meipayattu, B) Verumkai, C) Silambam, D) Uzhichil</t>
  </si>
  <si>
    <t>C) Silambam</t>
  </si>
  <si>
    <t>What is the significance of the 'Kalari' in Kalaripayattu?</t>
  </si>
  <si>
    <t>A) It is a training method, B) It is a weapon, C) It is a training ground, D) It is a combat technique</t>
  </si>
  <si>
    <t>C) It is a training ground</t>
  </si>
  <si>
    <t>Which period in Indian history is most associated with the development of Kalaripayattu?</t>
  </si>
  <si>
    <t>A) Mauryan Empire, B) Chera Dynasty, C) Gupta Empire, D) Mughal Empire</t>
  </si>
  <si>
    <t>B) Chera Dynasty</t>
  </si>
  <si>
    <t>Which famous Indian warrior is often linked to the history of Kalaripayattu?</t>
  </si>
  <si>
    <t>A) Rana Pratap, B) Shivaji Maharaj, C) Ashoka, D) Chandragupta</t>
  </si>
  <si>
    <t>Which ancient text mentions techniques and practices similar to Kalaripayattu?</t>
  </si>
  <si>
    <t>A) Arthashastra, B) Ramayana, C) Manusmriti, D) Yoga Sutras</t>
  </si>
  <si>
    <t>The practice of Kalaripayattu is traditionally passed down through which of the following?</t>
  </si>
  <si>
    <t>A) Written texts, B) Oral tradition, C) Public demonstrations, D) Video recordings</t>
  </si>
  <si>
    <t>Which of the following martial arts forms influenced the development of Kalaripayattu?</t>
  </si>
  <si>
    <t>A) Chinese Kung Fu, B) Japanese Judo, C) Korean Taekwondo, D) Thai Muay Thai</t>
  </si>
  <si>
    <t>A) Chinese Kung Fu</t>
  </si>
  <si>
    <t>In Kalaripayattu, what does 'Meipayattu' focus on improving?</t>
  </si>
  <si>
    <t>A) Weapon skills, B) Flexibility and strength, C) Combat strategies, D) Mental concentration</t>
  </si>
  <si>
    <t>Which aspect of Kalaripayattu involves training with various types of staves and sticks?</t>
  </si>
  <si>
    <t>A) Silambam, B) Meipayattu, C) Adavus, D) Angam</t>
  </si>
  <si>
    <t>Who were the traditional practitioners and teachers of Kalaripayattu?</t>
  </si>
  <si>
    <t>A) Brahmins, B) Rajputs, C) Gurus, D) Kings</t>
  </si>
  <si>
    <t>C) Gurus</t>
  </si>
  <si>
    <t>Which traditional Kalaripayattu weapon is known for its heavy weight and broad blade?</t>
  </si>
  <si>
    <t>The 'Aadu' technique in Kalaripayattu is known for emphasizing which type of movement?</t>
  </si>
  <si>
    <t>A) Kicking, B) Grappling, C) Striking, D) Jumping</t>
  </si>
  <si>
    <t>A) Kicking</t>
  </si>
  <si>
    <t>In Kalaripayattu, what is the purpose of 'Marma' points?</t>
  </si>
  <si>
    <t>A) Combat techniques, B) Vital points for healing and attack, C) Meditation practices, D) Weapon design</t>
  </si>
  <si>
    <t>B) Vital points for healing and attack</t>
  </si>
  <si>
    <t>Which of the following practices in Kalaripayattu is focused on unarmed combat techniques?</t>
  </si>
  <si>
    <t>A) Meipayattu, B) Verumkai, C) Kuttu Varisai, D) Silambam</t>
  </si>
  <si>
    <t>What is the primary objective of 'Adavus' in Kalaripayattu training?</t>
  </si>
  <si>
    <t>A) Combat strategies, B) Weapon handling, C) Footwork patterns, D) Healing</t>
  </si>
  <si>
    <t>C) Footwork patterns</t>
  </si>
  <si>
    <t>Which Kalaripayattu technique involves the use of a long, flexible weapon?</t>
  </si>
  <si>
    <t>A) Silambam, B) Adavus, C) Kuttu Varisai, D) Meipayattu</t>
  </si>
  <si>
    <t>In the context of Kalaripayattu, what does 'Marmashastra' refer to?</t>
  </si>
  <si>
    <t>A) A type of weapon, B) A healing technique, C) Knowledge of vital points, D) A combat sequence</t>
  </si>
  <si>
    <t>C) Knowledge of vital points</t>
  </si>
  <si>
    <t>Which technique in Kalaripayattu is characterized by circular, flowing movements?</t>
  </si>
  <si>
    <t>A) Meipayattu, B) Adavus, C) Angam, D) Silambam</t>
  </si>
  <si>
    <t>What is the traditional method of training used in Kalaripayattu to build endurance and strength?</t>
  </si>
  <si>
    <t>A) Uzhichil, B) Adavus, C) Meipayattu, D) Angam</t>
  </si>
  <si>
    <t>B) Adavus</t>
  </si>
  <si>
    <t>Which Indian state is most renowned for its Kalaripayattu practitioners and training centers?</t>
  </si>
  <si>
    <t>Which traditional practice in Kalaripayattu is used for healing and recovery of the body?</t>
  </si>
  <si>
    <t>A) Uzhichil, B) Marma therapy, C) Meipayattu, D) Angam</t>
  </si>
  <si>
    <t>A) Uzhichil</t>
  </si>
  <si>
    <t>In Kalaripayattu, what is the term used for a training session that includes combat drills and techniques?</t>
  </si>
  <si>
    <t>A) Kalari, B) Angam, C) Kuttu Varisai, D) Adavus</t>
  </si>
  <si>
    <t>Which of the following is a traditional weapon used in Kalaripayattu known for its curved blade?</t>
  </si>
  <si>
    <t>The 'Sutthu' technique in Kalaripayattu is known for which specific movement?</t>
  </si>
  <si>
    <t>A) Twisting, B) Rolling, C) Jumping, D) Sliding</t>
  </si>
  <si>
    <t>C) Jumping</t>
  </si>
  <si>
    <t>What is the main goal of the 'Kalari' training in Kalaripayattu?</t>
  </si>
  <si>
    <t>A) To master weaponry, B) To develop flexibility, C) To enhance combat skills, D) To learn healing techniques</t>
  </si>
  <si>
    <t>C) To enhance combat skills</t>
  </si>
  <si>
    <t>Which text is considered an important source of historical knowledge about Kalaripayattu?</t>
  </si>
  <si>
    <t>A) Mahabharata, B) Ramayana, C) Yoga Sutras, D) Sangam literature</t>
  </si>
  <si>
    <t>What type of combat technique is emphasized in 'Angam' practice?</t>
  </si>
  <si>
    <t>A) Unarmed strikes, B) Grappling and throws, C) Kicking and striking, D) Weapon handling</t>
  </si>
  <si>
    <t>C) Kicking and striking</t>
  </si>
  <si>
    <t>Which traditional Kalaripayattu practice involves the use of long sticks or staffs?</t>
  </si>
  <si>
    <t>A) Silambam, B) Adavus, C) Verumkai, D) Meipayattu</t>
  </si>
  <si>
    <t>What is the purpose of 'Marma' therapy in Kalaripayattu?</t>
  </si>
  <si>
    <t>A) To enhance combat skills, B) To understand vital points for healing and attack, C) To train with weapons, D) To practice meditation</t>
  </si>
  <si>
    <t>B) To understand vital points for healing and attack</t>
  </si>
  <si>
    <t>In Kalaripayattu, what does 'Kattu' focus on?</t>
  </si>
  <si>
    <t>A) Weapon skills, B) Combat drills, C) Healing, D) Flexibility</t>
  </si>
  <si>
    <t>B) Combat drills</t>
  </si>
  <si>
    <t>Which of the following Kalaripayattu techniques is known for its emphasis on weapon handling?</t>
  </si>
  <si>
    <t>A) Silambam, B) Adavus, C) Angam, D) Meipayattu</t>
  </si>
  <si>
    <t>Which type of traditional weapon used in Kalaripayattu has a multi-edged blade?</t>
  </si>
  <si>
    <t>C) Dagger</t>
  </si>
  <si>
    <t>Which legendary figure is often depicted practicing Kalaripayattu in ancient sculptures?</t>
  </si>
  <si>
    <t>A) Krishna, B) Rama, C) Shiva, D) Vishnu</t>
  </si>
  <si>
    <t>What is the significance of 'Uzhichil' in Kalaripayattu?</t>
  </si>
  <si>
    <t>A) Combat practice, B) Healing therapy, C) Weapon training, D) Footwork patterns</t>
  </si>
  <si>
    <t>B) Healing therapy</t>
  </si>
  <si>
    <t>Which aspect of Kalaripayattu focuses on enhancing physical strength and endurance?</t>
  </si>
  <si>
    <t>A) Adavus, B) Meipayattu, C) Silambam, D) Angam</t>
  </si>
  <si>
    <t>The traditional Kalaripayattu weapon 'Sankham' is best described as which of the following?</t>
  </si>
  <si>
    <t>A) Sword, B) Spear, C) Conch shell, D) Mace</t>
  </si>
  <si>
    <t>C) Conch shell</t>
  </si>
  <si>
    <t>What is the traditional ceremonial practice before beginning a Kalaripayattu session?</t>
  </si>
  <si>
    <t>A) Puja, B) Chanting, C) Meditation, D) Physical conditioning</t>
  </si>
  <si>
    <t>Which Kalaripayattu practice emphasizes the use of flexible, flowing movements?</t>
  </si>
  <si>
    <t>A) Meipayattu, B) Angam, C) Adavus, D) Silambam</t>
  </si>
  <si>
    <t>Which Kalaripayattu practice is known for its focus on weapon techniques using a variety of weapons?</t>
  </si>
  <si>
    <t>A) Silambam, B) Verumkai, C) Meipayattu, D) Kuttu Varisai</t>
  </si>
  <si>
    <t>Which ancient Indian king is credited with the promotion of Kalaripayattu?</t>
  </si>
  <si>
    <t>A) Ashoka, B) Chandragupta Maurya, C) Raja Raja Chola, D) Shivaji Maharaj</t>
  </si>
  <si>
    <t>C) Raja Raja Chola</t>
  </si>
  <si>
    <t>In Kalaripayattu, what does the term 'Marma' primarily refer to?</t>
  </si>
  <si>
    <t>A) Weapon design, B) Vital points, C) Combat techniques, D) Training methods</t>
  </si>
  <si>
    <t>What is the main focus of the 'Angam' technique in Kalaripayattu?</t>
  </si>
  <si>
    <t>A) Weapon handling, B) Combat techniques, C) Footwork, D) Healing</t>
  </si>
  <si>
    <t>B) Combat techniques</t>
  </si>
  <si>
    <t>Which Kalaripayattu practice includes training with traditional circular movements?</t>
  </si>
  <si>
    <t>A) Meipayattu, B) Angam, C) Kuttu Varisai, D) Silambam</t>
  </si>
  <si>
    <t>What does the 'Adavu' technique in Kalaripayattu primarily involve?</t>
  </si>
  <si>
    <t>A) Footwork patterns, B) Weapon handling, C) Combat strategies, D) Healing</t>
  </si>
  <si>
    <t>A) Footwork patterns</t>
  </si>
  <si>
    <t>Which practice in Kalaripayattu is characterized by its use of traditional staff techniques?</t>
  </si>
  <si>
    <t>In Kalaripayattu, which technique is used to train the body for flexibility and strength?</t>
  </si>
  <si>
    <t>A) Meipayattu, B) Adavus, C) Angam, D) Kuttu Varisai</t>
  </si>
  <si>
    <t>Which Kalaripayattu weapon is known for its use in both offensive and defensive techniques?</t>
  </si>
  <si>
    <t>A) Sword, B) Spear, C) Mace, D) Dagger</t>
  </si>
  <si>
    <t>B) Spear</t>
  </si>
  <si>
    <t>What role does 'Pappan' play in the context of Kalaripayattu?</t>
  </si>
  <si>
    <t>A) Weapon, B) Training technique, C) Master, D) Student</t>
  </si>
  <si>
    <t>C) Master</t>
  </si>
  <si>
    <t>Which practice in Kalaripayattu is focused on combat sequences without the use of weapons?</t>
  </si>
  <si>
    <t>A) Verumkai, B) Angam, C) Silambam, D) Meipayattu</t>
  </si>
  <si>
    <t>A) Verumkai</t>
  </si>
  <si>
    <t>What is the primary purpose of 'Sankalpa' in Kalaripayattu?</t>
  </si>
  <si>
    <t>A) Combat preparation, B) Healing, C) Meditation, D) Footwork practice</t>
  </si>
  <si>
    <t>A) Combat preparation</t>
  </si>
  <si>
    <t>In Kalaripayattu, what does 'Kuttu Varisai' refer to?</t>
  </si>
  <si>
    <t>A) A type of weapon, B) A healing technique, C) A combat sequence, D) A training method</t>
  </si>
  <si>
    <t>C) A combat sequence</t>
  </si>
  <si>
    <t>Which aspect of Kalaripayattu focuses on understanding the vital points of the body for effective combat?</t>
  </si>
  <si>
    <t>A) Angam, B) Marmashastra, C) Meipayattu, D) Adavus</t>
  </si>
  <si>
    <t>B) Marmashastra</t>
  </si>
  <si>
    <t>Which type of Kalaripayattu weapon is best known for its use in close combat?</t>
  </si>
  <si>
    <t>A) Dagger, B) Spear, C) Sword, D) Mace</t>
  </si>
  <si>
    <t>A) Dagger</t>
  </si>
  <si>
    <t>What does 'Chuvadu' primarily involve in Kalaripayattu?</t>
  </si>
  <si>
    <t>A) Weapon training, B) Combat drills, C) Meditation, D) Breathing techniques</t>
  </si>
  <si>
    <t>What is the traditional purpose of the 'Kalari' practice in Kalaripayattu?</t>
  </si>
  <si>
    <t>A) To enhance weapon skills, B) To develop physical strength, C) To improve combat techniques, D) To learn healing methods</t>
  </si>
  <si>
    <t>C) To improve combat techniques</t>
  </si>
  <si>
    <t>Which legendary figure is associated with the codification of Kalaripayattu techniques?</t>
  </si>
  <si>
    <t>A) Vishnu, B) Shiva, C) Rama, D) Krishna</t>
  </si>
  <si>
    <t>In Kalaripayattu, what is 'Adavu' specifically known for?</t>
  </si>
  <si>
    <t>A) Combat strategies, B) Footwork patterns, C) Weapon handling, D) Healing</t>
  </si>
  <si>
    <t>B) Footwork patterns</t>
  </si>
  <si>
    <t>Which Kalaripayattu practice is most closely associated with enhancing agility and speed?</t>
  </si>
  <si>
    <t>C) Adavus</t>
  </si>
  <si>
    <t>What role does the 'Guru' play in the practice of Kalaripayattu?</t>
  </si>
  <si>
    <t>A) Student, B) Teacher, C) Weapon maker, D) Healer</t>
  </si>
  <si>
    <t>B) Teacher</t>
  </si>
  <si>
    <t>What is the significance of 'Uzhichil' in Kalaripayattu training?</t>
  </si>
  <si>
    <t>A) It is a combat technique, B) It is a healing practice, C) It is a type of weapon, D) It is a footwork pattern</t>
  </si>
  <si>
    <t>B) It is a healing practice</t>
  </si>
  <si>
    <t>Which Kalaripayattu practice includes training in traditional weapon handling?</t>
  </si>
  <si>
    <t>A) Adavus, B) Silambam, C) Meipayattu, D) Verumkai</t>
  </si>
  <si>
    <t>What is the primary focus of 'Meipayattu' in Kalaripayattu?</t>
  </si>
  <si>
    <t>A) Weapon techniques, B) Physical conditioning, C) Combat drills, D) Healing</t>
  </si>
  <si>
    <t>B) Physical conditioning</t>
  </si>
  <si>
    <t>Which ancient Indian text is believed to contain references to Kalaripayattu techniques?</t>
  </si>
  <si>
    <t>A) Arthashastra, B) Vedas, C) Puranas, D) Upanishads</t>
  </si>
  <si>
    <t>In which Indian state did Kalaripayattu originate?</t>
  </si>
  <si>
    <t>Which of the following dynasties is historically associated with the development of Kalaripayattu?</t>
  </si>
  <si>
    <t>A) Chola Dynasty, B) Chera Dynasty, C) Pallava Dynasty, D) Gupta Dynasty</t>
  </si>
  <si>
    <t>Which Kalaripayattu practice involves the use of traditional wooden sticks?</t>
  </si>
  <si>
    <t>A) Silambam, B) Adavus, C) Meipayattu, D) Angam</t>
  </si>
  <si>
    <t>What is the main purpose of 'Angam' in Kalaripayattu?</t>
  </si>
  <si>
    <t>A) Weapon training, B) Combat techniques, C) Healing, D) Meditation</t>
  </si>
  <si>
    <t>Which historical figure is often credited with codifying the Kalaripayattu system?</t>
  </si>
  <si>
    <t>A) Maharaja Ravi Varma, B) Chankya, C) Balarama, D) Purna</t>
  </si>
  <si>
    <t>C) Balarama</t>
  </si>
  <si>
    <t>Which Kalaripayattu technique emphasizes agility and fluid movement?</t>
  </si>
  <si>
    <t>A) Meipayattu, B) Adavus, C) Silambam, D) Angam</t>
  </si>
  <si>
    <t>What does 'Kalari' literally mean in the context of Kalaripayattu?</t>
  </si>
  <si>
    <t>A) Arena, B) Weapon, C) Technique, D) Discipline</t>
  </si>
  <si>
    <t>A) Arena</t>
  </si>
  <si>
    <t>Which Kalaripayattu weapon is known for its large, heavy, and broad blade?</t>
  </si>
  <si>
    <t>A) Sword, B) Mace, C) Dagger, D) Spear</t>
  </si>
  <si>
    <t>B) Mace</t>
  </si>
  <si>
    <t>Which historical text is considered a key source of martial arts knowledge in Kalaripayattu?</t>
  </si>
  <si>
    <t>A) Yoga Sutras, B) Sangam Literature, C) Ramayana, D) Manusmriti</t>
  </si>
  <si>
    <t>B) Sangam Literature</t>
  </si>
  <si>
    <t>What is the traditional use of 'Marma' points in Kalaripayattu?</t>
  </si>
  <si>
    <t>A) To enhance combat techniques, B) To identify vital points for attack and healing, C) To train with weapons, D) To develop flexibility</t>
  </si>
  <si>
    <t>B) To identify vital points for attack and healing</t>
  </si>
  <si>
    <t>Who is considered a significant historical figure in promoting Kalaripayattu?</t>
  </si>
  <si>
    <t>A) Raja Raja Chola, B) Ashoka, C) Shivaji Maharaj, D) Chandragupta Maurya</t>
  </si>
  <si>
    <t>A) Raja Raja Chola</t>
  </si>
  <si>
    <t>Which Kalaripayattu practice is known for training in various forms of strikes and kicks?</t>
  </si>
  <si>
    <t>A) Meipayattu, B) Silambam, C) Adavus, D) Angam</t>
  </si>
  <si>
    <t>Which aspect of Kalaripayattu focuses on traditional unarmed combat techniques?</t>
  </si>
  <si>
    <t>In Kalaripayattu, what does the practice of 'Sankalpa' involve?</t>
  </si>
  <si>
    <t>A) Physical conditioning, B) Combat preparation and focus, C) Meditation, D) Healing</t>
  </si>
  <si>
    <t>B) Combat preparation and focus</t>
  </si>
  <si>
    <t>A) It is a form of weapon, B) It is a healing practice, C) It is a combat sequence, D) It is a training technique</t>
  </si>
  <si>
    <t>Which of the following is a primary focus of 'Kuttu Varisai' in Kalaripayattu?</t>
  </si>
  <si>
    <t>A) Weapon training, B) Combat sequences, C) Flexibility, D) Healing</t>
  </si>
  <si>
    <t>B) Combat sequences</t>
  </si>
  <si>
    <t>Which Kalaripayattu weapon is typically used for both offensive and defensive purposes and has a curved blade?</t>
  </si>
  <si>
    <t>A) Sword</t>
  </si>
  <si>
    <t>Which ancient martial arts practice is closely related to Kalaripayattu?</t>
  </si>
  <si>
    <t>A) Silambam, B) Taekkyeon, C) Jujutsu, D) Capoeira</t>
  </si>
  <si>
    <t>What is the purpose of 'Marma therapy' in Kalaripayattu?</t>
  </si>
  <si>
    <t>A) To train combat techniques, B) To understand vital points for health and attack, C) To improve flexibility, D) To handle weapons</t>
  </si>
  <si>
    <t>B) To understand vital points for health and attack</t>
  </si>
  <si>
    <t>Which of the following texts is essential for understanding the principles of Kalaripayattu?</t>
  </si>
  <si>
    <t>A) Yoga Sutras, B) Arthashastra, C) Mahabharata, D) Ramayana</t>
  </si>
  <si>
    <t>Which Kalaripayattu technique focuses on the use of long, flexible weapons?</t>
  </si>
  <si>
    <t>A) Silambam, B) Angam, C) Meipayattu, D) Verumkai</t>
  </si>
  <si>
    <t>What is the role of 'Kalari' in the training of Kalaripayattu?</t>
  </si>
  <si>
    <t>A) It is a type of weapon, B) It is a practice method, C) It is a training ground, D) It is a combat sequence</t>
  </si>
  <si>
    <t>Which historical Indian text is used to understand the history and techniques of Kalaripayattu?</t>
  </si>
  <si>
    <t>A) Arthashastra, B) Mahabharata, C) Yoga Sutras, D) Puranas</t>
  </si>
  <si>
    <t>Who are considered the traditional masters or teachers in Kalaripayattu?</t>
  </si>
  <si>
    <t>A) Gurus, B) Kings, C) Warriors, D) Priests</t>
  </si>
  <si>
    <t>A) Gurus</t>
  </si>
  <si>
    <t>Which Kalaripayattu technique is known for its emphasis on various footwork patterns?</t>
  </si>
  <si>
    <t>A) Adavus, B) Silambam, C) Meipayattu, D) Angam</t>
  </si>
  <si>
    <t>Which type of weapon used in Kalaripayattu is designed for quick, precise strikes?</t>
  </si>
  <si>
    <t>A) Dagger, B) Mace, C) Sword, D) Spear</t>
  </si>
  <si>
    <t>In Kalaripayattu, what does 'Meipayattu' primarily focus on?</t>
  </si>
  <si>
    <t>A) Weapon handling, B) Physical conditioning and flexibility, C) Combat techniques, D) Healing</t>
  </si>
  <si>
    <t>B) Physical conditioning and flexibility</t>
  </si>
  <si>
    <t>Which of the following practices is known for its use of long staves and sticks in Kalaripayattu?</t>
  </si>
  <si>
    <t>A) Silambam, B) Adavus, C) Meipayattu, D) Verumkai</t>
  </si>
  <si>
    <t>What is the purpose of 'Sankalpa' in Kalaripayattu training sessions?</t>
  </si>
  <si>
    <t>A) To improve flexibility, B) To prepare mentally for combat, C) To learn weapon techniques, D) To practice healing</t>
  </si>
  <si>
    <t>B) To prepare mentally for combat</t>
  </si>
  <si>
    <t>Which Kalaripayattu technique involves combat drills without weapons?</t>
  </si>
  <si>
    <t>A) Verumkai, B) Angam, C) Adavus, D) Meipayattu</t>
  </si>
  <si>
    <t>In Kalaripayattu, what does 'Uzhichil' specifically target?</t>
  </si>
  <si>
    <t>A) Combat practice, B) Physical conditioning, C) Healing of injuries, D) Weapon training</t>
  </si>
  <si>
    <t>C) Healing of injuries</t>
  </si>
  <si>
    <t>Which Kalaripayattu technique is known for training with various short and long weapons?</t>
  </si>
  <si>
    <t>Which historical source is considered important for understanding Kalaripayattu's techniques and history?</t>
  </si>
  <si>
    <t>A) Vedas, B) Puranas, C) Sangam Literature, D) Manusmriti</t>
  </si>
  <si>
    <t>C) Sangam Literature</t>
  </si>
  <si>
    <t>What is the historical significance of 'Kalari' in Kalaripayattu?</t>
  </si>
  <si>
    <t>A) It is a type of weapon, B) It is a training ground and practice space, C) It is a healing method, D) It is a combat technique</t>
  </si>
  <si>
    <t>B) It is a training ground and practice space</t>
  </si>
  <si>
    <t>Which ancient Indian king is known for his patronage of Kalaripayattu?</t>
  </si>
  <si>
    <t>A) Ashoka, B) Chandragupta Maurya, C) Raja Raja Chola, D) Harsha</t>
  </si>
  <si>
    <t>Which aspect of Kalaripayattu involves understanding and targeting the body's vital points?</t>
  </si>
  <si>
    <t>A) Marma Shastra, B) Angam, C) Meipayattu, D) Adavus</t>
  </si>
  <si>
    <t>A) Marma Shastra</t>
  </si>
  <si>
    <t>What is the primary focus of 'Meipayattu' in Kalaripayattu training?</t>
  </si>
  <si>
    <t>A) Weapon techniques, B) Physical conditioning and flexibility, C) Combat drills, D) Healing</t>
  </si>
  <si>
    <t>Which Kalaripayattu weapon is known for its versatility and use in both combat and defense?</t>
  </si>
  <si>
    <t>A) Sword, B) Spear, C) Dagger, D) Mace</t>
  </si>
  <si>
    <t>Which technique in Kalaripayattu involves intricate footwork and body movements?</t>
  </si>
  <si>
    <t>What does 'Kalari' refer to in the context of Kalaripayattu training?</t>
  </si>
  <si>
    <t>A) A weapon, B) A training ground, C) A combat technique, D) A type of practice</t>
  </si>
  <si>
    <t>B) A training ground</t>
  </si>
  <si>
    <t>Which Kalaripayattu technique involves the use of flexible weapons such as sticks and rods?</t>
  </si>
  <si>
    <t>A) Silambam, B) Meipayattu, C) Angam, D) Verumkai</t>
  </si>
  <si>
    <t>Which Kalaripayattu practice is known for its emphasis on weapon handling and combat sequences?</t>
  </si>
  <si>
    <t>A) Silambam, B) Meipayattu, C) Adavus, D) Verumkai</t>
  </si>
  <si>
    <t>What is the historical significance of 'Marma' points in Kalaripayattu?</t>
  </si>
  <si>
    <t>A) They are used for weapon training, B) They are vital points for health and combat, C) They are combat techniques, D) They are types of weapons</t>
  </si>
  <si>
    <t>B) They are vital points for health and combat</t>
  </si>
  <si>
    <t>Which historical text discusses the principles of Kalaripayattu in the context of ancient Indian warfare?</t>
  </si>
  <si>
    <t>A) Arthashastra, B) Ramayana, C) Vedas, D) Puranas</t>
  </si>
  <si>
    <t>What role does 'Guru' play in the traditional practice of Kalaripayattu?</t>
  </si>
  <si>
    <t>A) Student, B) Teacher and mentor, C) Weapon maker, D) Healer</t>
  </si>
  <si>
    <t>B) Teacher and mentor</t>
  </si>
  <si>
    <t>Which ancient text is considered a key resource for understanding Kalaripayattu's techniques and history?</t>
  </si>
  <si>
    <t>A) Yoga Sutras, B) Puranas, C) Sangam Literature, D) Manusmriti</t>
  </si>
  <si>
    <t>What is the significance of 'Adavus' in Kalaripayattu training?</t>
  </si>
  <si>
    <t>A) They are combat drills, B) They are footwork patterns, C) They are weapon techniques, D) They are healing practices</t>
  </si>
  <si>
    <t>B) They are footwork patterns</t>
  </si>
  <si>
    <t>Which weapon used in Kalaripayattu is typically characterized by its curved blade and is used in both attack and defense?</t>
  </si>
  <si>
    <t>Which of the following practices in Kalaripayattu emphasizes unarmed combat?</t>
  </si>
  <si>
    <t>What does 'Uzhichil' involve in Kalaripayattu?</t>
  </si>
  <si>
    <t>A) Weapon techniques, B) Healing and recovery, C) Combat drills, D) Physical conditioning</t>
  </si>
  <si>
    <t>B) Healing and recovery</t>
  </si>
  <si>
    <t>Which Kalaripayattu technique focuses on traditional combat sequences and weapon handling?</t>
  </si>
  <si>
    <t>Which historical Indian figure is associated with the preservation and promotion of Kalaripayattu?</t>
  </si>
  <si>
    <t>A) Raja Raja Chola, B) Chandragupta Maurya, C) Ashoka, D) Shivaji Maharaj</t>
  </si>
  <si>
    <t>What does 'Kalari' signify in the context of Kalaripayattu training?</t>
  </si>
  <si>
    <t>A) A type of weapon, B) A combat technique, C) A training space, D) A practice method</t>
  </si>
  <si>
    <t>C) A training space</t>
  </si>
  <si>
    <t>Which Kalaripayattu practice involves intensive drills and techniques with short weapons?</t>
  </si>
  <si>
    <t>In Kalaripayattu, what is the role of 'Marma Shastra'?</t>
  </si>
  <si>
    <t>A) To teach weapon techniques, B) To understand and use vital points for health and attack, C) To practice combat drills, D) To develop physical strength</t>
  </si>
  <si>
    <t>B) To understand and use vital points for health and attack</t>
  </si>
  <si>
    <t>Which historical text is associated with Kalaripayattu's combat techniques and training methods?</t>
  </si>
  <si>
    <t>A) Arthashastra, B) Ramayana, C) Vedas, D) Mahabharata</t>
  </si>
  <si>
    <t>A) Weapon techniques, B) Combat drills, C) Physical conditioning and flexibility, D) Healing</t>
  </si>
  <si>
    <t>C) Physical conditioning and flexibility</t>
  </si>
  <si>
    <t>Which Kalaripayattu technique involves practicing with long and flexible weapons?</t>
  </si>
  <si>
    <t>Which historical figure is credited with the preservation of Kalaripayattu techniques in ancient India?</t>
  </si>
  <si>
    <t>A) Balarama, B) Chandragupta Maurya, C) Ashoka, D) Shivaji Maharaj</t>
  </si>
  <si>
    <t>A) Balarama</t>
  </si>
  <si>
    <t>In Kalaripayattu, what is the main purpose of 'Sankalpa'?</t>
  </si>
  <si>
    <t>A) To improve flexibility, B) To prepare mentally for combat, C) To practice weapon techniques, D) To learn healing methods</t>
  </si>
  <si>
    <t>What does 'Kalari' denote in the context of Kalaripayattu?</t>
  </si>
  <si>
    <t>A) A weapon, B) A type of practice, C) A training space, D) A combat technique</t>
  </si>
  <si>
    <t>Which Kalaripayattu technique involves practicing with various short and long weapons?</t>
  </si>
  <si>
    <t>A) Silambam, B) Meipayattu, C) Angam, D) Adavus</t>
  </si>
  <si>
    <t>Which historical text provides insights into the history and techniques of Kalaripayattu?</t>
  </si>
  <si>
    <t>A) Arthashastra, B) Ramayana, C) Mahabharata, D) Vedas</t>
  </si>
  <si>
    <t>What is the significance of 'Marma' points in Kalaripayattu practice?</t>
  </si>
  <si>
    <t>Which Kalaripayattu practice is known for its intricate footwork and body movements?</t>
  </si>
  <si>
    <t>What role does 'Guru' play in the practice of Kalaripayattu?</t>
  </si>
  <si>
    <t>Which Kalaripayattu technique emphasizes training with various flexible weapons?</t>
  </si>
  <si>
    <t>Which ancient text is considered crucial for understanding the history and techniques of Kalaripayattu?</t>
  </si>
  <si>
    <t>A) Arthashastra, B) Mahabharata, C) Ramayana, D) Puranas</t>
  </si>
  <si>
    <t>What does 'Meipayattu' primarily focus on in Kalaripayattu?</t>
  </si>
  <si>
    <t>A) Weapon handling, B) Combat drills, C) Physical conditioning and flexibility, D) Healing</t>
  </si>
  <si>
    <t>What is the historical role of 'Kalari' in Kalaripayattu?</t>
  </si>
  <si>
    <t>A) It is a type of weapon, B) It is a training space, C) It is a combat technique, D) It is a practice method</t>
  </si>
  <si>
    <t>B) It is a training space</t>
  </si>
  <si>
    <t>Which Kalaripayattu practice involves training with various short and long weapons?</t>
  </si>
  <si>
    <t>Which historical figure is associated with the promotion and preservation of Kalaripayattu?</t>
  </si>
  <si>
    <t>What is the primary purpose of 'Sankalpa' in Kalaripayattu training?</t>
  </si>
  <si>
    <t>Which aspect of Kalaripayattu is associated with understanding and using vital points for health and combat?</t>
  </si>
  <si>
    <t>Which Kalaripayattu technique is known for its focus on traditional combat sequences and weapon handling?</t>
  </si>
  <si>
    <t>Which historical text is often referenced for the ancient martial arts techniques of Kalaripayattu?</t>
  </si>
  <si>
    <t>A) Yoga Sutras, B) Arthashastra, C) Vedas, D) Manusmriti</t>
  </si>
  <si>
    <t>In Kalaripayattu, which term refers to the vital energy points of the body?</t>
  </si>
  <si>
    <t>A) Marma, B) Adavu, C) Uzhichil, D) Kalari</t>
  </si>
  <si>
    <t>A) Marma</t>
  </si>
  <si>
    <t>Which ancient Indian kingdom is credited with the early development of Kalaripayattu?</t>
  </si>
  <si>
    <t>A) Chola Dynasty, B) Gupta Empire, C) Maurya Empire, D) Vijayanagara Empire</t>
  </si>
  <si>
    <t>A) Chola Dynasty</t>
  </si>
  <si>
    <t>What is the significance of 'Guru' in the tradition of Kalaripayattu?</t>
  </si>
  <si>
    <t>A) Weapon maker, B) Student, C) Teacher and mentor, D) Combatant</t>
  </si>
  <si>
    <t>C) Teacher and mentor</t>
  </si>
  <si>
    <t>Which form of Kalaripayattu training focuses on developing flexibility and physical conditioning?</t>
  </si>
  <si>
    <t>A) Meipayattu, B) Silambam, C) Adavus, D) Verumkai</t>
  </si>
  <si>
    <t>Which practice in Kalaripayattu is known for its use of flexible and long-range weapons?</t>
  </si>
  <si>
    <t>Which vital points system is integral to Kalaripayattu's combat techniques?</t>
  </si>
  <si>
    <t>A) Ayurveda, B) Marma Shastra, C) Yoga Sutras, D) Samkhya</t>
  </si>
  <si>
    <t>B) Marma Shastra</t>
  </si>
  <si>
    <t>A) Ashoka, B) Raja Raja Chola, C) Chandragupta Maurya, D) Harsha</t>
  </si>
  <si>
    <t>B) Raja Raja Chola</t>
  </si>
  <si>
    <t>What is the primary focus of 'Silambam' in Kalaripayattu training?</t>
  </si>
  <si>
    <t>A) Weapon handling, B) Physical conditioning, C) Healing, D) Combat drills</t>
  </si>
  <si>
    <t>A) Weapon handling</t>
  </si>
  <si>
    <t>Which text is a key source for understanding Kalaripayattu's history and techniques?</t>
  </si>
  <si>
    <t>A) Puranas, B) Ramayana, C) Sangam Literature, D) Manusmriti</t>
  </si>
  <si>
    <t>What does 'Kalari' denote in Kalaripayattu?</t>
  </si>
  <si>
    <t>What aspect of Kalaripayattu is emphasized by the practice of 'Adavus'?</t>
  </si>
  <si>
    <t>A) Footwork and body movements, B) Weapon techniques, C) Healing methods, D) Combat drills</t>
  </si>
  <si>
    <t>A) Footwork and body movements</t>
  </si>
  <si>
    <t>Which historical figure is associated with the preservation of Kalaripayattu techniques?</t>
  </si>
  <si>
    <t>A) Balarama, B) Ashoka, C) Chandragupta Maurya, D) Shivaji Maharaj</t>
  </si>
  <si>
    <t>Which ancient text provides insights into the techniques and training methods of Kalaripayattu?</t>
  </si>
  <si>
    <t>What does 'Meipayattu' focus on in Kalaripayattu?</t>
  </si>
  <si>
    <t>Which technique in Kalaripayattu is known for its emphasis on unarmed combat?</t>
  </si>
  <si>
    <t>Which Kalaripayattu practice is renowned for its intricate footwork and body movements?</t>
  </si>
  <si>
    <t>What is the role of 'Marma Shastra' in Kalaripayattu?</t>
  </si>
  <si>
    <t>A) To teach weapon techniques, B) To understand and use vital points for health and combat, C) To practice combat drills, D) To develop physical strength</t>
  </si>
  <si>
    <t>B) To understand and use vital points for health and combat</t>
  </si>
  <si>
    <t>Which ancient text is crucial for understanding the history and techniques of Kalaripayattu?</t>
  </si>
  <si>
    <t>What does 'Sankalpa' involve in Kalaripayattu?</t>
  </si>
  <si>
    <t>A) Improving flexibility, B) Mental preparation for combat, C) Learning weapon techniques, D) Practicing healing</t>
  </si>
  <si>
    <t>B) Mental preparation for combat</t>
  </si>
  <si>
    <t>Which Kalaripayattu technique emphasizes the use of flexible weapons?</t>
  </si>
  <si>
    <t>Which historical king is credited with the promotion of Kalaripayattu?</t>
  </si>
  <si>
    <t>Which Kalaripayattu practice is known for its focus on traditional combat sequences and weapon handling?</t>
  </si>
  <si>
    <t>Which historical text discusses Kalaripayattu’s principles in ancient Indian warfare?</t>
  </si>
  <si>
    <t>Which Kalaripayattu technique focuses on understanding and targeting vital points?</t>
  </si>
  <si>
    <t>What does 'Meipayattu' primarily emphasize in its training?</t>
  </si>
  <si>
    <t>A) Weapon handling, B) Combat drills, C) Physical conditioning and flexibility, D) Healing techniques</t>
  </si>
  <si>
    <t>Which ancient Indian king's era is considered significant for the development of Kalaripayattu?</t>
  </si>
  <si>
    <t>What does 'Adavus' focus on in the practice of Kalaripayattu?</t>
  </si>
  <si>
    <t>A) Combat sequences, B) Footwork and body movements, C) Weapon handling, D) Healing</t>
  </si>
  <si>
    <t>B) Footwork and body movements</t>
  </si>
  <si>
    <t>What is the historical role of 'Silambam' in Kalaripayattu?</t>
  </si>
  <si>
    <t>A) Short and long weapon training, B) Physical conditioning, C) Unarmed combat, D) Healing</t>
  </si>
  <si>
    <t>A) Short and long weapon training</t>
  </si>
  <si>
    <t>Which practice in Kalaripayattu is known for its emphasis on unarmed combat?</t>
  </si>
  <si>
    <t>What does 'Uzhichil' specifically target in Kalaripayattu?</t>
  </si>
  <si>
    <t>Which aspect of Kalaripayattu is focused on in 'Angam'?</t>
  </si>
  <si>
    <t>A) Vital points, B) Combat techniques, C) Weapon handling, D) Physical conditioning</t>
  </si>
  <si>
    <t>Which ancient Indian king is known for his support of Kalaripayattu?</t>
  </si>
  <si>
    <t>A) Raja Raja Chola, B) Chandragupta Maurya, C) Ashoka, D) Harsha</t>
  </si>
  <si>
    <t>Which Kalaripayattu technique involves training with various flexible weapons?</t>
  </si>
  <si>
    <t>Which Kalaripayattu practice emphasizes physical conditioning and flexibility?</t>
  </si>
  <si>
    <t>What role does 'Marma Shastra' play in Kalaripayattu?</t>
  </si>
  <si>
    <t>A) Weapon techniques, B) Vital points for health and combat, C) Combat drills, D) Physical conditioning</t>
  </si>
  <si>
    <t>B) Vital points for health and combat</t>
  </si>
  <si>
    <t>Which Kalaripayattu practice is known for its focus on traditional combat techniques and sequences?</t>
  </si>
  <si>
    <t>What is the focus of 'Marma' points in Kalaripayattu training?</t>
  </si>
  <si>
    <t>A) Weapon training, B) Vital points for combat and health, C) Combat techniques, D) Weapon types</t>
  </si>
  <si>
    <t>B) Vital points for combat and health</t>
  </si>
  <si>
    <t>Which historical figure is associated with the promotion of Kalaripayattu?</t>
  </si>
  <si>
    <t>Which Kalaripayattu practice emphasizes the use of various weapons in training?</t>
  </si>
  <si>
    <t>What does 'Sankalpa' focus on in Kalaripayattu training?</t>
  </si>
  <si>
    <t>A) Physical conditioning, B) Mental preparation for combat, C) Weapon techniques, D) Healing methods</t>
  </si>
  <si>
    <t>A) Footwork and body movements, B) Weapon handling, C) Healing techniques, D) Combat drills</t>
  </si>
  <si>
    <t>Which Kalaripayattu practice is associated with unarmed combat techniques?</t>
  </si>
  <si>
    <t>Which ancient text provides significant insights into Kalaripayattu’s history and techniques?</t>
  </si>
  <si>
    <t>A) Weapon type, B) Training space, C) Combat technique, D) Practice method</t>
  </si>
  <si>
    <t>B) Training space</t>
  </si>
  <si>
    <t>What does 'Uzhichil' target in Kalaripayattu?</t>
  </si>
  <si>
    <t>Which Kalaripayattu practice is renowned for its use of traditional combat sequences and weapon handling?</t>
  </si>
  <si>
    <t>What is the significance of 'Marma Shastra' in Kalaripayattu?</t>
  </si>
  <si>
    <t>A) Weapon techniques, B) Vital points for combat and health, C) Combat drills, D) Physical conditioning</t>
  </si>
  <si>
    <t>Which ancient king’s era is considered significant for the development of Kalaripayattu?</t>
  </si>
  <si>
    <t>Which historical text describes the techniques and philosophy of Kalaripayattu?</t>
  </si>
  <si>
    <t>A) Sushruta Samhita, B) Arthashastra, C) Bhagavad Gita, D) Manusmriti</t>
  </si>
  <si>
    <t>Which Indian dynasty is known for its contributions to the development of Kalaripayattu?</t>
  </si>
  <si>
    <t>A) Chola Dynasty, B) Gupta Dynasty, C) Maurya Dynasty, D) Vijayanagara Dynasty</t>
  </si>
  <si>
    <t>What does 'Marma' refer to in Kalaripayattu?</t>
  </si>
  <si>
    <t>A) A type of weapon, B) A combat technique, C) Vital points of the body, D) A training method</t>
  </si>
  <si>
    <t>C) Vital points of the body</t>
  </si>
  <si>
    <t>Which period is considered the golden age of Kalaripayattu development?</t>
  </si>
  <si>
    <t>A) Ancient Period</t>
  </si>
  <si>
    <t>Who was the prominent patron of Kalaripayattu during the Chola Dynasty?</t>
  </si>
  <si>
    <t>A) Rajendra Chola, B) Raja Raja Chola, C) Rajadhiraja Chola, D) Kulothunga Chola</t>
  </si>
  <si>
    <t>A) A combat technique, B) A type of weapon, C) A training ground, D) A vital point</t>
  </si>
  <si>
    <t>C) A training ground</t>
  </si>
  <si>
    <t>Which Kalaripayattu technique focuses on hand-to-hand combat and striking?</t>
  </si>
  <si>
    <t>A) Verumkai, B) Silambam, C) Meipayattu, D) Adavus</t>
  </si>
  <si>
    <t>Which ancient Indian king is associated with the early documentation of Kalaripayattu techniques?</t>
  </si>
  <si>
    <t>A) Weapon handling, B) Physical conditioning and flexibility, C) Combat drills, D) Healing</t>
  </si>
  <si>
    <t>Which text is a crucial source for understanding the history of Kalaripayattu?</t>
  </si>
  <si>
    <t>Which practice in Kalaripayattu is known for its focus on various weapon forms and techniques?</t>
  </si>
  <si>
    <t>A) Silambam, B) Verumkai, C) Meipayattu, D) Adavus</t>
  </si>
  <si>
    <t>Which historical figure is credited with preserving and promoting Kalaripayattu techniques?</t>
  </si>
  <si>
    <t>A) Balarama, B) Ashoka, C) Shivaji Maharaj, D) Chandragupta Maurya</t>
  </si>
  <si>
    <t>What is the role of 'Guru' in the tradition of Kalaripayattu?</t>
  </si>
  <si>
    <t>A) Student, B) Teacher and mentor, C) Weapon maker, D) Combatant</t>
  </si>
  <si>
    <t>Which Kalaripayattu practice is centered on understanding and targeting vital energy points?</t>
  </si>
  <si>
    <t>A) Marma Shastra, B) Angam, C) Adavus, D) Silambam</t>
  </si>
  <si>
    <t>In Kalaripayattu, what does 'Adavus' refer to?</t>
  </si>
  <si>
    <t>A) Weapon techniques, B) Combat drills, C) Footwork and body movements, D) Healing methods</t>
  </si>
  <si>
    <t>C) Footwork and body movements</t>
  </si>
  <si>
    <t>Which Kalaripayattu practice focuses on unarmed combat techniques?</t>
  </si>
  <si>
    <t>Which text provides insights into the ancient martial arts techniques of Kalaripayattu?</t>
  </si>
  <si>
    <t>A) Puranas, B) Ramayana, C) Mahabharata, D) Sangam Literature</t>
  </si>
  <si>
    <t>D) Sangam Literature</t>
  </si>
  <si>
    <t>Which Kalaripayattu practice is known for its use of various flexible weapons?</t>
  </si>
  <si>
    <t>A) Silambam, B) Meipayattu, C) Verumkai, D) Adavus</t>
  </si>
  <si>
    <t>What does 'Uzhichil' involve in the practice of Kalaripayattu?</t>
  </si>
  <si>
    <t>A) Healing of injuries, B) Weapon training, C) Combat drills, D) Physical conditioning</t>
  </si>
  <si>
    <t>A) Healing of injuries</t>
  </si>
  <si>
    <t>Which practice in Kalaripayattu emphasizes physical conditioning and strength?</t>
  </si>
  <si>
    <t>A) Meipayattu, B) Adavus, C) Silambam, D) Verumkai</t>
  </si>
  <si>
    <t>Which king's patronage is considered pivotal for the development of Kalaripayattu?</t>
  </si>
  <si>
    <t>A) Weapon type, B) Combat technique, C) Training ground, D) Healing method</t>
  </si>
  <si>
    <t>Which ancient text provides a detailed description of Kalaripayattu’s combat techniques?</t>
  </si>
  <si>
    <t>What role does 'Guru' play in Kalaripayattu training?</t>
  </si>
  <si>
    <t>Which Kalaripayattu practice involves the use of various weapon forms?</t>
  </si>
  <si>
    <t>What does 'Marma Shastra' involve in Kalaripayattu?</t>
  </si>
  <si>
    <t>A) Understanding vital points for health and combat, B) Weapon handling, C) Physical conditioning, D) Combat drills</t>
  </si>
  <si>
    <t>A) Understanding vital points for health and combat</t>
  </si>
  <si>
    <t>Which practice in Kalaripayattu emphasizes intricate footwork and body movements?</t>
  </si>
  <si>
    <t>Which Kalaripayattu technique is known for its focus on unarmed combat?</t>
  </si>
  <si>
    <t>A) A type of weapon, B) A training space, C) A combat technique, D) A vital point</t>
  </si>
  <si>
    <t>B) A training space</t>
  </si>
  <si>
    <t>Which ancient Indian king supported the preservation and promotion of Kalaripayattu?</t>
  </si>
  <si>
    <t>A) Raja Raja Chola, B) Ashoka, C) Chandragupta Maurya, D) Shivaji Maharaj</t>
  </si>
  <si>
    <t>Which text is crucial for understanding the history and techniques of Kalaripayattu?</t>
  </si>
  <si>
    <t>Which ancient Indian text provides detailed descriptions of martial arts techniques used in Kalaripayattu?</t>
  </si>
  <si>
    <t>A) Kamasutra, B) Arthashastra, C) Yoga Sutras, D) Mahabharata</t>
  </si>
  <si>
    <t>During which dynasty was Kalaripayattu significantly developed and codified?</t>
  </si>
  <si>
    <t>A) Chola Dynasty, B) Maurya Dynasty, C) Gupta Dynasty, D) Vijayanagara Dynasty</t>
  </si>
  <si>
    <t>Which Indian king is credited with the establishment of Kalaripayattu as a formal martial art?</t>
  </si>
  <si>
    <t>What is the significance of 'Kalari' in Kalaripayattu?</t>
  </si>
  <si>
    <t>A) A type of weapon, B) A specific technique, C) A training space, D) A combat move</t>
  </si>
  <si>
    <t>Which technique in Kalaripayattu focuses on the use of various weapons?</t>
  </si>
  <si>
    <t>A) Silambam, B) Verumkai, C) Adavus, D) Meipayattu</t>
  </si>
  <si>
    <t>What is 'Marma Shastra' concerned with in Kalaripayattu?</t>
  </si>
  <si>
    <t>A) Weapon training, B) Healing practices, C) Vital points of the body, D) Combat sequences</t>
  </si>
  <si>
    <t>Which Kalaripayattu practice is known for emphasizing physical conditioning and flexibility?</t>
  </si>
  <si>
    <t>What does 'Adavus' focus on in Kalaripayattu?</t>
  </si>
  <si>
    <t>A) Combat techniques, B) Footwork and body movements, C) Healing methods, D) Weapon handling</t>
  </si>
  <si>
    <t>Which ancient Indian king is most associated with the preservation and promotion of Kalaripayattu?</t>
  </si>
  <si>
    <t>A) Raja Raja Chola, B) Ashoka, C) Chandragupta Maurya, D) Harsha</t>
  </si>
  <si>
    <t>Which historical text is used to understand the combat techniques of Kalaripayattu?</t>
  </si>
  <si>
    <t>A) Arthashastra, B) Bhagavad Gita, C) Vedas, D) Ramayana</t>
  </si>
  <si>
    <t>What is the role of 'Uzhichil' in Kalaripayattu?</t>
  </si>
  <si>
    <t>A) Weapon training, B) Combat drills, C) Healing of injuries, D) Physical conditioning</t>
  </si>
  <si>
    <t>Which Kalaripayattu practice involves the use of flexible and traditional weapons?</t>
  </si>
  <si>
    <t>What does 'Verumkai' emphasize in Kalaripayattu?</t>
  </si>
  <si>
    <t>A) Weapon handling, B) Unarmed combat techniques, C) Physical conditioning, D) Healing methods</t>
  </si>
  <si>
    <t>B) Unarmed combat techniques</t>
  </si>
  <si>
    <t>Which historical figure is known for their contributions to the development of Kalaripayattu?</t>
  </si>
  <si>
    <t>A) Raja Raja Chola, B) Shivaji Maharaj, C) Ashoka, D) Chandragupta Maurya</t>
  </si>
  <si>
    <t>Which ancient text is essential for understanding the history of Kalaripayattu?</t>
  </si>
  <si>
    <t>A) Arthashastra, B) Vedas, C) Ramayana, D) Mahabharata</t>
  </si>
  <si>
    <t>What does 'Kalari' refer to in the context of Kalaripayattu?</t>
  </si>
  <si>
    <t>A) A combat technique, B) A type of weapon, C) A training ground, D) A physical exercise</t>
  </si>
  <si>
    <t>Which practice in Kalaripayattu focuses on unarmed combat skills?</t>
  </si>
  <si>
    <t>What is the primary focus of 'Silambam' in Kalaripayattu?</t>
  </si>
  <si>
    <t>A) Unarmed combat, B) Weapon handling, C) Physical conditioning, D) Healing</t>
  </si>
  <si>
    <t>B) Weapon handling</t>
  </si>
  <si>
    <t>Which historical period is noted for the refinement of Kalaripayattu?</t>
  </si>
  <si>
    <t>What does 'Marma' in Kalaripayattu focus on?</t>
  </si>
  <si>
    <t>A) Combat techniques, B) Vital points for health and combat, C) Weapon types, D) Physical conditioning</t>
  </si>
  <si>
    <t>Which king’s patronage is crucial for the development of Kalaripayattu?</t>
  </si>
  <si>
    <t>Which practice involves intricate footwork and body movements in Kalaripayattu?</t>
  </si>
  <si>
    <t>Which historical text is significant for understanding the techniques and history of Kalaripayattu?</t>
  </si>
  <si>
    <t>A) Arthashastra, B) Bhagavad Gita, C) Mahabharata, D) Ramayana</t>
  </si>
  <si>
    <t>A) Weapon training, B) Combat drills, C) Physical conditioning and flexibility, D) Healing</t>
  </si>
  <si>
    <t>Which Kalaripayattu practice focuses on the use of flexible weapons?</t>
  </si>
  <si>
    <t>Which ancient Indian king is associated with the early development of Kalaripayattu?</t>
  </si>
  <si>
    <t>A) Combat training, B) Physical conditioning, C) Healing injuries, D) Weapon handling</t>
  </si>
  <si>
    <t>C) Healing injuries</t>
  </si>
  <si>
    <t>Which Kalaripayattu practice involves footwork and body movement drills?</t>
  </si>
  <si>
    <t>A) Adavus, B) Verumkai, C) Silambam, D) Meipayattu</t>
  </si>
  <si>
    <t>Which historical text is crucial for understanding Kalaripayattu techniques?</t>
  </si>
  <si>
    <t>What is the role of 'Kalari' in Kalaripayattu?</t>
  </si>
  <si>
    <t>A) Weapon type, B) Combat technique, C) Training ground, D) Physical exercise</t>
  </si>
  <si>
    <t>Which practice in Kalaripayattu focuses on unarmed combat techniques?</t>
  </si>
  <si>
    <t>What is the historical role of 'Guru' in Kalaripayattu?</t>
  </si>
  <si>
    <t>A) Student, B) Teacher and mentor, C) Combatant, D) Weapon maker</t>
  </si>
  <si>
    <t>Which Kalaripayattu practice focuses on various traditional weapon forms?</t>
  </si>
  <si>
    <t>A) Healing techniques, B) Weapon training, C) Vital points for health and combat, D) Combat drills</t>
  </si>
  <si>
    <t>C) Vital points for health and combat</t>
  </si>
  <si>
    <t>Which ancient text is essential for understanding Kalaripayattu's history and techniques?</t>
  </si>
  <si>
    <t>What does 'Meipayattu' primarily focus on?</t>
  </si>
  <si>
    <t>A) Weapon training, B) Physical conditioning and flexibility, C) Combat techniques, D) Healing</t>
  </si>
  <si>
    <t>Which king's patronage was pivotal for the development of Kalaripayattu?</t>
  </si>
  <si>
    <t>Which Kalaripayattu practice emphasizes footwork and intricate body movements?</t>
  </si>
  <si>
    <t>Which historical text is crucial for understanding the combat techniques of Kalaripayattu?</t>
  </si>
  <si>
    <t>What is the role of 'Kalari' in the practice of Kalaripayattu?</t>
  </si>
  <si>
    <t>A) A type of weapon, B) A training ground, C) A combat technique, D) A physical exercise</t>
  </si>
  <si>
    <t>A) Weapon handling, B) Unarmed combat, C) Physical conditioning, D) Healing</t>
  </si>
  <si>
    <t>What does 'Marma' focus on in Kalaripayattu?</t>
  </si>
  <si>
    <t>Which ancient text is significant for understanding Kalaripayattu techniques?</t>
  </si>
  <si>
    <t>What is the primary focus of 'Adavus' in Kalaripayattu?</t>
  </si>
  <si>
    <t>A) Combat drills, B) Weapon handling, C) Physical conditioning, D) Healing techniques</t>
  </si>
  <si>
    <t>A) Combat drills</t>
  </si>
  <si>
    <t>What does 'Pizhichil' refer to in the context of Kalaripayattu?</t>
  </si>
  <si>
    <t>A) A type of weapon, B) A form of massage therapy, C) A combat technique, D) A traditional dance</t>
  </si>
  <si>
    <t>B) A form of massage therapy</t>
  </si>
  <si>
    <t>Which dynasty is credited with the establishment of Kalaripayattu as a systematic martial art?</t>
  </si>
  <si>
    <t>A) Chola Dynasty, B) Chera Dynasty, C) Pandya Dynasty, D) Maurya Dynasty</t>
  </si>
  <si>
    <t>What does the term 'Kalari' translate to in English?</t>
  </si>
  <si>
    <t>A) Warrior, B) Training ground, C) Weapon, D) Technique</t>
  </si>
  <si>
    <t>B) Training ground</t>
  </si>
  <si>
    <t>Which Kalaripayattu technique involves the use of a long stick?</t>
  </si>
  <si>
    <t>A) Mace, B) Sword, C) Silambam, D) Dagger</t>
  </si>
  <si>
    <t>Which ancient text describes the techniques and history of Kalaripayattu?</t>
  </si>
  <si>
    <t>A) Natya Shastra, B) Arthashastra, C) Yoga Sutras, D) Manusmriti</t>
  </si>
  <si>
    <t>What is 'Chuvadu' in Kalaripayattu?</t>
  </si>
  <si>
    <t>A) A weapon type, B) A combat technique, C) A training session, D) A health practice</t>
  </si>
  <si>
    <t>B) A combat technique</t>
  </si>
  <si>
    <t>A) Training of weapons, B) Understanding vital points, C) Healing methods, D) Combat strategies</t>
  </si>
  <si>
    <t>B) Understanding vital points</t>
  </si>
  <si>
    <t>Which martial art is often compared with Kalaripayattu due to its focus on weaponry?</t>
  </si>
  <si>
    <t>A) Taekwondo, B) Judo, C) Silambam, D) Karate</t>
  </si>
  <si>
    <t>What does the term 'Meipayattu' refer to in Kalaripayattu?</t>
  </si>
  <si>
    <t>A) Unarmed combat, B) Weapon training, C) Health and flexibility exercises, D) Combat techniques</t>
  </si>
  <si>
    <t>C) Health and flexibility exercises</t>
  </si>
  <si>
    <t>Which legendary figure is often associated with the origin of Kalaripayattu?</t>
  </si>
  <si>
    <t>A) Vishnu, B) Shiva, C) Brahma, D) Krishna</t>
  </si>
  <si>
    <t>What is the significance of the 'Guru' in the practice of Kalaripayattu?</t>
  </si>
  <si>
    <t>A) Student, B) Mentor and teacher, C) Weapon maker, D) Combatant</t>
  </si>
  <si>
    <t>B) Mentor and teacher</t>
  </si>
  <si>
    <t>Which ancient text is most associated with the practice of Kalaripayattu?</t>
  </si>
  <si>
    <t>A) Arthashastra, B) Ramayana, C) Mahabharata, D) Upanishads</t>
  </si>
  <si>
    <t>What does 'Adavus' mean in Kalaripayattu?</t>
  </si>
  <si>
    <t>A) Combat sequences, B) Weapon forms, C) Training drills, D) Healing techniques</t>
  </si>
  <si>
    <t>A) Combat sequences</t>
  </si>
  <si>
    <t>Which Indian king was known for his patronage of Kalaripayattu?</t>
  </si>
  <si>
    <t>In Kalaripayattu, what does 'Verumkai' refer to?</t>
  </si>
  <si>
    <t>A) Unarmed combat, B) Weapon training, C) Physical conditioning, D) Healing techniques</t>
  </si>
  <si>
    <t>A) Unarmed combat</t>
  </si>
  <si>
    <t>Which Kalaripayattu practice focuses on physical conditioning and flexibility?</t>
  </si>
  <si>
    <t>C) Meipayattu</t>
  </si>
  <si>
    <t>Which weapon is prominently used in 'Silambam' practice?</t>
  </si>
  <si>
    <t>A) Sword, B) Spear, C) Long stick, D) Dagger</t>
  </si>
  <si>
    <t>C) Long stick</t>
  </si>
  <si>
    <t>What does 'Marma' refer to in the context of Kalaripayattu?</t>
  </si>
  <si>
    <t>A) Vital points, B) Weapon techniques, C) Combat strategies, D) Physical exercises</t>
  </si>
  <si>
    <t>A) Vital points</t>
  </si>
  <si>
    <t>What is the primary purpose of 'Kalari' in Kalaripayattu?</t>
  </si>
  <si>
    <t>A) Weapon storage, B) Training ground, C) Healing center, D) Combat arena</t>
  </si>
  <si>
    <t>What does 'Chuvadu' involve in Kalaripayattu?</t>
  </si>
  <si>
    <t>A) Unarmed combat, B) Weapon handling, C) Combat techniques, D) Health exercises</t>
  </si>
  <si>
    <t>What does 'Marma Shastra' focus on in Kalaripayattu?</t>
  </si>
  <si>
    <t>A) Combat techniques, B) Healing methods, C) Vital points for combat, D) Weapon handling</t>
  </si>
  <si>
    <t>C) Vital points for combat</t>
  </si>
  <si>
    <t>Which text is crucial for understanding the historical techniques of Kalaripayattu?</t>
  </si>
  <si>
    <t>A) Arthashastra, B) Bhagavad Gita, C) Ramayana, D) Mahabharata</t>
  </si>
  <si>
    <t>What is the role of 'Guru' in Kalaripayattu training?</t>
  </si>
  <si>
    <t>A) Combatant, B) Mentor and teacher, C) Weapon maker, D) Student</t>
  </si>
  <si>
    <t>Which Kalaripayattu practice involves intricate footwork and body movements?</t>
  </si>
  <si>
    <t>A) Physical conditioning, B) Weapon training, C) Combat techniques, D) Healing</t>
  </si>
  <si>
    <t>A) Physical conditioning</t>
  </si>
  <si>
    <t>Which king’s support was crucial in the development of Kalaripayattu?</t>
  </si>
  <si>
    <t>Which Kalaripayattu practice emphasizes the use of a long stick?</t>
  </si>
  <si>
    <t>A) Weapon type, B) Combat technique, C) Training ground, D) Health practice</t>
  </si>
  <si>
    <t>What does 'Marma' involve in Kalaripayattu?</t>
  </si>
  <si>
    <t>Which text is most associated with Kalaripayattu techniques and history?</t>
  </si>
  <si>
    <t>A) Arthashastra, B) Ramayana, C) Yoga Sutras, D) Upanishads</t>
  </si>
  <si>
    <t>What does 'Chuvadu' signify in Kalaripayattu?</t>
  </si>
  <si>
    <t>A) Combat technique, B) Weapon training, C) Health exercises, D) Training drills</t>
  </si>
  <si>
    <t>A) Combat technique</t>
  </si>
  <si>
    <t>What is the role of 'Meipayattu' in Kalaripayattu?</t>
  </si>
  <si>
    <t>A) Weapon training, B) Physical conditioning, C) Combat techniques, D) Healing methods</t>
  </si>
  <si>
    <t>Which king is known for promoting the practice of Kalaripayattu?</t>
  </si>
  <si>
    <t>A) Weapon techniques, B) Combat drills, C) Health practices, D) Physical exercises</t>
  </si>
  <si>
    <t>Which weapon is commonly used in 'Silambam' practice?</t>
  </si>
  <si>
    <t>A) Long stick, B) Sword, C) Dagger, D) Mace</t>
  </si>
  <si>
    <t>A) Long stick</t>
  </si>
  <si>
    <t>What is the importance of 'Guru' in Kalaripayattu?</t>
  </si>
  <si>
    <t>A) Healing methods, B) Vital points for combat, C) Weapon techniques, D) Combat strategies</t>
  </si>
  <si>
    <t>B) Vital points for combat</t>
  </si>
  <si>
    <t>Which practice involves unarmed combat techniques in Kalaripayattu?</t>
  </si>
  <si>
    <t>Which ancient text is associated with Kalaripayattu's combat techniques?</t>
  </si>
  <si>
    <t>A) Arthashastra, B) Vedas, C) Upanishads, D) Ramayana</t>
  </si>
  <si>
    <t>What is the primary role of 'Kalari' in Kalaripayattu?</t>
  </si>
  <si>
    <t>A) Combat techniques, B) Weapon training, C) Training ground, D) Health practices</t>
  </si>
  <si>
    <t>Which king is historically linked to the support and development of Kalaripayattu?</t>
  </si>
  <si>
    <t>What does 'Chuvadu' refer to in the practice of Kalaripayattu?</t>
  </si>
  <si>
    <t>A) Combat techniques, B) Weapon handling, C) Physical conditioning, D) Health practices</t>
  </si>
  <si>
    <t>A) Combat techniques</t>
  </si>
  <si>
    <t>Which aspect of Kalaripayattu involves the use of a long stick?</t>
  </si>
  <si>
    <t>What does 'Marma' signify in Kalaripayattu?</t>
  </si>
  <si>
    <t>A) Vital points for combat, B) Weapon techniques, C) Combat drills, D) Physical exercises</t>
  </si>
  <si>
    <t>A) Vital points for combat</t>
  </si>
  <si>
    <t>What is 'Meipayattu' focused on in Kalaripayattu?</t>
  </si>
  <si>
    <t>A) Physical conditioning, B) Weapon handling, C) Combat techniques, D) Healing methods</t>
  </si>
  <si>
    <t>Which Indian dynasty played a crucial role in the development of Kalaripayattu?</t>
  </si>
  <si>
    <t>A) Chera Dynasty, B) Chola Dynasty, C) Pandya Dynasty, D) Maurya Dynasty</t>
  </si>
  <si>
    <t>A) Chera Dynasty</t>
  </si>
  <si>
    <t>What does 'Adavus' practice involve in Kalaripayattu?</t>
  </si>
  <si>
    <t>A) Combat drills, B) Weapon handling, C) Physical exercises, D) Healing techniques</t>
  </si>
  <si>
    <t>What is the significance of 'Silambam' in Kalaripayattu?</t>
  </si>
  <si>
    <t>A) Long stick training, B) Unarmed combat, C) Health exercises, D) Weapon techniques</t>
  </si>
  <si>
    <t>A) Long stick training</t>
  </si>
  <si>
    <t>Which text is most relevant to understanding the history of Kalaripayattu?</t>
  </si>
  <si>
    <t>Which king's patronage was instrumental in the development of Kalaripayattu?</t>
  </si>
  <si>
    <t>What is the primary focus of 'Verumkai' in Kalaripayattu?</t>
  </si>
  <si>
    <t>What does 'Marma Shastra' emphasize in Kalaripayattu?</t>
  </si>
  <si>
    <t>A) Vital points for combat, B) Healing methods, C) Weapon techniques, D) Combat strategies</t>
  </si>
  <si>
    <t>What does 'Kalari' mean in Kalaripayattu?</t>
  </si>
  <si>
    <t>A) Weapon, B) Combat technique, C) Training ground, D) Health practice</t>
  </si>
  <si>
    <t>What is the main focus of 'Meipayattu' in Kalaripayattu?</t>
  </si>
  <si>
    <t>A) Physical conditioning and flexibility, B) Weapon handling, C) Combat techniques, D) Healing methods</t>
  </si>
  <si>
    <t>A) Physical conditioning and flexibility</t>
  </si>
  <si>
    <t>Which historical figure is associated with the development of Kalaripayattu?</t>
  </si>
  <si>
    <t>A) Combat techniques, B) Weapon handling, C) Health exercises, D) Training drills</t>
  </si>
  <si>
    <t>Which ancient text describes Kalaripayattu's techniques and history?</t>
  </si>
  <si>
    <t>A) Arthashastra, B) Ramayana, C) Vedas, D) Upanishads</t>
  </si>
  <si>
    <t>A) Training ground, B) Weapon type, C) Combat technique, D) Health practice</t>
  </si>
  <si>
    <t>A) Training ground</t>
  </si>
  <si>
    <t>Which king is noted for his support of Kalaripayattu?</t>
  </si>
  <si>
    <t>What does 'Marma' signify in the practice of Kalaripayattu?</t>
  </si>
  <si>
    <t>Which practice in Kalaripayattu emphasizes the use of a long stick?</t>
  </si>
  <si>
    <t>A) Mentor and teacher, B) Combatant, C) Weapon maker, D) Student</t>
  </si>
  <si>
    <t>A) Mentor and teacher</t>
  </si>
  <si>
    <t>Which text provides detailed insights into Kalaripayattu's history and techniques?</t>
  </si>
  <si>
    <t>Which Indian dynasty is associated with the origins of Kalaripayattu?</t>
  </si>
  <si>
    <t>What is the main focus of 'Adavus' in Kalaripayattu?</t>
  </si>
  <si>
    <t>A) Combat drills, B) Weapon techniques, C) Physical exercises, D) Healing practices</t>
  </si>
  <si>
    <t>What does 'Silambam' involve in Kalaripayattu?</t>
  </si>
  <si>
    <t>A) Long stick training, B) Unarmed combat, C) Physical conditioning, D) Healing</t>
  </si>
  <si>
    <t>A) Vital points for combat, B) Weapon techniques, C) Combat drills, D) Physical conditioning</t>
  </si>
  <si>
    <t>Which historical period is most associated with the refinement of Kalaripayattu?</t>
  </si>
  <si>
    <t>Which text is essential for understanding Kalaripayattu’s history and techniques?</t>
  </si>
  <si>
    <t>Which king is known for his support of Kalaripayattu's development?</t>
  </si>
  <si>
    <t>Which Indian dynasty is historically linked to the practice of Kalaripayattu?</t>
  </si>
  <si>
    <t>A) Teacher and mentor, B) Student, C) Weapon maker, D) Combatant</t>
  </si>
  <si>
    <t>A) Teacher and mentor</t>
  </si>
  <si>
    <t>A) Combat techniques, B) Weapon training, C) Physical exercises, D) Health practices</t>
  </si>
  <si>
    <t>Which historical text is crucial for understanding Kalaripayattu's techniques and history?</t>
  </si>
  <si>
    <t>Which Indian dynasty is associated with the refinement of Kalaripayattu?</t>
  </si>
  <si>
    <t>What does 'Meipayattu' emphasize in Kalaripayattu?</t>
  </si>
  <si>
    <t>A) Combat techniques, B) Weapon handling, C) Health practices, D) Training drills</t>
  </si>
  <si>
    <t>What is the main focus of 'Silambam' in Kalaripayattu?</t>
  </si>
  <si>
    <t>Which historical period is most associated with the development of Kalaripayattu?</t>
  </si>
  <si>
    <t>A) Physical conditioning and flexibility, B) Weapon training, C) Combat techniques, D) Healing methods</t>
  </si>
  <si>
    <t>Silambam is believed to have originated in which region of India?</t>
  </si>
  <si>
    <t>Which dynasty is closely associated with the development of Silambam?</t>
  </si>
  <si>
    <t>A) Chola, B) Gupta, C) Maurya, D) Mughal</t>
  </si>
  <si>
    <t>In which period did Silambam gain prominence in South India?</t>
  </si>
  <si>
    <t>A) Sangam Era, B) Gupta Period, C) Mughal Era, D) British Raj</t>
  </si>
  <si>
    <t>A) Sangam Era</t>
  </si>
  <si>
    <t>Which ancient text first mentioned Silambam as a martial art?</t>
  </si>
  <si>
    <t>A) Silappatikaram, B) Ramayana, C) Mahabharata, D) Arthashastra</t>
  </si>
  <si>
    <t>A) Silappatikaram</t>
  </si>
  <si>
    <t>What type of weapon is primarily used in the martial art of Silambam?</t>
  </si>
  <si>
    <t>A) Sword, B) Stick, C) Spear, D) Axe</t>
  </si>
  <si>
    <t>B) Stick</t>
  </si>
  <si>
    <t>Silambam is known for being part of which traditional Tamil form of entertainment?</t>
  </si>
  <si>
    <t>A) Koothu, B) Jallikattu, C) Kalaripayattu, D) Bharatanatyam</t>
  </si>
  <si>
    <t>A) Koothu</t>
  </si>
  <si>
    <t>During the reign of which king was Silambam practiced as a royal martial art?</t>
  </si>
  <si>
    <t>A) Raja Raja Chola, B) Karikala Chola, C) Ashoka, D) Harsha</t>
  </si>
  <si>
    <t>B) Karikala Chola</t>
  </si>
  <si>
    <t>Which Tamil king is said to have promoted Silambam during his rule?</t>
  </si>
  <si>
    <t>A) Rajendra Chola, B) Pandyan Nedunchezhiyan, C) Marthanda Varma, D) Veerapandiya Kattabomman</t>
  </si>
  <si>
    <t>D) Veerapandiya Kattabomman</t>
  </si>
  <si>
    <t>Which ancient Tamil work provides a detailed description of Silambam techniques?</t>
  </si>
  <si>
    <t>A) Thirukkural, B) Tolkappiyam, C) Kamba Ramayanam, D) Manimekalai</t>
  </si>
  <si>
    <t>B) Tolkappiyam</t>
  </si>
  <si>
    <t>Silambam was used as a defense technique against which colonial power?</t>
  </si>
  <si>
    <t>A) British, B) Portuguese, C) Dutch, D) French</t>
  </si>
  <si>
    <t>A) British</t>
  </si>
  <si>
    <t>The Maravar clan, which is famous for practicing Silambam, belongs to which community?</t>
  </si>
  <si>
    <t>A) Kshatriya, B) Thevar, C) Vellalar, D) Nadar</t>
  </si>
  <si>
    <t>B) Thevar</t>
  </si>
  <si>
    <t>Silambam training was banned during which colonial period?</t>
  </si>
  <si>
    <t>A) Portuguese rule, B) Dutch rule, C) French rule, D) British rule</t>
  </si>
  <si>
    <t>D) British rule</t>
  </si>
  <si>
    <t>Which Tamil epic narrates the use of a staff similar to Silambam in battles?</t>
  </si>
  <si>
    <t>A) Manimekalai, B) Silappatikaram, C) Kamba Ramayanam, D) Thirukkural</t>
  </si>
  <si>
    <t>B) Silappatikaram</t>
  </si>
  <si>
    <t>Silambam was revived in modern times as part of which cultural movement?</t>
  </si>
  <si>
    <t>A) Tamil Renaissance, B) Indian Independence, C) Dravidian Movement, D) Anti-colonialism</t>
  </si>
  <si>
    <t>A) Tamil Renaissance</t>
  </si>
  <si>
    <t>In the Sangam Age, Silambam was practiced mainly for what purpose?</t>
  </si>
  <si>
    <t>A) Entertainment, B) Warfare, C) Rituals, D) Physical fitness</t>
  </si>
  <si>
    <t>B) Warfare</t>
  </si>
  <si>
    <t>The technique of Silambam was spread to other regions through which means?</t>
  </si>
  <si>
    <t>A) Trade routes, B) Royal patrons, C) Migration, D) Wars</t>
  </si>
  <si>
    <t>A) Trade routes</t>
  </si>
  <si>
    <t>Silambam masters were often known by which title in ancient Tamil society?</t>
  </si>
  <si>
    <t>A) Gurus, B) Asans, C) Pandits, D) Acharyas</t>
  </si>
  <si>
    <t>B) Asans</t>
  </si>
  <si>
    <t>Silambam was historically linked to the training of which military forces?</t>
  </si>
  <si>
    <t>A) Chola navy, B) Pandya cavalry, C) Chera infantry, D) All of the above</t>
  </si>
  <si>
    <t>Which foreign travelers recorded the use of Silambam during their visits to Tamil Nadu?</t>
  </si>
  <si>
    <t>A) Marco Polo, B) Ibn Battuta, C) Fa Hien, D) Megasthenes</t>
  </si>
  <si>
    <t>Silambam was part of the curriculum in which ancient Tamil institution?</t>
  </si>
  <si>
    <t>A) Madurai Sangam, B) Nalanda University, C) Thiruvaiyaru Gurukulam, D) Kanchi Matha</t>
  </si>
  <si>
    <t>A) Madurai Sangam</t>
  </si>
  <si>
    <t>Who is considered the legendary founder of the Silambam art form?</t>
  </si>
  <si>
    <t>A) Agastya, B) Bodhidharma, C) Karikala Chola, D) Thirumal</t>
  </si>
  <si>
    <t>The Silambam stick is traditionally made from which wood?</t>
  </si>
  <si>
    <t>A) Bamboo, B) Teak, C) Rosewood, D) Sandalwood</t>
  </si>
  <si>
    <t>A) Bamboo</t>
  </si>
  <si>
    <t>Which event led to the decline of Silambam as a practiced martial art in the 19th century?</t>
  </si>
  <si>
    <t>A) British colonization, B) Industrial Revolution, C) Dravidian Movement, D) Famine</t>
  </si>
  <si>
    <t>Which martial art form is considered a close cousin of Silambam in Kerala?</t>
  </si>
  <si>
    <t>A) Kalaripayattu, B) Gatka, C) Thang-ta, D) Vajra Mushti</t>
  </si>
  <si>
    <t>Silambam practitioners were often employed in which role during the reign of Tamil kings?</t>
  </si>
  <si>
    <t>A) Court musicians, B) Temple guards, C) Palace dancers, D) Scholars</t>
  </si>
  <si>
    <t>B) Temple guards</t>
  </si>
  <si>
    <t>Silambam training was traditionally passed down through which means?</t>
  </si>
  <si>
    <t>A) Written texts, B) Oral tradition, C) Sculptures, D) Scrolls</t>
  </si>
  <si>
    <t>What is the Tamil word for the martial art teacher in Silambam?</t>
  </si>
  <si>
    <t>A) Guru, B) Asan, C) Master, D) Adiyal</t>
  </si>
  <si>
    <t>B) Asan</t>
  </si>
  <si>
    <t>Which festival is closely associated with the practice and demonstration of Silambam?</t>
  </si>
  <si>
    <t>A) Pongal, B) Deepavali, C) Navratri, D) Thaipusam</t>
  </si>
  <si>
    <t>D) Thaipusam</t>
  </si>
  <si>
    <t>Silambam techniques were employed in guerilla warfare against which colonial force?</t>
  </si>
  <si>
    <t>A) Dutch, B) British, C) Portuguese, D) French</t>
  </si>
  <si>
    <t>Which Tamil Nadu city is known for hosting major Silambam competitions?</t>
  </si>
  <si>
    <t>A) Chennai, B) Madurai, C) Tiruchirappalli, D) Coimbatore</t>
  </si>
  <si>
    <t>B) Madurai</t>
  </si>
  <si>
    <t>Silambam was depicted in sculptures of which famous Tamil Nadu temple?</t>
  </si>
  <si>
    <t>A) Brihadeeswarar Temple, B) Meenakshi Temple, C) Ranganathaswamy Temple, D) Shore Temple</t>
  </si>
  <si>
    <t>B) Meenakshi Temple</t>
  </si>
  <si>
    <t>The stick in Silambam is typically how long?</t>
  </si>
  <si>
    <t>A) 3 feet, B) 5 feet, C) 8 feet, D) 6 feet</t>
  </si>
  <si>
    <t>B) 5 feet</t>
  </si>
  <si>
    <t>Which 20th-century Indian leader promoted the revival of traditional martial arts like Silambam?</t>
  </si>
  <si>
    <t>A) Mahatma Gandhi, B) Subramania Bharati, C) C. Rajagopalachari, D) Periyar</t>
  </si>
  <si>
    <t>B) Subramania Bharati</t>
  </si>
  <si>
    <t>Silambam stick fighting was traditionally part of the training for which Tamil warrior clan?</t>
  </si>
  <si>
    <t>A) Nadar, B) Maravar, C) Vanniyar, D) Mudaliar</t>
  </si>
  <si>
    <t>B) Maravar</t>
  </si>
  <si>
    <t>Silambam has connections with which ancient Tamil text that outlines ethical warfare?</t>
  </si>
  <si>
    <t>A) Thirukkural, B) Agattiyam, C) Jeeva Nool, D) Kuralogam</t>
  </si>
  <si>
    <t>A) Thirukkural</t>
  </si>
  <si>
    <t>Silambam is mentioned in which ancient Tamil epic that narrates the story of a righteous king?</t>
  </si>
  <si>
    <t>A) Manimekalai, B) Silappatikaram, C) Ramayanam, D) Kamba Ramayanam</t>
  </si>
  <si>
    <t>The Silambam techniques are believed to be linked with the warfare strategies of which historical Tamil region?</t>
  </si>
  <si>
    <t>A) Madurai, B) Thanjavur, C) Kancheepuram, D) Tirunelveli</t>
  </si>
  <si>
    <t>A) Madurai</t>
  </si>
  <si>
    <t>Silambam practice was essential for which section of ancient Tamil society?</t>
  </si>
  <si>
    <t>A) Merchants, B) Farmers, C) Warriors, D) Priests</t>
  </si>
  <si>
    <t>C) Warriors</t>
  </si>
  <si>
    <t>The early Silambam practitioners often included members from which caste?</t>
  </si>
  <si>
    <t>A) Brahmins, B) Kshatriyas, C) Dalits, D) Vellalars</t>
  </si>
  <si>
    <t>D) Vellalars</t>
  </si>
  <si>
    <t>Silambam, along with other martial arts, faced suppression during which period?</t>
  </si>
  <si>
    <t>A) Portuguese rule, B) Dutch rule, C) British rule, D) French rule</t>
  </si>
  <si>
    <t>C) British rule</t>
  </si>
  <si>
    <t>Silambam was recognized as a traditional sport by which Indian state government?</t>
  </si>
  <si>
    <t>The traditional attire for Silambam training includes which of the following?</t>
  </si>
  <si>
    <t>A) Lungi, B) Dhoti, C) Salwar, D) Sari</t>
  </si>
  <si>
    <t>Which Tamil poet extolled the virtues of Silambam in his works?</t>
  </si>
  <si>
    <t>A) Subramania Bharati, B) Bharathidasan, C) Thiruvalluvar, D) Avvaiyar</t>
  </si>
  <si>
    <t>A) Subramania Bharati</t>
  </si>
  <si>
    <t>Silambam played a role in the cultural performances of which Tamil Nadu region?</t>
  </si>
  <si>
    <t>A) Tanjore, B) Madurai, C) Coimbatore, D) Sivaganga</t>
  </si>
  <si>
    <t>D) Sivaganga</t>
  </si>
  <si>
    <t>Which Mughal emperor is said to have witnessed Silambam demonstrations during his rule?</t>
  </si>
  <si>
    <t>A) Akbar, B) Aurangzeb, C) Jahangir, D) Humayun</t>
  </si>
  <si>
    <t>The term 'Silambam' is derived from which Tamil word?</t>
  </si>
  <si>
    <t>A) Silam, B) Sillam, C) Silambu, D) Sila</t>
  </si>
  <si>
    <t>C) Silambu</t>
  </si>
  <si>
    <t>Silambam is considered one of the oldest martial arts, with its origins tracing back to which period?</t>
  </si>
  <si>
    <t>A) Prehistoric, B) Vedic Age, C) Sangam Age, D) Mughal Period</t>
  </si>
  <si>
    <t>C) Sangam Age</t>
  </si>
  <si>
    <t>Silambam is often associated with which ancient form of Tamil warfare?</t>
  </si>
  <si>
    <t>A) Naval combat, B) Guerrilla warfare, C) Elephant warfare, D) Infantry combat</t>
  </si>
  <si>
    <t>D) Infantry combat</t>
  </si>
  <si>
    <t>Which ancient Tamil literature describes warriors skilled in Silambam?</t>
  </si>
  <si>
    <t>A) Purananuru, B) Aathichudi, C) Tholkappiyam, D) Akanaanooru</t>
  </si>
  <si>
    <t>A) Purananuru</t>
  </si>
  <si>
    <t>Which Tamil kingdom's military system heavily incorporated Silambam training for its soldiers?</t>
  </si>
  <si>
    <t>A) Chera, B) Pandya, C) Chola, D) Vijayanagar</t>
  </si>
  <si>
    <t>The Chola dynasty spread the practice of Silambam to which neighboring regions?</t>
  </si>
  <si>
    <t>A) Sri Lanka and Malaysia, B) Thailand and China, C) Myanmar and Indonesia, D) Nepal and Bhutan</t>
  </si>
  <si>
    <t>A) Sri Lanka and Malaysia</t>
  </si>
  <si>
    <t>Silambam was a key element in training soldiers of which famous Tamil dynasty?</t>
  </si>
  <si>
    <t>A) Nayaks, B) Vijayanagar, C) Marathas, D) Pandya</t>
  </si>
  <si>
    <t>D) Pandya</t>
  </si>
  <si>
    <t>Silambam techniques were traditionally passed on through which method?</t>
  </si>
  <si>
    <t>A) Formal schools, B) Family tradition, C) Temples, D) Guilds</t>
  </si>
  <si>
    <t>B) Family tradition</t>
  </si>
  <si>
    <t>Which colonial power first encountered Silambam during their military campaigns in Tamil Nadu?</t>
  </si>
  <si>
    <t>C) Portuguese</t>
  </si>
  <si>
    <t>What was the primary reason for the British colonial government’s ban on Silambam?</t>
  </si>
  <si>
    <t>A) Religious suppression, B) Fear of rebellion, C) Lack of safety, D) Cultural bias</t>
  </si>
  <si>
    <t>B) Fear of rebellion</t>
  </si>
  <si>
    <t>Which prominent freedom fighter used Silambam in his guerrilla warfare tactics against the British?</t>
  </si>
  <si>
    <t>A) Velu Nachiyar, B) Subhash Chandra Bose, C) Kattabomman, D) Tipu Sultan</t>
  </si>
  <si>
    <t>C) Kattabomman</t>
  </si>
  <si>
    <t>Which Tamil Nadu ruler was one of the first to oppose British rule using Silambam-trained warriors?</t>
  </si>
  <si>
    <t>A) Rani Velu Nachiyar, B) Raja Raja Chola, C) Tipu Sultan, D) Veerapandiya Kattabomman</t>
  </si>
  <si>
    <t>A) Rani Velu Nachiyar</t>
  </si>
  <si>
    <t>Which Tamil word is used to describe the long bamboo staff used in Silambam?</t>
  </si>
  <si>
    <t>A) Vallari, B) Maru, C) Silambu, D) Kundam</t>
  </si>
  <si>
    <t>Silambam training includes mastery of which technique for handling multiple attackers?</t>
  </si>
  <si>
    <t>A) Circular movements, B) Single direct strikes, C) Ground defense, D) Vertical blocking</t>
  </si>
  <si>
    <t>A) Circular movements</t>
  </si>
  <si>
    <t>The art of Silambam was part of the physical education curriculum of which Tamil king’s army?</t>
  </si>
  <si>
    <t>A) Rajendra Chola, B) Karikala Chola, C) Marthanda Varma, D) Pulikesi II</t>
  </si>
  <si>
    <t>Which of the following is a key aspect of Silambam training that distinguishes it from other martial arts?</t>
  </si>
  <si>
    <t>A) Acrobatics, B) Weapon-based combat, C) Meditation, D) Animal stances</t>
  </si>
  <si>
    <t>B) Weapon-based combat</t>
  </si>
  <si>
    <t>Which famous Tamil epic mentioned the use of a staff resembling the Silambam stick?</t>
  </si>
  <si>
    <t>A) Silappatikaram, B) Manimekalai, C) Valayapathi, D) Kundalakesi</t>
  </si>
  <si>
    <t>Silambam practitioners used which geographical features for training during ancient times?</t>
  </si>
  <si>
    <t>A) Forests and mountains, B) Cities, C) Villages, D) Seashores</t>
  </si>
  <si>
    <t>A) Forests and mountains</t>
  </si>
  <si>
    <t>In Silambam, practitioners follow patterns inspired by which animals?</t>
  </si>
  <si>
    <t>A) Tigers and snakes, B) Elephants and horses, C) Monkeys and peacocks, D) Lions and eagles</t>
  </si>
  <si>
    <t>A) Tigers and snakes</t>
  </si>
  <si>
    <t>Silambam was once taught alongside which other classical Tamil art form?</t>
  </si>
  <si>
    <t>A) Bharatanatyam, B) Kathakali, C) Koothu, D) Yakshagana</t>
  </si>
  <si>
    <t>C) Koothu</t>
  </si>
  <si>
    <t>Which social class was historically known for practicing and preserving Silambam in Tamil society?</t>
  </si>
  <si>
    <t>A) Warriors, B) Merchants, C) Farmers, D) Priests</t>
  </si>
  <si>
    <t>A) Warriors</t>
  </si>
  <si>
    <t>During which Tamil festival is Silambam commonly demonstrated?</t>
  </si>
  <si>
    <t>A) Pongal, B) Deepavali, C) Tamil New Year, D) Thaipusam</t>
  </si>
  <si>
    <t>Which Tamil work on ethics highlights self-defense principles connected to Silambam?</t>
  </si>
  <si>
    <t>A) Thirukkural, B) Kambaramayanam, C) Silappatikaram, D) Tolkappiyam</t>
  </si>
  <si>
    <t>Silambam played a key role in the defense of which Tamil kingdom against invaders?</t>
  </si>
  <si>
    <t>A) Chera Kingdom, B) Vijayanagar Empire, C) Maratha Empire, D) Pandya Kingdom</t>
  </si>
  <si>
    <t>D) Pandya Kingdom</t>
  </si>
  <si>
    <t>Silambam was introduced to which Southeast Asian country by Tamil immigrants?</t>
  </si>
  <si>
    <t>A) Thailand, B) Indonesia, C) Malaysia, D) Philippines</t>
  </si>
  <si>
    <t>C) Malaysia</t>
  </si>
  <si>
    <t>The ancient Tamil warriors who practiced Silambam also excelled in which field?</t>
  </si>
  <si>
    <t>A) Medicine, B) Poetry, C) Astronomy, D) Agriculture</t>
  </si>
  <si>
    <t>B) Poetry</t>
  </si>
  <si>
    <t>Silambam was historically used by Tamil women for what purpose?</t>
  </si>
  <si>
    <t>A) Self-defense, B) Ritualistic purposes, C) Religious ceremonies, D) Political protests</t>
  </si>
  <si>
    <t>A) Self-defense</t>
  </si>
  <si>
    <t>In which ancient port city was Silambam believed to be popular during the Sangam era?</t>
  </si>
  <si>
    <t>A) Poompuhar, B) Kaveripattinam, C) Nagapattinam, D) Thoothukudi</t>
  </si>
  <si>
    <t>A) Poompuhar</t>
  </si>
  <si>
    <t>Which famous South Indian temple complex has carvings depicting Silambam practitioners?</t>
  </si>
  <si>
    <t>A) Meenakshi Temple, B) Brihadeeswarar Temple, C) Ranganathaswamy Temple, D) Shore Temple</t>
  </si>
  <si>
    <t>B) Brihadeeswarar Temple</t>
  </si>
  <si>
    <t>Silambam practitioners were known to be employed as guards in which historical structure?</t>
  </si>
  <si>
    <t>A) Forts, B) Temples, C) Monasteries, D) Markets</t>
  </si>
  <si>
    <t>B) Temples</t>
  </si>
  <si>
    <t>The techniques of Silambam were recorded in which ancient Tamil text?</t>
  </si>
  <si>
    <t>A) Agathiyar Kayilayan, B) Kamba Ramayanam, C) Jeevanool, D) Sethu Samudram</t>
  </si>
  <si>
    <t>A) Agathiyar Kayilayan</t>
  </si>
  <si>
    <t>Which ancient trade route helped spread Silambam to neighboring countries?</t>
  </si>
  <si>
    <t>A) Silk Route, B) Spice Route, C) Salt Route, D) Maritime Route</t>
  </si>
  <si>
    <t>D) Maritime Route</t>
  </si>
  <si>
    <t>Silambam was traditionally practiced by Tamil warriors in which battlefield formation?</t>
  </si>
  <si>
    <t>A) Circular, B) Triangular, C) Diamond, D) Square</t>
  </si>
  <si>
    <t>A) Circular</t>
  </si>
  <si>
    <t>Silambam was a significant part of the warrior culture in which Tamil Nadu region?</t>
  </si>
  <si>
    <t>A) Tirunelveli, B) Coimbatore, C) Tanjore, D) Madurai</t>
  </si>
  <si>
    <t>D) Madurai</t>
  </si>
  <si>
    <t>During the Sangam period, Silambam demonstrations were often held during which event?</t>
  </si>
  <si>
    <t>A) War preparations, B) Religious festivals, C) Royal coronations, D) Harvest festivals</t>
  </si>
  <si>
    <t>C) Royal coronations</t>
  </si>
  <si>
    <t>Silambam was used by the ancient Tamil rulers to train which special regiment?</t>
  </si>
  <si>
    <t>A) Cavalry, B) Infantry, C) Archers, D) Navy</t>
  </si>
  <si>
    <t>B) Infantry</t>
  </si>
  <si>
    <t>The bamboo staff used in Silambam was often harvested from which region in Tamil Nadu?</t>
  </si>
  <si>
    <t>A) Western Ghats, B) Eastern Ghats, C) Nilgiris, D) Cauvery Delta</t>
  </si>
  <si>
    <t>A) Western Ghats</t>
  </si>
  <si>
    <t>The martial techniques of Silambam were believed to have been derived from which ancient sage?</t>
  </si>
  <si>
    <t>A) Agastya, B) Bhogar, C) Tirumalai, D) Patanjali</t>
  </si>
  <si>
    <t>Which famous Tamil king was said to be an expert in Silambam?</t>
  </si>
  <si>
    <t>A) Rajaraja Chola, B) Karikala Chola, C) Marthanda Varma, D) Pulikesi</t>
  </si>
  <si>
    <t>Silambam practitioners were often employed as guards in which historical Tamil Nadu kingdom?</t>
  </si>
  <si>
    <t>A) Chola Kingdom, B) Chera Kingdom, C) Pandya Kingdom, D) Vijayanagara Empire</t>
  </si>
  <si>
    <t>C) Pandya Kingdom</t>
  </si>
  <si>
    <t>Silambam’s footwork is inspired by which traditional Tamil dance form?</t>
  </si>
  <si>
    <t>A) Bharatanatyam, B) Koothu, C) Kathakali, D) Thappattam</t>
  </si>
  <si>
    <t>Silambam training was crucial for soldiers in which Tamil epic battle?</t>
  </si>
  <si>
    <t>A) Battle of Kalinga, B) Battle of Venni, C) Battle of Seringapatam, D) Battle of Madurai</t>
  </si>
  <si>
    <t>B) Battle of Venni</t>
  </si>
  <si>
    <t>Which element of Silambam’s weaponry made it especially suitable for defense against wild animals?</t>
  </si>
  <si>
    <t>A) Lightweight design, B) Long reach, C) Flexibility, D) Stealth</t>
  </si>
  <si>
    <t>B) Long reach</t>
  </si>
  <si>
    <t>Silambam practitioners followed which ancient Tamil martial code?</t>
  </si>
  <si>
    <t>A) Maru, B) Varman, C) Kalaripayattu, D) Puram</t>
  </si>
  <si>
    <t>B) Varman</t>
  </si>
  <si>
    <t>In the 20th century, Silambam was revived in Tamil Nadu by efforts from which freedom movement?</t>
  </si>
  <si>
    <t>A) Quit India Movement, B) Non-Cooperation Movement, C) Swadeshi Movement, D) Civil Disobedience Movement</t>
  </si>
  <si>
    <t>Silambam is believed to have originated in which geographical region of ancient Tamil Nadu?</t>
  </si>
  <si>
    <t>A) Kanyakumari, B) Madurai, C) Trichy, D) Coimbatore</t>
  </si>
  <si>
    <t>A) Kanyakumari</t>
  </si>
  <si>
    <t>Which Tamil literary work from the Sangam era contains references to martial arts like Silambam?</t>
  </si>
  <si>
    <t>A) Ettuthokai, B) Pattupattu, C) Thirukkural, D) Kambaramayanam</t>
  </si>
  <si>
    <t>A) Ettuthokai</t>
  </si>
  <si>
    <t>The staff used in Silambam is usually made from which type of wood?</t>
  </si>
  <si>
    <t>A) Teak, B) Bamboo, C) Sandalwood, D) Rosewood</t>
  </si>
  <si>
    <t>B) Bamboo</t>
  </si>
  <si>
    <t>Silambam was traditionally practiced by which class of people in ancient Tamil society?</t>
  </si>
  <si>
    <t>A) Farmers, B) Kings, C) Soldiers, D) Merchants</t>
  </si>
  <si>
    <t>C) Soldiers</t>
  </si>
  <si>
    <t>Which ancient Tamil dynasty is credited with promoting and spreading the art of Silambam?</t>
  </si>
  <si>
    <t>A) Pallavas, B) Cholas, C) Pandyas, D) Cheras</t>
  </si>
  <si>
    <t>B) Cholas</t>
  </si>
  <si>
    <t>In ancient times, Silambam was considered an essential skill for which group of individuals?</t>
  </si>
  <si>
    <t>A) Healers, B) Hunters, C) Merchants, D) Warriors</t>
  </si>
  <si>
    <t>D) Warriors</t>
  </si>
  <si>
    <t>Silambam is believed to have been influenced by which ancient Tamil martial code?</t>
  </si>
  <si>
    <t>A) Agam, B) Puram, C) Maru, D) Kalari</t>
  </si>
  <si>
    <t>C) Maru</t>
  </si>
  <si>
    <t>Which historical Tamil epic mentioned the use of staffs similar to those in Silambam?</t>
  </si>
  <si>
    <t>A) Silappatikaram, B) Kamba Ramayanam, C) Manimekalai, D) Thiruvilayadal</t>
  </si>
  <si>
    <t>Silambam training was mandatory for the army of which famous Tamil king?</t>
  </si>
  <si>
    <t>A) Raja Raja Chola, B) Rajendra Chola, C) Marthanda Varma, D) Karikala Chola</t>
  </si>
  <si>
    <t>In which century did the British ban Silambam to prevent rebellion?</t>
  </si>
  <si>
    <t>A) 17th century, B) 18th century, C) 19th century, D) 20th century</t>
  </si>
  <si>
    <t>Which Tamil folklore hero was said to have mastered Silambam?</t>
  </si>
  <si>
    <t>A) Alagapillai, B) Valluvan, C) Veerapandiya Kattabomman, D) Adhiyaman</t>
  </si>
  <si>
    <t>C) Veerapandiya Kattabomman</t>
  </si>
  <si>
    <t>What was the main objective of Silambam training for warriors during ancient Tamil battles?</t>
  </si>
  <si>
    <t>A) Defense against archers, B) Close combat with infantry, C) Long-range attacks, D) Ambush tactics</t>
  </si>
  <si>
    <t>B) Close combat with infantry</t>
  </si>
  <si>
    <t>Silambam was included in the traditional physical training systems of which Tamil community?</t>
  </si>
  <si>
    <t>A) Kallar, B) Maravar, C) Agamudayar, D) All of the above</t>
  </si>
  <si>
    <t>In which part of ancient Tamil Nadu was Silambam primarily practiced?</t>
  </si>
  <si>
    <t>A) Southern Tamil Nadu, B) Northern Tamil Nadu, C) Western Tamil Nadu, D) Eastern Tamil Nadu</t>
  </si>
  <si>
    <t>A) Southern Tamil Nadu</t>
  </si>
  <si>
    <t>Silambam practitioners were known to use which of the following stances?</t>
  </si>
  <si>
    <t>A) Horse stance, B) Crane stance, C) Tiger stance, D) Elephant stance</t>
  </si>
  <si>
    <t>A) Horse stance</t>
  </si>
  <si>
    <t>The term 'Silambam' is derived from the word 'Silambu', which refers to what?</t>
  </si>
  <si>
    <t>A) The sound of the staff, B) The bamboo used, C) The dance form associated with it, D) The circular movement</t>
  </si>
  <si>
    <t>A) The sound of the staff</t>
  </si>
  <si>
    <t>Silambam’s techniques were designed to defend against which type of weapon?</t>
  </si>
  <si>
    <t>A) Swords, B) Arrows, C) Spears, D) All of the above</t>
  </si>
  <si>
    <t>Which Tamil ruler made Silambam an essential part of military training?</t>
  </si>
  <si>
    <t>A) Aditya Karikalan, B) Rajendra Chola, C) Rajaraja Chola, D) Veerapandiya Kattabomman</t>
  </si>
  <si>
    <t>C) Rajaraja Chola</t>
  </si>
  <si>
    <t>In the history of Silambam, which group of people were primarily responsible for passing down the techniques?</t>
  </si>
  <si>
    <t>A) Royalty, B) Farmers, C) Warriors, D) Monks</t>
  </si>
  <si>
    <t>Silambam training often began at a young age for children in which ancient Tamil communities?</t>
  </si>
  <si>
    <t>A) Merchants, B) Priests, C) Farming families, D) Warrior clans</t>
  </si>
  <si>
    <t>D) Warrior clans</t>
  </si>
  <si>
    <t>Which South Indian classical dance form shares similar footwork patterns with Silambam?</t>
  </si>
  <si>
    <t>The Silambam stick was historically considered an extension of which body part?</t>
  </si>
  <si>
    <t>A) Arm, B) Leg, C) Shoulder, D) Neck</t>
  </si>
  <si>
    <t>A) Arm</t>
  </si>
  <si>
    <t>Which historical figure is often credited with teaching Silambam techniques to Tamil soldiers?</t>
  </si>
  <si>
    <t>A) Sage Agastya, B) Bhogar, C) Patanjali, D) Valluvan</t>
  </si>
  <si>
    <t>A) Sage Agastya</t>
  </si>
  <si>
    <t>The ancient Tamil text ‘Puram’ describes warriors using Silambam in which type of combat?</t>
  </si>
  <si>
    <t>A) Naval warfare, B) Guerrilla warfare, C) Hand-to-hand combat, D) Ritualistic combat</t>
  </si>
  <si>
    <t>C) Hand-to-hand combat</t>
  </si>
  <si>
    <t>Silambam was traditionally practiced in which type of environment in ancient Tamil Nadu?</t>
  </si>
  <si>
    <t>A) Temples, B) Villages, C) Open fields, D) Royal courts</t>
  </si>
  <si>
    <t>C) Open fields</t>
  </si>
  <si>
    <t>Silambam was one of the martial arts practiced by soldiers in which kingdom’s army?</t>
  </si>
  <si>
    <t>A) Chola Empire, B) Vijayanagar Empire, C) Pandyas, D) Nayaks</t>
  </si>
  <si>
    <t>A) Chola Empire</t>
  </si>
  <si>
    <t>Silambam was used for both warfare and what other traditional purpose in ancient Tamil Nadu?</t>
  </si>
  <si>
    <t>A) Farming, B) Self-defense, C) Ritual dances, D) Animal taming</t>
  </si>
  <si>
    <t>B) Self-defense</t>
  </si>
  <si>
    <t>Silambam was believed to enhance which physical ability that was critical for warriors?</t>
  </si>
  <si>
    <t>A) Strength, B) Flexibility, C) Agility, D) Endurance</t>
  </si>
  <si>
    <t>Which historical Tamil poet referenced Silambam in his writings?</t>
  </si>
  <si>
    <t>A) Thiruvalluvar, B) Kambar, C) Avvaiyar, D) Ilango Adigal</t>
  </si>
  <si>
    <t>D) Ilango Adigal</t>
  </si>
  <si>
    <t>The use of the Silambam stick was combined with which type of physical movement?</t>
  </si>
  <si>
    <t>A) Leaps, B) Rolls, C) Spins, D) Crawls</t>
  </si>
  <si>
    <t>C) Spins</t>
  </si>
  <si>
    <t>In ancient Tamil Nadu, Silambam training was also given to which gender for self-defense?</t>
  </si>
  <si>
    <t>A) Only men, B) Only women, C) Both men and women, D) Only warriors</t>
  </si>
  <si>
    <t>C) Both men and women</t>
  </si>
  <si>
    <t>Which famous battle during the Chola reign saw extensive use of Silambam by infantry units?</t>
  </si>
  <si>
    <t>A) Battle of Takkolam, B) Battle of Kalinga, C) Battle of Pulikat, D) Battle of Madurai</t>
  </si>
  <si>
    <t>A) Battle of Takkolam</t>
  </si>
  <si>
    <t>Silambam was considered not just a martial art but also a spiritual practice. What was it believed to cultivate?</t>
  </si>
  <si>
    <t>A) Peace, B) Discipline, C) Wealth, D) Health</t>
  </si>
  <si>
    <t>B) Discipline</t>
  </si>
  <si>
    <t>The early texts on Silambam referred to it as a means to develop which mental attribute?</t>
  </si>
  <si>
    <t>A) Intelligence, B) Focus, C) Empathy, D) Patience</t>
  </si>
  <si>
    <t>B) Focus</t>
  </si>
  <si>
    <t>Silambam practitioners were historically known for wearing what during training?</t>
  </si>
  <si>
    <t>A) Armor, B) Simple robes, C) Animal skins, D) Cotton dhotis</t>
  </si>
  <si>
    <t>D) Cotton dhotis</t>
  </si>
  <si>
    <t>Which Tamil scholar is said to have formalized the teaching of Silambam during the Sangam period?</t>
  </si>
  <si>
    <t>A) Avvaiyar, B) Bharathi, C) Agastya, D) Tholkappiar</t>
  </si>
  <si>
    <t>C) Agastya</t>
  </si>
  <si>
    <t>Silambam played a significant role in resisting the invasion of which empire into Tamil lands?</t>
  </si>
  <si>
    <t>A) Mughal Empire, B) Vijayanagara Empire, C) Maratha Empire, D) British Empire</t>
  </si>
  <si>
    <t>D) British Empire</t>
  </si>
  <si>
    <t>The use of Silambam in public performances became popular in which era?</t>
  </si>
  <si>
    <t>A) Pallava Era, B) Sangam Era, C) Vijayanagar Era, D) Nayak Era</t>
  </si>
  <si>
    <t>C) Vijayanagar Era</t>
  </si>
  <si>
    <t>Which Tamil god is often associated with Silambam and warfare?</t>
  </si>
  <si>
    <t>A) Lord Murugan, B) Lord Shiva, C) Lord Vishnu, D) Lord Indra</t>
  </si>
  <si>
    <t>A) Lord Murugan</t>
  </si>
  <si>
    <t>Silambam techniques were traditionally passed down through which form of transmission?</t>
  </si>
  <si>
    <t>A) Written texts, B) Oral tradition, C) Temple inscriptions, D) Royal decrees</t>
  </si>
  <si>
    <t>Which Tamil Nadu festival often included demonstrations of Silambam as part of its celebrations?</t>
  </si>
  <si>
    <t>A) Pongal, B) Diwali, C) Navaratri, D) Thaipusam</t>
  </si>
  <si>
    <t>Which part of the Silambam stick is considered most dangerous for delivering strikes?</t>
  </si>
  <si>
    <t>A) Tip, B) Middle, C) Base, D) Edges</t>
  </si>
  <si>
    <t>A) Tip</t>
  </si>
  <si>
    <t>Which Tamil warrior queen was said to be proficient in Silambam?</t>
  </si>
  <si>
    <t>A) Velu Nachiyar, B) Rani Mangammal, C) Kundavai, D) Meenakshi</t>
  </si>
  <si>
    <t>A) Velu Nachiyar</t>
  </si>
  <si>
    <t>Which Tamil text, often associated with martial arts, includes Silambam techniques?</t>
  </si>
  <si>
    <t>A) Kural, B) Tolkappiyam, C) Silappatikaram, D) Periyapuranam</t>
  </si>
  <si>
    <t>Silambam is considered one of the oldest martial arts in the world. It dates back to which century?</t>
  </si>
  <si>
    <t>A) 1st century BCE, B) 3rd century BCE, C) 5th century CE, D) 6th century CE</t>
  </si>
  <si>
    <t>B) 3rd century BCE</t>
  </si>
  <si>
    <t>Which ancient Tamil king was known for his promotion of martial arts, including Silambam?</t>
  </si>
  <si>
    <t>A) Karikala Chola, B) Rajaraja Chola, C) Veerapandiya Kattabomman, D) Marthanda Varma</t>
  </si>
  <si>
    <t>A) Karikala Chola</t>
  </si>
  <si>
    <t>During which major conflict was Silambam used by the Tamil warriors to resist British rule?</t>
  </si>
  <si>
    <t>A) Vellore Mutiny, B) First Carnatic War, C) Poligar Wars, D) Battle of Plassey</t>
  </si>
  <si>
    <t>C) Poligar Wars</t>
  </si>
  <si>
    <t>Silambam was historically passed down through which form of instruction in Tamil Nadu?</t>
  </si>
  <si>
    <t>A) Temples, B) Monasteries, C) Martial art schools, D) Family lineage</t>
  </si>
  <si>
    <t>D) Family lineage</t>
  </si>
  <si>
    <t>The Silambam staff is traditionally measured by what factor?</t>
  </si>
  <si>
    <t>A) Length of a warrior's arm, B) Warrior's height, C) Weight of the stick, D) Thickness of the staff</t>
  </si>
  <si>
    <t>B) Warrior's height</t>
  </si>
  <si>
    <t>The origin of Silambam is linked to which group of ancient Tamil people?</t>
  </si>
  <si>
    <t>A) Kalabhras, B) Maravars, C) Pallavas, D) Kallars</t>
  </si>
  <si>
    <t>B) Maravars</t>
  </si>
  <si>
    <t>Which historical invasion caused a temporary decline in the practice of Silambam?</t>
  </si>
  <si>
    <t>A) Mughal Invasion, B) British Invasion, C) Dutch Invasion, D) Portuguese Invasion</t>
  </si>
  <si>
    <t>B) British Invasion</t>
  </si>
  <si>
    <t>Silambam's historical roots are believed to have been influenced by which neighboring region's martial arts?</t>
  </si>
  <si>
    <t>A) Kerala, B) Sri Lanka, C) Andhra Pradesh, D) Karnataka</t>
  </si>
  <si>
    <t>Which Tamil deity is associated with the practice of Silambam and martial skills?</t>
  </si>
  <si>
    <t>A) Lord Murugan, B) Lord Vishnu, C) Lord Shiva, D) Goddess Parvati</t>
  </si>
  <si>
    <t>During the 18th century, Silambam was a major part of the military training of which Tamil kingdom?</t>
  </si>
  <si>
    <t>A) Chola Kingdom, B) Pandya Kingdom, C) Travancore Kingdom, D) Madurai Nayaks</t>
  </si>
  <si>
    <t>D) Madurai Nayaks</t>
  </si>
  <si>
    <t>The traditional Silambam training involved which of the following rituals?</t>
  </si>
  <si>
    <t>A) Fasting before training, B) Morning and evening practice, C) Ceremonial offerings, D) Wearing sacred threads</t>
  </si>
  <si>
    <t>B) Morning and evening practice</t>
  </si>
  <si>
    <t>Which European colonial power attempted to ban Silambam in the 19th century?</t>
  </si>
  <si>
    <t>A) French, B) Portuguese, C) Dutch, D) British</t>
  </si>
  <si>
    <t>Silambam was practiced as a form of self-defense against which ancient threat in Tamil Nadu?</t>
  </si>
  <si>
    <t>A) Animal attacks, B) Bandits, C) Rival kingdoms, D) Pirates</t>
  </si>
  <si>
    <t>B) Bandits</t>
  </si>
  <si>
    <t>Which weapon was traditionally used alongside Silambam in ancient Tamil warfare?</t>
  </si>
  <si>
    <t>A) Sword, B) Spear, C) Bow and arrow, D) Shield</t>
  </si>
  <si>
    <t>Silambam was used as a method to protect which ancient Tamil trade routes?</t>
  </si>
  <si>
    <t>A) Maritime trade routes, B) Spice routes, C) Silk routes, D) Salt routes</t>
  </si>
  <si>
    <t>B) Spice routes</t>
  </si>
  <si>
    <t>Silambam was especially popular among which ancient Tamil caste group?</t>
  </si>
  <si>
    <t>The preservation of Silambam during colonial times was largely due to the efforts of which group?</t>
  </si>
  <si>
    <t>A) Peasant warriors, B) Monks, C) Secret societies, D) Freedom fighters</t>
  </si>
  <si>
    <t>D) Freedom fighters</t>
  </si>
  <si>
    <t>Which legendary Tamil poet referenced martial arts such as Silambam in his works?</t>
  </si>
  <si>
    <t>A) Subramania Bharathi, B) Avvaiyar, C) Kambar, D) Thiruvalluvar</t>
  </si>
  <si>
    <t>C) Kambar</t>
  </si>
  <si>
    <t>Which early Sangam era text made significant references to the practice of Silambam?</t>
  </si>
  <si>
    <t>A) Purananuru, B) Thirukkural, C) Ainkurunuru, D) Manimekalai</t>
  </si>
  <si>
    <t>During which Tamil festival was Silambam traditionally demonstrated?</t>
  </si>
  <si>
    <t>A) Pongal, B) Diwali, C) Ugadi, D) Holi</t>
  </si>
  <si>
    <t>The spread of Silambam outside India during ancient times is linked to which Southeast Asian country?</t>
  </si>
  <si>
    <t>A) Thailand, B) Indonesia, C) Malaysia, D) Cambodia</t>
  </si>
  <si>
    <t>Silambam is often compared to which Southeast Asian martial art due to its techniques?</t>
  </si>
  <si>
    <t>A) Eskrima, B) Krav Maga, C) Pencak Silat, D) Muay Thai</t>
  </si>
  <si>
    <t>C) Pencak Silat</t>
  </si>
  <si>
    <t>Which Tamil princess is known to have trained in Silambam as part of her royal education?</t>
  </si>
  <si>
    <t>A) Velu Nachiyar, B) Rani Mangammal, C) Meenakshi, D) Kundavai</t>
  </si>
  <si>
    <t>C) Meenakshi</t>
  </si>
  <si>
    <t>In ancient Tamil Nadu, Silambam was believed to develop not only physical strength but also which mental trait?</t>
  </si>
  <si>
    <t>A) Wisdom, B) Concentration, C) Fearlessness, D) Patience</t>
  </si>
  <si>
    <t>B) Concentration</t>
  </si>
  <si>
    <t>Silambam practitioners traditionally carried staffs of varying lengths. What was the purpose of the longer staff?</t>
  </si>
  <si>
    <t>A) Dueling, B) Long-range combat, C) Defense against animals, D) Ritual performances</t>
  </si>
  <si>
    <t>B) Long-range combat</t>
  </si>
  <si>
    <t>Which Tamil philosopher-warrior was reputed to have practiced Silambam as part of his discipline?</t>
  </si>
  <si>
    <t>A) Patanjali, B) Agastya, C) Bhogar, D) Vallalar</t>
  </si>
  <si>
    <t>B) Agastya</t>
  </si>
  <si>
    <t>Silambam was often performed alongside which other Tamil martial art in royal courts?</t>
  </si>
  <si>
    <t>A) Varma Kalai, B) Kalaripayattu, C) Adimurai, D) Malyutham</t>
  </si>
  <si>
    <t>A) Varma Kalai</t>
  </si>
  <si>
    <t>Silambam demonstrations were a part of the military training in which Tamil dynasty?</t>
  </si>
  <si>
    <t>A) Chera, B) Chola, C) Pallava, D) Pandya</t>
  </si>
  <si>
    <t>Which Tamil warrior, famous for his resistance to British rule, used Silambam in his revolt?</t>
  </si>
  <si>
    <t>A) Veerapandiya Kattabomman, B) Maruthu Pandiyar, C) Puli Thevar, D) Dheeran Chinnamalai</t>
  </si>
  <si>
    <t>A) Veerapandiya Kattabomman</t>
  </si>
  <si>
    <t>Which British colonial act in the 1800s indirectly caused a resurgence of interest in Silambam?</t>
  </si>
  <si>
    <t>A) Indian Penal Code, B) Arms Act, C) Rowlatt Act, D) Vernacular Press Act</t>
  </si>
  <si>
    <t>B) Arms Act</t>
  </si>
  <si>
    <t>Which part of the traditional Silambam staff is believed to have spiritual significance?</t>
  </si>
  <si>
    <t>A) Handle, B) Middle, C) Tip, D) Entire staff</t>
  </si>
  <si>
    <t>D) Entire staff</t>
  </si>
  <si>
    <t>The resurgence of Silambam in modern Tamil Nadu is often linked to which movement?</t>
  </si>
  <si>
    <t>A) Anti-colonial movement, B) Cultural renaissance, C) Language purity movement, D) Agricultural reforms</t>
  </si>
  <si>
    <t>B) Cultural renaissance</t>
  </si>
  <si>
    <t>In ancient times, Silambam was often taught in which type of institutions?</t>
  </si>
  <si>
    <t>A) Royal palaces, B) Temples, C) Village squares, D) Military academies</t>
  </si>
  <si>
    <t>Which body part is most often targeted in traditional Silambam combat?</t>
  </si>
  <si>
    <t>A) Legs</t>
  </si>
  <si>
    <t>Silambam was popular among Tamil warriors belonging to which warrior clan?</t>
  </si>
  <si>
    <t>A) Kallars, B) Nadars, C) Vanniyars, D) Paravars</t>
  </si>
  <si>
    <t>A) Kallars</t>
  </si>
  <si>
    <t>Which river region in Tamil Nadu is historically known for training Silambam warriors?</t>
  </si>
  <si>
    <t>A) Kaveri, B) Vaigai, C) Palar, D) Tamiraparani</t>
  </si>
  <si>
    <t>B) Vaigai</t>
  </si>
  <si>
    <t>The techniques of Silambam were believed to be derived from the movements of which animal?</t>
  </si>
  <si>
    <t>A) Snake, B) Monkey, C) Tiger, D) Peacock</t>
  </si>
  <si>
    <t>A) Snake</t>
  </si>
  <si>
    <t>Which Tamil scholar was credited with compiling the earliest known rules for Silambam?</t>
  </si>
  <si>
    <t>A) Kamban, B) Thiruvalluvar, C) Agastya, D) Bharathidasan</t>
  </si>
  <si>
    <t>Which part of Tamil Nadu was a major hub for Silambam practice in ancient times?</t>
  </si>
  <si>
    <t>A) Madurai, B) Thanjavur, C) Coimbatore, D) Kanchipuram</t>
  </si>
  <si>
    <t>Silambam is sometimes referred to as the 'stick fight' of which famous Tamil kingdom?</t>
  </si>
  <si>
    <t>A) Pallava, B) Chola, C) Pandya, D) Chera</t>
  </si>
  <si>
    <t>C) Pandya</t>
  </si>
  <si>
    <t>The international spread of Silambam began in the 19th century due to migration to which region?</t>
  </si>
  <si>
    <t>A) Europe, B) Southeast Asia, C) Africa, D) Middle East</t>
  </si>
  <si>
    <t>B) Southeast Asia</t>
  </si>
  <si>
    <t>The bamboo used for Silambam staves is traditionally harvested during which season?</t>
  </si>
  <si>
    <t>A) Summer, B) Monsoon, C) Autumn, D) Spring</t>
  </si>
  <si>
    <t>B) Monsoon</t>
  </si>
  <si>
    <t>Which ancient Tamil manuscript includes references to Silambam as a method of combat training?</t>
  </si>
  <si>
    <t>A) Sangam literature, B) Tholkappiyam, C) Agastya Samhita, D) Periya Puranam</t>
  </si>
  <si>
    <t>C) Agastya Samhita</t>
  </si>
  <si>
    <t>Silambam is known for its distinctive weapon. What is this weapon traditionally made from?</t>
  </si>
  <si>
    <t>A) Wood, B) Metal, C) Bamboo, D) Leather</t>
  </si>
  <si>
    <t>C) Bamboo</t>
  </si>
  <si>
    <t>Which Tamil kingdom was known for incorporating Silambam into its military training during the medieval period?</t>
  </si>
  <si>
    <t>A) Chola Dynasty, B) Vijayanagara Empire, C) Pandya Dynasty, D) Chera Dynasty</t>
  </si>
  <si>
    <t>During which historical period did Silambam experience a significant decline due to colonial rule?</t>
  </si>
  <si>
    <t>A) Early Modern Period, B) Medieval Period, C) Ancient Period, D) Post-Industrial Period</t>
  </si>
  <si>
    <t>A) Early Modern Period</t>
  </si>
  <si>
    <t>Which Tamil region is famous for having the traditional Silambam schools that preserved the art during the colonial era?</t>
  </si>
  <si>
    <t>A) Kanyakumari, B) Madurai, C) Chennai, D) Tirunelveli</t>
  </si>
  <si>
    <t>The practice of Silambam was historically supported by which Tamil cultural institution?</t>
  </si>
  <si>
    <t>A) Monasteries, B) Temples, C) Royal courts, D) Village councils</t>
  </si>
  <si>
    <t>Which Tamil warrior king is associated with the propagation of Silambam techniques in warfare?</t>
  </si>
  <si>
    <t>A) Rajaraja Chola, B) Veerapandiya Kattabomman, C) Sundara Chola, D) Maruthu Pandiyar</t>
  </si>
  <si>
    <t>A) Rajaraja Chola</t>
  </si>
  <si>
    <t>In which Tamil epic is Silambam portrayed as a key component of martial valor?</t>
  </si>
  <si>
    <t>A) Silappatikaram, B) Manimekalai, C) Kambar Ramayanam, D) Thirukkural</t>
  </si>
  <si>
    <t>Which Tamil festival included Silambam demonstrations as part of its traditional events during the medieval period?</t>
  </si>
  <si>
    <t>A) Pongal, B) Tamil New Year, C) Deepavali, D) Maha Shivaratri</t>
  </si>
  <si>
    <t>Which foreign invader's arrival led to the increased importance of Silambam as a method of resistance?</t>
  </si>
  <si>
    <t>A) Dutch, B) French, C) British, D) Portuguese</t>
  </si>
  <si>
    <t>Which ancient Tamil city was renowned for its Silambam practitioners and schools?</t>
  </si>
  <si>
    <t>A) Kanchipuram, B) Thanjavur, C) Madurai, D) Coimbatore</t>
  </si>
  <si>
    <t>C) Madurai</t>
  </si>
  <si>
    <t>Which Tamil king used Silambam as a form of elite training for his personal guard?</t>
  </si>
  <si>
    <t>A) Raja Raja Chola, B) Vikrama Chola, C) Kulothunga Chola, D) Rajendra Chola</t>
  </si>
  <si>
    <t>D) Rajendra Chola</t>
  </si>
  <si>
    <t>Which Tamil martial art closely related to Silambam also uses a variety of weapons?</t>
  </si>
  <si>
    <t>A) Kalaripayattu, B) Varma Kalai, C) Adimurai, D) Malyutham</t>
  </si>
  <si>
    <t>Which historical Tamil figure is celebrated for reviving Silambam during the 20th century?</t>
  </si>
  <si>
    <t>A) Subramania Bharathi, B) V. Krishnamachari, C) M. R. Vasudevan, D) K. N. Ganapathi</t>
  </si>
  <si>
    <t>B) V. Krishnamachari</t>
  </si>
  <si>
    <t>Which Tamil art form used Silambam as a key element in its traditional performances?</t>
  </si>
  <si>
    <t>A) Bharatanatyam, B) Kathakali, C) Kuttu, D) Ottamthullal</t>
  </si>
  <si>
    <t>C) Kuttu</t>
  </si>
  <si>
    <t>Which Tamil king's army was famously equipped with Silambam-trained soldiers?</t>
  </si>
  <si>
    <t>A) Chera King, B) Chola King, C) Pandya King, D) Pallava King</t>
  </si>
  <si>
    <t>B) Chola King</t>
  </si>
  <si>
    <t>The training of Silambam was often associated with which kind of traditional Tamil education?</t>
  </si>
  <si>
    <t>A) Gurukula system, B) Monastic schools, C) Royal academies, D) Temple schools</t>
  </si>
  <si>
    <t>A) Gurukula system</t>
  </si>
  <si>
    <t>In the context of Tamil history, Silambam was used as a form of defense against which type of threat?</t>
  </si>
  <si>
    <t>A) Foreign invasions, B) Banditry, C) Natural disasters, D) Animal attacks</t>
  </si>
  <si>
    <t>B) Banditry</t>
  </si>
  <si>
    <t>Which Tamil prince was known for his expertise in Silambam and its strategic use in battles?</t>
  </si>
  <si>
    <t>A) Prince Bharath, B) Prince Rajendra, C) Prince Sundara, D) Prince Chola</t>
  </si>
  <si>
    <t>B) Prince Rajendra</t>
  </si>
  <si>
    <t>Which Tamil martial arts tradition influenced the development of Silambam?</t>
  </si>
  <si>
    <t>A) Kalaripayattu, B) Adimurai, C) Varma Kalai, D) Malyutham</t>
  </si>
  <si>
    <t>B) Adimurai</t>
  </si>
  <si>
    <t>Which Tamil historical figure was known for using Silambam techniques in defending their kingdom?</t>
  </si>
  <si>
    <t>C) Puli Thevar</t>
  </si>
  <si>
    <t>Silambam's role in Tamil military history can be traced back to which ancient text?</t>
  </si>
  <si>
    <t>A) The Kural, B) Tholkappiyam, C) Agastya's writings, D) Sangam poetry</t>
  </si>
  <si>
    <t>C) Agastya's writings</t>
  </si>
  <si>
    <t>Which Tamil festival, still celebrated today, includes traditional Silambam performances?</t>
  </si>
  <si>
    <t>A) Pongal, B) Diwali, C) Navratri, D) Golu</t>
  </si>
  <si>
    <t>The techniques of Silambam were documented in which ancient Tamil work?</t>
  </si>
  <si>
    <t>A) Tolkappiyam, B) Kural, C) Silappatikaram, D) Manimekalai</t>
  </si>
  <si>
    <t>Silambam was utilized by Tamil warriors primarily for which purpose?</t>
  </si>
  <si>
    <t>A) Sports, B) Rituals, C) Warfare, D) Entertainment</t>
  </si>
  <si>
    <t>C) Warfare</t>
  </si>
  <si>
    <t>Which Tamil king's reign saw the flourishing of Silambam as a martial art?</t>
  </si>
  <si>
    <t>A) Rajaraja Chola, B) Sundara Chola, C) Kulothunga Chola, D) Rajendra Chola</t>
  </si>
  <si>
    <t>Which Tamil region is historically known for its significant contributions to the practice of Silambam?</t>
  </si>
  <si>
    <t>A) Kanyakumari, B) Madurai, C) Chennai, D) Coimbatore</t>
  </si>
  <si>
    <t>The resurgence of Silambam in modern times is attributed to which cultural revival movement?</t>
  </si>
  <si>
    <t>A) Tamil Renaissance, B) Bhakti Movement, C) Reform Movement, D) Nationalist Movement</t>
  </si>
  <si>
    <t>Which Tamil text, revered in the martial arts tradition, includes lessons on Silambam?</t>
  </si>
  <si>
    <t>A) Tholkappiyam, B) Agastya Samhita, C) Kural, D) Silappatikaram</t>
  </si>
  <si>
    <t>B) Agastya Samhita</t>
  </si>
  <si>
    <t>In which Tamil dynasty did Silambam become a prominent martial practice?</t>
  </si>
  <si>
    <t>A) Chola Dynasty, B) Pandya Dynasty, C) Chera Dynasty, D) Vijayanagara Dynasty</t>
  </si>
  <si>
    <t>Silambam's association with Tamil martial tradition is reflected in which historical narrative?</t>
  </si>
  <si>
    <t>A) Sangam poetry, B) Periya Puranam, C) Thevaram, D) Kamba Ramayanam</t>
  </si>
  <si>
    <t>A) Sangam poetry</t>
  </si>
  <si>
    <t>Which historical figure is known for documenting and codifying Silambam techniques?</t>
  </si>
  <si>
    <t>A) Agastya, B) Kambar, C) Thiruvalluvar, D) Bharathidasan</t>
  </si>
  <si>
    <t>The practice of Silambam was historically tied to which type of Tamil societal role?</t>
  </si>
  <si>
    <t>A) Warrior class, B) Merchant class, C) Priest class, D) Artisan class</t>
  </si>
  <si>
    <t>A) Warrior class</t>
  </si>
  <si>
    <t>The legendary Tamil poet who praised Silambam in his works was:</t>
  </si>
  <si>
    <t>A) Kambar, B) Thiruvalluvar, C) Ilango Adigal, D) Bharathidasan</t>
  </si>
  <si>
    <t>C) Ilango Adigal</t>
  </si>
  <si>
    <t>Which ancient Tamil manuscript is considered a major source for Silambam's historical techniques?</t>
  </si>
  <si>
    <t>A) The Kural, B) Agastya Samhita, C) Silappatikaram, D) Tolkappiyam</t>
  </si>
  <si>
    <t>Which Tamil royal family was known for its patronage of Silambam during the medieval period?</t>
  </si>
  <si>
    <t>A) Chola, B) Pandya, C) Chera, D) Vijayanagara</t>
  </si>
  <si>
    <t>B) Pandya</t>
  </si>
  <si>
    <t>Silambam techniques were incorporated into Tamil martial arts curriculum by which historical institution?</t>
  </si>
  <si>
    <t>A) Royal courts, B) Monastic schools, C) Temple academies, D) Village councils</t>
  </si>
  <si>
    <t>C) Temple academies</t>
  </si>
  <si>
    <t>Which Tamil poet and scholar is known for his detailed descriptions of Silambam techniques in his literature?</t>
  </si>
  <si>
    <t>A) Kambar, B) Bharathidasan, C) Ilango Adigal, D) Thiruvalluvar</t>
  </si>
  <si>
    <t>During which historical period did Silambam gain prominence as a defense art against foreign invasions?</t>
  </si>
  <si>
    <t>A) Medieval Period, B) Ancient Period, C) Colonial Period, D) Post-colonial Period</t>
  </si>
  <si>
    <t>A) Medieval Period</t>
  </si>
  <si>
    <t>Which Tamil king's reign saw the widespread use of Silambam in regional conflicts?</t>
  </si>
  <si>
    <t>A) Rajaraja Chola, B) Rajendra Chola, C) Sundara Chola, D) Kulothunga Chola</t>
  </si>
  <si>
    <t>B) Rajendra Chola</t>
  </si>
  <si>
    <t>Silambam's techniques were preserved and passed down through which traditional Tamil institution?</t>
  </si>
  <si>
    <t>A) Gurukula system, B) Temple schools, C) Royal courts, D) Monastic centers</t>
  </si>
  <si>
    <t>Which Tamil festival is known for showcasing Silambam as part of its traditional celebrations?</t>
  </si>
  <si>
    <t>A) Pongal, B) Deepavali, C) Navratri, D) Ugadi</t>
  </si>
  <si>
    <t>The practice of Silambam in Tamil Nadu was supported by which historical figure during the colonial period?</t>
  </si>
  <si>
    <t>A) V. Krishnamachari, B) Subramania Bharathi, C) P. Subramaniya Iyer, D) M. R. Vasudevan</t>
  </si>
  <si>
    <t>A) V. Krishnamachari</t>
  </si>
  <si>
    <t>Which historical Tamil city was known for its traditional Silambam academies?</t>
  </si>
  <si>
    <t>A) Madurai, B) Chennai, C) Kanchipuram, D) Coimbatore</t>
  </si>
  <si>
    <t>The influence of Silambam can be seen in which Tamil martial arts tradition?</t>
  </si>
  <si>
    <t>Which Tamil king's reign saw the integration of Silambam into state military practices?</t>
  </si>
  <si>
    <t>A) Raja Raja Chola, B) Rajendra Chola, C) Sundara Chola, D) Kulothunga Chola</t>
  </si>
  <si>
    <t>The traditional practice of Silambam was closely associated with which Tamil cultural aspect?</t>
  </si>
  <si>
    <t>A) Religious rituals, B) Agricultural practices, C) Artistic performances, D) Royal ceremonies</t>
  </si>
  <si>
    <t>A) Religious rituals</t>
  </si>
  <si>
    <t>Which Tamil text describes the historical significance and techniques of Silambam?</t>
  </si>
  <si>
    <t>A) Tolkappiyam, B) Silappatikaram, C) Kural, D) Agastya Samhita</t>
  </si>
  <si>
    <t>D) Agastya Samhita</t>
  </si>
  <si>
    <t>Silambam was historically taught by which type of Tamil educator?</t>
  </si>
  <si>
    <t>A) Gurus, B) Royal instructors, C) Military trainers, D) Temple priests</t>
  </si>
  <si>
    <t>Which Tamil martial art, closely related to Silambam, also uses a variety of weaponry?</t>
  </si>
  <si>
    <t>Which Tamil ruler is celebrated for his patronage and support of Silambam during his reign?</t>
  </si>
  <si>
    <t>Which Tamil region is known for preserving the traditional Silambam techniques through village festivals?</t>
  </si>
  <si>
    <t>Silambam was historically practiced by which Tamil warrior class?</t>
  </si>
  <si>
    <t>The use of Silambam in Tamil Nadu can be traced back to which historical period?</t>
  </si>
  <si>
    <t>A) Ancient Period, B) Medieval Period, C) Colonial Period, D) Post-colonial Period</t>
  </si>
  <si>
    <t>Which historical Tamil text is known for its detailed description of Silambam techniques?</t>
  </si>
  <si>
    <t>A) Tholkappiyam, B) Kural, C) Silappatikaram, D) Agastya Samhita</t>
  </si>
  <si>
    <t>Which Tamil historical figure is known for his contributions to the preservation and documentation of Silambam?</t>
  </si>
  <si>
    <t>A) Kambar, B) Ilango Adigal, C) Bharathidasan, D) Thiruvalluvar</t>
  </si>
  <si>
    <t>B) Ilango Adigal</t>
  </si>
  <si>
    <t>The practice of Silambam was influenced by which historical Tamil military tradition?</t>
  </si>
  <si>
    <t>A) Chola military, B) Pandya military, C) Chera military, D) Vijayanagara military</t>
  </si>
  <si>
    <t>A) Chola military</t>
  </si>
  <si>
    <t>Silambam techniques were documented and preserved through which traditional Tamil institution?</t>
  </si>
  <si>
    <t>A) Gurukula system, B) Royal courts, C) Temple schools, D) Monastic centers</t>
  </si>
  <si>
    <t>Which Tamil king's reign saw the integration of Silambam into the royal military curriculum?</t>
  </si>
  <si>
    <t>Silambam's historical significance is most closely associated with which Tamil region?</t>
  </si>
  <si>
    <t>Which Tamil historical figure is credited with popularizing Silambam in modern times?</t>
  </si>
  <si>
    <t>Which historical Tamil text highlights the martial arts practices, including Silambam, used during ancient Tamil times?</t>
  </si>
  <si>
    <t>A) Tolkappiyam, B) Silappatikaram, C) Agastya Samhita, D) Kural</t>
  </si>
  <si>
    <t>Which Tamil king’s support for Silambam influenced its role in Tamil military strategy?</t>
  </si>
  <si>
    <t>The traditional practice of Silambam in Tamil Nadu was supported by which cultural institutions?</t>
  </si>
  <si>
    <t>A) Temple schools, B) Royal courts, C) Monastic centers, D) Gurukula system</t>
  </si>
  <si>
    <t>D) Gurukula system</t>
  </si>
  <si>
    <t>Which Tamil king’s reign is noted for the flourishing of Silambam as a martial art?</t>
  </si>
  <si>
    <t>The resurgence of Silambam in modern Tamil Nadu can be attributed to which movement?</t>
  </si>
  <si>
    <t>Which Tamil text describes the martial techniques of Silambam in ancient Tamil history?</t>
  </si>
  <si>
    <t>Which Tamil historical figure is known for his role in preserving and promoting Silambam during the colonial period?</t>
  </si>
  <si>
    <t>A) V. Krishnamachari, B) Subramania Bharathi, C) M. R. Vasudevan, D) P. Subramaniya Iyer</t>
  </si>
  <si>
    <t>Silambam is a part of which Tamil traditional practice that also includes other martial arts?</t>
  </si>
  <si>
    <t>Which Tamil king’s reign saw the incorporation of Silambam into state military practices?</t>
  </si>
  <si>
    <t>Silambam's role in Tamil Nadu's military history is reflected in which historical narrative?</t>
  </si>
  <si>
    <t>Which Tamil historical figure is celebrated for his expertise in Silambam and its strategic use in warfare?</t>
  </si>
  <si>
    <t>A) Rajendra Chola, B) Maruthu Pandiyar, C) Veerapandiya Kattabomman, D) Dheeran Chinnamalai</t>
  </si>
  <si>
    <t>B) Maruthu Pandiyar</t>
  </si>
  <si>
    <t>The techniques of Silambam were documented and codified by which historical Tamil institution?</t>
  </si>
  <si>
    <t>Silambam was a key aspect of which Tamil cultural practice during the medieval period?</t>
  </si>
  <si>
    <t>A) Religious rituals, B) Agricultural festivals, C) Royal ceremonies, D) Artistic performances</t>
  </si>
  <si>
    <t>Which Tamil dynasty was known for integrating Silambam into its military curriculum?</t>
  </si>
  <si>
    <t>The resurgence of Silambam in modern Tamil Nadu was significantly influenced by which historical figure?</t>
  </si>
  <si>
    <t>Which Tamil king's reign saw the widespread practice of Silambam in regional conflicts?</t>
  </si>
  <si>
    <t>Silambam's significance in Tamil history is reflected in which of the following texts?</t>
  </si>
  <si>
    <t>Which Tamil region is historically known for its Silambam practitioners and schools?</t>
  </si>
  <si>
    <t>Silambam's role in Tamil military strategy was emphasized during which Tamil king's rule?</t>
  </si>
  <si>
    <t>Which historical Tamil text describes the martial arts practices, including Silambam, used during ancient Tamil times?</t>
  </si>
  <si>
    <t>The historical practice of Silambam in Tamil Nadu was supported by which traditional institution?</t>
  </si>
  <si>
    <t>Silambam was historically practiced by which Tamil martial class?</t>
  </si>
  <si>
    <t>Which Tamil historical text is known for its detailed descriptions of Silambam techniques?</t>
  </si>
  <si>
    <t>A) Tolkappiyam, B) Kural, C) Silappatikaram, D) Agastya Samhita</t>
  </si>
  <si>
    <t>Silambam techniques were incorporated into Tamil martial arts by which historical figure?</t>
  </si>
  <si>
    <t>The historical practice of Silambam was most closely associated with which Tamil royal institution?</t>
  </si>
  <si>
    <t>Which Tamil king's reign saw the extensive practice of Silambam in regional conflicts and warfare?</t>
  </si>
  <si>
    <t>Silambam was a key aspect of Tamil military training during which historical period?</t>
  </si>
  <si>
    <t>The resurgence of Silambam in modern times was largely influenced by which Tamil cultural revival movement?</t>
  </si>
  <si>
    <t>Which Tamil historical text provides detailed insights into the techniques and significance of Silambam?</t>
  </si>
  <si>
    <t>Which historical figure is credited with compiling the traditional Silambam techniques into a structured form?</t>
  </si>
  <si>
    <t>A) Agastya, B) Bharathidasan, C) Kambar, D) Thiruvalluvar</t>
  </si>
  <si>
    <t>The practice of Silambam is believed to have been popularized during the reign of which Tamil dynasty?</t>
  </si>
  <si>
    <t>Which Tamil text is known for documenting the ancient practice of Silambam during the Sangam period?</t>
  </si>
  <si>
    <t>In which Tamil historical period was Silambam most prominently featured as a martial art?</t>
  </si>
  <si>
    <t>A) Sangam Period, B) Chola Period, C) Pandya Period, D) Vijayanagara Period</t>
  </si>
  <si>
    <t>B) Chola Period</t>
  </si>
  <si>
    <t>Silambam was prominently practiced by which class of Tamil warriors?</t>
  </si>
  <si>
    <t>Which Tamil king is known for his contributions to the promotion and development of Silambam?</t>
  </si>
  <si>
    <t>Silambam was a significant part of military training during the reign of which Tamil dynasty?</t>
  </si>
  <si>
    <t>The ancient techniques of Silambam were passed down through which traditional Tamil educational system?</t>
  </si>
  <si>
    <t>A) Gurukula System, B) Royal Courts, C) Temple Schools, D) Monastic Centers</t>
  </si>
  <si>
    <t>A) Gurukula System</t>
  </si>
  <si>
    <t>Which historical Tamil text is known for its descriptions of martial arts including Silambam?</t>
  </si>
  <si>
    <t>During which Tamil king's reign did Silambam see significant development and codification?</t>
  </si>
  <si>
    <t>Silambam's resurgence in the modern era is attributed to the efforts of which Tamil cultural figure?</t>
  </si>
  <si>
    <t>The use of Silambam in Tamil Nadu’s military strategy was formalized during which period?</t>
  </si>
  <si>
    <t>A) Medieval Period, B) Ancient Period, C) Colonial Period, D) Modern Period</t>
  </si>
  <si>
    <t>Which Tamil king's reign is known for the extensive integration of Silambam into regional conflicts?</t>
  </si>
  <si>
    <t>Silambam was traditionally practiced in Tamil Nadu as part of which cultural tradition?</t>
  </si>
  <si>
    <t>A) Adimurai, B) Kalaripayattu, C) Varma Kalai, D) Malyutham</t>
  </si>
  <si>
    <t>A) Adimurai</t>
  </si>
  <si>
    <t>Which Tamil historical text highlights the role of Silambam in ancient Tamil warfare?</t>
  </si>
  <si>
    <t>The practice of Silambam was heavily influenced by which Tamil historical warrior class?</t>
  </si>
  <si>
    <t>The resurgence of Silambam in contemporary Tamil culture is often linked to which movement?</t>
  </si>
  <si>
    <t>Silambam’s techniques were systematically documented in which Tamil text?</t>
  </si>
  <si>
    <t>Which Tamil king’s patronage helped elevate Silambam to prominence in military training?</t>
  </si>
  <si>
    <t>The practice of Silambam was traditionally associated with which Tamil warrior community?</t>
  </si>
  <si>
    <t>Which Tamil king is credited with significant contributions to the documentation and practice of Silambam?</t>
  </si>
  <si>
    <t>Silambam was an integral part of Tamil military strategy during which period?</t>
  </si>
  <si>
    <t>Which Tamil historical figure is known for his role in preserving the traditional Silambam techniques during the colonial era?</t>
  </si>
  <si>
    <t>The significance of Silambam in Tamil Nadu's history is reflected in which ancient text?</t>
  </si>
  <si>
    <t>Which Tamil king’s patronage led to the widespread practice of Silambam in regional conflicts?</t>
  </si>
  <si>
    <t>Silambam’s traditional techniques were primarily taught through which educational system?</t>
  </si>
  <si>
    <t>The resurgence of Silambam in modern Tamil Nadu is often credited to which cultural revival movement?</t>
  </si>
  <si>
    <t>Silambam's role in Tamil military history is emphasized in which traditional text?</t>
  </si>
  <si>
    <t>Which Tamil historical text is known for its extensive details on Silambam techniques and training methods?</t>
  </si>
  <si>
    <t>Silambam’s resurgence as a traditional art form in Tamil Nadu is attributed to which historical figure?</t>
  </si>
  <si>
    <t>The practice of Silambam was heavily influenced by which Tamil warrior class?</t>
  </si>
  <si>
    <t>Which Tamil king’s reign is noted for the codification and standardization of Silambam techniques?</t>
  </si>
  <si>
    <t>Silambam’s historical significance in Tamil Nadu’s martial arts is documented in which ancient text?</t>
  </si>
  <si>
    <t>The practice of Silambam in Tamil Nadu was influenced by which period’s military strategies?</t>
  </si>
  <si>
    <t>Silambam techniques were traditionally taught in which educational system during ancient Tamil times?</t>
  </si>
  <si>
    <t>Which Tamil king’s patronage was crucial in the development and promotion of Silambam during the medieval period?</t>
  </si>
  <si>
    <t>The practice of Silambam was prominently featured during which Tamil dynasty’s military campaigns?</t>
  </si>
  <si>
    <t>Which Tamil historical text is known for its detailed account of Silambam techniques and training?</t>
  </si>
  <si>
    <t>During which Tamil king’s reign did Silambam see significant advancement as a martial art?</t>
  </si>
  <si>
    <t>Which Tamil figure is credited with preserving and reviving Silambam techniques during the colonial era?</t>
  </si>
  <si>
    <t>Silambam’s historical significance is highlighted in which ancient Tamil text?</t>
  </si>
  <si>
    <t>Which Tamil king’s reign contributed significantly to the documentation and promotion of Silambam?</t>
  </si>
  <si>
    <t>The educational system through which Silambam techniques were traditionally taught is known as?</t>
  </si>
  <si>
    <t>Which Tamil king’s patronage led to the formalization of Silambam techniques during the medieval period?</t>
  </si>
  <si>
    <t>Silambam was traditionally associated with which Tamil warrior community?</t>
  </si>
  <si>
    <t>Which Tamil Renaissance figure is known for reviving the practice of Silambam in modern times?</t>
  </si>
  <si>
    <t>The historical importance of Silambam in Tamil Nadu is detailed in which ancient text?</t>
  </si>
  <si>
    <t>Which Tamil king’s reign saw significant advancements in Silambam techniques?</t>
  </si>
  <si>
    <t>Silambam was a prominent martial art during which Tamil dynasty’s military campaigns?</t>
  </si>
  <si>
    <t>Which Tamil text provides an extensive description of Silambam techniques and strategies?</t>
  </si>
  <si>
    <t>The practice of Silambam during the Tamil medieval period was influenced by which martial art?</t>
  </si>
  <si>
    <t>C) Adimurai</t>
  </si>
  <si>
    <t>Which Tamil historical king’s reign contributed significantly to the standardization of Silambam?</t>
  </si>
  <si>
    <t>The resurgence of Silambam in modern Tamil Nadu is attributed to which historical figure?</t>
  </si>
  <si>
    <t>Silambam’s techniques were documented and preserved through which traditional Tamil educational system?</t>
  </si>
  <si>
    <t>Which Tamil king’s patronage played a key role in the development and promotion of Silambam during the medieval period?</t>
  </si>
  <si>
    <t>The historical text that highlights Silambam’s role in Tamil Nadu’s military history is?</t>
  </si>
  <si>
    <t>Which Tamil king’s reign saw the flourishing of Silambam as an important martial art?</t>
  </si>
  <si>
    <t>The practice of Silambam was influenced by which Tamil warrior community during the medieval period?</t>
  </si>
  <si>
    <t>Which Tamil figure is known for his efforts in preserving and reviving Silambam techniques during the colonial period?</t>
  </si>
  <si>
    <t>Silambam’s historical significance is documented in which ancient Tamil text?</t>
  </si>
  <si>
    <t>During which Tamil king’s reign did Silambam techniques receive significant codification?</t>
  </si>
  <si>
    <t>The resurgence of Silambam in Tamil Nadu in modern times is associated with which cultural revival movement?</t>
  </si>
  <si>
    <t>Which Tamil king’s reign is associated with the formalization of Silambam techniques and training methods?</t>
  </si>
  <si>
    <t>Silambam was traditionally practiced in Tamil Nadu as part of which martial art tradition?</t>
  </si>
  <si>
    <t>Which Tamil text provides a detailed account of Silambam techniques and their application in warfare?</t>
  </si>
  <si>
    <t>The significance of Silambam in Tamil military history is emphasized in which historical text?</t>
  </si>
  <si>
    <t>Which Tamil king’s patronage led to the development and standardization of Silambam techniques?</t>
  </si>
  <si>
    <t>The resurgence of Silambam in Tamil Nadu in recent times is often linked to which figure?</t>
  </si>
  <si>
    <t>Silambam’s role in Tamil Nadu’s historical military strategies is documented in which ancient Tamil text?</t>
  </si>
  <si>
    <t>Which Tamil king’s reign saw the flourishing of Silambam as a key element of military training?</t>
  </si>
  <si>
    <t>The practice of Silambam was influenced by which Tamil warrior community during ancient times?</t>
  </si>
  <si>
    <t>Which Tamil figure is credited with the preservation and revival of Silambam during the colonial era?</t>
  </si>
  <si>
    <t>The historical text that highlights the significance of Silambam in Tamil military history is?</t>
  </si>
  <si>
    <t>Which Tamil king’s reign contributed to the extensive codification and standardization of Silambam techniques?</t>
  </si>
  <si>
    <t>Silambam’s traditional techniques were passed down through which Tamil educational system?</t>
  </si>
  <si>
    <t>The resurgence of Silambam in modern Tamil Nadu is associated with which cultural revival movement?</t>
  </si>
  <si>
    <t>Which Tamil king’s reign saw the promotion and development of Silambam as an important martial art?</t>
  </si>
  <si>
    <t>Silambam’s historical significance is documented in which traditional Tamil text?</t>
  </si>
  <si>
    <t>Which Tamil king’s patronage was crucial in the standardization and codification of Silambam techniques?</t>
  </si>
  <si>
    <t>Silambam’s role in Tamil Nadu’s military history is highlighted in which ancient text?</t>
  </si>
  <si>
    <t>During which Tamil king’s reign did Silambam techniques become standardized and codified?</t>
  </si>
  <si>
    <t>Silambam’s resurgence in Tamil Nadu in modern times is often linked to which cultural figure?</t>
  </si>
  <si>
    <t>Which ancient Tamil king is associated with the military strategies involving Silambam?</t>
  </si>
  <si>
    <t>A) Rajaraja Chola, B) Karikala Chola, C) Parantaka Chola, D) Rajendra Chola</t>
  </si>
  <si>
    <t>The practice of Silambam was notably recorded during which Tamil historical period?</t>
  </si>
  <si>
    <t>A) Sangam Period, B) Chola Period, C) Pandya Period, D) Chera Period</t>
  </si>
  <si>
    <t>A) Sangam Period</t>
  </si>
  <si>
    <t>Which Tamil dynasty is known for integrating Silambam into their military training?</t>
  </si>
  <si>
    <t>The classical Tamil text that describes Silambam as part of martial traditions is?</t>
  </si>
  <si>
    <t>A) Tolkappiyam, B) Silappatikaram, C) Manimekalai, D) Agastya Samhita</t>
  </si>
  <si>
    <t>Which historical figure is credited with documenting the techniques of Silambam in ancient Tamil Nadu?</t>
  </si>
  <si>
    <t>A) Agastya, B) Thiruvalluvar, C) Kambar, D) Bharathiar</t>
  </si>
  <si>
    <t>Silambam was prominently practiced and preserved during which Tamil king's reign?</t>
  </si>
  <si>
    <t>C) Sundara Chola</t>
  </si>
  <si>
    <t>The Silambam tradition was primarily preserved through which type of historical institutions?</t>
  </si>
  <si>
    <t>A) Royal Courts, B) Gurukula System, C) Monastic Centers, D) Temple Schools</t>
  </si>
  <si>
    <t>B) Gurukula System</t>
  </si>
  <si>
    <t>Which Tamil king's patronage is known for the development of martial arts including Silambam?</t>
  </si>
  <si>
    <t>A) Rajaraja Chola, B) Rajendra Chola, C) Parantaka Chola, D) Vikrama Chola</t>
  </si>
  <si>
    <t>The techniques and principles of Silambam were first documented in which ancient Tamil script?</t>
  </si>
  <si>
    <t>A) Brahmi, B) Grantha, C) Vatteluttu, D) Tamil</t>
  </si>
  <si>
    <t>D) Tamil</t>
  </si>
  <si>
    <t>Which text is known for providing a historical account of Silambam’s role in Tamil martial traditions?</t>
  </si>
  <si>
    <t>During which Tamil dynasty did Silambam become a key element of military training and discipline?</t>
  </si>
  <si>
    <t>Silambam’s historical evolution was influenced by which ancient Tamil martial art?</t>
  </si>
  <si>
    <t>Which Tamil king’s reign saw the formalization and documentation of Silambam techniques?</t>
  </si>
  <si>
    <t>The historical significance of Silambam was highlighted in which ancient Tamil literary work?</t>
  </si>
  <si>
    <t>A) Tolkappiyam, B) Silappatikaram, C) Manimekalai, D) Kural</t>
  </si>
  <si>
    <t>Which Tamil king’s era is associated with the resurgence of Silambam as a traditional art form?</t>
  </si>
  <si>
    <t>Silambam’s techniques were primarily transmitted through which type of traditional education?</t>
  </si>
  <si>
    <t>A) Gurukula System, B) Temple Schools, C) Royal Courts, D) Monastic Centers</t>
  </si>
  <si>
    <t>Which Tamil historical figure is known for their contributions to the preservation of Silambam?</t>
  </si>
  <si>
    <t>The role of Silambam in Tamil Nadu’s military history is extensively described in which ancient text?</t>
  </si>
  <si>
    <t>Which Tamil king’s reign is celebrated for the advancement and formalization of Silambam techniques?</t>
  </si>
  <si>
    <t>The resurgence of Silambam during the colonial period is linked to which Tamil revivalist figure?</t>
  </si>
  <si>
    <t>Silambam’s historical techniques were traditionally passed down through which system of learning?</t>
  </si>
  <si>
    <t>Which Tamil king is known for their patronage and promotion of Silambam as a key martial art?</t>
  </si>
  <si>
    <t>Silambam’s role in Tamil Nadu’s military history is documented in which Tamil text?</t>
  </si>
  <si>
    <t>During which Tamil king’s reign did Silambam undergo significant development and standardization?</t>
  </si>
  <si>
    <t>The traditional practice of Silambam was taught and preserved through which ancient educational system?</t>
  </si>
  <si>
    <t>Which Tamil king’s patronage is crucial to the historical development of Silambam?</t>
  </si>
  <si>
    <t>The resurgence of Silambam in modern Tamil Nadu is associated with which cultural figure?</t>
  </si>
  <si>
    <t>Silambam’s historical importance in Tamil Nadu is highlighted in which ancient literary work?</t>
  </si>
  <si>
    <t>Which Tamil king’s era saw significant advancements and codification of Silambam techniques?</t>
  </si>
  <si>
    <t>The traditional Silambam techniques were transmitted through which ancient Tamil learning institutions?</t>
  </si>
  <si>
    <t>Which Tamil king’s reign was pivotal for the documentation and formalization of Silambam techniques?</t>
  </si>
  <si>
    <t>The historical resurgence of Silambam is linked to which Tamil figure’s efforts during the colonial period?</t>
  </si>
  <si>
    <t>Silambam’s significance in Tamil martial history is extensively described in which ancient text?</t>
  </si>
  <si>
    <t>Which Tamil king’s reign contributed to the formalization and promotion of Silambam?</t>
  </si>
  <si>
    <t>The practice and preservation of Silambam during the colonial period were greatly influenced by which figure?</t>
  </si>
  <si>
    <t>Silambam’s historical techniques were recorded in which ancient Tamil script?</t>
  </si>
  <si>
    <t>The resurgence of Silambam in modern Tamil Nadu is attributed to which cultural revival movement?</t>
  </si>
  <si>
    <t>Which Tamil king’s era is most associated with the growth and standardization of Silambam techniques?</t>
  </si>
  <si>
    <t>Silambam’s role in Tamil Nadu’s military strategies is described in which ancient Tamil literary work?</t>
  </si>
  <si>
    <t>The techniques of Silambam were traditionally passed through which educational system in ancient Tamil Nadu?</t>
  </si>
  <si>
    <t>Which Tamil king’s patronage was significant in preserving and developing Silambam?</t>
  </si>
  <si>
    <t>The resurgence of Silambam in modern Tamil Nadu is often linked to which revivalist figure?</t>
  </si>
  <si>
    <t>Which ancient Tamil text is known for its detailed account of Silambam techniques and their application?</t>
  </si>
  <si>
    <t>During which Tamil king’s reign did Silambam undergo significant documentation and formalization?</t>
  </si>
  <si>
    <t>The practice of Silambam was traditionally preserved through which form of Tamil education?</t>
  </si>
  <si>
    <t>Which Tamil king’s era is most noted for the advancement of Silambam as a martial art?</t>
  </si>
  <si>
    <t>Silambam’s historical significance and techniques are recorded in which Tamil script?</t>
  </si>
  <si>
    <t>The resurgence of Silambam in modern times is associated with which Tamil cultural revival?</t>
  </si>
  <si>
    <t>Which Tamil king’s reign is associated with the formalization and codification of Silambam techniques?</t>
  </si>
  <si>
    <t>The historical preservation of Silambam was primarily achieved through which educational system?</t>
  </si>
  <si>
    <t>Which Tamil king’s patronage contributed significantly to the development of Silambam?</t>
  </si>
  <si>
    <t>Silambam’s resurgence in Tamil Nadu in recent times is attributed to which figure?</t>
  </si>
  <si>
    <t>The historical significance of Silambam is described in which Tamil text?</t>
  </si>
  <si>
    <t>During which Tamil king’s reign did Silambam techniques receive notable codification?</t>
  </si>
  <si>
    <t>Silambam’s historical techniques were primarily preserved through which traditional education system?</t>
  </si>
  <si>
    <t>Which Tamil king’s patronage was crucial in the advancement and preservation of Silambam?</t>
  </si>
  <si>
    <t>The resurgence of Silambam in Tamil Nadu is linked to which Tamil revivalist movement?</t>
  </si>
  <si>
    <t>Which Tamil king’s reign saw the development and standardization of Silambam techniques?</t>
  </si>
  <si>
    <t>Silambam’s historical techniques and significance are recorded in which ancient Tamil script?</t>
  </si>
  <si>
    <t>The preservation and formalization of Silambam were largely achieved through which educational system?</t>
  </si>
  <si>
    <t>Which Tamil king’s era is most celebrated for the advancement of Silambam as a martial art?</t>
  </si>
  <si>
    <t>The role of Silambam in Tamil Nadu’s military history is described in which ancient text?</t>
  </si>
  <si>
    <t>Which Tamil king’s patronage was pivotal for the codification and development of Silambam techniques?</t>
  </si>
  <si>
    <t>Silambam’s resurgence in modern Tamil Nadu is attributed to which cultural revival figure?</t>
  </si>
  <si>
    <t>The historical significance of Silambam is detailed in which Tamil text?</t>
  </si>
  <si>
    <t>During which Tamil king’s reign did Silambam techniques receive significant formalization and documentation?</t>
  </si>
  <si>
    <t>Silambam’s historical techniques and significance were preserved through which educational tradition?</t>
  </si>
  <si>
    <t>Which Tamil king’s patronage was crucial for the preservation and advancement of Silambam?</t>
  </si>
  <si>
    <t>The resurgence of Silambam in Tamil Nadu is often associated with which cultural revivalist?</t>
  </si>
  <si>
    <t>Silambam’s techniques and historical significance are described in which ancient Tamil literary work?</t>
  </si>
  <si>
    <t>Which Tamil king’s reign saw the formalization and advancement of Silambam techniques?</t>
  </si>
  <si>
    <t>The preservation of Silambam techniques was largely achieved through which educational institution?</t>
  </si>
  <si>
    <t>Which Tamil king’s patronage is key to understanding the development of Silambam?</t>
  </si>
  <si>
    <t>The revival of Silambam in modern Tamil Nadu is credited to which cultural figure?</t>
  </si>
  <si>
    <t>Silambam’s historical techniques and contributions are detailed in which Tamil literary work?</t>
  </si>
  <si>
    <t>During which Tamil king’s reign did Silambam achieve significant formalization and documentation?</t>
  </si>
  <si>
    <t>Silambam’s techniques were preserved through which traditional Tamil educational system?</t>
  </si>
  <si>
    <t>Which Tamil king’s patronage played a crucial role in the development of Silambam?</t>
  </si>
  <si>
    <t>The modern resurgence of Silambam in Tamil Nadu is attributed to which revivalist?</t>
  </si>
  <si>
    <t>Silambam’s historical significance and techniques are recorded in which ancient Tamil text?</t>
  </si>
  <si>
    <t>Which Tamil king’s era is most celebrated for the standardization and advancement of Silambam techniques?</t>
  </si>
  <si>
    <t>The historical preservation and formalization of Silambam were largely achieved through which educational tradition?</t>
  </si>
  <si>
    <t>Which Tamil king’s patronage was crucial to the development and preservation of Silambam?</t>
  </si>
  <si>
    <t>The resurgence of Silambam in modern Tamil Nadu is often linked to which cultural revivalist figure?</t>
  </si>
  <si>
    <t>Which ancient Tamil king is known for commissioning a comprehensive manual on Silambam?</t>
  </si>
  <si>
    <t>A) Rajaraja Chola, B) Rajendra Chola, C) Aditya Chola, D) Parantaka Chola</t>
  </si>
  <si>
    <t>The spread of Silambam to different regions of South India was influenced by which historical period?</t>
  </si>
  <si>
    <t>A) Sangam Period, B) Medieval Chola Period, C) Vijayanagara Empire, D) Colonial Era</t>
  </si>
  <si>
    <t>B) Medieval Chola Period</t>
  </si>
  <si>
    <t>Which Tamil literary work is one of the earliest to mention Silambam techniques?</t>
  </si>
  <si>
    <t>A) Tolkappiyam, B) Silappatikaram, C) Kural, D) Manimekalai</t>
  </si>
  <si>
    <t>During which Tamil dynasty did Silambam undergo significant formalization and documentation?</t>
  </si>
  <si>
    <t>A) Pallava Dynasty, B) Chola Dynasty, C) Pandya Dynasty, D) Chera Dynasty</t>
  </si>
  <si>
    <t>B) Chola Dynasty</t>
  </si>
  <si>
    <t>Which Tamil king’s era is known for significant contributions to the development of Silambam as a martial art?</t>
  </si>
  <si>
    <t>The revival of Silambam in the 20th century was largely due to efforts of which prominent figure?</t>
  </si>
  <si>
    <t>Which Tamil king’s rule saw the integration of Silambam into military training and strategy?</t>
  </si>
  <si>
    <t>The practice of Silambam was codified in which ancient Tamil text?</t>
  </si>
  <si>
    <t>A) Agastya Samhita, B) Kural, C) Silappatikaram, D) Tolkappiyam</t>
  </si>
  <si>
    <t>A) Agastya Samhita</t>
  </si>
  <si>
    <t>Which Tamil king’s era is celebrated for preserving and enhancing Silambam techniques?</t>
  </si>
  <si>
    <t>The documentation of Silambam techniques during the medieval period was significantly influenced by which historical event?</t>
  </si>
  <si>
    <t>A) Chola Expansion, B) Pandya Wars, C) Vijayanagara Empire Rise, D) British Colonial Rule</t>
  </si>
  <si>
    <t>A) Chola Expansion</t>
  </si>
  <si>
    <t>The resurgence of Silambam in the 20th century is credited to the efforts of which cultural revivalist?</t>
  </si>
  <si>
    <t>Which Tamil king is known for his patronage of Silambam and its integration into the military curriculum?</t>
  </si>
  <si>
    <t>The historical significance of Silambam in Tamil Nadu is detailed in which Tamil manuscript?</t>
  </si>
  <si>
    <t>Which Tamil king’s reign is associated with the major development and standardization of Silambam?</t>
  </si>
  <si>
    <t>The historical transmission of Silambam techniques was largely achieved through which educational system?</t>
  </si>
  <si>
    <t>Which Tamil king’s patronage played a key role in the preservation and development of Silambam?</t>
  </si>
  <si>
    <t>The revival of Silambam during the colonial era is associated with which key figure?</t>
  </si>
  <si>
    <t>Which ancient Tamil text provides a comprehensive account of Silambam techniques and their applications?</t>
  </si>
  <si>
    <t>During which Tamil dynasty did Silambam experience significant formalization and enhancement?</t>
  </si>
  <si>
    <t>Which Tamil king’s era is most noted for integrating Silambam into military training and strategy?</t>
  </si>
  <si>
    <t>The historical preservation of Silambam was primarily achieved through which Tamil educational system?</t>
  </si>
  <si>
    <t>Which Tamil king’s patronage is crucial for understanding the historical development of Silambam?</t>
  </si>
  <si>
    <t>The resurgence of Silambam in Tamil Nadu in the 20th century is attributed to which revivalist figure?</t>
  </si>
  <si>
    <t>Which Tamil text offers insights into the historical significance and techniques of Silambam?</t>
  </si>
  <si>
    <t>Which Tamil king’s rule saw the formal documentation and standardization of Silambam techniques?</t>
  </si>
  <si>
    <t>Silambam’s historical techniques were preserved through which traditional Tamil educational institution?</t>
  </si>
  <si>
    <t>Which Tamil king’s patronage was vital for the development and advancement of Silambam?</t>
  </si>
  <si>
    <t>The modern revival of Silambam in Tamil Nadu is associated with which prominent cultural figure?</t>
  </si>
  <si>
    <t>The historical significance and techniques of Silambam are chronicled in which ancient Tamil text?</t>
  </si>
  <si>
    <t>Which Tamil king’s reign is celebrated for the advancement and codification of Silambam techniques?</t>
  </si>
  <si>
    <t>The preservation of Silambam techniques was largely achieved through which traditional Tamil educational tradition?</t>
  </si>
  <si>
    <t>Which Tamil king’s patronage played a crucial role in the historical development of Silambam?</t>
  </si>
  <si>
    <t>The modern resurgence of Silambam in Tamil Nadu is attributed to which cultural revivalist?</t>
  </si>
  <si>
    <t>Silambam’s historical techniques and significance are described in which Tamil manuscript?</t>
  </si>
  <si>
    <t>Which Tamil king’s reign is most notable for the formalization and enhancement of Silambam techniques?</t>
  </si>
  <si>
    <t>The historical preservation and formalization of Silambam were significantly influenced by which educational system?</t>
  </si>
  <si>
    <t>Which Tamil king’s patronage is key to understanding the historical development of Silambam?</t>
  </si>
  <si>
    <t>The resurgence of Silambam in modern Tamil Nadu is associated with which cultural revivalist figure?</t>
  </si>
  <si>
    <t>Which Tamil text offers a comprehensive account of Silambam techniques and their applications?</t>
  </si>
  <si>
    <t>Which Tamil king’s era is celebrated for the significant development and documentation of Silambam techniques?</t>
  </si>
  <si>
    <t>The historical preservation of Silambam techniques was largely achieved through which traditional Tamil educational system?</t>
  </si>
  <si>
    <t>The revival of Silambam during the colonial period is associated with which prominent figure?</t>
  </si>
  <si>
    <t>The historical techniques and significance of Silambam are detailed in which Tamil manuscript?</t>
  </si>
  <si>
    <t>During which Tamil king’s reign did Silambam achieve significant formalization and standardization?</t>
  </si>
  <si>
    <t>Silambam’s techniques were preserved through which traditional Tamil educational institution?</t>
  </si>
  <si>
    <t>Which Tamil king’s patronage was crucial for the development and preservation of Silambam?</t>
  </si>
  <si>
    <t>The modern revival of Silambam in Tamil Nadu is attributed to which key cultural figure?</t>
  </si>
  <si>
    <t>The historical techniques and contributions of Silambam are chronicled in which Tamil text?</t>
  </si>
  <si>
    <t>Silambam’s preservation and formalization were achieved through which traditional Tamil educational tradition?</t>
  </si>
  <si>
    <t>Which Tamil king’s patronage is critical to understanding the historical development of Silambam?</t>
  </si>
  <si>
    <t>The modern resurgence of Silambam in Tamil Nadu is often linked to which cultural revivalist?</t>
  </si>
  <si>
    <t>Silambam’s historical techniques and significance are recorded in which ancient Tamil text?</t>
  </si>
  <si>
    <t>Which Tamil king’s era is celebrated for the significant development and documentation of Silambam?</t>
  </si>
  <si>
    <t>The preservation of Silambam techniques was achieved through which traditional Tamil educational institution?</t>
  </si>
  <si>
    <t>Which Tamil king’s patronage played a significant role in the historical development of Silambam?</t>
  </si>
  <si>
    <t>The revival of Silambam during the colonial era is attributed to which key figure?</t>
  </si>
  <si>
    <t>Which Tamil manuscript details the historical techniques and contributions of Silambam?</t>
  </si>
  <si>
    <t>During which Tamil king’s reign did Silambam achieve formalization and enhancement?</t>
  </si>
  <si>
    <t>The historical preservation and formalization of Silambam were achieved through which Tamil educational system?</t>
  </si>
  <si>
    <t>Which Tamil king’s patronage was essential for the development and preservation of Silambam?</t>
  </si>
  <si>
    <t>The modern revival of Silambam in Tamil Nadu is often attributed to which revivalist figure?</t>
  </si>
  <si>
    <t>Which Tamil text provides an account of the historical techniques and significance of Silambam?</t>
  </si>
  <si>
    <t>Which Tamil king’s era is noted for the significant documentation and standardization of Silambam techniques?</t>
  </si>
  <si>
    <t>The historical preservation of Silambam techniques was achieved through which Tamil educational tradition?</t>
  </si>
  <si>
    <t>Which Tamil king’s patronage played a vital role in the historical development of Silambam?</t>
  </si>
  <si>
    <t>The revival of Silambam during the colonial period is closely linked to which cultural figure?</t>
  </si>
  <si>
    <t>Silambam’s historical significance and techniques are chronicled in which ancient Tamil text?</t>
  </si>
  <si>
    <t>Which Tamil king’s reign is most noted for the formalization and enhancement of Silambam techniques?</t>
  </si>
  <si>
    <t>The historical preservation and formalization of Silambam were achieved through which Tamil educational institution?</t>
  </si>
  <si>
    <t>The modern resurgence of Silambam in Tamil Nadu is often linked to which revivalist figure?</t>
  </si>
  <si>
    <t>The preservation of Silambam techniques was achieved through which traditional Tamil educational system?</t>
  </si>
  <si>
    <t>The historical techniques and contributions of Silambam are detailed in which Tamil text?</t>
  </si>
  <si>
    <t>What ancient Indian text first documented the practice of Malkhamb?</t>
  </si>
  <si>
    <t>A) Mahabharata, B) Ramayana, C) Vedas, D) Manusmriti</t>
  </si>
  <si>
    <t>C) Vedas</t>
  </si>
  <si>
    <t>Which 17th-century Maratha king is credited with formalizing Malkhamb as part of military training?</t>
  </si>
  <si>
    <t>A) Shivaji Maharaj, B) Chatrapati Shahu, C) Balaji Vishwanath, D) Mahadji Shinde</t>
  </si>
  <si>
    <t>In which region of India did Malkhamb originally gain prominence?</t>
  </si>
  <si>
    <t>A) North India, B) South India, C) West India, D) East India</t>
  </si>
  <si>
    <t>C) West India</t>
  </si>
  <si>
    <t>Which Maharaja was instrumental in promoting Malkhamb during the 18th century?</t>
  </si>
  <si>
    <t>A) Mahadji Shinde, B) Ranjit Singh, C) Jay Singh, D) Shivaji Maharaj</t>
  </si>
  <si>
    <t>A) Mahadji Shinde</t>
  </si>
  <si>
    <t>Which Indian festival traditionally features Malkhamb performances as part of its celebrations?</t>
  </si>
  <si>
    <t>A) Diwali, B) Holi, C) Ganesh Chaturthi, D) Pongal</t>
  </si>
  <si>
    <t>C) Ganesh Chaturthi</t>
  </si>
  <si>
    <t>What type of wood is commonly used for making Malkhamb poles?</t>
  </si>
  <si>
    <t>A) Teak, B) Mahogany, C) Bamboo, D) Oak</t>
  </si>
  <si>
    <t>A) Teak</t>
  </si>
  <si>
    <t>Which historical text describes techniques similar to Malkhamb exercises?</t>
  </si>
  <si>
    <t>A) Yoga Sutras, B) Arthashastra, C) Manusmriti, D) Ramayana</t>
  </si>
  <si>
    <t>Which era saw the revival and formalization of Malkhamb as a competitive sport?</t>
  </si>
  <si>
    <t>A) Mughal Era, B) British Colonial Era, C) Post-Independence Era, D) Medieval Era</t>
  </si>
  <si>
    <t>C) Post-Independence Era</t>
  </si>
  <si>
    <t>Which ruler is credited with integrating Malkhamb into the physical education curriculum?</t>
  </si>
  <si>
    <t>A) Maharaja Ranjit Singh, B) Shivaji Maharaj, C) Akbar, D) Chandragupta Maurya</t>
  </si>
  <si>
    <t>Which Indian state is considered the birthplace of Malkhamb?</t>
  </si>
  <si>
    <t>A) Maharashtra, B) Gujarat, C) Punjab, D) Rajasthan</t>
  </si>
  <si>
    <t>What is the typical height of a traditional Malkhamb pole used in performances?</t>
  </si>
  <si>
    <t>A) 10 feet, B) 12 feet, C) 15 feet, D) 20 feet</t>
  </si>
  <si>
    <t>C) 15 feet</t>
  </si>
  <si>
    <t>Which classic text provides evidence of early acrobatic practices similar to Malkhamb?</t>
  </si>
  <si>
    <t>A) Bhagavad Gita, B) Yoga Sutras of Patanjali, C) Arthashastra, D) Vedas</t>
  </si>
  <si>
    <t>D) Vedas</t>
  </si>
  <si>
    <t>During which historical period was Malkhamb primarily used for military training?</t>
  </si>
  <si>
    <t>A) Gupta Period, B) Maratha Empire, C) Mughal Empire, D) British Raj</t>
  </si>
  <si>
    <t>Which Indian king is associated with popularizing Malkhamb in the 17th century?</t>
  </si>
  <si>
    <t>A) Shivaji Maharaj, B) Akbar, C) Aurangzeb, D) Ranjit Singh</t>
  </si>
  <si>
    <t>What historical figure is known for incorporating Malkhamb into the training regimen of his army?</t>
  </si>
  <si>
    <t>A) Maharaja Ranjit Singh, B) Shivaji Maharaj, C) Chandragupta Maurya, D) Ashoka</t>
  </si>
  <si>
    <t>In which ancient Indian epic are acrobatic practices similar to Malkhamb mentioned?</t>
  </si>
  <si>
    <t>What was the original purpose of Malkhamb in ancient India?</t>
  </si>
  <si>
    <t>A) Spiritual training, B) Military training, C) Entertainment, D) Ritualistic practices</t>
  </si>
  <si>
    <t>Which Maharaja supported the development of Malkhamb as a sport during the late 19th century?</t>
  </si>
  <si>
    <t>A) Shivaji Maharaj, B) Jay Singh, C) Ranjit Singh, D) Mahadji Shinde</t>
  </si>
  <si>
    <t>D) Mahadji Shinde</t>
  </si>
  <si>
    <t>In which year was the All India Malkhamb Federation established?</t>
  </si>
  <si>
    <t>Which Indian festival is known for showcasing Malkhamb performances as part of its festivities?</t>
  </si>
  <si>
    <t>A) Ganesh Chaturthi, B) Diwali, C) Holi, D) Pongal</t>
  </si>
  <si>
    <t>A) Ganesh Chaturthi</t>
  </si>
  <si>
    <t>What type of pole is traditionally used for Malkhamb exercises?</t>
  </si>
  <si>
    <t>A) Metal, B) Plastic, C) Wood, D) Bamboo</t>
  </si>
  <si>
    <t>C) Wood</t>
  </si>
  <si>
    <t>Which Indian state has a significant historical connection with the development of Malkhamb?</t>
  </si>
  <si>
    <t>Which Indian king is associated with formalizing Malkhamb as a physical training regimen?</t>
  </si>
  <si>
    <t>What is the primary material used for making Malkhamb poles?</t>
  </si>
  <si>
    <t>Which text from ancient India describes physical training that resembles Malkhamb?</t>
  </si>
  <si>
    <t>A) Yoga Sutras, B) Vedas, C) Manusmriti, D) Bhagavad Gita</t>
  </si>
  <si>
    <t>B) Vedas</t>
  </si>
  <si>
    <t>What is the significance of the Malkhamb pole's height in traditional practice?</t>
  </si>
  <si>
    <t>A) It determines the difficulty level, B) It is a standard measurement, C) It signifies spiritual attainment, D) It is symbolic of strength</t>
  </si>
  <si>
    <t>A) It determines the difficulty level</t>
  </si>
  <si>
    <t>In which historical period was Malkhamb most popular for military training?</t>
  </si>
  <si>
    <t>A) Gupta Empire, B) Maratha Empire, C) Mughal Empire, D) British Raj</t>
  </si>
  <si>
    <t>Which Indian epic includes references to acrobatic practices similar to Malkhamb?</t>
  </si>
  <si>
    <t>A) Ramayana, B) Mahabharata, C) Puranas, D) Vedas</t>
  </si>
  <si>
    <t>Which Maharaja promoted Malkhamb as part of traditional physical education in the 18th century?</t>
  </si>
  <si>
    <t>A) Shivaji Maharaj, B) Ranjit Singh, C) Jay Singh, D) Mahadji Shinde</t>
  </si>
  <si>
    <t>Which text from ancient India provides evidence of early acrobatic training similar to Malkhamb?</t>
  </si>
  <si>
    <t>What is the typical height of a Malkhamb pole used in contemporary practice?</t>
  </si>
  <si>
    <t>Which Indian king is associated with the integration of Malkhamb into the military training of his army?</t>
  </si>
  <si>
    <t>A) Shivaji Maharaj, B) Akbar, C) Chandragupta Maurya, D) Ashoka</t>
  </si>
  <si>
    <t>Which modern Indian sport evolved from traditional Malkhamb practices?</t>
  </si>
  <si>
    <t>A) Gymnastics, B) Kalaripayattu, C) Yoga, D) Wrestling</t>
  </si>
  <si>
    <t>A) Gymnastics</t>
  </si>
  <si>
    <t>Which Indian king was known for his contribution to the formalization of Malkhamb as a competitive sport?</t>
  </si>
  <si>
    <t>A) Shivaji Maharaj, B) Akbar, C) Aurangzeb, D) Chandragupta Maurya</t>
  </si>
  <si>
    <t>In which state of India was the All India Malkhamb Federation established?</t>
  </si>
  <si>
    <t>A) Maharashtra, B) Gujarat, C) Karnataka, D) Rajasthan</t>
  </si>
  <si>
    <t>What is the primary purpose of Malkhamb in contemporary times?</t>
  </si>
  <si>
    <t>A) Competitive sport, B) Physical education, C) Ritualistic practice, D) Entertainment</t>
  </si>
  <si>
    <t>B) Physical education</t>
  </si>
  <si>
    <t>Which Indian king is celebrated for popularizing Malkhamb during the 17th century?</t>
  </si>
  <si>
    <t>A) Shivaji Maharaj, B) Akbar, C) Aurangzeb, D) Rana Pratap</t>
  </si>
  <si>
    <t>What type of Malkhamb involves performing movements while hanging from a rope?</t>
  </si>
  <si>
    <t>A) Rope Climbing, B) Aerial Malkhamb, C) Rope Acrobatics, D) Rope Routine</t>
  </si>
  <si>
    <t>B) Aerial Malkhamb</t>
  </si>
  <si>
    <t>Which Indian festival is known for featuring Malkhamb performances as part of its celebrations?</t>
  </si>
  <si>
    <t>What is the traditional height of a Malkhamb pole used in competitions?</t>
  </si>
  <si>
    <t>What is the primary focus of traditional Malkhamb training?</t>
  </si>
  <si>
    <t>A) Strength, B) Flexibility, C) Speed, D) Coordination</t>
  </si>
  <si>
    <t>Which Indian text from ancient times describes physical training similar to Malkhamb?</t>
  </si>
  <si>
    <t>A) Yoga Sutras, B) Manusmriti, C) Vedas, D) Ramayana</t>
  </si>
  <si>
    <t>Which Maharaja is credited with supporting the development of Malkhamb as a sport?</t>
  </si>
  <si>
    <t>What material is traditionally used for Malkhamb poles?</t>
  </si>
  <si>
    <t>Which text provides evidence of early acrobatic training similar to Malkhamb?</t>
  </si>
  <si>
    <t>A) Arthashastra, B) Vedas, C) Manusmriti, D) Ramayana</t>
  </si>
  <si>
    <t>Which Indian king is associated with integrating Malkhamb into military training practices?</t>
  </si>
  <si>
    <t>Which era saw the formalization of Malkhamb as a competitive sport?</t>
  </si>
  <si>
    <t>Which Maharaja promoted Malkhamb during the late 18th century?</t>
  </si>
  <si>
    <t>What is the primary use of Malkhamb in modern physical education?</t>
  </si>
  <si>
    <t>A) Competitive sport, B) Physical conditioning, C) Traditional rituals, D) Entertainment</t>
  </si>
  <si>
    <t>What is the height of a traditional Malkhamb pole?</t>
  </si>
  <si>
    <t>Which classic Indian text describes early physical practices similar to Malkhamb?</t>
  </si>
  <si>
    <t>A) Bhagavad Gita, B) Yoga Sutras, C) Arthashastra, D) Ramayana</t>
  </si>
  <si>
    <t>Which king is known for integrating Malkhamb into his army's physical training?</t>
  </si>
  <si>
    <t>In which Indian festival are Malkhamb performances a traditional feature?</t>
  </si>
  <si>
    <t>What is the traditional height of the Malkhamb pole used in competitions?</t>
  </si>
  <si>
    <t>What is the main focus of Malkhamb training?</t>
  </si>
  <si>
    <t>Which king is credited with formalizing Malkhamb during the 17th century?</t>
  </si>
  <si>
    <t>Which Indian text from ancient times describes physical training techniques similar to Malkhamb?</t>
  </si>
  <si>
    <t>A) Manusmriti, B) Vedas, C) Yoga Sutras, D) Ramayana</t>
  </si>
  <si>
    <t>What is the primary material used for traditional Malkhamb poles?</t>
  </si>
  <si>
    <t>What type of Malkhamb technique involves performing movements on a horizontal beam?</t>
  </si>
  <si>
    <t>A) Horizontal Malkhamb, B) Aerial Malkhamb, C) Pole Malkhamb, D) Rope Malkhamb</t>
  </si>
  <si>
    <t>A) Horizontal Malkhamb</t>
  </si>
  <si>
    <t>Which Indian king is associated with the formalization of Malkhamb as a military training regimen?</t>
  </si>
  <si>
    <t>Which Maharaja supported the development of Malkhamb as a competitive sport during the late 19th century?</t>
  </si>
  <si>
    <t>What is the traditional height of the Malkhamb pole used in performances?</t>
  </si>
  <si>
    <t>Which Indian king integrated Malkhamb into the training regimen of his army?</t>
  </si>
  <si>
    <t>In which Indian festival is Malkhamb a traditional feature?</t>
  </si>
  <si>
    <t>What is the height of the traditional Malkhamb pole used in competitions?</t>
  </si>
  <si>
    <t>Which Indian text from ancient times describes physical practices similar to Malkhamb?</t>
  </si>
  <si>
    <t>Which king is associated with the development of Malkhamb as a sport during the 17th century?</t>
  </si>
  <si>
    <t>Which Indian king supported the development of Malkhamb as a competitive sport?</t>
  </si>
  <si>
    <t>What is the traditional height of the Malkhamb pole used in contemporary practice?</t>
  </si>
  <si>
    <t>Which classic Indian text describes early acrobatic practices similar to Malkhamb?</t>
  </si>
  <si>
    <t>Which Indian king is credited with integrating Malkhamb into his army's physical training?</t>
  </si>
  <si>
    <t>Which Indian king is associated with formalizing Malkhamb as a military training regimen?</t>
  </si>
  <si>
    <t>What is the primary purpose of Malkhamb in modern physical education?</t>
  </si>
  <si>
    <t>Which Maharaja promoted Malkhamb as part of physical education during the 18th century?</t>
  </si>
  <si>
    <t>Which king is known for incorporating Malkhamb into the training regimen of his army?</t>
  </si>
  <si>
    <t>Which Indian festival is known for featuring Malkhamb performances?</t>
  </si>
  <si>
    <t>What is the traditional height of a Malkhamb pole used in performances?</t>
  </si>
  <si>
    <t>What is the main focus of traditional Malkhamb training?</t>
  </si>
  <si>
    <t>Which Maharaja supported the development of Malkhamb during the late 18th century?</t>
  </si>
  <si>
    <t>Which Indian text describes physical practices similar to Malkhamb?</t>
  </si>
  <si>
    <t>Which king is associated with the development of Malkhamb during the 17th century?</t>
  </si>
  <si>
    <t>Which Indian king is credited with promoting Malkhamb as part of physical education?</t>
  </si>
  <si>
    <t>Which Indian text provides evidence of early acrobatic training similar to Malkhamb?</t>
  </si>
  <si>
    <t>Which king integrated Malkhamb into his army's training regimen?</t>
  </si>
  <si>
    <t>Which Indian festival traditionally features Malkhamb performances?</t>
  </si>
  <si>
    <t>What is the height of a traditional Malkhamb pole used in contemporary practice?</t>
  </si>
  <si>
    <t>Which Maharaja is known for his contribution to the development of Malkhamb as a sport?</t>
  </si>
  <si>
    <t>Which Indian text describes acrobatic practices similar to Malkhamb?</t>
  </si>
  <si>
    <t>Malkhamb is a traditional sport originating from which Indian state?</t>
  </si>
  <si>
    <t>A) Gujarat, B) Maharashtra, C) Karnataka, D) Uttar Pradesh</t>
  </si>
  <si>
    <t>Which king is often credited with popularizing Malkhamb in historical texts?</t>
  </si>
  <si>
    <t>A) Shivaji Maharaj, B) Ashoka, C) Akbar, D) Aurangzeb</t>
  </si>
  <si>
    <t>In what century did Malkhamb begin to gain prominence as a sport?</t>
  </si>
  <si>
    <t>Which type of Malkhamb is performed with a rope tied to a wooden beam?</t>
  </si>
  <si>
    <t>A) Pole Malkhamb, B) Rope Malkhamb, C) Aerial Malkhamb, D) Horizontal Malkhamb</t>
  </si>
  <si>
    <t>B) Rope Malkhamb</t>
  </si>
  <si>
    <t>What is the primary material used to make the Malkhamb pole?</t>
  </si>
  <si>
    <t>A) Bamboo, B) Metal, C) Plastic, D) Wood</t>
  </si>
  <si>
    <t>D) Wood</t>
  </si>
  <si>
    <t>Which modern Indian athlete is known for promoting Malkhamb on an international level?</t>
  </si>
  <si>
    <t>A) Sachin Tendulkar, B) Dipa Karmakar, C) Bajrang Punia, D) Yogeshwar Dutt</t>
  </si>
  <si>
    <t>B) Dipa Karmakar</t>
  </si>
  <si>
    <t>During which festival is Malkhamb often performed as part of traditional celebrations?</t>
  </si>
  <si>
    <t>A) Diwali, B) Ganesh Chaturthi, C) Holi, D) Navratri</t>
  </si>
  <si>
    <t>B) Ganesh Chaturthi</t>
  </si>
  <si>
    <t>What is the name of the traditional Malkhamb performance that involves acrobatics on a vertical pole?</t>
  </si>
  <si>
    <t>A) Pole Malkhamb, B) Aerial Malkhamb, C) Rope Malkhamb, D) Horizontal Malkhamb</t>
  </si>
  <si>
    <t>A) Pole Malkhamb</t>
  </si>
  <si>
    <t>Which ancient Indian text describes the use of Malkhamb for physical training?</t>
  </si>
  <si>
    <t>In which city did the modern Malkhamb federation originate?</t>
  </si>
  <si>
    <t>A) Mumbai, B) Pune, C) Nashik, D) Nagpur</t>
  </si>
  <si>
    <t>Which Indian sport uses a vertical pole similar to that in Malkhamb for training purposes?</t>
  </si>
  <si>
    <t>A) Gymnastics, B) Wrestling, C) Kalaripayattu, D) Yoga</t>
  </si>
  <si>
    <t>C) Kalaripayattu</t>
  </si>
  <si>
    <t>Which historical document first mentions the use of Malkhamb in physical training?</t>
  </si>
  <si>
    <t>A) Arthashastra, B) Manusmriti, C) Yoga Sutras, D) Natyashastra</t>
  </si>
  <si>
    <t>Which organization was formed to promote and standardize Malkhamb practices?</t>
  </si>
  <si>
    <t>A) All India Malkhamb Federation, B) Indian Gymnastics Federation, C) National Sports Authority, D) Indian Physical Education Association</t>
  </si>
  <si>
    <t>A) All India Malkhamb Federation</t>
  </si>
  <si>
    <t>What is the typical height of a traditional Malkhamb pole?</t>
  </si>
  <si>
    <t>What is the primary purpose of Malkhamb in traditional Indian training regimes?</t>
  </si>
  <si>
    <t>A) Combat training, B) Flexibility training, C) Strength training, D) Balance training</t>
  </si>
  <si>
    <t>C) Strength training</t>
  </si>
  <si>
    <t>Which dynasty is associated with the early development and use of Malkhamb?</t>
  </si>
  <si>
    <t>A) Chola Dynasty, B) Maratha Dynasty, C) Gupta Dynasty, D) Mughal Dynasty</t>
  </si>
  <si>
    <t>B) Maratha Dynasty</t>
  </si>
  <si>
    <t>What is the typical number of athletes involved in a Malkhamb performance?</t>
  </si>
  <si>
    <t>What is the name of the Malkhamb movement where athletes perform acrobatic feats while hanging from a rope?</t>
  </si>
  <si>
    <t>A) Rope Climbing, B) Aerial Malkhamb, C) Pole Spinning, D) Horizontal Swing</t>
  </si>
  <si>
    <t>Which traditional Indian sport has influenced Malkhamb techniques?</t>
  </si>
  <si>
    <t>A) Archery, B) Martial Arts, C) Wrestling, D) Horse Riding</t>
  </si>
  <si>
    <t>B) Martial Arts</t>
  </si>
  <si>
    <t>Which year marked the first official Malkhamb championship held?</t>
  </si>
  <si>
    <t>A) 1925, B) 1930, C) 1940, D) 1955</t>
  </si>
  <si>
    <t>A) 1925</t>
  </si>
  <si>
    <t>Which Indian film portrayed the practice of Malkhamb in its storyline?</t>
  </si>
  <si>
    <t>A) Lagaan, B) Swades, C) Chakde! India, D) Bhaag Milkha Bhaag</t>
  </si>
  <si>
    <t>A) Lagaan</t>
  </si>
  <si>
    <t>Which physical attribute is most crucial for performing Malkhamb effectively?</t>
  </si>
  <si>
    <t>A) Strength, B) Flexibility, C) Stamina, D) Agility</t>
  </si>
  <si>
    <t>B) Flexibility</t>
  </si>
  <si>
    <t>Malkhamb was historically used as a training exercise for which profession?</t>
  </si>
  <si>
    <t>A) Warriors, B) Farmers, C) Traders, D) Artisans</t>
  </si>
  <si>
    <t>What traditional Indian festival is known for featuring Malkhamb demonstrations?</t>
  </si>
  <si>
    <t>A) Diwali, B) Ganesh Chaturthi, C) Dussehra, D) Holi</t>
  </si>
  <si>
    <t>What is the name of the Malkhamb technique where the athlete performs movements while spinning around the pole?</t>
  </si>
  <si>
    <t>A) Twirling Malkhamb, B) Spinning Malkhamb, C) Rotational Malkhamb, D) Circular Malkhamb</t>
  </si>
  <si>
    <t>B) Spinning Malkhamb</t>
  </si>
  <si>
    <t>In which Indian city was the All India Malkhamb Federation established?</t>
  </si>
  <si>
    <t>Which dynasty is credited with contributing significantly to the development of Malkhamb?</t>
  </si>
  <si>
    <t>A) Maratha Dynasty, B) Maurya Dynasty, C) Gupta Dynasty, D) Mughal Dynasty</t>
  </si>
  <si>
    <t>A) Maratha Dynasty</t>
  </si>
  <si>
    <t>What is the traditional name of the wooden pole used in Malkhamb?</t>
  </si>
  <si>
    <t>A) Vata, B) Laksha, C) Khambo, D) Dhanda</t>
  </si>
  <si>
    <t>D) Dhanda</t>
  </si>
  <si>
    <t>Which legendary warrior king is known for incorporating Malkhamb into his training regimen?</t>
  </si>
  <si>
    <t>A) Shivaji Maharaj, B) Prithviraj Chauhan, C) Rana Pratap, D) Samudragupta</t>
  </si>
  <si>
    <t>Which Malkhamb technique involves using a horizontal bar for performing acrobatic movements?</t>
  </si>
  <si>
    <t>A) Pole Malkhamb, B) Rope Malkhamb, C) Horizontal Malkhamb, D) Aerial Malkhamb</t>
  </si>
  <si>
    <t>C) Horizontal Malkhamb</t>
  </si>
  <si>
    <t>Which organization is primarily responsible for the regulation and promotion of Malkhamb?</t>
  </si>
  <si>
    <t>A) All India Malkhamb Federation, B) Indian Olympic Association, C) National Sports Authority, D) Indian Physical Education Association</t>
  </si>
  <si>
    <t>What type of training does Malkhamb primarily emphasize?</t>
  </si>
  <si>
    <t>A) Endurance, B) Strength, C) Speed, D) Agility</t>
  </si>
  <si>
    <t>B) Strength</t>
  </si>
  <si>
    <t>In Malkhamb, what is the term for the athlete's performance on the vertical pole?</t>
  </si>
  <si>
    <t>A) Pole Performance, B) Pole Routine, C) Pole Acrobatics, D) Pole Training</t>
  </si>
  <si>
    <t>C) Pole Acrobatics</t>
  </si>
  <si>
    <t>Which classic Indian epic contains references to Malkhamb-like exercises?</t>
  </si>
  <si>
    <t>Which Indian festival is known for showcasing traditional sports including Malkhamb?</t>
  </si>
  <si>
    <t>A) Pongal, B) Diwali, C) Ganesh Chaturthi, D) Lohri</t>
  </si>
  <si>
    <t>What is the name of the Malkhamb technique where the athlete performs movements while suspended from a rope?</t>
  </si>
  <si>
    <t>Which Maharaja was instrumental in the development of Malkhamb during his reign?</t>
  </si>
  <si>
    <t>A) Shivaji Maharaj, B) Jay Singh, C) Ranjit Singh, D) Scindia</t>
  </si>
  <si>
    <t>What is the traditional Indian sport that involves acrobatic movements on a horizontal beam?</t>
  </si>
  <si>
    <t>A) Gymnastics, B) Malkhamb, C) Kalaripayattu, D) Yoga</t>
  </si>
  <si>
    <t>B) Malkhamb</t>
  </si>
  <si>
    <t>Which Indian dynasty is known for its contributions to the early forms of Malkhamb?</t>
  </si>
  <si>
    <t>A) Maratha Dynasty, B) Gupta Dynasty, C) Mughal Dynasty, D) Chola Dynasty</t>
  </si>
  <si>
    <t>What is the traditional height of a Malkhamb pole?</t>
  </si>
  <si>
    <t>What is the primary use of Malkhamb in modern times?</t>
  </si>
  <si>
    <t>A) Competitive sport, B) Physical education, C) Traditional ritual, D) Entertainment</t>
  </si>
  <si>
    <t>Which Indian festival is associated with a traditional Malkhamb competition?</t>
  </si>
  <si>
    <t>Which Indian sport is most similar to Malkhamb in terms of equipment used?</t>
  </si>
  <si>
    <t>A) Wrestling, B) Gymnastics, C) Kalaripayattu, D) Yoga</t>
  </si>
  <si>
    <t>B) Gymnastics</t>
  </si>
  <si>
    <t>What type of pole is traditionally used in Malkhamb exercises?</t>
  </si>
  <si>
    <t>What is the name of the Malkhamb technique where the athlete performs on a horizontal bar?</t>
  </si>
  <si>
    <t>Which Indian king is celebrated for incorporating Malkhamb into military training?</t>
  </si>
  <si>
    <t>A) Shivaji Maharaj, B) Akbar, C) Chandragupta Maurya, D) Rana Pratap</t>
  </si>
  <si>
    <t>In which city was the All India Malkhamb Federation established?</t>
  </si>
  <si>
    <t>Which classic Indian text describes early physical training techniques similar to Malkhamb?</t>
  </si>
  <si>
    <t>A) Manusmriti, B) Yoga Sutras, C) Arthashastra, D) Ramayana</t>
  </si>
  <si>
    <t>What is the main focus of training in Malkhamb?</t>
  </si>
  <si>
    <t>What is the typical height of the Malkhamb pole used in competitions?</t>
  </si>
  <si>
    <t>Which modern athlete is known for their expertise in Malkhamb?</t>
  </si>
  <si>
    <t>A) Dipa Karmakar, B) Sachin Tendulkar, C) Abhinav Bindra, D) Mary Kom</t>
  </si>
  <si>
    <t>A) Dipa Karmakar</t>
  </si>
  <si>
    <t>Which Indian festival often features traditional Malkhamb performances?</t>
  </si>
  <si>
    <t>In which city was the All India Malkhamb Federation founded?</t>
  </si>
  <si>
    <t>A) Mumbai, B) Pune, C) Bangalore, D) Delhi</t>
  </si>
  <si>
    <t>Which traditional Indian sport shares similarities with Malkhamb in terms of physical exercises?</t>
  </si>
  <si>
    <t>A) Gymnastics, B) Yoga, C) Martial Arts, D) Wrestling</t>
  </si>
  <si>
    <t>C) Martial Arts</t>
  </si>
  <si>
    <t>What is the primary purpose of Malkhamb in traditional Indian training?</t>
  </si>
  <si>
    <t>A) Strength and agility, B) Combat readiness, C) Flexibility, D) Coordination</t>
  </si>
  <si>
    <t>A) Strength and agility</t>
  </si>
  <si>
    <t>Which Indian king is credited with popularizing Malkhamb?</t>
  </si>
  <si>
    <t>Which physical attribute is most important for performing Malkhamb effectively?</t>
  </si>
  <si>
    <t>A) Flexibility, B) Strength, C) Stamina, D) Agility</t>
  </si>
  <si>
    <t>Which Indian epic contains references to Malkhamb-like exercises?</t>
  </si>
  <si>
    <t>A) Mahabharata, B) Ramayana, C) Puranas, D) Vedas</t>
  </si>
  <si>
    <t>What is the name of the traditional Indian festival where Malkhamb performances are showcased?</t>
  </si>
  <si>
    <t>What type of Malkhamb technique involves movements on a horizontal bar?</t>
  </si>
  <si>
    <t>Which historical figure is celebrated for incorporating Malkhamb into military training?</t>
  </si>
  <si>
    <t>What ancient text describes early physical training techniques similar to Malkhamb?</t>
  </si>
  <si>
    <t>What is the primary focus of Malkhamb training?</t>
  </si>
  <si>
    <t>Which modern athlete is recognized for their skill in Malkhamb?</t>
  </si>
  <si>
    <t>What is the traditional Indian sport involving acrobatic movements on a horizontal bar?</t>
  </si>
  <si>
    <t>A) Malkhamb, B) Gymnastics, C) Kalaripayattu, D) Yoga</t>
  </si>
  <si>
    <t>A) Malkhamb</t>
  </si>
  <si>
    <t>Which Indian king contributed significantly to the development of Malkhamb?</t>
  </si>
  <si>
    <t>In which festival are traditional Malkhamb performances often featured?</t>
  </si>
  <si>
    <t>What type of Malkhamb technique involves performing on a horizontal beam?</t>
  </si>
  <si>
    <t>Which dynasty is known for its contributions to the early forms of Malkhamb?</t>
  </si>
  <si>
    <t>What is the main purpose of traditional Malkhamb training?</t>
  </si>
  <si>
    <t>Which historical king is celebrated for incorporating Malkhamb into military training?</t>
  </si>
  <si>
    <t>What type of Malkhamb technique involves performing movements while hanging from a rope?</t>
  </si>
  <si>
    <t>Which king is credited with popularizing Malkhamb?</t>
  </si>
  <si>
    <t>What is the name of the traditional Indian festival featuring Malkhamb performances?</t>
  </si>
  <si>
    <t>Which historical figure is known for their expertise in Malkhamb?</t>
  </si>
  <si>
    <t>What is the name of the Malkhamb technique where the athlete performs while suspended from a rope?</t>
  </si>
  <si>
    <t>What is the traditional height of the Malkhamb pole?</t>
  </si>
  <si>
    <t>Which historical figure is known for the early documentation of Malkhamb in his military training manuals?</t>
  </si>
  <si>
    <t>A) Shivaji Maharaj, B) Ashoka, C) Chandragupta Maurya, D) Akbar</t>
  </si>
  <si>
    <t>In which century did Malkhamb begin to gain prominence as a formal sport?</t>
  </si>
  <si>
    <t>A) 12th century, B) 15th century, C) 17th century, D) 19th century</t>
  </si>
  <si>
    <t>Which Maharaja is credited with establishing the first Malkhamb academy?</t>
  </si>
  <si>
    <t>Which Indian text from the 16th century provides insights into Malkhamb techniques?</t>
  </si>
  <si>
    <t>What was the primary purpose of Malkhamb during the medieval period in India?</t>
  </si>
  <si>
    <t>A) Entertainment, B) Physical conditioning, C) Religious ritual, D) Military training</t>
  </si>
  <si>
    <t>D) Military training</t>
  </si>
  <si>
    <t>Which historical event in the 18th century significantly contributed to the popularization of Malkhamb?</t>
  </si>
  <si>
    <t>A) Maratha Empire expansion, B) Mughal Empire decline, C) British colonial rule, D) Indian Rebellion of 1857</t>
  </si>
  <si>
    <t>A) Maratha Empire expansion</t>
  </si>
  <si>
    <t>Which region of India was the birthplace of Malkhamb as a competitive sport?</t>
  </si>
  <si>
    <t>A) Gujarat, B) Maharashtra, C) Punjab, D) Rajasthan</t>
  </si>
  <si>
    <t>Which Maharaja is known for his contributions to the formalization and regulation of Malkhamb competitions?</t>
  </si>
  <si>
    <t>A) Shivaji Maharaj, B) Mahadji Shinde, C) Ranjit Singh, D) Jay Singh</t>
  </si>
  <si>
    <t>B) Mahadji Shinde</t>
  </si>
  <si>
    <t>Which 19th-century figure played a crucial role in reviving Malkhamb after its decline?</t>
  </si>
  <si>
    <t>A) Bal Gangadhar Tilak, B) Laxman Rao Kirloskar, C) Jyotirao Phule, D) Bhau Daji Lad</t>
  </si>
  <si>
    <t>B) Laxman Rao Kirloskar</t>
  </si>
  <si>
    <t>Which major Indian festival during the 17th century featured Malkhamb performances?</t>
  </si>
  <si>
    <t>Which dynasty's decline led to the decline of Malkhamb as a formal sport before its revival?</t>
  </si>
  <si>
    <t>A) Maratha Dynasty, B) Mughal Dynasty, C) Gupta Dynasty, D) Maurya Dynasty</t>
  </si>
  <si>
    <t>B) Mughal Dynasty</t>
  </si>
  <si>
    <t>Which historical text from the 15th century describes physical exercises similar to Malkhamb?</t>
  </si>
  <si>
    <t>A) Vedas, B) Manusmriti, C) Yoga Sutras, D) Arthashastra</t>
  </si>
  <si>
    <t>Which king's military training methods are said to have influenced the development of Malkhamb?</t>
  </si>
  <si>
    <t>What significant change occurred to Malkhamb during British colonial rule in India?</t>
  </si>
  <si>
    <t>A) It was banned, B) It was officially regulated, C) It was revived as a sport, D) It was forgotten</t>
  </si>
  <si>
    <t>B) It was officially regulated</t>
  </si>
  <si>
    <t>Which Maharaja supported the development of Malkhamb during the early 19th century?</t>
  </si>
  <si>
    <t>A) Mahadji Shinde, B) Shivaji Maharaj, C) Jay Singh, D) Ranjit Singh</t>
  </si>
  <si>
    <t>Which Indian king is associated with the popularization of Malkhamb in the 17th century?</t>
  </si>
  <si>
    <t>A) Shivaji Maharaj, B) Aurangzeb, C) Akbar, D) Chandragupta Maurya</t>
  </si>
  <si>
    <t>What was the primary training tool used in traditional Malkhamb practices?</t>
  </si>
  <si>
    <t>A) Rope, B) Wooden beam, C) Steel pole, D) Sandbags</t>
  </si>
  <si>
    <t>B) Wooden beam</t>
  </si>
  <si>
    <t>Which text from ancient India mentions physical conditioning methods similar to Malkhamb?</t>
  </si>
  <si>
    <t>What was the key factor in the resurgence of Malkhamb in the 20th century?</t>
  </si>
  <si>
    <t>A) Government support, B) International competitions, C) Cultural revival, D) Educational reforms</t>
  </si>
  <si>
    <t>C) Cultural revival</t>
  </si>
  <si>
    <t>Which historical figure played a pivotal role in the establishment of the All India Malkhamb Federation?</t>
  </si>
  <si>
    <t>A) Shivaji Maharaj, B) Laxman Rao Kirloskar, C) Mahadji Shinde, D) Bhau Daji Lad</t>
  </si>
  <si>
    <t>Which region is historically known for producing renowned Malkhamb practitioners?</t>
  </si>
  <si>
    <t>A) Maharashtra, B) Punjab, C) Gujarat, D) Karnataka</t>
  </si>
  <si>
    <t>Which historical document provides detailed descriptions of Malkhamb techniques from the 17th century?</t>
  </si>
  <si>
    <t>A) Arthashastra, B) Yoga Sutras, C) Manusmriti, D) Ramayana</t>
  </si>
  <si>
    <t>Which period saw the introduction of new Malkhamb techniques and forms?</t>
  </si>
  <si>
    <t>A) Medieval period, B) Colonial period, C) Pre-independence period, D) Post-independence period</t>
  </si>
  <si>
    <t>D) Post-independence period</t>
  </si>
  <si>
    <t>Which Indian king’s reign was marked by a flourishing of Malkhamb as a martial art?</t>
  </si>
  <si>
    <t>Which ancient Indian text influenced the development of Malkhamb techniques?</t>
  </si>
  <si>
    <t>A) Yoga Sutras, B) Manusmriti, C) Arthashastra, D) Bhagavad Gita</t>
  </si>
  <si>
    <t>Which 20th-century figure is credited with the revival of traditional Malkhamb practices?</t>
  </si>
  <si>
    <t>A) Laxman Rao Kirloskar, B) Mahatma Gandhi, C) Jawaharlal Nehru, D) B.R. Ambedkar</t>
  </si>
  <si>
    <t>A) Laxman Rao Kirloskar</t>
  </si>
  <si>
    <t>Which festival in the 17th century featured Malkhamb performances and competitions?</t>
  </si>
  <si>
    <t>Which historical period is associated with the formalization of Malkhamb as a competitive sport?</t>
  </si>
  <si>
    <t>A) Colonial period, B) Medieval period, C) Post-independence period, D) Early modern period</t>
  </si>
  <si>
    <t>C) Post-independence period</t>
  </si>
  <si>
    <t>Which Maharaja’s support led to the establishment of Malkhamb as a recognized sport?</t>
  </si>
  <si>
    <t>A) Shivaji Maharaj, B) Mahadji Shinde, C) Jay Singh, D) Ranjit Singh</t>
  </si>
  <si>
    <t>Which historical figure is known for incorporating Malkhamb into military training during the 17th century?</t>
  </si>
  <si>
    <t>Which ancient Indian practice is considered a precursor to modern Malkhamb?</t>
  </si>
  <si>
    <t>A) Yoga, B) Martial arts, C) Dance, D) Acrobatics</t>
  </si>
  <si>
    <t>D) Acrobatics</t>
  </si>
  <si>
    <t>Which historical text provides early references to physical conditioning similar to Malkhamb?</t>
  </si>
  <si>
    <t>Which Maharaja’s reign in the 18th century saw the peak of Malkhamb practice and competitions?</t>
  </si>
  <si>
    <t>What was the main influence of the Maratha Empire on Malkhamb?</t>
  </si>
  <si>
    <t>A) It led to the formalization of Malkhamb, B) It caused the decline of Malkhamb, C) It introduced new techniques, D) It integrated Malkhamb into military training</t>
  </si>
  <si>
    <t>D) It integrated Malkhamb into military training</t>
  </si>
  <si>
    <t>Which king is credited with the historical documentation of Malkhamb in military manuals?</t>
  </si>
  <si>
    <t>Which Indian dynasty’s decline led to the temporary decline of Malkhamb?</t>
  </si>
  <si>
    <t>Which 20th-century figure is known for revitalizing traditional Malkhamb techniques?</t>
  </si>
  <si>
    <t>A) Laxman Rao Kirloskar, B) Mahatma Gandhi, C) Jawaharlal Nehru, D) Bhau Daji Lad</t>
  </si>
  <si>
    <t>Which historical text from the 17th century describes techniques similar to modern Malkhamb?</t>
  </si>
  <si>
    <t>A) Arthashastra, B) Manusmriti, C) Yoga Sutras, D) Ramayana</t>
  </si>
  <si>
    <t>What was a key factor in the 19th-century revival of Malkhamb?</t>
  </si>
  <si>
    <t>A) Government intervention, B) Cultural revival movements, C) International competitions, D) Educational reforms</t>
  </si>
  <si>
    <t>B) Cultural revival movements</t>
  </si>
  <si>
    <t>Which Maharaja’s support in the 19th century helped to establish the formal rules of Malkhamb?</t>
  </si>
  <si>
    <t>Which festival historically featured Malkhamb demonstrations and competitions?</t>
  </si>
  <si>
    <t>What role did the Maratha Empire play in the history of Malkhamb?</t>
  </si>
  <si>
    <t>A) It led to its decline, B) It helped in its development as a sport, C) It banned Malkhamb, D) It made Malkhamb a religious practice</t>
  </si>
  <si>
    <t>B) It helped in its development as a sport</t>
  </si>
  <si>
    <t>Which 17th-century ruler's military training included Malkhamb as a key component?</t>
  </si>
  <si>
    <t>Which ancient Indian text mentions physical practices similar to Malkhamb?</t>
  </si>
  <si>
    <t>A) Yoga Sutras, B) Manusmriti, C) Arthashastra, D) Ramayana</t>
  </si>
  <si>
    <t>What is the significance of Malkhamb in the context of Indian military history?</t>
  </si>
  <si>
    <t>A) It was used for physical conditioning of soldiers, B) It was a form of entertainment, C) It was a religious ritual, D) It was a form of dance</t>
  </si>
  <si>
    <t>A) It was used for physical conditioning of soldiers</t>
  </si>
  <si>
    <t>Which 20th-century initiative was crucial for the preservation and promotion of Malkhamb?</t>
  </si>
  <si>
    <t>A) Government-sponsored tournaments, B) Cultural festivals, C) Educational reforms, D) International competitions</t>
  </si>
  <si>
    <t>B) Cultural festivals</t>
  </si>
  <si>
    <t>Which Maharaja's era saw the development of standardized Malkhamb techniques and forms?</t>
  </si>
  <si>
    <t>A) Shivaji Maharaj, B) Jay Singh, C) Mahadji Shinde, D) Ranjit Singh</t>
  </si>
  <si>
    <t>C) Mahadji Shinde</t>
  </si>
  <si>
    <t>Which Indian text from ancient times is known to influence the practice of Malkhamb?</t>
  </si>
  <si>
    <t>Which historical figure is associated with the first formal documentation of Malkhamb techniques?</t>
  </si>
  <si>
    <t>A) Shivaji Maharaj, B) Mahadji Shinde, C) Akbar, D) Chandragupta Maurya</t>
  </si>
  <si>
    <t>Which historical event in the 19th century contributed to the renewed interest in Malkhamb?</t>
  </si>
  <si>
    <t>A) Maratha Empire revival, B) British colonial expansion, C) Indian Rebellion of 1857, D) Independence movement</t>
  </si>
  <si>
    <t>B) British colonial expansion</t>
  </si>
  <si>
    <t>Which king’s military training manual included Malkhamb techniques in the 17th century?</t>
  </si>
  <si>
    <t>What was a key factor in the establishment of Malkhamb as a competitive sport in modern times?</t>
  </si>
  <si>
    <t>A) Government funding, B) Cultural revival, C) International recognition, D) Educational reforms</t>
  </si>
  <si>
    <t>B) Cultural revival</t>
  </si>
  <si>
    <t>Which 18th-century Maharaja’s reign is noted for promoting Malkhamb as part of military training?</t>
  </si>
  <si>
    <t>Which Indian king’s support led to the development of Malkhamb techniques during the 17th century?</t>
  </si>
  <si>
    <t>Which ancient Indian practice is considered a precursor to Malkhamb?</t>
  </si>
  <si>
    <t>A) Yoga, B) Martial arts, C) Acrobatics, D) Dance</t>
  </si>
  <si>
    <t>C) Acrobatics</t>
  </si>
  <si>
    <t>Which Maharaja’s patronage helped formalize Malkhamb rules in the 19th century?</t>
  </si>
  <si>
    <t>Which historical text provides early references to physical training methods similar to Malkhamb?</t>
  </si>
  <si>
    <t>Which historical figure is known for reviving traditional Malkhamb practices in the 20th century?</t>
  </si>
  <si>
    <t>A) Laxman Rao Kirloskar, B) Bhau Daji Lad, C) Mahatma Gandhi, D) Jawaharlal Nehru</t>
  </si>
  <si>
    <t>Which 18th-century event significantly impacted the practice and development of Malkhamb?</t>
  </si>
  <si>
    <t>A) Maratha Empire expansion, B) British colonial rule, C) Mughal Empire decline, D) Indian Rebellion of 1857</t>
  </si>
  <si>
    <t>C) Mughal Empire decline</t>
  </si>
  <si>
    <t>Which ancient Indian text details techniques and practices similar to Malkhamb?</t>
  </si>
  <si>
    <t>Which 17th-century ruler is associated with the integration of Malkhamb into military training?</t>
  </si>
  <si>
    <t>Which 19th-century development was crucial for the preservation of traditional Malkhamb?</t>
  </si>
  <si>
    <t>A) Cultural revival, B) Government regulations, C) International competitions, D) Educational reforms</t>
  </si>
  <si>
    <t>A) Cultural revival</t>
  </si>
  <si>
    <t>Which king's reign during the 17th century saw significant advancements in Malkhamb techniques?</t>
  </si>
  <si>
    <t>Which historical text from ancient India describes physical practices similar to Malkhamb?</t>
  </si>
  <si>
    <t>Which 20th-century figure is known for their efforts to revive traditional Malkhamb techniques and practices?</t>
  </si>
  <si>
    <t>Which historical figure played a key role in the resurgence of Malkhamb in the late 19th century?</t>
  </si>
  <si>
    <t>What role did the Maratha Empire play in the development of Malkhamb?</t>
  </si>
  <si>
    <t>A) It facilitated its development as a military training tool, B) It caused its decline, C) It introduced new techniques, D) It integrated it into religious rituals</t>
  </si>
  <si>
    <t>A) It facilitated its development as a military training tool</t>
  </si>
  <si>
    <t>Which ancient Indian text mentions physical conditioning practices akin to Malkhamb?</t>
  </si>
  <si>
    <t>Which 18th-century Maharaja is associated with the promotion and standardization of Malkhamb techniques?</t>
  </si>
  <si>
    <t>Which Indian king’s military training methods included Malkhamb as a core component?</t>
  </si>
  <si>
    <t>Which 19th-century development was crucial in preserving Malkhamb traditions?</t>
  </si>
  <si>
    <t>A) Cultural festivals, B) Government support, C) International recognition, D) Educational reforms</t>
  </si>
  <si>
    <t>A) Cultural festivals</t>
  </si>
  <si>
    <t>Which Maharaja’s reign saw the formalization of Malkhamb rules and techniques in the 19th century?</t>
  </si>
  <si>
    <t>Which king's support was crucial for the formalization of Malkhamb techniques in the 17th century?</t>
  </si>
  <si>
    <t>Which historical text from the 17th century is known for its descriptions of Malkhamb-like practices?</t>
  </si>
  <si>
    <t>What was a major factor in the resurgence of Malkhamb during the 20th century?</t>
  </si>
  <si>
    <t>A) Cultural revival movements, B) Government intervention, C) International competitions, D) Educational reforms</t>
  </si>
  <si>
    <t>A) Cultural revival movements</t>
  </si>
  <si>
    <t>Which 18th-century Maharaja is known for promoting Malkhamb as part of military training?</t>
  </si>
  <si>
    <t>Which king’s reign during the 17th century was marked by the formalization of Malkhamb as a sport?</t>
  </si>
  <si>
    <t>Which historical text describes physical conditioning methods similar to Malkhamb?</t>
  </si>
  <si>
    <t>Which 20th-century figure is known for their efforts to preserve and promote Malkhamb traditions?</t>
  </si>
  <si>
    <t>Which historical event in the 18th century contributed to the decline of Malkhamb?</t>
  </si>
  <si>
    <t>A) Mughal Empire decline, B) British colonial expansion, C) Maratha Empire revival, D) Indian Rebellion of 1857</t>
  </si>
  <si>
    <t>A) Mughal Empire decline</t>
  </si>
  <si>
    <t>Which ancient Indian text details techniques similar to Malkhamb practices?</t>
  </si>
  <si>
    <t>Which 17th-century ruler’s military training included Malkhamb techniques?</t>
  </si>
  <si>
    <t>Which 19th-century development was crucial for the preservation of Malkhamb?</t>
  </si>
  <si>
    <t>A) Cultural revival movements, B) Government intervention, C) International recognition, D) Educational reforms</t>
  </si>
  <si>
    <t>Which king's support was essential for the formalization of Malkhamb techniques in the 17th century?</t>
  </si>
  <si>
    <t>Which historical text from the 17th century provides detailed descriptions of Malkhamb-like practices?</t>
  </si>
  <si>
    <t>Which ancient Indian text first documented exercises similar to Malkhamb?</t>
  </si>
  <si>
    <t>A) Yoga Sutras, B) Manusmriti, C) Vedas, D) Arthashastra</t>
  </si>
  <si>
    <t>Which king established Malkhamb as part of his military training regimen in the 17th century?</t>
  </si>
  <si>
    <t>In which era did Malkhamb see significant formalization and standardization?</t>
  </si>
  <si>
    <t>B) 17th century</t>
  </si>
  <si>
    <t>Which historical figure is credited with the revival of Malkhamb in the 20th century?</t>
  </si>
  <si>
    <t>Which dynasty's decline contributed to the temporary decline of Malkhamb?</t>
  </si>
  <si>
    <t>Which ancient practice is considered a precursor to Malkhamb?</t>
  </si>
  <si>
    <t>Which 19th-century Maharaja's support helped formalize Malkhamb techniques?</t>
  </si>
  <si>
    <t>Which king's reign in the 18th century saw the peak of Malkhamb practice and competitions?</t>
  </si>
  <si>
    <t>Which ruler's military training included Malkhamb as a core component in the 17th century?</t>
  </si>
  <si>
    <t>Which Maharaja’s patronage was crucial for the formalization of Malkhamb in the 19th century?</t>
  </si>
  <si>
    <t>Which Maharaja’s support was essential for the formalization of Malkhamb techniques in the 17th century?</t>
  </si>
  <si>
    <t>Which 17th-century text is known for its detailed description of Malkhamb-like practices?</t>
  </si>
  <si>
    <t>Which ruler is credited with integrating Malkhamb into military training during their reign?</t>
  </si>
  <si>
    <t>Which 19th-century development was crucial for the preservation of Malkhamb traditions?</t>
  </si>
  <si>
    <t>Which historical figure’s patronage was crucial for the formalization of Malkhamb techniques?</t>
  </si>
  <si>
    <t>Which ancient Indian text provides references to physical practices similar to Malkhamb?</t>
  </si>
  <si>
    <t>Which 20th-century figure is known for their efforts to preserve and promote Malkhamb?</t>
  </si>
  <si>
    <t>Which 18th-century ruler is known for promoting Malkhamb as part of military training?</t>
  </si>
  <si>
    <t>Which king's reign in the 19th century saw the peak of Malkhamb practice and competitions?</t>
  </si>
  <si>
    <t>Which 19th-century Maharaja’s patronage was crucial for the formalization of Malkhamb?</t>
  </si>
  <si>
    <t>Which historical figure’s military training manual included Malkhamb techniques?</t>
  </si>
  <si>
    <t>Which ancient Indian text describes physical conditioning methods similar to Malkhamb?</t>
  </si>
  <si>
    <t>Which king’s military training methods included Malkhamb as a core component in the 17th century?</t>
  </si>
  <si>
    <t>Which historical figure is credited with integrating Malkhamb into military training during their reign?</t>
  </si>
  <si>
    <t>Which 17th-century ruler is credited with formalizing Malkhamb techniques as part of military training?</t>
  </si>
  <si>
    <t>What was a major factor in the decline of Malkhamb in the 18th century?</t>
  </si>
  <si>
    <t>Which king’s military training included Malkhamb as a core component in the 17th century?</t>
  </si>
  <si>
    <t>Which historical figure’s support was crucial for the formalization of Malkhamb techniques in the 17th century?</t>
  </si>
  <si>
    <t>Who is considered the father of modern Malkhamb?</t>
  </si>
  <si>
    <t>A) Balambhatt Dada Deodhar, B) Bhaskar Rao, C) Vitthalrao Devlekar, D) Shivaji Maharaj</t>
  </si>
  <si>
    <t>A) Balambhatt Dada Deodhar</t>
  </si>
  <si>
    <t>In which year was Malkhamb introduced as a competitive sport?</t>
  </si>
  <si>
    <t>A) 1905, B) 1947, C) 1970, D) 1936</t>
  </si>
  <si>
    <t>D) 1936</t>
  </si>
  <si>
    <t>Malkhamb was historically used to train which type of warriors?</t>
  </si>
  <si>
    <t>A) Maratha warriors, B) Rajput warriors, C) Mughal soldiers, D) British soldiers</t>
  </si>
  <si>
    <t>A) Maratha warriors</t>
  </si>
  <si>
    <t>Which ruler is believed to have popularized Malkhamb in Maharashtra?</t>
  </si>
  <si>
    <t>A) Shivaji Maharaj, B) Peshwa Bajirao I, C) Shahu Maharaj, D) Baji Rao II</t>
  </si>
  <si>
    <t>B) Peshwa Bajirao I</t>
  </si>
  <si>
    <t>Malkhamb was traditionally performed on which type of apparatus?</t>
  </si>
  <si>
    <t>A) Pole, B) Rope, C) Balance beam, D) Rings</t>
  </si>
  <si>
    <t>A) Pole</t>
  </si>
  <si>
    <t>What is the traditional material used for making the Malkhamb pole?</t>
  </si>
  <si>
    <t>A) Metal, B) Bamboo, C) Teak wood, D) Oak wood</t>
  </si>
  <si>
    <t>C) Teak wood</t>
  </si>
  <si>
    <t>Which of the following is a type of Malkhamb?</t>
  </si>
  <si>
    <t>A) Rope Malkhamb, B) Aerial Malkhamb, C) Ground Malkhamb, D) Pole Malkhamb</t>
  </si>
  <si>
    <t>A) Rope Malkhamb</t>
  </si>
  <si>
    <t>The word 'Malkhamb' is derived from which language?</t>
  </si>
  <si>
    <t>A) Sanskrit, B) Marathi, C) Hindi, D) Tamil</t>
  </si>
  <si>
    <t>In which Indian state did Malkhamb originate?</t>
  </si>
  <si>
    <t>A) Gujarat, B) Maharashtra, C) Karnataka, D) Rajasthan</t>
  </si>
  <si>
    <t>Malkhamb is also known as the 'gymnastics of _____.'</t>
  </si>
  <si>
    <t>A) India, B) Warriors, C) Strength, D) Discipline</t>
  </si>
  <si>
    <t>B) Warriors</t>
  </si>
  <si>
    <t>Who was instrumental in reviving Malkhamb in the 19th century?</t>
  </si>
  <si>
    <t>A) Balambhatt Dada Deodhar, B) Shivaji Maharaj, C) Narayanrao Peshwa, D) Vishnudas Bhave</t>
  </si>
  <si>
    <t>Malkhamb was featured in the National Games of India for the first time in which year?</t>
  </si>
  <si>
    <t>A) 1985, B) 1962, C) 1958, D) 1949</t>
  </si>
  <si>
    <t>C) 1958</t>
  </si>
  <si>
    <t>Which famous Peshwa is known to have used Malkhamb as a training method for his soldiers?</t>
  </si>
  <si>
    <t>A) Balaji Vishwanath, B) Peshwa Bajirao I, C) Madhavrao I, D) Raghunath Rao</t>
  </si>
  <si>
    <t>The term 'Malkhamb' can be broken into 'Malla' meaning wrestler and 'Khamb' meaning what?</t>
  </si>
  <si>
    <t>A) Rope, B) Pole, C) Strength, D) Victory</t>
  </si>
  <si>
    <t>B) Pole</t>
  </si>
  <si>
    <t>Which king of Kolhapur revived Malkhamb by organizing competitions in the early 20th century?</t>
  </si>
  <si>
    <t>A) Shivaji II, B) Shahu Maharaj, C) Baji Rao II, D) Raghunathrao</t>
  </si>
  <si>
    <t>B) Shahu Maharaj</t>
  </si>
  <si>
    <t>Malkhamb competitions were first organized at a national level in which city?</t>
  </si>
  <si>
    <t>A) Mumbai, B) Pune, C) Nagpur, D) Delhi</t>
  </si>
  <si>
    <t>C) Nagpur</t>
  </si>
  <si>
    <t>Which is a traditional form of Malkhamb that involves balancing on a hanging rope?</t>
  </si>
  <si>
    <t>A) Rope Malkhamb, B) Hanging Malkhamb, C) Swing Malkhamb, D) Vertical Malkhamb</t>
  </si>
  <si>
    <t>Which Indian state declared Malkhamb as its state sport?</t>
  </si>
  <si>
    <t>A) Maharashtra, B) Madhya Pradesh, C) Uttar Pradesh, D) Gujarat</t>
  </si>
  <si>
    <t>B) Madhya Pradesh</t>
  </si>
  <si>
    <t>Malkhamb was demonstrated for the first time at the Asian Games in which year?</t>
  </si>
  <si>
    <t>A) 1982, B) 1974, C) 1990, D) 2000</t>
  </si>
  <si>
    <t>Who was the first to codify the rules for competitive Malkhamb?</t>
  </si>
  <si>
    <t>A) Balambhatt Dada Deodhar, B) Uday Deshpande, C) Shahu Maharaj, D) Vitthalrao Devlekar</t>
  </si>
  <si>
    <t>D) Vitthalrao Devlekar</t>
  </si>
  <si>
    <t>In ancient times, Malkhamb was part of which Indian physical training system?</t>
  </si>
  <si>
    <t>A) Yoga, B) Kalaripayattu, C) Vyayam, D) Wrestling</t>
  </si>
  <si>
    <t>The modern sport of Malkhamb gained recognition in which century?</t>
  </si>
  <si>
    <t>A) 15th century, B) 18th century, C) 19th century, D) 20th century</t>
  </si>
  <si>
    <t>The balancing exercises in Malkhamb resemble movements from which traditional practice?</t>
  </si>
  <si>
    <t>A) Yoga, B) Martial arts, C) Dance, D) Athletics</t>
  </si>
  <si>
    <t>Which year marked the official inclusion of Malkhamb in the National Physical Education curriculum in India?</t>
  </si>
  <si>
    <t>A) 1938, B) 1948, C) 1952, D) 1964</t>
  </si>
  <si>
    <t>Which city hosted the first Malkhamb World Championship in 2019?</t>
  </si>
  <si>
    <t>A) Pune, B) Mumbai, C) New Delhi, D) Ujjain</t>
  </si>
  <si>
    <t>The Malkhamb Federation of India was established in which year?</t>
  </si>
  <si>
    <t>A) 1958, B) 1962, C) 1975, D) 1981</t>
  </si>
  <si>
    <t>Which king from the Maratha empire was an avid promoter of Malkhamb?</t>
  </si>
  <si>
    <t>A) Shivaji Maharaj, B) Sambhaji Maharaj, C) Shahu Maharaj, D) Peshwa Madhavrao</t>
  </si>
  <si>
    <t>C) Shahu Maharaj</t>
  </si>
  <si>
    <t>The introduction of Rope Malkhamb is attributed to which individual?</t>
  </si>
  <si>
    <t>A) Balambhatt Dada Deodhar, B) Uday Deshpande, C) Vitthalrao Devlekar, D) Rajesh Bagade</t>
  </si>
  <si>
    <t>C) Vitthalrao Devlekar</t>
  </si>
  <si>
    <t>Malkhamb performances were historically conducted during which type of events?</t>
  </si>
  <si>
    <t>A) Religious festivals, B) Military parades, C) Weddings, D) Wrestling tournaments</t>
  </si>
  <si>
    <t>D) Wrestling tournaments</t>
  </si>
  <si>
    <t>The first international Malkhamb competition took place in which country?</t>
  </si>
  <si>
    <t>A) Germany, B) Japan, C) India, D) Russia</t>
  </si>
  <si>
    <t>Malkhamb is recognized by which international sports organization?</t>
  </si>
  <si>
    <t>A) IOC, B) World Gymnastics Federation, C) Commonwealth Games, D) UNESCO</t>
  </si>
  <si>
    <t>B) World Gymnastics Federation</t>
  </si>
  <si>
    <t>Which region in India is considered the birthplace of Malkhamb?</t>
  </si>
  <si>
    <t>A) Konkan, B) Vidarbha, C) Pune, D) Nashik</t>
  </si>
  <si>
    <t>Which Peshwa used Malkhamb to train his soldiers for warfare?</t>
  </si>
  <si>
    <t>A) Balaji Vishwanath, B) Baji Rao I, C) Madhavrao I, D) Shahu Maharaj</t>
  </si>
  <si>
    <t>B) Baji Rao I</t>
  </si>
  <si>
    <t>Malkhamb was revived as a competitive sport in India in which century?</t>
  </si>
  <si>
    <t>A) 18th century, B) 19th century, C) 20th century, D) 21st century</t>
  </si>
  <si>
    <t>B) 19th century</t>
  </si>
  <si>
    <t>In which city was the Malkhamb Federation of India founded?</t>
  </si>
  <si>
    <t>A) Pune, B) Ujjain, C) Nagpur, D) Mumbai</t>
  </si>
  <si>
    <t>The National Malkhamb Championship is held annually in which country?</t>
  </si>
  <si>
    <t>A) India, B) Nepal, C) Bangladesh, D) Sri Lanka</t>
  </si>
  <si>
    <t>Who is credited with establishing modern rules for Malkhamb competitions?</t>
  </si>
  <si>
    <t>A) Vitthalrao Devlekar, B) Uday Deshpande, C) Balambhatt Dada Deodhar, D) Shahu Maharaj</t>
  </si>
  <si>
    <t>A) Vitthalrao Devlekar</t>
  </si>
  <si>
    <t>Which famous wrestler used Malkhamb as part of his training regimen?</t>
  </si>
  <si>
    <t>A) Gama Pehlwan, B) Dara Singh, C) Khashaba Jadhav, D) Bhimrao Bagde</t>
  </si>
  <si>
    <t>B) Dara Singh</t>
  </si>
  <si>
    <t>Which state hosted the first official Malkhamb World Championship?</t>
  </si>
  <si>
    <t>A) Maharashtra, B) Madhya Pradesh, C) Karnataka, D) Gujarat</t>
  </si>
  <si>
    <t>A) Flexibility, B) Balance, C) Strength, D) Endurance</t>
  </si>
  <si>
    <t>Malkhamb was included as a demonstration sport at which national games?</t>
  </si>
  <si>
    <t>A) 1958 National Games, B) 1982 National Games, C) 1990 National Games, D) 1964 National Games</t>
  </si>
  <si>
    <t>A) 1958 National Games</t>
  </si>
  <si>
    <t>Which international organization recognized Malkhamb as a traditional sport?</t>
  </si>
  <si>
    <t>A) UNESCO, B) IOC, C) Commonwealth Games Federation, D) World Traditional Sports Federation</t>
  </si>
  <si>
    <t>A) UNESCO</t>
  </si>
  <si>
    <t>What is the significance of Malkhamb in modern gymnastics?</t>
  </si>
  <si>
    <t>A) It is a precursor to modern gymnastics, B) It is unrelated, C) It replaces gymnastics, D) It is an extension of gymnastics</t>
  </si>
  <si>
    <t>A) It is a precursor to modern gymnastics</t>
  </si>
  <si>
    <t>Malkhamb is traditionally practiced with which number of participants at a time?</t>
  </si>
  <si>
    <t>Which prominent Malkhamb coach is known for promoting the sport internationally?</t>
  </si>
  <si>
    <t>A) Uday Deshpande, B) Vitthalrao Devlekar, C) Balambhatt Dada Deodhar, D) Shahu Maharaj</t>
  </si>
  <si>
    <t>A) Uday Deshpande</t>
  </si>
  <si>
    <t>In which century did Malkhamb originate?</t>
  </si>
  <si>
    <t>A) 11th century, B) 13th century, C) 17th century, D) 19th century</t>
  </si>
  <si>
    <t>Which Peshwa is believed to have introduced Malkhamb to improve soldier agility?</t>
  </si>
  <si>
    <t>A) Balaji Vishwanath, B) Baji Rao I, C) Shahu Maharaj, D) Madhavrao I</t>
  </si>
  <si>
    <t>Malkhamb was originally a part of which martial training system?</t>
  </si>
  <si>
    <t>A) Kalari, B) Vyayam, C) Silambam, D) Kalaripayattu</t>
  </si>
  <si>
    <t>B) Vyayam</t>
  </si>
  <si>
    <t>Which Indian festival often features Malkhamb demonstrations?</t>
  </si>
  <si>
    <t>A) Diwali, B) Ganesh Chaturthi, C) Holi, D) Dussehra</t>
  </si>
  <si>
    <t>The National Malkhamb Championship began in which decade?</t>
  </si>
  <si>
    <t>Which Peshwa ruler played a key role in popularizing Malkhamb?</t>
  </si>
  <si>
    <t>A) Peshwa Madhavrao, B) Peshwa Baji Rao I, C) Peshwa Raghunathrao, D) Peshwa Balaji Baji Rao</t>
  </si>
  <si>
    <t>B) Peshwa Baji Rao I</t>
  </si>
  <si>
    <t>Which historical Maratha figure was known for training with Malkhamb?</t>
  </si>
  <si>
    <t>A) Rani Laxmi Bai, B) Shahu Maharaj, C) Tanhaji Malusare, D) Peshwa Bajirao I</t>
  </si>
  <si>
    <t>C) Tanhaji Malusare</t>
  </si>
  <si>
    <t>Malkhamb was revived during the reign of which Indian ruler?</t>
  </si>
  <si>
    <t>A) Shivaji Maharaj, B) Peshwa Bajirao II, C) Shahu Maharaj, D) Nana Phadnavis</t>
  </si>
  <si>
    <t>Malkhamb first gained national prominence during which Indian independence movement phase?</t>
  </si>
  <si>
    <t>A) Swadeshi Movement, B) Non-Cooperation Movement, C) Quit India Movement, D) Civil Disobedience Movement</t>
  </si>
  <si>
    <t>B) Non-Cooperation Movement</t>
  </si>
  <si>
    <t>Which historical text is believed to describe early forms of Malkhamb?</t>
  </si>
  <si>
    <t>A) Arthashastra, B) Mahabharata, C) Dhanurveda, D) Ramayana</t>
  </si>
  <si>
    <t>Malkhamb training was a part of which Maratha military academy?</t>
  </si>
  <si>
    <t>A) Panhala Fort Academy, B) Shivaji’s Military Academy, C) Bajirao’s Military School, D) Shahu’s Vyayamshala</t>
  </si>
  <si>
    <t>D) Shahu’s Vyayamshala</t>
  </si>
  <si>
    <t>In which Indian city did Balambhatt Dada Deodhar formalize Malkhamb practices?</t>
  </si>
  <si>
    <t>A) Pune, B) Mumbai, C) Kolhapur, D) Nagpur</t>
  </si>
  <si>
    <t>Malkhamb was first exhibited at an international level during which event?</t>
  </si>
  <si>
    <t>A) Commonwealth Games, B) Olympics, C) Asian Games, D) Indian National Congress</t>
  </si>
  <si>
    <t>C) Asian Games</t>
  </si>
  <si>
    <t>Which Indian state's schools adopted Malkhamb as part of physical education in the early 20th century?</t>
  </si>
  <si>
    <t>A) Maharashtra, B) Karnataka, C) Gujarat, D) Tamil Nadu</t>
  </si>
  <si>
    <t>In which year did Malkhamb gain official recognition from the Indian Olympic Association?</t>
  </si>
  <si>
    <t>A) 1958, B) 1964, C) 1970, D) 1975</t>
  </si>
  <si>
    <t>Which ancient form of wrestling was closely linked with the development of Malkhamb?</t>
  </si>
  <si>
    <t>A) Pehlwani, B) Kushti, C) Dangal, D) Malla Yuddha</t>
  </si>
  <si>
    <t>Which Indian martial art shares similarities with Malkhamb in terms of physical training?</t>
  </si>
  <si>
    <t>A) Kalaripayattu, B) Silambam, C) Thang-ta, D) Lathi Khela</t>
  </si>
  <si>
    <t>The first recorded use of Malkhamb for military training was during the reign of which ruler?</t>
  </si>
  <si>
    <t>A) Baji Rao I, B) Shivaji Maharaj, C) Raghunathrao, D) Shahu Maharaj</t>
  </si>
  <si>
    <t>A) Baji Rao I</t>
  </si>
  <si>
    <t>In which year was Malkhamb officially included in the All India Games?</t>
  </si>
  <si>
    <t>A) 1941, B) 1948, C) 1952, D) 1955</t>
  </si>
  <si>
    <t>Which historical figure established the first Malkhamb schools in India?</t>
  </si>
  <si>
    <t>A) Peshwa Madhavrao, B) Shahu Maharaj, C) Uday Deshpande, D) Vitthalrao Devlekar</t>
  </si>
  <si>
    <t>Which ancient text first references a game similar to Gilli Danda in India?</t>
  </si>
  <si>
    <t>A) Vedas, B) Mahabharata, C) Ramayana, D) Upanishads</t>
  </si>
  <si>
    <t>During which historical period did Gilli Danda become popular in the Indian subcontinent?</t>
  </si>
  <si>
    <t>A) Maurya Empire, B) Gupta Empire, C) Mughal Empire, D) British Raj</t>
  </si>
  <si>
    <t>B) Gupta Empire</t>
  </si>
  <si>
    <t>What is the primary difference between Gilli Danda and similar games from other cultures?</t>
  </si>
  <si>
    <t>A) Use of a stick and a ball, B) The game’s scoring system, C) The size of the field, D) The number of players</t>
  </si>
  <si>
    <t>A) Use of a stick and a ball</t>
  </si>
  <si>
    <t>Which famous Indian king is said to have played a variant of Gilli Danda during his reign?</t>
  </si>
  <si>
    <t>A) Ashoka, B) Akbar, C) Chandragupta Maurya, D) Ranjit Singh</t>
  </si>
  <si>
    <t>What was the traditional material used for making the 'Gilli' in Gilli Danda before modern materials became prevalent?</t>
  </si>
  <si>
    <t>A) Wood, B) Clay, C) Stone, D) Metal</t>
  </si>
  <si>
    <t>In which region of India did Gilli Danda receive its most extensive traditional documentation?</t>
  </si>
  <si>
    <t>A) Southern India, B) Western India, C) Northern India, D) Eastern India</t>
  </si>
  <si>
    <t>C) Northern India</t>
  </si>
  <si>
    <t>Which colonial-era sport is often compared to Gilli Danda due to similarities in gameplay?</t>
  </si>
  <si>
    <t>A) Cricket, B) Baseball, C) Tennis, D) Football</t>
  </si>
  <si>
    <t>B) Baseball</t>
  </si>
  <si>
    <t>How did Gilli Danda play a role in the cultural life of rural India before the introduction of modern sports?</t>
  </si>
  <si>
    <t>A) As a form of physical education, B) As a ritualistic game, C) As entertainment during festivals, D) As a tool for military training</t>
  </si>
  <si>
    <t>C) As entertainment during festivals</t>
  </si>
  <si>
    <t>Which historical figure documented the rules of Gilli Danda in ancient Indian manuscripts?</t>
  </si>
  <si>
    <t>A) Charaka, B) Sushruta, C) Patanjali, D) Aryabhata</t>
  </si>
  <si>
    <t>C) Patanjali</t>
  </si>
  <si>
    <t>In which famous Indian epic is a game resembling Gilli Danda mentioned?</t>
  </si>
  <si>
    <t>A) Bhagavad Gita, B) Mahabharata, C) Ramayana, D) Manusmriti</t>
  </si>
  <si>
    <t>Which ancient Indian king is known for promoting traditional sports like Gilli Danda as part of his royal court activities?</t>
  </si>
  <si>
    <t>A) King Harsha, B) King Ashoka, C) King Vikramaditya, D) King Chandragupta</t>
  </si>
  <si>
    <t>C) King Vikramaditya</t>
  </si>
  <si>
    <t>Which archaeological site has evidence of games similar to Gilli Danda dating back to ancient times?</t>
  </si>
  <si>
    <t>A) Mohenjo-Daro, B) Harappa, C) Lothal, D) Rakhigarhi</t>
  </si>
  <si>
    <t>A) Mohenjo-Daro</t>
  </si>
  <si>
    <t>What was a common practice among rural communities related to Gilli Danda during festivals?</t>
  </si>
  <si>
    <t>A) Organizing tournaments, B) Offering it as a prize, C) Using it in religious rituals, D) Displaying it in temples</t>
  </si>
  <si>
    <t>A) Organizing tournaments</t>
  </si>
  <si>
    <t>Which traditional Indian festival is known to feature Gilli Danda as part of its celebrations?</t>
  </si>
  <si>
    <t>What impact did British colonial rule have on the popularity of Gilli Danda in India?</t>
  </si>
  <si>
    <t>A) Increased popularity, B) Decreased popularity, C) No impact, D) Introduction of new rules</t>
  </si>
  <si>
    <t>B) Decreased popularity</t>
  </si>
  <si>
    <t>Which region in India is credited with the modern resurgence of interest in Gilli Danda?</t>
  </si>
  <si>
    <t>A) Uttar Pradesh, B) Punjab, C) Maharashtra, D) Karnataka</t>
  </si>
  <si>
    <t>What was a key reason for Gilli Danda’s decline in urban areas during the 20th century?</t>
  </si>
  <si>
    <t>A) Rise of modern sports, B) Lack of interest, C) Changes in lifestyle, D) Government regulations</t>
  </si>
  <si>
    <t>A) Rise of modern sports</t>
  </si>
  <si>
    <t>Which Indian sports organization has worked to preserve and promote traditional games like Gilli Danda?</t>
  </si>
  <si>
    <t>A) Sports Authority of India, B) Indian Olympic Association, C) National School Games Federation, D) Indian Traditional Sports Federation</t>
  </si>
  <si>
    <t>D) Indian Traditional Sports Federation</t>
  </si>
  <si>
    <t>What type of wood was traditionally used for making the 'Danda' in Gilli Danda?</t>
  </si>
  <si>
    <t>B) Teak</t>
  </si>
  <si>
    <t>Which historical text discusses the rules and cultural significance of traditional Indian sports including Gilli Danda?</t>
  </si>
  <si>
    <t>A) Arthashastra, B) Manusmriti, C) Sushruta Samhita, D) Vatsyayana's Kamasutra</t>
  </si>
  <si>
    <t>Which famous Indian poet and playwright wrote about traditional sports such as Gilli Danda?</t>
  </si>
  <si>
    <t>A) Kalidasa, B) Kabir, C) Tulsidas, D) Surdas</t>
  </si>
  <si>
    <t>A) Kalidasa</t>
  </si>
  <si>
    <t>In what way did British colonialists document or modify traditional games like Gilli Danda?</t>
  </si>
  <si>
    <t>A) By formalizing the rules, B) By integrating them into school curricula, C) By promoting them as cultural exhibitions, D) By documenting them in colonial records</t>
  </si>
  <si>
    <t>D) By documenting them in colonial records</t>
  </si>
  <si>
    <t>Which South Asian country, besides India, has a variant of Gilli Danda known as 'Satoliya'?</t>
  </si>
  <si>
    <t>A) Bangladesh, B) Pakistan, C) Nepal, D) Sri Lanka</t>
  </si>
  <si>
    <t>What was the primary use of the Gilli and Danda in traditional Indian villages before it became a sport?</t>
  </si>
  <si>
    <t>A) Educational purposes, B) Ritualistic use, C) Communication tool, D) Military training</t>
  </si>
  <si>
    <t>B) Ritualistic use</t>
  </si>
  <si>
    <t>Which historical Indian dynasty is known for its patronage of various sports and games including Gilli Danda?</t>
  </si>
  <si>
    <t>A) The Chola Dynasty, B) The Mughal Dynasty, C) The Maratha Dynasty, D) The Rajput Dynasty</t>
  </si>
  <si>
    <t>B) The Mughal Dynasty</t>
  </si>
  <si>
    <t>What was the impact of industrialization on traditional sports like Gilli Danda in India?</t>
  </si>
  <si>
    <t>A) Increased participation, B) Decreased participation, C) Introduction of new rules, D) Greater visibility in media</t>
  </si>
  <si>
    <t>B) Decreased participation</t>
  </si>
  <si>
    <t>In which year did Gilli Danda first appear in Indian folklore literature?</t>
  </si>
  <si>
    <t>A) 500 BC, B) 200 BC, C) 500 AD, D) 1000 AD</t>
  </si>
  <si>
    <t>C) 500 AD</t>
  </si>
  <si>
    <t>What is the primary function of the 'Danda' in the game of Gilli Danda?</t>
  </si>
  <si>
    <t>A) Hitting the Gilli, B) Throwing the Gilli, C) Defending the Gilli, D) Measuring distance</t>
  </si>
  <si>
    <t>A) Hitting the Gilli</t>
  </si>
  <si>
    <t>Which Indian traditional game, similar to Gilli Danda, is known to use a similar set of rules but with different equipment?</t>
  </si>
  <si>
    <t>A) Pitthu, B) Satoliya, C) Kabbadi, D) Kho-Kho</t>
  </si>
  <si>
    <t>Which British writer described the game of Gilli Danda in their accounts of colonial India?</t>
  </si>
  <si>
    <t>A) Rudyard Kipling, B) Mark Twain, C) E.M. Forster, D) George Orwell</t>
  </si>
  <si>
    <t>A) Rudyard Kipling</t>
  </si>
  <si>
    <t>What was the significance of the 'Gilli' in traditional rituals and ceremonies in ancient India?</t>
  </si>
  <si>
    <t>A) Symbol of prosperity, B) Tool for divination, C) Sacrificial object, D) Element of storytelling</t>
  </si>
  <si>
    <t>B) Tool for divination</t>
  </si>
  <si>
    <t>Which Indian state has a rich tradition of Gilli Danda and is known for organizing annual tournaments?</t>
  </si>
  <si>
    <t>A) Gujarat, B) Uttar Pradesh, C) Kerala, D) Andhra Pradesh</t>
  </si>
  <si>
    <t>Which ancient Indian game, similar to Gilli Danda, involved hitting a small stone with a stick?</t>
  </si>
  <si>
    <t>A) Lagori, B) Gilli Danda, C) Satoliya, D) Kho-Kho</t>
  </si>
  <si>
    <t>A) Lagori</t>
  </si>
  <si>
    <t>What was the traditional method for making the 'Gilli' more durable in ancient times?</t>
  </si>
  <si>
    <t>A) Carving from hard wood, B) Using metal coatings, C) Reinforcing with ropes, D) Drying under sunlight</t>
  </si>
  <si>
    <t>A) Carving from hard wood</t>
  </si>
  <si>
    <t>Which famous Indian historian has written about traditional games including Gilli Danda in their works?</t>
  </si>
  <si>
    <t>A) Romila Thapar, B) Irfan Habib, C) Bipan Chandra, D) R.C. Majumdar</t>
  </si>
  <si>
    <t>B) Irfan Habib</t>
  </si>
  <si>
    <t>Which period saw a decline in traditional sports like Gilli Danda due to the rise of organized sports?</t>
  </si>
  <si>
    <t>A) Early 19th Century, B) Mid 19th Century, C) Early 20th Century, D) Late 20th Century</t>
  </si>
  <si>
    <t>In which rural festival is Gilli Danda prominently featured as part of the celebrations?</t>
  </si>
  <si>
    <t>A) Makar Sankranti, B) Baisakhi, C) Lohri, D) Diwali</t>
  </si>
  <si>
    <t>C) Lohri</t>
  </si>
  <si>
    <t>Which region in India is known for preserving the traditional form of Gilli Danda through community events?</t>
  </si>
  <si>
    <t>A) Rajasthan, B) Karnataka, C) Maharashtra, D) West Bengal</t>
  </si>
  <si>
    <t>Which type of event typically includes Gilli Danda as a competitive sport?</t>
  </si>
  <si>
    <t>A) Local fairs, B) School tournaments, C) National championships, D) International meets</t>
  </si>
  <si>
    <t>A) Local fairs</t>
  </si>
  <si>
    <t>Which British colonial officer documented various traditional Indian games including Gilli Danda in their reports?</t>
  </si>
  <si>
    <t>A) Sir John Malcolm, B) Sir Charles Metcalfe, C) Sir William Jones, D) Sir Henry Lawrence</t>
  </si>
  <si>
    <t>C) Sir William Jones</t>
  </si>
  <si>
    <t>What traditional material was used to create the 'Gilli' in rural parts of India?</t>
  </si>
  <si>
    <t>A) Coconut shells, B) Bamboo, C) Clay, D) Leather</t>
  </si>
  <si>
    <t>A) Coconut shells</t>
  </si>
  <si>
    <t>Which aspect of traditional Indian life did Gilli Danda reflect during ancient times?</t>
  </si>
  <si>
    <t>A) Military training, B) Religious ceremonies, C) Social gatherings, D) Agricultural practices</t>
  </si>
  <si>
    <t>C) Social gatherings</t>
  </si>
  <si>
    <t>Which Indian literature piece contains references to traditional games similar to Gilli Danda?</t>
  </si>
  <si>
    <t>A) Jataka Tales, B) Panchatantra, C) Hitopadesha, D) Kalidasa's works</t>
  </si>
  <si>
    <t>B) Panchatantra</t>
  </si>
  <si>
    <t>What was the role of the 'Danda' in the game of Gilli Danda in traditional settings?</t>
  </si>
  <si>
    <t>A) Striking the Gilli, B) Marking the boundaries, C) Serving as a goalpost, D) Measuring distances</t>
  </si>
  <si>
    <t>A) Striking the Gilli</t>
  </si>
  <si>
    <t>Which historical account describes the playing of Gilli Danda among other traditional sports during ancient Indian times?</t>
  </si>
  <si>
    <t>A) Rajatarangini, B) Arthashastra, C) Neelakanta's Chronicles, D) Grihya Sutras</t>
  </si>
  <si>
    <t>A) Rajatarangini</t>
  </si>
  <si>
    <t>What influence did the spread of Western sports have on traditional games like Gilli Danda in colonial India?</t>
  </si>
  <si>
    <t>A) Increased participation, B) Integration into schools, C) Loss of interest, D) Creation of hybrid sports</t>
  </si>
  <si>
    <t>C) Loss of interest</t>
  </si>
  <si>
    <t>Which Indian state's folk traditions are particularly noted for their games similar to Gilli Danda?</t>
  </si>
  <si>
    <t>A) Assam, B) Bengal, C) Gujarat, D) Punjab</t>
  </si>
  <si>
    <t>Which ancient Indian king's court is said to have hosted numerous traditional games including Gilli Danda?</t>
  </si>
  <si>
    <t>A) King Ashoka, B) King Harsha, C) King Chandragupta, D) King Krishna Deva Raya</t>
  </si>
  <si>
    <t>D) King Krishna Deva Raya</t>
  </si>
  <si>
    <t>What was a key feature of the 'Gilli' that made it suitable for traditional gameplay?</t>
  </si>
  <si>
    <t>A) Its light weight, B) Its color, C) Its size, D) Its shape</t>
  </si>
  <si>
    <t>D) Its shape</t>
  </si>
  <si>
    <t>Which traditional Indian game, similar to Gilli Danda, is known for its emphasis on teamwork and strategy?</t>
  </si>
  <si>
    <t>A) Kho-Kho, B) Pitthu, C) Satoliya, D) Kabaddi</t>
  </si>
  <si>
    <t>B) Pitthu</t>
  </si>
  <si>
    <t>Which South Asian country besides India has an ancient tradition of games similar to Gilli Danda?</t>
  </si>
  <si>
    <t>A) Bangladesh, B) Nepal, C) Sri Lanka, D) Afghanistan</t>
  </si>
  <si>
    <t>What was a common use for the 'Danda' in traditional Indian communities outside of playing Gilli Danda?</t>
  </si>
  <si>
    <t>A) As a tool for farming, B) As a walking stick, C) As a weapon for protection, D) As a ceremonial staff</t>
  </si>
  <si>
    <t>B) As a walking stick</t>
  </si>
  <si>
    <t>Which Indian epic mentions games similar to Gilli Danda as part of royal pastimes?</t>
  </si>
  <si>
    <t>Which historical period saw the rise of organized tournaments for traditional Indian games like Gilli Danda?</t>
  </si>
  <si>
    <t>A) Early Medieval Period, B) Mughal Period, C) Colonial Period, D) Post-Independence Period</t>
  </si>
  <si>
    <t>B) Mughal Period</t>
  </si>
  <si>
    <t>Which Indian scholar's writings include references to traditional sports similar to Gilli Danda?</t>
  </si>
  <si>
    <t>A) Varahamihira, B) Aryabhata, C) Brahmagupta, D) Bhaskara</t>
  </si>
  <si>
    <t>A) Varahamihira</t>
  </si>
  <si>
    <t>Which historical figure is known for integrating traditional Indian games like Gilli Danda into their cultural policies?</t>
  </si>
  <si>
    <t>A) Akbar the Great, B) Sher Shah Suri, C) Aurangzeb, D) Jahangir</t>
  </si>
  <si>
    <t>A) Akbar the Great</t>
  </si>
  <si>
    <t>Which major Indian festival often includes traditional games like Gilli Danda as part of the celebrations?</t>
  </si>
  <si>
    <t>A) Durga Puja, B) Navratri, C) Diwali, D) Eid</t>
  </si>
  <si>
    <t>B) Navratri</t>
  </si>
  <si>
    <t>Which early modern writer documented the cultural significance of traditional games such as Gilli Danda in India?</t>
  </si>
  <si>
    <t>A) William Dalrymple, B) Sir John Kaye, C) Charles Allen, D) Rudyard Kipling</t>
  </si>
  <si>
    <t>B) Sir John Kaye</t>
  </si>
  <si>
    <t>What was the primary function of traditional Gilli Danda tournaments in rural Indian communities?</t>
  </si>
  <si>
    <t>A) Community bonding, B) Educational purpose, C) Religious practice, D) Military training</t>
  </si>
  <si>
    <t>Which Indian state has a unique variation of Gilli Danda known as 'Kutta Gilli'?</t>
  </si>
  <si>
    <t>A) Andhra Pradesh, B) Tamil Nadu, C) Karnataka, D) Maharashtra</t>
  </si>
  <si>
    <t>Which traditional Indian game similar to Gilli Danda involves throwing a stone at a target?</t>
  </si>
  <si>
    <t>A) Pitthu, B) Lagori, C) Satoliya, D) Kabbadi</t>
  </si>
  <si>
    <t>B) Lagori</t>
  </si>
  <si>
    <t>What is the traditional method for training young players in Gilli Danda in rural areas?</t>
  </si>
  <si>
    <t>A) Apprenticeship, B) Formal coaching, C) Community participation, D) School curriculum</t>
  </si>
  <si>
    <t>C) Community participation</t>
  </si>
  <si>
    <t>Which Indian historian has extensively covered the cultural aspects of traditional games including Gilli Danda?</t>
  </si>
  <si>
    <t>A) R.C. Majumdar, B) K.A. Nilakanta Sastri, C) Bipan Chandra, D) Romila Thapar</t>
  </si>
  <si>
    <t>B) K.A. Nilakanta Sastri</t>
  </si>
  <si>
    <t>Which traditional Indian game is closely related to Gilli Danda in terms of gameplay and equipment?</t>
  </si>
  <si>
    <t>A) Satoliya, B) Kho-Kho, C) Pitthu, D) Lagori</t>
  </si>
  <si>
    <t>D) Lagori</t>
  </si>
  <si>
    <t>Which Indian state has a traditional sport known as 'Kalli' that is similar to Gilli Danda?</t>
  </si>
  <si>
    <t>Which ancient Indian text provides early references to traditional sports akin to Gilli Danda?</t>
  </si>
  <si>
    <t>A) Manusmriti, B) Ramayana, C) Mahabharata, D) Arthashastra</t>
  </si>
  <si>
    <t>Which Indian cultural event commonly features traditional sports including Gilli Danda as part of its activities?</t>
  </si>
  <si>
    <t>A) Village fairs, B) Urban festivals, C) Academic competitions, D) Government exhibitions</t>
  </si>
  <si>
    <t>Which historical figure is known for documenting the sports and games of India, including Gilli Danda, in their writings?</t>
  </si>
  <si>
    <t>A) James Tod, B) Sir William Jones, C) Charles Stewart, D) Aurel Stein</t>
  </si>
  <si>
    <t>A) James Tod</t>
  </si>
  <si>
    <t>Which period of Indian history saw a significant decline in the popularity of traditional games like Gilli Danda?</t>
  </si>
  <si>
    <t>A) Ancient Period, B) Medieval Period, C) Colonial Period, D) Post-Independence Period</t>
  </si>
  <si>
    <t>C) Colonial Period</t>
  </si>
  <si>
    <t>Which historical Indian festival integrates traditional games such as Gilli Danda as part of its celebrations?</t>
  </si>
  <si>
    <t>A) Ganesh Chaturthi, B) Raksha Bandhan, C) Onam, D) Pongal</t>
  </si>
  <si>
    <t>C) Onam</t>
  </si>
  <si>
    <t>Which South Asian country is known for having a traditional game similar to Gilli Danda called 'Gilli'?</t>
  </si>
  <si>
    <t>A) Sri Lanka, B) Nepal, C) Bangladesh, D) Pakistan</t>
  </si>
  <si>
    <t>Which famous Indian epic narrates stories involving traditional games similar to Gilli Danda?</t>
  </si>
  <si>
    <t>A) Mahabharata, B) Ramayana, C) Puranas, D) Jataka Tales</t>
  </si>
  <si>
    <t>Which historical account or manuscript describes the game of Gilli Danda as part of daily life in ancient India?</t>
  </si>
  <si>
    <t>A) Arthashastra, B) Rajatarangini, C) Manusmriti, D) Vatsyayana's Kamasutra</t>
  </si>
  <si>
    <t>B) Rajatarangini</t>
  </si>
  <si>
    <t>Which Indian game similar to Gilli Danda involves hitting a small object with a stick and has regional variations across the country?</t>
  </si>
  <si>
    <t>A) Pitthu, B) Lagori, C) Satoliya, D) Kho-Kho</t>
  </si>
  <si>
    <t>What impact did the introduction of modern sports have on traditional games like Gilli Danda in India?</t>
  </si>
  <si>
    <t>A) Increased popularity, B) Loss of traditional practices, C) Creation of hybrid games, D) Greater international recognition</t>
  </si>
  <si>
    <t>B) Loss of traditional practices</t>
  </si>
  <si>
    <t>Which Indian region is particularly noted for its preservation of traditional games such as Gilli Danda through community events?</t>
  </si>
  <si>
    <t>A) Punjab, B) Rajasthan, C) Maharashtra, D) Uttar Pradesh</t>
  </si>
  <si>
    <t>Which Indian sport, closely related to Gilli Danda, involves throwing a small object with a stick and has regional variations?</t>
  </si>
  <si>
    <t>A) Satoliya, B) Pitthu, C) Lagori, D) Kho-Kho</t>
  </si>
  <si>
    <t>C) Lagori</t>
  </si>
  <si>
    <t>In which ancient text is Gilli Danda mentioned as a popular game in India?</t>
  </si>
  <si>
    <t>Which historical period saw the formal codification of the rules for Gilli Danda in India?</t>
  </si>
  <si>
    <t>A) Maurya Empire, B) Gupta Empire, C) Mughal Era, D) British Raj</t>
  </si>
  <si>
    <t>Which ancient Indian king is reputed to have played Gilli Danda during his leisure time?</t>
  </si>
  <si>
    <t>A) Ashoka, B) Chandragupta Maurya, C) Vikramaditya, D) Akbar</t>
  </si>
  <si>
    <t>In which region of India is Gilli Danda considered a traditional game and is still played today?</t>
  </si>
  <si>
    <t>A) Punjab, B) Tamil Nadu, C) Rajasthan, D) Uttar Pradesh</t>
  </si>
  <si>
    <t>D) Uttar Pradesh</t>
  </si>
  <si>
    <t>During which historical event was Gilli Danda used as a tool for teaching strategy and skills to young warriors?</t>
  </si>
  <si>
    <t>A) Alexander's Invasion, B) Mughal Conquest, C) British Colonization, D) Chola Invasions</t>
  </si>
  <si>
    <t>D) Chola Invasions</t>
  </si>
  <si>
    <t>Which Indian dynasty was known for integrating Gilli Danda into their courtly games and entertainment?</t>
  </si>
  <si>
    <t>A) Chalukya Dynasty, B) Satavahana Dynasty, C) Rashtrakuta Dynasty, D) Maratha Empire</t>
  </si>
  <si>
    <t>B) Satavahana Dynasty</t>
  </si>
  <si>
    <t>In which century did Gilli Danda become a symbol of regional pride and cultural identity in rural India?</t>
  </si>
  <si>
    <t>A) 16th Century, B) 17th Century, C) 18th Century, D) 19th Century</t>
  </si>
  <si>
    <t>C) 18th Century</t>
  </si>
  <si>
    <t>Which ancient Indian game is considered a precursor to Gilli Danda and shares similarities in gameplay?</t>
  </si>
  <si>
    <t>A) Kabaddi, B) Chaturanga, C) Polo, D) Kabbadi</t>
  </si>
  <si>
    <t>Which historical text from medieval India describes the rules and strategies of Gilli Danda in detail?</t>
  </si>
  <si>
    <t>A) Akbar Nama, B) Rajatarangini, C) Padshah Nama, D) Mahabharata</t>
  </si>
  <si>
    <t>Which 19th-century British colonial official documented Gilli Danda as part of his studies on Indian games and sports?</t>
  </si>
  <si>
    <t>A) James Mill, B) William Sleeman, C) Alexander Cunningham, D) Sir William Jones</t>
  </si>
  <si>
    <t>D) Sir William Jones</t>
  </si>
  <si>
    <t>In which Indian state is Gilli Danda still played with significant traditional importance during festivals and fairs?</t>
  </si>
  <si>
    <t>A) West Bengal, B) Assam, C) Karnataka, D) Gujarat</t>
  </si>
  <si>
    <t>Which Indian poet wrote about Gilli Danda in their literary works, reflecting its cultural significance?</t>
  </si>
  <si>
    <t>A) Kalidasa, B) Tulsidas, C) Kabir, D) Mirabai</t>
  </si>
  <si>
    <t>C) Kabir</t>
  </si>
  <si>
    <t>Which colonial-era game is believed to have influenced the modern version of Gilli Danda during British rule?</t>
  </si>
  <si>
    <t>A) Cricket, B) Polo, C) Baseball, D) Tennis</t>
  </si>
  <si>
    <t>A) Cricket</t>
  </si>
  <si>
    <t>Which famous Indian leader is known to have played Gilli Danda during their childhood in rural India?</t>
  </si>
  <si>
    <t>Which ancient Indian board game is often compared to Gilli Danda due to its similar strategic elements?</t>
  </si>
  <si>
    <t>A) Chaturanga, B) Pachisi, C) Snakes and Ladders, D) Ashtapada</t>
  </si>
  <si>
    <t>D) Ashtapada</t>
  </si>
  <si>
    <t>Which Indian festival commonly features Gilli Danda as a traditional game among other folk activities?</t>
  </si>
  <si>
    <t>Which historical figure is associated with popularizing Gilli Danda in the Indian subcontinent through royal patronage?</t>
  </si>
  <si>
    <t>A) Sher Shah Suri, B) Akbar the Great, C) Tipu Sultan, D) Raja Ram Mohan Roy</t>
  </si>
  <si>
    <t>B) Akbar the Great</t>
  </si>
  <si>
    <t>Which early 20th-century Indian sports historian documented Gilli Danda in their studies on traditional Indian games?</t>
  </si>
  <si>
    <t>A) P. V. Rajagopal, B) K. N. Khosla, C) S. S. Chhatwal, D) A. S. Ghosh</t>
  </si>
  <si>
    <t>B) K. N. Khosla</t>
  </si>
  <si>
    <t>Which ancient Indian king was depicted in artwork playing Gilli Danda in royal court scenes?</t>
  </si>
  <si>
    <t>A) King Harsha, B) King Ashoka, C) King Chandragupta, D) King Vikramaditya</t>
  </si>
  <si>
    <t>D) King Vikramaditya</t>
  </si>
  <si>
    <t>Which historical period saw the decline of Gilli Danda's popularity due to the rise of British sports?</t>
  </si>
  <si>
    <t>A) Early 19th Century, B) Mid 19th Century, C) Late 19th Century, D) Early 20th Century</t>
  </si>
  <si>
    <t>C) Late 19th Century</t>
  </si>
  <si>
    <t>Which Indian state has a historical record of Gilli Danda being played as part of military training?</t>
  </si>
  <si>
    <t>A) Punjab, B) Rajasthan, C) Gujarat, D) Andhra Pradesh</t>
  </si>
  <si>
    <t>Which famous Indian epic contains references to a game similar to Gilli Danda played by its characters?</t>
  </si>
  <si>
    <t>A) Ramayana, B) Mahabharata, C) Puranas, D) Arthashastra</t>
  </si>
  <si>
    <t>Which colonial-era writer described Gilli Danda as a game with ancient roots and provided a detailed account of its gameplay?</t>
  </si>
  <si>
    <t>A) William Erskine, B) Henry H. Wilson, C) J. H. Hutton, D) Richard Temple</t>
  </si>
  <si>
    <t>C) J. H. Hutton</t>
  </si>
  <si>
    <t>Which famous Indian artist included scenes of Gilli Danda in their paintings depicting traditional Indian life?</t>
  </si>
  <si>
    <t>A) Ravi Varma, B) Amrita Sher-Gil, C) Nandalal Bose, D) Jamini Roy</t>
  </si>
  <si>
    <t>Which Indian ruler established a courtly tradition where Gilli Danda was played as part of royal leisure activities?</t>
  </si>
  <si>
    <t>A) Akbar, B) Shah Jahan, C) Aurangzeb, D) Jehangir</t>
  </si>
  <si>
    <t>Which ancient Indian text provides insights into the cultural practices surrounding Gilli Danda during early historical periods?</t>
  </si>
  <si>
    <t>A) Arthashastra, B) Manusmriti, C) Natyashastra, D) Yoga Sutras</t>
  </si>
  <si>
    <t>C) Natyashastra</t>
  </si>
  <si>
    <t>Which Indian village game is often mentioned alongside Gilli Danda in discussions about traditional rural sports?</t>
  </si>
  <si>
    <t>A) Kho-Kho, B) Kabaddi, C) Satoliya, D) Cricket</t>
  </si>
  <si>
    <t>B) Kabaddi</t>
  </si>
  <si>
    <t>Which ancient Indian king's court included Gilli Danda as a part of the royal entertainment repertoire?</t>
  </si>
  <si>
    <t>A) Chandragupta Maurya, B) Ashoka, C) Harsha Vardhana, D) Raja Bhoj</t>
  </si>
  <si>
    <t>D) Raja Bhoj</t>
  </si>
  <si>
    <t>Which region in India has been historically documented as a significant center for the promotion and preservation of Gilli Danda?</t>
  </si>
  <si>
    <t>A) Karnataka, B) Tamil Nadu, C) Uttar Pradesh, D) West Bengal</t>
  </si>
  <si>
    <t>Which early 20th-century Indian scholar wrote about Gilli Danda in their research on indigenous sports and games?</t>
  </si>
  <si>
    <t>A) M. K. Gandhi, B) S. R. Bhatt, C) R. C. Majumdar, D) K. C. Jain</t>
  </si>
  <si>
    <t>C) R. C. Majumdar</t>
  </si>
  <si>
    <t>Which historical Indian text describes the societal significance of Gilli Danda as a game for youth and adults alike?</t>
  </si>
  <si>
    <t>A) Arthashastra, B) Vishnu Purana, C) Padma Purana, D) Mahabharata</t>
  </si>
  <si>
    <t>B) Vishnu Purana</t>
  </si>
  <si>
    <t>Which famous Indian athlete is known to have played Gilli Danda in their youth and spoke about its cultural value?</t>
  </si>
  <si>
    <t>A) Dhyan Chand, B) Milkha Singh, C) Sachin Tendulkar, D) Kapil Dev</t>
  </si>
  <si>
    <t>A) Dhyan Chand</t>
  </si>
  <si>
    <t>Which Indian festival celebrates Gilli Danda among other traditional games as part of its festivities?</t>
  </si>
  <si>
    <t>A) Baisakhi, B) Lohri, C) Holi, D) Onam</t>
  </si>
  <si>
    <t>A) Baisakhi</t>
  </si>
  <si>
    <t>Which Indian scholar from the early 19th century documented Gilli Danda as part of traditional games and sports in India?</t>
  </si>
  <si>
    <t>A) M. N. Roy, B) P. C. Mahalanobis, C) H. H. Wilson, D) R. C. Majumdar</t>
  </si>
  <si>
    <t>C) H. H. Wilson</t>
  </si>
  <si>
    <t>Which ancient text provides detailed instructions on how to play games similar to Gilli Danda, emphasizing its educational aspects?</t>
  </si>
  <si>
    <t>A) Manusmriti, B) Natyashastra, C) Bhagavad Gita, D) Yoga Sutras</t>
  </si>
  <si>
    <t>B) Natyashastra</t>
  </si>
  <si>
    <t>Which Indian state has preserved the traditional form of Gilli Danda through cultural festivals and local tournaments?</t>
  </si>
  <si>
    <t>A) Andhra Pradesh, B) Tamil Nadu, C) Gujarat, D) Maharashtra</t>
  </si>
  <si>
    <t>Which British official in the 19th century documented Gilli Danda as part of a broader study on Indian sports and games?</t>
  </si>
  <si>
    <t>A) Lord Curzon, B) Sir William Sleeman, C) Sir George Everest, D) Lord Minto</t>
  </si>
  <si>
    <t>B) Sir William Sleeman</t>
  </si>
  <si>
    <t>Which historical event led to the widespread decline of traditional games like Gilli Danda in favor of Western sports?</t>
  </si>
  <si>
    <t>A) The First World War, B) The Second World War, C) The Indian Independence Movement, D) The British Industrial Revolution</t>
  </si>
  <si>
    <t>C) The Indian Independence Movement</t>
  </si>
  <si>
    <t>Which Indian historian has written extensively about traditional Indian games, including Gilli Danda, in their works?</t>
  </si>
  <si>
    <t>A) R. C. Majumdar, B) K. M. Panikkar, C) Bipan Chandra, D) S. R. Sharma</t>
  </si>
  <si>
    <t>Which Indian folk tradition includes Gilli Danda as part of its storytelling and cultural rituals?</t>
  </si>
  <si>
    <t>A) Kathakali, B) Yakshagana, C) Bhand Pather, D) Jatra</t>
  </si>
  <si>
    <t>C) Bhand Pather</t>
  </si>
  <si>
    <t>Which region in India is renowned for its annual Gilli Danda tournaments, attracting players from various parts of the country?</t>
  </si>
  <si>
    <t>A) Punjab, B) Bihar, C) Himachal Pradesh, D) Kerala</t>
  </si>
  <si>
    <t>Which early 20th-century Indian novelist described Gilli Danda in their stories, reflecting its importance in rural life?</t>
  </si>
  <si>
    <t>A) Rabindranath Tagore, B) Munshi Premchand, C) Ismat Chughtai, D) Khushwant Singh</t>
  </si>
  <si>
    <t>B) Munshi Premchand</t>
  </si>
  <si>
    <t>Which Indian region is known for its unique variations of Gilli Danda, including different types of sticks and playing techniques?</t>
  </si>
  <si>
    <t>A) North-East India, B) Western India, C) Southern India, D) Northern India</t>
  </si>
  <si>
    <t>A) North-East India</t>
  </si>
  <si>
    <t>Which famous Indian folk artist depicted Gilli Danda in their artwork, showcasing its role in traditional village life?</t>
  </si>
  <si>
    <t>A) Jamini Roy, B) Rabindranath Tagore, C) Amrita Sher-Gil, D) Nandalal Bose</t>
  </si>
  <si>
    <t>Which 20th-century Indian cultural researcher highlighted Gilli Danda in their studies of traditional Indian sports?</t>
  </si>
  <si>
    <t>A) M. K. Gandhi, B) K. M. Munshi, C) R. K. Narayan, D) P. N. Oak</t>
  </si>
  <si>
    <t>D) P. N. Oak</t>
  </si>
  <si>
    <t>Which ancient Indian king’s reign is associated with the popularization of Gilli Danda as a courtly sport?</t>
  </si>
  <si>
    <t>A) Ashoka, B) Chandragupta Maurya, C) Harsha, D) Vikramaditya</t>
  </si>
  <si>
    <t>Which traditional Indian game is closely related to Gilli Danda and is played with a similar stick-and-ball approach?</t>
  </si>
  <si>
    <t>A) Kabbadi, B) Satoliya, C) Gatta-Gattee, D) Cricket</t>
  </si>
  <si>
    <t>C) Gatta-Gattee</t>
  </si>
  <si>
    <t>Which historical Indian text includes descriptions of games similar to Gilli Danda and their role in societal activities?</t>
  </si>
  <si>
    <t>A) Manusmriti, B) Arthashastra, C) Natyashastra, D) Mahabharata</t>
  </si>
  <si>
    <t>Which Indian folk festival is known for including Gilli Danda in its traditional games and celebrations?</t>
  </si>
  <si>
    <t>A) Lohri, B) Makar Sankranti, C) Pongal, D) Diwali</t>
  </si>
  <si>
    <t>Which Indian sport, similar to Gilli Danda, was played by ancient Indian soldiers as part of their training regimen?</t>
  </si>
  <si>
    <t>A) Kabaddi, B) Archery, C) Wrestling, D) Polo</t>
  </si>
  <si>
    <t>B) Archery</t>
  </si>
  <si>
    <t>Which historical figure is known to have documented various Indian games, including Gilli Danda, during their travels in India?</t>
  </si>
  <si>
    <t>A) Marco Polo, B) Ibn Battuta, C) Hiuen Tsang, D) Fa-Hien</t>
  </si>
  <si>
    <t>Which famous Indian scholar and cultural critic wrote about the historical significance of traditional games like Gilli Danda?</t>
  </si>
  <si>
    <t>A) Rabindranath Tagore, B) M. N. Roy, C) S. Radhakrishnan, D) J. Nehru</t>
  </si>
  <si>
    <t>B) M. N. Roy</t>
  </si>
  <si>
    <t>Which Indian region has preserved the traditional game of Gilli Danda through local festivals and cultural events?</t>
  </si>
  <si>
    <t>A) West Bengal, B) Punjab, C) Gujarat, D) Karnataka</t>
  </si>
  <si>
    <t>Which famous Indian leader is known for promoting traditional Indian games, including Gilli Danda, during their speeches and writings?</t>
  </si>
  <si>
    <t>Which historical text from medieval India contains references to Gilli Danda as part of the culture and recreation of the time?</t>
  </si>
  <si>
    <t>A) Rajatarangini, B) Akbar Nama, C) Padshah Nama, D) Ramayana</t>
  </si>
  <si>
    <t>Which traditional Indian game, similar to Gilli Danda, was often played during local festivals and village gatherings?</t>
  </si>
  <si>
    <t>A) Satoliya, B) Kabaddi, C) Gatta-Gattee, D) Polo</t>
  </si>
  <si>
    <t>Which famous Indian poet and author included references to Gilli Danda in their literary works about rural life?</t>
  </si>
  <si>
    <t>A) Munshi Premchand, B) Rabindranath Tagore, C) Keki N. Daruwalla, D) Ismat Chughtai</t>
  </si>
  <si>
    <t>A) Munshi Premchand</t>
  </si>
  <si>
    <t>Which Indian region is known for its unique variations of Gilli Danda that include different rules and playing styles?</t>
  </si>
  <si>
    <t>A) North-East India, B) Central India, C) South India, D) West India</t>
  </si>
  <si>
    <t>Which historical period saw the first documented references to Gilli Danda as a significant part of Indian traditional games?</t>
  </si>
  <si>
    <t>A) Ancient India, B) Medieval India, C) Mughal Era, D) British Colonial Period</t>
  </si>
  <si>
    <t>Which early 19th-century British traveler provided a detailed account of Gilli Danda and its cultural significance in their writings?</t>
  </si>
  <si>
    <t>A) William Adams, B) Francis Buchanan-Hamilton, C) Alexander Burnes, D) James Rennell</t>
  </si>
  <si>
    <t>B) Francis Buchanan-Hamilton</t>
  </si>
  <si>
    <t>Which traditional Indian festival prominently features Gilli Danda as one of the key activities during its celebrations?</t>
  </si>
  <si>
    <t>A) Diwali, B) Makar Sankranti, C) Holi, D) Baisakhi</t>
  </si>
  <si>
    <t>Which ancient Indian text provides a detailed description of sports and games, including those similar to Gilli Danda?</t>
  </si>
  <si>
    <t>A) Yoga Sutras, B) Vishnu Purana, C) Bhagavad Gita, D) Manusmriti</t>
  </si>
  <si>
    <t>Which Indian village tradition includes Gilli Danda as part of its annual celebrations and community gatherings?</t>
  </si>
  <si>
    <t>A) Navratri, B) Pongal, C) Lohri, D) Makar Sankranti</t>
  </si>
  <si>
    <t>Which famous Indian historian wrote about the historical evolution of Gilli Danda in their scholarly works?</t>
  </si>
  <si>
    <t>A) R. C. Majumdar, B) K. N. Panikkar, C) S. Radhakrishnan, D) B. N. Pande</t>
  </si>
  <si>
    <t>Which famous Indian cultural event traditionally includes Gilli Danda as part of its celebrations and activities?</t>
  </si>
  <si>
    <t>A) Baisakhi, B) Lohri, C) Onam, D) Pongal</t>
  </si>
  <si>
    <t>Which ancient Indian king is depicted in historical artwork playing Gilli Danda in royal court settings?</t>
  </si>
  <si>
    <t>A) Chandragupta Maurya, B) Ashoka, C) Raja Bhoj, D) Vikramaditya</t>
  </si>
  <si>
    <t>Which Indian region is known for having unique variations of Gilli Danda and preserving the traditional gameplay?</t>
  </si>
  <si>
    <t>A) Uttar Pradesh, B) West Bengal, C) Punjab, D) Rajasthan</t>
  </si>
  <si>
    <t>Which historical text describes the social and cultural context of Gilli Danda as a traditional game in India?</t>
  </si>
  <si>
    <t>A) Arthashastra, B) Rajatarangini, C) Mahabharata, D) Ramayana</t>
  </si>
  <si>
    <t>Which famous Indian leader is known for promoting traditional sports like Gilli Danda through their speeches and writings?</t>
  </si>
  <si>
    <t>A) Jawaharlal Nehru, B) Mahatma Gandhi, C) Subhas Chandra Bose, D) Sardar Patel</t>
  </si>
  <si>
    <t>Which early 20th-century British official documented Gilli Danda as part of a broader study on traditional Indian games?</t>
  </si>
  <si>
    <t>Which famous Indian author wrote about traditional Indian games, including Gilli Danda, in their works on rural life?</t>
  </si>
  <si>
    <t>A) Munshi Premchand, B) Rabindranath Tagore, C) Ismat Chughtai, D) Khushwant Singh</t>
  </si>
  <si>
    <t>Which Indian region has a long-standing tradition of playing Gilli Danda during local fairs and cultural events?</t>
  </si>
  <si>
    <t>A) Punjab, B) Tamil Nadu, C) Uttar Pradesh, D) Gujarat</t>
  </si>
  <si>
    <t>Which famous Indian historian and scholar wrote about the role of Gilli Danda in traditional Indian society?</t>
  </si>
  <si>
    <t>A) R. C. Majumdar, B) K. M. Munshi, C) B. N. Pande, D) S. Radhakrishnan</t>
  </si>
  <si>
    <t>Which Indian poet included references to Gilli Danda in their literary works about village life and culture?</t>
  </si>
  <si>
    <t>A) Kabir, B) Tulsidas, C) Mirabai, D) Rabindranath Tagore</t>
  </si>
  <si>
    <t>A) Kabir</t>
  </si>
  <si>
    <t>Which early 19th-century British traveler provided a detailed account of traditional Indian games, including Gilli Danda?</t>
  </si>
  <si>
    <t>Which traditional Indian game, similar to Gilli Danda, was often played during village festivals and community gatherings?</t>
  </si>
  <si>
    <t>A) Kabaddi, B) Satoliya, C) Gatta-Gattee, D) Polo</t>
  </si>
  <si>
    <t>Which ancient Indian king’s court included Gilli Danda as a part of the royal entertainment repertoire?</t>
  </si>
  <si>
    <t>A) Chandragupta Maurya, B) Ashoka, C) Harsha, D) Vikramaditya</t>
  </si>
  <si>
    <t>Which Indian state has preserved the traditional game of Gilli Danda through local festivals and cultural events?</t>
  </si>
  <si>
    <t>In which ancient Indian text is a game similar to Gilli Danda mentioned as a pastime for young warriors?</t>
  </si>
  <si>
    <t>Which Indian state is renowned for its traditional Gilli Danda tournaments, particularly in rural areas?</t>
  </si>
  <si>
    <t>A) Tamil Nadu, B) Karnataka, C) Maharashtra, D) Uttar Pradesh</t>
  </si>
  <si>
    <t>Who is the historical figure known for documenting Gilli Danda in their research on traditional Indian sports in the 19th century?</t>
  </si>
  <si>
    <t>A) James Rennell, B) William Adams, C) Francis Buchanan-Hamilton, D) Alexander Burnes</t>
  </si>
  <si>
    <t>C) Francis Buchanan-Hamilton</t>
  </si>
  <si>
    <t>Which famous Indian author described Gilli Danda in their stories about rural life and traditional games?</t>
  </si>
  <si>
    <t>During which festival is Gilli Danda prominently played in several regions of India, including parts of Punjab and Haryana?</t>
  </si>
  <si>
    <t>A) Lohri, B) Holi, C) Diwali, D) Baisakhi</t>
  </si>
  <si>
    <t>A) Lohri</t>
  </si>
  <si>
    <t>Which ancient king is said to have played a form of Gilli Danda in his court as part of recreational activities?</t>
  </si>
  <si>
    <t>Which historical text from the Mughal era includes references to traditional games like Gilli Danda?</t>
  </si>
  <si>
    <t>A) Akbar Nama, B) Padshah Nama, C) Humayun Nama, D) Babur Nama</t>
  </si>
  <si>
    <t>A) Akbar Nama</t>
  </si>
  <si>
    <t>Which British colonial official documented Gilli Danda as part of a broader study on Indian cultural practices in the 19th century?</t>
  </si>
  <si>
    <t>A) Lord Curzon, B) Sir William Sleeman, C) Lord Minto, D) Sir George Everest</t>
  </si>
  <si>
    <t>Which early 20th-century Indian scholar wrote about Gilli Danda in their studies of indigenous sports and games?</t>
  </si>
  <si>
    <t>A) R. C. Majumdar, B) M. K. Gandhi, C) K. M. Munshi, D) S. R. Sharma</t>
  </si>
  <si>
    <t>Which famous Indian historian has included Gilli Danda in their research on traditional sports and games?</t>
  </si>
  <si>
    <t>A) R. C. Majumdar, B) Bipan Chandra, C) S. Radhakrishnan, D) K. M. Panikkar</t>
  </si>
  <si>
    <t>In which Indian region is Gilli Danda referred to by a different name, highlighting local variations of the game?</t>
  </si>
  <si>
    <t>A) Rajasthan, B) Gujarat, C) Punjab, D) Himachal Pradesh</t>
  </si>
  <si>
    <t>Which ancient Indian treatise on performing arts and games includes references to games similar to Gilli Danda?</t>
  </si>
  <si>
    <t>A) Natyashastra, B) Yoga Sutras, C) Bhagavad Gita, D) Manusmriti</t>
  </si>
  <si>
    <t>A) Natyashastra</t>
  </si>
  <si>
    <t>Which traditional festival in Gujarat features Gilli Danda as part of its cultural celebrations?</t>
  </si>
  <si>
    <t>A) Navratri, B) Makar Sankranti, C) Diwali, D) Holi</t>
  </si>
  <si>
    <t>Which famous Indian cultural historian documented the role of Gilli Danda in rural sports and festivals?</t>
  </si>
  <si>
    <t>A) K. M. Panikkar, B) R. C. Majumdar, C) B. N. Pande, D) M. K. Gandhi</t>
  </si>
  <si>
    <t>B) R. C. Majumdar</t>
  </si>
  <si>
    <t>Which early 20th-century Indian novelist used Gilli Danda as a symbol of rural life in their literary works?</t>
  </si>
  <si>
    <t>Which Indian region is known for hosting annual Gilli Danda tournaments that attract participants from across the country?</t>
  </si>
  <si>
    <t>A) Bihar, B) Uttar Pradesh, C) Karnataka, D) Tamil Nadu</t>
  </si>
  <si>
    <t>Which ancient Indian text provides detailed instructions on playing games similar to Gilli Danda, emphasizing their educational value?</t>
  </si>
  <si>
    <t>A) Vishnu Purana, B) Bhagavad Gita, C) Yoga Sutras, D) Manusmriti</t>
  </si>
  <si>
    <t>A) Vishnu Purana</t>
  </si>
  <si>
    <t>Which Indian state is famous for its unique version of Gilli Danda played during local festivals and community gatherings?</t>
  </si>
  <si>
    <t>A) Tamil Nadu, B) West Bengal, C) Punjab, D) Maharashtra</t>
  </si>
  <si>
    <t>Which historical figure in India is known to have included traditional games like Gilli Danda in their writings on cultural practices?</t>
  </si>
  <si>
    <t>A) R. C. Majumdar, B) K. M. Munshi, C) Jawaharlal Nehru, D) Mahatma Gandhi</t>
  </si>
  <si>
    <t>Which ancient Indian king's court was known for including Gilli Danda as part of its recreational activities?</t>
  </si>
  <si>
    <t>A) Ashoka, B) Chandragupta Maurya, C) Raja Bhoj, D) Vikramaditya</t>
  </si>
  <si>
    <t>Which historical period saw the decline of traditional games like Gilli Danda due to the introduction of Western sports and recreational activities?</t>
  </si>
  <si>
    <t>A) Mughal Era, B) British Colonial Period, C) Early Medieval Period, D) Gupta Period</t>
  </si>
  <si>
    <t>B) British Colonial Period</t>
  </si>
  <si>
    <t>Which famous Indian poet and author depicted Gilli Danda in their literary works about traditional village life?</t>
  </si>
  <si>
    <t>Which Indian scholar from the early 19th century wrote about traditional Indian sports, including Gilli Danda, in their studies?</t>
  </si>
  <si>
    <t>A) H. H. Wilson, B) S. R. Sharma, C) R. C. Majumdar, D) P. N. Oak</t>
  </si>
  <si>
    <t>A) H. H. Wilson</t>
  </si>
  <si>
    <t>Which traditional Indian festival features Gilli Danda as part of its celebration, particularly in the regions of Uttar Pradesh and Punjab?</t>
  </si>
  <si>
    <t>A) Diwali, B) Baisakhi, C) Makar Sankranti, D) Holi</t>
  </si>
  <si>
    <t>B) Baisakhi</t>
  </si>
  <si>
    <t>Which early 20th-century Indian cultural researcher highlighted Gilli Danda in their studies of traditional sports and games?</t>
  </si>
  <si>
    <t>A) P. N. Oak, B) M. K. Gandhi, C) K. M. Munshi, D) R. C. Majumdar</t>
  </si>
  <si>
    <t>Which British traveler from the 19th century documented traditional Indian games, including Gilli Danda, in their writings on India?</t>
  </si>
  <si>
    <t>A) William Adams, B) Francis Buchanan-Hamilton, C) James Rennell, D) Alexander Burnes</t>
  </si>
  <si>
    <t>Which Indian region is known for preserving Gilli Danda through local festivals and cultural events, despite modern influences?</t>
  </si>
  <si>
    <t>A) Punjab, B) West Bengal, C) Gujarat, D) Uttar Pradesh</t>
  </si>
  <si>
    <t>Which historical figure from the 19th century wrote about traditional Indian games, including Gilli Danda, as part of their cultural observations?</t>
  </si>
  <si>
    <t>Which ancient Indian text includes references to games like Gilli Danda as part of the training for young warriors?</t>
  </si>
  <si>
    <t>A) Arthashastra, B) Vishnu Purana, C) Ramayana, D) Mahabharata</t>
  </si>
  <si>
    <t>Which Indian region has a significant tradition of Gilli Danda, often played during local fairs and festivals?</t>
  </si>
  <si>
    <t>A) Tamil Nadu, B) Maharashtra, C) Uttar Pradesh, D) Karnataka</t>
  </si>
  <si>
    <t>Which famous Indian poet included references to traditional games like Gilli Danda in their works about rural life?</t>
  </si>
  <si>
    <t>Which early 20th-century Indian historian wrote about the role of Gilli Danda in traditional sports and cultural practices?</t>
  </si>
  <si>
    <t>Which Indian festival, particularly in the Punjab region, features Gilli Danda as a key activity?</t>
  </si>
  <si>
    <t>A) Lohri, B) Baisakhi, C) Diwali, D) Holi</t>
  </si>
  <si>
    <t>Which historical document from the Mughal era includes references to Gilli Danda and other traditional Indian games?</t>
  </si>
  <si>
    <t>A) Akbar Nama, B) Babur Nama, C) Humayun Nama, D) Padshah Nama</t>
  </si>
  <si>
    <t>Which ancient Indian king’s court was known for incorporating traditional games like Gilli Danda into its entertainment activities?</t>
  </si>
  <si>
    <t>Which Indian scholar from the early 20th century wrote about the traditional game of Gilli Danda and its cultural significance?</t>
  </si>
  <si>
    <t>Which historical figure is known for their detailed accounts of Indian sports and games, including Gilli Danda, during the colonial period?</t>
  </si>
  <si>
    <t>A) Francis Buchanan-Hamilton, B) William Adams, C) Alexander Burnes, D) James Rennell</t>
  </si>
  <si>
    <t>A) Francis Buchanan-Hamilton</t>
  </si>
  <si>
    <t>Which ancient text includes descriptions of games similar to Gilli Danda, emphasizing their importance in social and cultural contexts?</t>
  </si>
  <si>
    <t>Which traditional festival in Karnataka features Gilli Danda as part of its local celebrations and community activities?</t>
  </si>
  <si>
    <t>A) Makar Sankranti, B) Pongal, C) Ugadi, D) Dasara</t>
  </si>
  <si>
    <t>C) Ugadi</t>
  </si>
  <si>
    <t>Which famous Indian poet and writer included references to traditional games like Gilli Danda in their literary works on rural life?</t>
  </si>
  <si>
    <t>Which historical period saw the rise of Gilli Danda as a popular traditional game among Indian youth?</t>
  </si>
  <si>
    <t>Which British official in the 19th century provided a detailed account of traditional Indian games, including Gilli Danda, in their reports?</t>
  </si>
  <si>
    <t>Which early 19th-century British traveler included observations of Gilli Danda in their writings about Indian culture and games?</t>
  </si>
  <si>
    <t>A) James Rennell, B) Francis Buchanan-Hamilton, C) William Adams, D) Alexander Burnes</t>
  </si>
  <si>
    <t>Which Indian region has a unique variation of Gilli Danda that incorporates local customs and rules?</t>
  </si>
  <si>
    <t>A) North-East India, B) South India, C) West India, D) Central India</t>
  </si>
  <si>
    <t>Which historical document describes the social and cultural importance of Gilli Danda in ancient Indian society?</t>
  </si>
  <si>
    <t>A) Vishnu Purana, B) Mahabharata, C) Ramayana, D) Manusmriti</t>
  </si>
  <si>
    <t>Which traditional Indian festival features Gilli Danda as part of its community activities, particularly in rural areas?</t>
  </si>
  <si>
    <t>A) Makar Sankranti, B) Holi, C) Diwali, D) Pongal</t>
  </si>
  <si>
    <t>Which Indian historian and scholar from the early 20th century wrote about the historical significance of traditional games like Gilli Danda?</t>
  </si>
  <si>
    <t>A) R. C. Majumdar, B) K. M. Munshi, C) S. Radhakrishnan, D) B. N. Pande</t>
  </si>
  <si>
    <t>Which ancient text includes detailed instructions for playing traditional games similar to Gilli Danda, highlighting their educational value?</t>
  </si>
  <si>
    <t>A) Natyashastra, B) Arthashastra, C) Vishnu Purana, D) Manusmriti</t>
  </si>
  <si>
    <t>Which historical figure from the Mughal period documented Gilli Danda as part of their observations on Indian culture?</t>
  </si>
  <si>
    <t>A) Babur, B) Akbar, C) Humayun, D) Shah Jahan</t>
  </si>
  <si>
    <t>Which early 20th-century Indian author included Gilli Danda in their works about traditional village life and sports?</t>
  </si>
  <si>
    <t>Which British colonial official is known for documenting the cultural practices of Gilli Danda in their studies of Indian games?</t>
  </si>
  <si>
    <t>Which Indian poet wrote about traditional games like Gilli Danda in their poetry about rural and village life?</t>
  </si>
  <si>
    <t>Which ancient Indian king’s court was known for including traditional games like Gilli Danda as part of its entertainment?</t>
  </si>
  <si>
    <t>Which Indian festival, particularly in Gujarat, features Gilli Danda as a key activity during its celebrations?</t>
  </si>
  <si>
    <t>Which famous Indian historian wrote about the cultural and historical significance of traditional games like Gilli Danda?</t>
  </si>
  <si>
    <t>A) R. C. Majumdar, B) Bipan Chandra, C) K. M. Panikkar, D) S. Radhakrishnan</t>
  </si>
  <si>
    <t>Which early 20th-century Indian researcher included traditional games like Gilli Danda in their studies of indigenous sports?</t>
  </si>
  <si>
    <t>A) M. K. Gandhi, B) K. M. Munshi, C) R. C. Majumdar, D) S. R. Sharma</t>
  </si>
  <si>
    <t>Which traditional Indian game, similar to Gilli Danda, is often played during community festivals and local gatherings in rural areas?</t>
  </si>
  <si>
    <t>Which Indian region is known for its unique version of Gilli Danda, incorporating local customs and variations of the game?</t>
  </si>
  <si>
    <t>Which historical text from ancient India provides detailed descriptions of games similar to Gilli Danda, focusing on their role in education?</t>
  </si>
  <si>
    <t>A) Natyashastra, B) Vishnu Purana, C) Ramayana, D) Manusmriti</t>
  </si>
  <si>
    <t>Which early 20th-century Indian author used Gilli Danda as a symbol of traditional village life in their literary works?</t>
  </si>
  <si>
    <t>Which Indian historian and scholar wrote about the historical significance of traditional games like Gilli Danda in their studies?</t>
  </si>
  <si>
    <t>Which British traveler documented the traditional game of Gilli Danda as part of their observations on Indian culture in the 19th century?</t>
  </si>
  <si>
    <t>A) Francis Buchanan-Hamilton, B) William Adams, C) James Rennell, D) Alexander Burnes</t>
  </si>
  <si>
    <t>Which Indian festival features Gilli Danda as part of its local cultural activities, particularly in the regions of Uttar Pradesh and Punjab?</t>
  </si>
  <si>
    <t>Which famous Indian poet wrote about traditional sports and games, including Gilli Danda, in their works about rural life?</t>
  </si>
  <si>
    <t>Which Indian region is known for its preservation of Gilli Danda through local festivals and community events despite modern influences?</t>
  </si>
  <si>
    <t>Which 19th-century British scholar and traveler documented traditional Indian games like Gilli Danda as part of their cultural studies?</t>
  </si>
  <si>
    <t>Which traditional Indian festival, particularly in South India, features Gilli Danda as a key activity during its celebrations?</t>
  </si>
  <si>
    <t>A) Pongal, B) Ugadi, C) Makar Sankranti, D) Diwali</t>
  </si>
  <si>
    <t>Which Indian scholar from the early 20th century wrote about the historical and cultural significance of traditional games like Gilli Danda?</t>
  </si>
  <si>
    <t>Which early 20th-century Indian researcher included traditional games like Gilli Danda in their studies of indigenous sports and cultural practices?</t>
  </si>
  <si>
    <t>Which famous Indian author used traditional games like Gilli Danda as symbols of rural and village life in their literary works?</t>
  </si>
  <si>
    <t>Which traditional Indian festival features Gilli Danda as a key activity, particularly in rural communities of Uttar Pradesh?</t>
  </si>
  <si>
    <t>A) Lohri, B) Baisakhi, C) Makar Sankranti, D) Holi</t>
  </si>
  <si>
    <t>Which famous Indian poet and writer included Gilli Danda in their works about traditional village life and sports?</t>
  </si>
  <si>
    <t>Which British colonial official in the 19th century documented the cultural practices of Gilli Danda in their studies of Indian games?</t>
  </si>
  <si>
    <t>A) Sir William Sleeman, B) Lord Curzon, C) Sir George Everest, D) Lord Minto</t>
  </si>
  <si>
    <t>A) Sir William Sleeman</t>
  </si>
  <si>
    <t>Which Indian region is known for its unique version of Gilli Danda, incorporating local customs and variations?</t>
  </si>
  <si>
    <t>Which early 20th-century Indian historian wrote about the historical significance of traditional games like Gilli Danda?</t>
  </si>
  <si>
    <t>Which Indian poet and author depicted Gilli Danda in their stories about rural life and traditional games?</t>
  </si>
  <si>
    <t>Which Indian region is known for preserving Gilli Danda through local festivals and cultural events despite modern influences?</t>
  </si>
  <si>
    <t>Which early 20th-century British researcher documented traditional Indian games like Gilli Danda in their studies?</t>
  </si>
  <si>
    <t>Which traditional Indian festival features Gilli Danda as a significant part of its celebrations, particularly in rural communities of Tamil Nadu?</t>
  </si>
  <si>
    <t>Which Indian historian from the early 20th century studied the cultural significance of traditional games like Gilli Danda?</t>
  </si>
  <si>
    <t>Which famous Indian historian from the early 20th century is known for documenting traditional games like Gilli Danda in their cultural studies?</t>
  </si>
  <si>
    <t>Which ancient Indian epic contains references to games similar to Gilli Danda, showcasing their cultural significance?</t>
  </si>
  <si>
    <t>A) Ramayana, B) Mahabharata, C) Vishnu Purana, D) Manusmriti</t>
  </si>
  <si>
    <t>Which Mughal emperor was known for his keen interest in traditional Indian games, including Gilli Danda, during his reign?</t>
  </si>
  <si>
    <t>Which early 19th-century British official's writings include observations of Gilli Danda as part of Indian cultural practices?</t>
  </si>
  <si>
    <t>Which traditional Indian festival, particularly in the rural areas of Maharashtra, features Gilli Danda as a prominent activity?</t>
  </si>
  <si>
    <t>A) Gudi Padwa, B) Diwali, C) Makar Sankranti, D) Holi</t>
  </si>
  <si>
    <t>A) Gudi Padwa</t>
  </si>
  <si>
    <t>Which ancient Indian text includes detailed rules for playing traditional games akin to Gilli Danda, emphasizing their educational value?</t>
  </si>
  <si>
    <t>A) Arthashastra, B) Natyashastra, C) Vishnu Purana, D) Ramayana</t>
  </si>
  <si>
    <t>Which Indian state is renowned for preserving the traditional game of Gilli Danda through local cultural events and festivals?</t>
  </si>
  <si>
    <t>A) Punjab, B) Uttar Pradesh, C) Tamil Nadu, D) Karnataka</t>
  </si>
  <si>
    <t>Which 20th-century Indian author integrated references to traditional games like Gilli Danda in their portrayal of village life?</t>
  </si>
  <si>
    <t>Which famous Indian scholar and historian from the early 20th century examined the historical significance of traditional sports, including Gilli Danda?</t>
  </si>
  <si>
    <t>Which early British traveler documented the traditional game of Gilli Danda and its role in rural Indian society?</t>
  </si>
  <si>
    <t>Which traditional Indian game, closely related to Gilli Danda, is often played during community gatherings in rural areas of India?</t>
  </si>
  <si>
    <t>A) Satoliya, B) Kabaddi, C) Polo, D) Gatta-Gattee</t>
  </si>
  <si>
    <t>Which historical figure from the medieval period wrote extensively about Indian cultural practices, including traditional games like Gilli Danda?</t>
  </si>
  <si>
    <t>A) Abu'l-Fazl, B) Babar, C) Humayun, D) Shah Jahan</t>
  </si>
  <si>
    <t>A) Abu'l-Fazl</t>
  </si>
  <si>
    <t>Which Indian poet from the Bhakti movement included descriptions of traditional games like Gilli Danda in their devotional hymns?</t>
  </si>
  <si>
    <t>A) Kabir, B) Tulsidas, C) Mirabai, D) Surdas</t>
  </si>
  <si>
    <t>Which 19th-century British scholar and traveler provided a detailed account of Indian games, including Gilli Danda, in their cultural observations?</t>
  </si>
  <si>
    <t>A) William Adams, B) Alexander Burnes, C) James Rennell, D) Francis Buchanan-Hamilton</t>
  </si>
  <si>
    <t>D) Francis Buchanan-Hamilton</t>
  </si>
  <si>
    <t>Which traditional festival in Gujarat includes Gilli Danda as part of its cultural celebrations and community activities?</t>
  </si>
  <si>
    <t>Which Indian region is famous for its variant of Gilli Danda, often played during local fairs and traditional festivals?</t>
  </si>
  <si>
    <t>Which historical document from the 19th century includes a detailed description of Gilli Danda and its role in Indian social life?</t>
  </si>
  <si>
    <t>Which early 20th-century Indian scholar is known for their studies on traditional games like Gilli Danda and their cultural implications?</t>
  </si>
  <si>
    <t>Which Indian historical figure was noted for their detailed accounts of traditional sports, including Gilli Danda, during the medieval period?</t>
  </si>
  <si>
    <t>A) Babar, B) Akbar, C) Humayun, D) Shah Jahan</t>
  </si>
  <si>
    <t>Which ancient Indian text provides insights into the use of traditional games like Gilli Danda for physical training and education?</t>
  </si>
  <si>
    <t>Which Indian festival in Tamil Nadu features Gilli Danda prominently as part of its local cultural activities?</t>
  </si>
  <si>
    <t>Which famous Indian historian from the early 20th century examined the significance of traditional sports, including Gilli Danda, in their research?</t>
  </si>
  <si>
    <t>Which traditional Indian game is often played alongside Gilli Danda during village fairs and community events in Uttar Pradesh?</t>
  </si>
  <si>
    <t>Which historical figure from the British colonial period documented the traditional game of Gilli Danda in their studies of Indian culture?</t>
  </si>
  <si>
    <t>Which ancient Indian king was known for his patronage of traditional sports, including Gilli Danda, as part of his courtly entertainments?</t>
  </si>
  <si>
    <t>Which 19th-century British scholar wrote about the cultural practices of traditional Indian games, including Gilli Danda?</t>
  </si>
  <si>
    <t>Which Indian poet from the Bhakti tradition incorporated descriptions of traditional games like Gilli Danda in their spiritual poems?</t>
  </si>
  <si>
    <t>Which region in India is known for its distinctive variant of Gilli Danda, played during local cultural festivals and community events?</t>
  </si>
  <si>
    <t>Which early 20th-century researcher focused on the preservation of traditional games like Gilli Danda in their studies of indigenous sports?</t>
  </si>
  <si>
    <t>Which Indian festival, particularly in the rural areas of Tamil Nadu, prominently features Gilli Danda as a traditional activity?</t>
  </si>
  <si>
    <t>Which Indian historical text describes traditional games similar to Gilli Danda as part of ancient educational practices?</t>
  </si>
  <si>
    <t>A) Arthashastra, B) Natyashastra, C) Vishnu Purana, D) Manusmriti</t>
  </si>
  <si>
    <t>Which medieval Indian king was known for his patronage of traditional games, including Gilli Danda, and encouraged their practice in his court?</t>
  </si>
  <si>
    <t>A) Raja Bhoj, B) Vikramaditya, C) Ashoka, D) Chandragupta Maurya</t>
  </si>
  <si>
    <t>Which famous Indian historian from the early 20th century studied the role of traditional games like Gilli Danda in Indian society?</t>
  </si>
  <si>
    <t>Which early British traveler’s writings include detailed observations of Gilli Danda as part of their cultural exploration of India?</t>
  </si>
  <si>
    <t>Which Indian festival, notably celebrated in rural parts of Punjab, involves Gilli Danda as a central traditional game?</t>
  </si>
  <si>
    <t>Which early 20th-century Indian researcher included traditional games like Gilli Danda in their studies of cultural practices?</t>
  </si>
  <si>
    <t>Which 19th-century British colonial administrator documented the significance of traditional games like Gilli Danda in their writings on Indian customs?</t>
  </si>
  <si>
    <t>Which Indian poet from the Bhakti movement described traditional games like Gilli Danda in their spiritual verses and hymns?</t>
  </si>
  <si>
    <t>Which Indian region's unique version of Gilli Danda is often featured in local festivals and cultural events?</t>
  </si>
  <si>
    <t>Which early 20th-century Indian historian studied the role of traditional games like Gilli Danda in the cultural heritage of India?</t>
  </si>
  <si>
    <t>Which Indian festival celebrated in Tamil Nadu incorporates Gilli Danda as a key element of its traditional festivities?</t>
  </si>
  <si>
    <t>Which ancient Indian text describes the role of games like Gilli Danda in promoting physical fitness and education?</t>
  </si>
  <si>
    <t>Which medieval Indian ruler encouraged the practice of traditional sports, including Gilli Danda, in his courtly life?</t>
  </si>
  <si>
    <t>A) Vikramaditya, B) Raja Bhoj, C) Ashoka, D) Chandragupta Maurya</t>
  </si>
  <si>
    <t>A) Vikramaditya</t>
  </si>
  <si>
    <t>Which early 20th-century historian documented the traditional game of Gilli Danda as part of their studies on Indian cultural practices?</t>
  </si>
  <si>
    <t>Which British traveler’s 19th-century accounts include observations on the traditional game of Gilli Danda in Indian villages?</t>
  </si>
  <si>
    <t>Which traditional festival in Uttar Pradesh features Gilli Danda prominently as part of its community celebrations?</t>
  </si>
  <si>
    <t>A) Baisakhi, B) Lohri, C) Makar Sankranti, D) Holi</t>
  </si>
  <si>
    <t>Which ancient Indian king was known for his patronage of traditional sports, including Gilli Danda, and promoted their practice?</t>
  </si>
  <si>
    <t>Which early 20th-century researcher included traditional games like Gilli Danda in their study of cultural practices in India?</t>
  </si>
  <si>
    <t>Which Indian festival in Gujarat features Gilli Danda as a significant part of its local celebrations?</t>
  </si>
  <si>
    <t>A) Makar Sankranti, B) Navratri, C) Diwali, D) Holi</t>
  </si>
  <si>
    <t>Which 19th-century British scholar’s studies included detailed descriptions of traditional games like Gilli Danda in India?</t>
  </si>
  <si>
    <t>Which poet from the Bhakti movement described traditional games, including Gilli Danda, in their devotional literature?</t>
  </si>
  <si>
    <t>Which Indian region is recognized for its unique practice of Gilli Danda, celebrated during local cultural festivals and community events?</t>
  </si>
  <si>
    <t>Which Indian historian from the early 20th century focused on the cultural significance of traditional games like Gilli Danda?</t>
  </si>
  <si>
    <t>Which early 20th-century British traveler included observations of Gilli Danda as part of their documentation of Indian cultural practices?</t>
  </si>
  <si>
    <t>Which traditional festival in Tamil Nadu incorporates Gilli Danda as a key feature of its celebrations?</t>
  </si>
  <si>
    <t>Which medieval Indian king is noted for encouraging traditional sports such as Gilli Danda in his court and local festivities?</t>
  </si>
  <si>
    <t>Which early 20th-century historian documented traditional games like Gilli Danda in their studies of Indian cultural heritage?</t>
  </si>
  <si>
    <t>Which 19th-century British scholar provided extensive accounts of traditional games such as Gilli Danda during their exploration of India?</t>
  </si>
  <si>
    <t>Which Indian poet from the Bhakti movement integrated descriptions of traditional games, including Gilli Danda, in their spiritual poetry?</t>
  </si>
  <si>
    <t>Which region of India is known for its distinctive style of Gilli Danda, played during local fairs and cultural celebrations?</t>
  </si>
  <si>
    <t>Which early 20th-century Indian historian studied the impact of traditional games like Gilli Danda on Indian society?</t>
  </si>
  <si>
    <t>Which traditional festival in Gujarat highlights Gilli Danda as a significant cultural activity?</t>
  </si>
  <si>
    <t>Which British colonial scholar from the 19th century is known for documenting traditional Indian games like Gilli Danda?</t>
  </si>
  <si>
    <t>Which Bhakti poet wrote about traditional games including Gilli Danda in their devotional literature?</t>
  </si>
  <si>
    <t>Which region in India has its own version of Gilli Danda, which is featured prominently in local festivals and cultural events?</t>
  </si>
  <si>
    <t>Which Indian historian from the early 20th century examined the significance of traditional games like Gilli Danda in their research?</t>
  </si>
  <si>
    <t>Which 19th-century British traveler’s accounts include detailed observations of traditional games like Gilli Danda in India?</t>
  </si>
  <si>
    <t>Which Indian festival celebrated in Tamil Nadu features Gilli Danda prominently as part of its cultural events?</t>
  </si>
  <si>
    <t>Which ancient Indian text outlines the role of traditional games like Gilli Danda in physical education and socialization?</t>
  </si>
  <si>
    <t>Which medieval Indian king was noted for encouraging traditional sports, including Gilli Danda, in his court and local celebrations?</t>
  </si>
  <si>
    <t>Which early 20th-century Indian scholar is renowned for their research on traditional games like Gilli Danda and their cultural significance?</t>
  </si>
  <si>
    <t>Which British scholar from the 19th century documented the cultural practices of traditional games, including Gilli Danda, in India?</t>
  </si>
  <si>
    <t>Which poet from the Bhakti movement included descriptions of traditional games like Gilli Danda in their devotional hymns?</t>
  </si>
  <si>
    <t>Which region in India is celebrated for its own version of Gilli Danda, often played during local fairs and cultural festivals?</t>
  </si>
  <si>
    <t>Which early 20th-century historian studied the influence of traditional games like Gilli Danda on Indian society?</t>
  </si>
  <si>
    <t>Which traditional festival in Gujarat prominently features Gilli Danda as part of its cultural celebrations?</t>
  </si>
  <si>
    <t>Which 19th-century British scholar documented traditional Indian games such as Gilli Danda in their exploration of Indian cultural practices?</t>
  </si>
  <si>
    <t>Which Bhakti poet described traditional games like Gilli Danda in their spiritual and devotional literature?</t>
  </si>
  <si>
    <t>Which Indian region’s unique practice of Gilli Danda is prominently featured during local fairs and cultural celebrations?</t>
  </si>
  <si>
    <t>Which Indian historian from the early 20th century conducted extensive research on traditional games like Gilli Danda and their cultural significance?</t>
  </si>
  <si>
    <t>Which British traveler’s 19th-century writings provide detailed observations of the traditional game of Gilli Danda in Indian villages?</t>
  </si>
  <si>
    <t>Gilli Danda is believed to have originated in which country?</t>
  </si>
  <si>
    <t>A) India, B) China, C) Greece, D) Egypt</t>
  </si>
  <si>
    <t>Gilli Danda is similar to which ancient European game?</t>
  </si>
  <si>
    <t>A) Cricket, B) Baseball, C) Tip-cat, D) Polo</t>
  </si>
  <si>
    <t>C) Tip-cat</t>
  </si>
  <si>
    <t>In ancient times, Gilli Danda was played by which social class in India?</t>
  </si>
  <si>
    <t>A) Nobles, B) Soldiers, C) Farmers, D) Priests</t>
  </si>
  <si>
    <t>C) Farmers</t>
  </si>
  <si>
    <t>Which historical Indian text mentions a game resembling Gilli Danda?</t>
  </si>
  <si>
    <t>The Gilli in Gilli Danda is typically made of what material?</t>
  </si>
  <si>
    <t>A) Stone, B) Metal, C) Wood, D) Clay</t>
  </si>
  <si>
    <t>The origins of Gilli Danda can be traced back to which period in Indian history?</t>
  </si>
  <si>
    <t>A) Vedic period, B) Gupta Empire, C) Maurya Empire, D) Mughal period</t>
  </si>
  <si>
    <t>A) Vedic period</t>
  </si>
  <si>
    <t>Which of these countries also has a game similar to Gilli Danda?</t>
  </si>
  <si>
    <t>A) Japan, B) Russia, C) Italy, D) Afghanistan</t>
  </si>
  <si>
    <t>D) Afghanistan</t>
  </si>
  <si>
    <t>In ancient Indian villages, Gilli Danda was primarily played by whom?</t>
  </si>
  <si>
    <t>A) Men, B) Women, C) Children, D) Elders</t>
  </si>
  <si>
    <t>C) Children</t>
  </si>
  <si>
    <t>The game of Gilli Danda was popular during which historical Indian dynasty?</t>
  </si>
  <si>
    <t>A) Maratha Empire, B) Chola Dynasty, C) Gupta Dynasty, D) Mughal Empire</t>
  </si>
  <si>
    <t>Which famous Indian leader was known to have played Gilli Danda in his childhood?</t>
  </si>
  <si>
    <t>A) Mahatma Gandhi, B) Bhagat Singh, C) Subhash Chandra Bose, D) Jawaharlal Nehru</t>
  </si>
  <si>
    <t>The earliest recorded reference to a game similar to Gilli Danda comes from which ancient civilization?</t>
  </si>
  <si>
    <t>A) Mesopotamian, B) Indus Valley, C) Roman, D) Greek</t>
  </si>
  <si>
    <t>B) Indus Valley</t>
  </si>
  <si>
    <t>What does the 'Danda' represent in the game of Gilli Danda?</t>
  </si>
  <si>
    <t>A) A small ball, B) A wooden stick, C) A stone, D) A metal bat</t>
  </si>
  <si>
    <t>B) A wooden stick</t>
  </si>
  <si>
    <t>The British introduced which sport that led to the decline in the popularity of Gilli Danda?</t>
  </si>
  <si>
    <t>A) Soccer, B) Cricket, C) Tennis, D) Rugby</t>
  </si>
  <si>
    <t>B) Cricket</t>
  </si>
  <si>
    <t>Gilli Danda is mentioned in which form of Indian folklore?</t>
  </si>
  <si>
    <t>A) Ramcharitmanas, B) Panchatantra, C) Jataka tales, D) Akbar-Birbal stories</t>
  </si>
  <si>
    <t>In which part of India was Gilli Danda most popular during the medieval period?</t>
  </si>
  <si>
    <t>Which Mughal emperor is rumored to have been fond of watching Gilli Danda?</t>
  </si>
  <si>
    <t>A) Akbar, B) Aurangzeb, C) Jahangir, D) Babur</t>
  </si>
  <si>
    <t>What is the Gilli struck with in the game of Gilli Danda?</t>
  </si>
  <si>
    <t>A) A stone, B) A bat, C) A Danda, D) A mallet</t>
  </si>
  <si>
    <t>C) A Danda</t>
  </si>
  <si>
    <t>Gilli Danda shares similarities with which American sport?</t>
  </si>
  <si>
    <t>A) Basketball, B) Baseball, C) Football, D) Ice hockey</t>
  </si>
  <si>
    <t>Gilli Danda was a popular game during the reign of which Indian king?</t>
  </si>
  <si>
    <t>A) Ashoka, B) Harshavardhana, C) Raja Raja Chola, D) Shivaji</t>
  </si>
  <si>
    <t>D) Shivaji</t>
  </si>
  <si>
    <t>In traditional Gilli Danda, the length of the Danda is approximately how many inches?</t>
  </si>
  <si>
    <t>A) 10-12 inches, B) 20-25 inches, C) 15-18 inches, D) 5-8 inches</t>
  </si>
  <si>
    <t>B) 20-25 inches</t>
  </si>
  <si>
    <t>Which famous Indian epic poet described a game similar to Gilli Danda?</t>
  </si>
  <si>
    <t>A) Valmiki, B) Kalidasa, C) Ved Vyasa, D) Tulsidas</t>
  </si>
  <si>
    <t>B) Kalidasa</t>
  </si>
  <si>
    <t>Gilli Danda is often referred to by what other name in rural areas of India?</t>
  </si>
  <si>
    <t>A) Kuttiyum Kolum, B) Chunga, C) Thappa, D) Gotti</t>
  </si>
  <si>
    <t>A) Kuttiyum Kolum</t>
  </si>
  <si>
    <t>Which neighboring country of India also has a traditional game similar to Gilli Danda?</t>
  </si>
  <si>
    <t>A) Bangladesh, B) Nepal, C) Bhutan, D) Sri Lanka</t>
  </si>
  <si>
    <t>During which Indian festival is Gilli Danda often played in rural areas?</t>
  </si>
  <si>
    <t>Which historical figure in Indian mythology is associated with games like Gilli Danda?</t>
  </si>
  <si>
    <t>A) Krishna, B) Arjuna, C) Bhima, D) Karna</t>
  </si>
  <si>
    <t>A) Krishna</t>
  </si>
  <si>
    <t>In traditional Gilli Danda, how is the winner determined?</t>
  </si>
  <si>
    <t>A) Highest points, B) Longest hit of the Gilli, C) Most rounds completed, D) Fastest runner</t>
  </si>
  <si>
    <t>B) Longest hit of the Gilli</t>
  </si>
  <si>
    <t>Gilli Danda was predominantly played in which type of setting?</t>
  </si>
  <si>
    <t>A) Urban streets, B) Village fields, C) Royal courts, D) Temple grounds</t>
  </si>
  <si>
    <t>B) Village fields</t>
  </si>
  <si>
    <t>What was the significance of Gilli Danda in ancient Indian society?</t>
  </si>
  <si>
    <t>A) Entertainment, B) Physical training, C) Spiritual practice, D) Educational tool</t>
  </si>
  <si>
    <t>B) Physical training</t>
  </si>
  <si>
    <t>Which ancient Indian civilization is believed to have contributed to the early forms of Gilli Danda?</t>
  </si>
  <si>
    <t>A) Indus Valley Civilization, B) Aryans, C) Mughals, D) Marathas</t>
  </si>
  <si>
    <t>A) Indus Valley Civilization</t>
  </si>
  <si>
    <t>Gilli Danda was mentioned in which region's local legends and oral histories?</t>
  </si>
  <si>
    <t>A) Punjab, B) Rajasthan, C) Kerala, D) Gujarat</t>
  </si>
  <si>
    <t>In which Indian state is Gilli Danda referred to as 'Dangguli'?</t>
  </si>
  <si>
    <t>A) West Bengal, B) Tamil Nadu, C) Kerala, D) Maharashtra</t>
  </si>
  <si>
    <t>In ancient India, Gilli Danda was often played as a pastime for which group?</t>
  </si>
  <si>
    <t>A) Priests, B) Warriors, C) Commoners, D) Traders</t>
  </si>
  <si>
    <t>C) Commoners</t>
  </si>
  <si>
    <t>The game of Gilli Danda spread to which Southeast Asian country through trade routes?</t>
  </si>
  <si>
    <t>A) Thailand, B) Myanmar, C) Indonesia, D) Vietnam</t>
  </si>
  <si>
    <t>B) Myanmar</t>
  </si>
  <si>
    <t>In ancient India, Gilli Danda was played predominantly by which gender?</t>
  </si>
  <si>
    <t>A) Men, B) Women, C) Both equally, D) Children only</t>
  </si>
  <si>
    <t>A) Men</t>
  </si>
  <si>
    <t>Which Indian emperor is said to have encouraged traditional games like Gilli Danda?</t>
  </si>
  <si>
    <t>A) Ashoka, B) Akbar, C) Chandragupta Maurya, D) Harshavardhana</t>
  </si>
  <si>
    <t>Gilli Danda is believed to have been part of which culture's leisure activities?</t>
  </si>
  <si>
    <t>A) Dravidian, B) Aryan, C) Mughal, D) British colonial</t>
  </si>
  <si>
    <t>B) Aryan</t>
  </si>
  <si>
    <t>In which ancient Indian book is a game similar to Gilli Danda described as 'Dandapatta'?</t>
  </si>
  <si>
    <t>A) Mahabharata, B) Vedas, C) Arthashastra, D) Kama Sutra</t>
  </si>
  <si>
    <t>Which region of India is historically known for playing a variation of Gilli Danda called 'Chinni Dandu'?</t>
  </si>
  <si>
    <t>A) Tamil Nadu, B) Maharashtra, C) Karnataka, D) Bihar</t>
  </si>
  <si>
    <t>The stick used in Gilli Danda is referred to as what in ancient Indian literature?</t>
  </si>
  <si>
    <t>A) Yasti, B) Danda, C) Vana, D) Shakti</t>
  </si>
  <si>
    <t>B) Danda</t>
  </si>
  <si>
    <t>In the early 20th century, which freedom fighter promoted traditional games like Gilli Danda to revive Indian culture?</t>
  </si>
  <si>
    <t>A) Bal Gangadhar Tilak, B) Mahatma Gandhi, C) Bhagat Singh, D) Sardar Patel</t>
  </si>
  <si>
    <t>A) Bal Gangadhar Tilak</t>
  </si>
  <si>
    <t>During the British colonial period, Gilli Danda was overshadowed by which sport?</t>
  </si>
  <si>
    <t>A) Football, B) Tennis, C) Polo, D) Cricket</t>
  </si>
  <si>
    <t>D) Cricket</t>
  </si>
  <si>
    <t>The game of Gilli Danda was once played by soldiers during the reign of which Indian ruler?</t>
  </si>
  <si>
    <t>A) Tipu Sultan, B) Prithviraj Chauhan, C) Shivaji Maharaj, D) Rani Lakshmibai</t>
  </si>
  <si>
    <t>Gilli Danda shares similarities with which ancient Persian game?</t>
  </si>
  <si>
    <t>A) Buzkashi, B) Polo, C) Chogan, D) Tip-cat</t>
  </si>
  <si>
    <t>C) Chogan</t>
  </si>
  <si>
    <t>In which region was Gilli Danda also referred to as 'Lippa'?</t>
  </si>
  <si>
    <t>A) Nepal, B) Gujarat, C) Uttar Pradesh, D) Himachal Pradesh</t>
  </si>
  <si>
    <t>D) Himachal Pradesh</t>
  </si>
  <si>
    <t>Which Indian state celebrated Gilli Danda as part of its cultural festival in the early 1900s?</t>
  </si>
  <si>
    <t>A) Odisha, B) Tamil Nadu, C) Punjab, D) Rajasthan</t>
  </si>
  <si>
    <t>The use of wooden sticks in Gilli Danda dates back to which Indian period?</t>
  </si>
  <si>
    <t>A) Harappan period, B) Mauryan period, C) Vedic period, D) Mughal period</t>
  </si>
  <si>
    <t>C) Vedic period</t>
  </si>
  <si>
    <t>Which famous ancient Indian warrior is known to have played games like Gilli Danda in his childhood?</t>
  </si>
  <si>
    <t>A) Ashoka, B) Prithviraj Chauhan, C) Arjuna, D) Karna</t>
  </si>
  <si>
    <t>B) Prithviraj Chauhan</t>
  </si>
  <si>
    <t>What was the primary purpose of playing Gilli Danda in ancient India?</t>
  </si>
  <si>
    <t>A) Spirituality, B) Entertainment, C) Physical fitness, D) Socializing</t>
  </si>
  <si>
    <t>C) Physical fitness</t>
  </si>
  <si>
    <t>Gilli Danda is often compared to which sport that was popular in ancient Rome?</t>
  </si>
  <si>
    <t>A) Gladiator fights, B) Chariot racing, C) Harpastum, D) Tip-cat</t>
  </si>
  <si>
    <t>D) Tip-cat</t>
  </si>
  <si>
    <t>Which ancient Indian philosopher referred to recreational games like Gilli Danda as a way to improve mental strength?</t>
  </si>
  <si>
    <t>A) Chanakya, B) Patanjali, C) Shankaracharya, D) Nagarjuna</t>
  </si>
  <si>
    <t>Gilli Danda is believed to have influenced the creation of which modern sport?</t>
  </si>
  <si>
    <t>A) Baseball, B) Badminton, C) Cricket, D) Tennis</t>
  </si>
  <si>
    <t>A) Baseball</t>
  </si>
  <si>
    <t>In some regions, Gilli Danda is considered a traditional game during which season?</t>
  </si>
  <si>
    <t>A) Winter, B) Spring, C) Monsoon, D) Summer</t>
  </si>
  <si>
    <t>B) Spring</t>
  </si>
  <si>
    <t>Which Indian ruler was known to host traditional sports festivals that included Gilli Danda?</t>
  </si>
  <si>
    <t>A) Maharana Pratap, B) Ranjit Singh, C) Rajendra Chola, D) Baji Rao I</t>
  </si>
  <si>
    <t>B) Ranjit Singh</t>
  </si>
  <si>
    <t>The popularity of Gilli Danda began to decline during which historical period?</t>
  </si>
  <si>
    <t>A) Gupta period, B) British colonial era, C) Mughal period, D) Post-independence</t>
  </si>
  <si>
    <t>Which British-introduced sport contributed to the decline of Gilli Danda?</t>
  </si>
  <si>
    <t>A) Soccer, B) Cricket, C) Rugby, D) Field hockey</t>
  </si>
  <si>
    <t>In which part of India was Gilli Danda commonly played as a harvest celebration game?</t>
  </si>
  <si>
    <t>A) Punjab, B) Kerala, C) Madhya Pradesh, D) Assam</t>
  </si>
  <si>
    <t>Which ancient civilization is believed to have influenced the spread of Gilli Danda across South Asia?</t>
  </si>
  <si>
    <t>A) Mesopotamian, B) Greek, C) Aryan, D) Indus Valley</t>
  </si>
  <si>
    <t>D) Indus Valley</t>
  </si>
  <si>
    <t>Gilli Danda was often included in which type of Indian village celebrations?</t>
  </si>
  <si>
    <t>A) Harvest festivals, B) Religious ceremonies, C) Weddings, D) Temple fairs</t>
  </si>
  <si>
    <t>In medieval India, Gilli Danda was sometimes played to celebrate the end of which agricultural season?</t>
  </si>
  <si>
    <t>A) Rabi, B) Kharif, C) Zaid, D) Monsoon</t>
  </si>
  <si>
    <t>B) Kharif</t>
  </si>
  <si>
    <t>Which famous Mughal-era text mentioned a game similar to Gilli Danda?</t>
  </si>
  <si>
    <t>A) Baburnama, B) Akbarnama, C) Ain-i-Akbari, D) Tuzk-e-Jahangiri</t>
  </si>
  <si>
    <t>In rural India, Gilli Danda was a popular game among which age group?</t>
  </si>
  <si>
    <t>A) Adults, B) Elders, C) Children, D) Women</t>
  </si>
  <si>
    <t>Gilli Danda is considered one of the oldest traditional games in which country besides India?</t>
  </si>
  <si>
    <t>Which region of India referred to Gilli Danda as 'Dando'?</t>
  </si>
  <si>
    <t>A) Gujarat, B) Bihar, C) Odisha, D) Uttar Pradesh</t>
  </si>
  <si>
    <t>Gilli Danda became popular in South India during which dynasty's rule?</t>
  </si>
  <si>
    <t>A) Pandya, B) Chola, C) Chera, D) Pallava</t>
  </si>
  <si>
    <t>In ancient times, Gilli Danda was primarily played during which part of the day?</t>
  </si>
  <si>
    <t>A) Morning, B) Afternoon, C) Evening, D) Night</t>
  </si>
  <si>
    <t>A) Morning</t>
  </si>
  <si>
    <t>The popularity of Gilli Danda increased in rural India due to which factor?</t>
  </si>
  <si>
    <t>A) Accessibility of materials, B) Religious significance, C) Royal patronage, D) War practices</t>
  </si>
  <si>
    <t>A) Accessibility of materials</t>
  </si>
  <si>
    <t>Which ancient text refers to Gilli Danda as 'Kreedavidhi', meaning 'game of the stick'?</t>
  </si>
  <si>
    <t>A) Ramayana, B) Manusmriti, C) Bhagavata Purana, D) Sangam literature</t>
  </si>
  <si>
    <t>Which type of wood was traditionally preferred for making the Gilli and Danda?</t>
  </si>
  <si>
    <t>A) Bamboo, B) Teak, C) Neem, D) Sandalwood</t>
  </si>
  <si>
    <t>Gilli Danda was spread to Southeast Asia through which historical phenomenon?</t>
  </si>
  <si>
    <t>A) Trade routes, B) Indian diaspora, C) Conquests, D) Buddhist monks</t>
  </si>
  <si>
    <t>In traditional Indian villages, Gilli Danda tournaments were held during which festival?</t>
  </si>
  <si>
    <t>Gilli Danda was once used as a training exercise for which skill in ancient India?</t>
  </si>
  <si>
    <t>A) Sword fighting, B) Archery, C) Wrestling, D) Horse riding</t>
  </si>
  <si>
    <t>Which epic's description of village life mentions a sport that resembles Gilli Danda?</t>
  </si>
  <si>
    <t>A) Mahabharata, B) Ramayana, C) Bhagavad Gita, D) Harivamsa</t>
  </si>
  <si>
    <t>Gilli Danda was traditionally a popular game in which of these tribal communities?</t>
  </si>
  <si>
    <t>A) Santhal, B) Bhil, C) Gond, D) Todas</t>
  </si>
  <si>
    <t>B) Bhil</t>
  </si>
  <si>
    <t>During the Mughal period, Gilli Danda was sometimes played alongside which other traditional game?</t>
  </si>
  <si>
    <t>A) Kabaddi, B) Pithoo, C) Pachisi, D) Chaupar</t>
  </si>
  <si>
    <t>B) Pithoo</t>
  </si>
  <si>
    <t>Which foreign visitor to India during the medieval period noted a game similar to Gilli Danda?</t>
  </si>
  <si>
    <t>A) Ibn Battuta, B) Al-Biruni, C) Fa-Hien, D) Marco Polo</t>
  </si>
  <si>
    <t>In rural India, Gilli Danda was sometimes played in memory of which ancient festival?</t>
  </si>
  <si>
    <t>A) Indra festival, B) Ratha Yatra, C) Nag Panchami, D) Kartik Purnima</t>
  </si>
  <si>
    <t>A) Indra festival</t>
  </si>
  <si>
    <t>In which century did Gilli Danda become widely recognized across northern India?</t>
  </si>
  <si>
    <t>A) 5th century BCE, B) 1st century CE, C) 7th century CE, D) 10th century CE</t>
  </si>
  <si>
    <t>C) 7th century CE</t>
  </si>
  <si>
    <t>Gilli Danda has been linked to which ancient Vedic sport?</t>
  </si>
  <si>
    <t>A) Chaturanga, B) Dhanurvidya, C) Yuddha, D) Ashvamedha</t>
  </si>
  <si>
    <t>B) Dhanurvidya</t>
  </si>
  <si>
    <t>Which ancient Indian text refers to Gilli Danda as a game that was part of rural traditions?</t>
  </si>
  <si>
    <t>A) Mahabharata, B) Manusmriti, C) Atharva Veda, D) Brihaddeshi</t>
  </si>
  <si>
    <t>Gilli Danda is known to have originated from which early Indian civilization?</t>
  </si>
  <si>
    <t>A) Indus Valley Civilization, B) Gupta Empire, C) Mauryan Empire, D) Chola Dynasty</t>
  </si>
  <si>
    <t>In medieval India, Gilli Danda was played in the courtyards of which rulers?</t>
  </si>
  <si>
    <t>A) Mughal emperors, B) Rajput kings, C) Maratha warriors, D) Vijayanagar rulers</t>
  </si>
  <si>
    <t>B) Rajput kings</t>
  </si>
  <si>
    <t>Which famous Indian epic contains a mention of a game resembling Gilli Danda?</t>
  </si>
  <si>
    <t>Which historical Indian figure was known for playing Gilli Danda during their youth?</t>
  </si>
  <si>
    <t>A) Mahatma Gandhi, B) Bhagat Singh, C) Subhas Chandra Bose, D) Raja Ram Mohan Roy</t>
  </si>
  <si>
    <t>B) Bhagat Singh</t>
  </si>
  <si>
    <t>Gilli Danda is said to have been played by soldiers in ancient India to improve which skill?</t>
  </si>
  <si>
    <t>A) Agility, B) Archery, C) Balance, D) Coordination</t>
  </si>
  <si>
    <t>D) Coordination</t>
  </si>
  <si>
    <t>In South India, Gilli Danda is historically referred to as which local name?</t>
  </si>
  <si>
    <t>A) Vatti Dandu, B) Goti, C) Kancha, D) Chinni Dandu</t>
  </si>
  <si>
    <t>D) Chinni Dandu</t>
  </si>
  <si>
    <t>Which region of India considers Gilli Danda a traditional sport during the harvest festival?</t>
  </si>
  <si>
    <t>A) Punjab, B) Rajasthan, C) Kerala, D) Assam</t>
  </si>
  <si>
    <t>The use of the Gilli and Danda is believed to have a symbolic representation in which ancient Indian practice?</t>
  </si>
  <si>
    <t>A) Yoga, B) Martial arts, C) Spirituality, D) Agriculture</t>
  </si>
  <si>
    <t>Gilli Danda was played as a street game in the urban centers of which Indian Empire?</t>
  </si>
  <si>
    <t>A) Mughal Empire, B) Maratha Empire, C) Gupta Empire, D) Chola Empire</t>
  </si>
  <si>
    <t>Which empire's soldiers are believed to have played Gilli Danda during downtime between battles?</t>
  </si>
  <si>
    <t>A) Mauryan Empire, B) Chalukya Empire, C) Vijayanagar Empire, D) Maratha Empire</t>
  </si>
  <si>
    <t>D) Maratha Empire</t>
  </si>
  <si>
    <t>In Indian villages, Gilli Danda was often played during which significant occasion?</t>
  </si>
  <si>
    <t>A) Harvest festivals, B) Marriages, C) Coronations, D) Victory celebrations</t>
  </si>
  <si>
    <t>In British India, Gilli Danda was discouraged in favor of which sport?</t>
  </si>
  <si>
    <t>A) Rugby, B) Cricket, C) Polo, D) Football</t>
  </si>
  <si>
    <t>Gilli Danda's popularity spread to which neighboring country during the medieval period?</t>
  </si>
  <si>
    <t>A) Sri Lanka, B) Afghanistan, C) Pakistan, D) Bangladesh</t>
  </si>
  <si>
    <t>C) Pakistan</t>
  </si>
  <si>
    <t>Which dynasty's rulers are known to have promoted Gilli Danda as a sport of the common people?</t>
  </si>
  <si>
    <t>A) Pallava Dynasty, B) Mughal Dynasty, C) Maurya Dynasty, D) Chola Dynasty</t>
  </si>
  <si>
    <t>C) Maurya Dynasty</t>
  </si>
  <si>
    <t>Gilli Danda was introduced in Southeast Asia by which group of Indian traders?</t>
  </si>
  <si>
    <t>A) Chola traders, B) Maratha merchants, C) Mughal traders, D) Tamil merchants</t>
  </si>
  <si>
    <t>A) Chola traders</t>
  </si>
  <si>
    <t>In which era did Gilli Danda experience a resurgence as a symbol of Indian identity?</t>
  </si>
  <si>
    <t>A) Post-independence era, B) Mughal era, C) British colonial period, D) Early Vedic period</t>
  </si>
  <si>
    <t>A) Post-independence era</t>
  </si>
  <si>
    <t>Which Indian nationalist leader encouraged the playing of Gilli Danda to promote local culture?</t>
  </si>
  <si>
    <t>A) Subhas Chandra Bose, B) Bal Gangadhar Tilak, C) Jawaharlal Nehru, D) Lala Lajpat Rai</t>
  </si>
  <si>
    <t>B) Bal Gangadhar Tilak</t>
  </si>
  <si>
    <t>In ancient Indian villages, Gilli Danda was commonly played by members of which caste?</t>
  </si>
  <si>
    <t>D) Shudras</t>
  </si>
  <si>
    <t>In historical accounts, Gilli Danda is referred to as a sport of the common people under which empire?</t>
  </si>
  <si>
    <t>A) Gupta Empire, B) Maratha Empire, C) Chola Empire, D) Mughal Empire</t>
  </si>
  <si>
    <t>D) Mughal Empire</t>
  </si>
  <si>
    <t>During which Indian king's rule was Gilli Danda a popular recreational activity among village youth?</t>
  </si>
  <si>
    <t>A) Raja Bhoj, B) Chandragupta Maurya, C) Krishnadevaraya, D) Akbar</t>
  </si>
  <si>
    <t>A) Raja Bhoj</t>
  </si>
  <si>
    <t>Which community in India traditionally played Gilli Danda as part of their agricultural celebrations?</t>
  </si>
  <si>
    <t>A) Jats, B) Gujjars, C) Bheels, D) Rajputs</t>
  </si>
  <si>
    <t>C) Bheels</t>
  </si>
  <si>
    <t>Gilli Danda was sometimes played to mark which seasonal event in ancient India?</t>
  </si>
  <si>
    <t>A) Monsoon onset, B) Winter solstice, C) Summer equinox, D) Harvest season</t>
  </si>
  <si>
    <t>D) Harvest season</t>
  </si>
  <si>
    <t>Which Indian emperor encouraged traditional games like Gilli Danda as part of physical education?</t>
  </si>
  <si>
    <t>A) Akbar, B) Ashoka, C) Harshavardhana, D) Chandragupta II</t>
  </si>
  <si>
    <t>Gilli Danda was popularized in Rajasthan during the rule of which Rajput king?</t>
  </si>
  <si>
    <t>A) Rana Sanga, B) Prithviraj Chauhan, C) Maharana Pratap, D) Bharmal</t>
  </si>
  <si>
    <t>Which Indian saint mentioned Gilli Danda in his works, reflecting rural traditions?</t>
  </si>
  <si>
    <t>A) Sant Kabir, B) Guru Nanak, C) Sant Tukaram, D) Tulsidas</t>
  </si>
  <si>
    <t>C) Sant Tukaram</t>
  </si>
  <si>
    <t>Gilli Danda was often played in honor of which Hindu deity in rural India?</t>
  </si>
  <si>
    <t>A) Shiva, B) Krishna, C) Ganesha, D) Vishnu</t>
  </si>
  <si>
    <t>B) Krishna</t>
  </si>
  <si>
    <t>In historical accounts, Gilli Danda was primarily played in which regions of India?</t>
  </si>
  <si>
    <t>A) Northern India, B) Western India, C) Eastern India, D) Southern India</t>
  </si>
  <si>
    <t>Which colonial power discouraged traditional games like Gilli Danda in favor of Western sports?</t>
  </si>
  <si>
    <t>Gilli Danda was a common pastime during the childhood of which famous freedom fighter?</t>
  </si>
  <si>
    <t>A) Subhas Chandra Bose, B) Jawaharlal Nehru, C) Bhagat Singh, D) Vallabhbhai Patel</t>
  </si>
  <si>
    <t>C) Bhagat Singh</t>
  </si>
  <si>
    <t>What is Thang-Ta primarily known as?</t>
  </si>
  <si>
    <t>A) Dance, B) Martial Art, C) Music, D) Ritual</t>
  </si>
  <si>
    <t>B) Martial Art</t>
  </si>
  <si>
    <t>In which Indian state is Thang-Ta traditionally practiced?</t>
  </si>
  <si>
    <t>A) Manipur, B) Kerala, C) Punjab, D) Assam</t>
  </si>
  <si>
    <t>A) Manipur</t>
  </si>
  <si>
    <t>What does the term 'Thang-Ta' translate to in English?</t>
  </si>
  <si>
    <t>A) Sword and Spear, B) Shield and Sword, C) Fist and Leg, D) Blade and Arrow</t>
  </si>
  <si>
    <t>A) Sword and Spear</t>
  </si>
  <si>
    <t>Which weapon is NOT traditionally used in Thang-Ta?</t>
  </si>
  <si>
    <t>Thang-Ta is often performed during which type of event?</t>
  </si>
  <si>
    <t>A) Festivals, B) Weddings, C) Funerals, D) Political Rallies</t>
  </si>
  <si>
    <t>A) Festivals</t>
  </si>
  <si>
    <t>Which of the following is a key component of Thang-Ta practice?</t>
  </si>
  <si>
    <t>A) Music, B) Dance, C) Meditation, D) Yoga</t>
  </si>
  <si>
    <t>B) Dance</t>
  </si>
  <si>
    <t>What is the primary purpose of Thang-Ta in historical context?</t>
  </si>
  <si>
    <t>A) Combat Training, B) Entertainment, C) Religious Rituals, D) Social Dancing</t>
  </si>
  <si>
    <t>A) Combat Training</t>
  </si>
  <si>
    <t>In Thang-Ta, what is the term for the practice of techniques with a sword?</t>
  </si>
  <si>
    <t>A) Thang, B) Ta, C) Chang, D) Chao</t>
  </si>
  <si>
    <t>A) Thang</t>
  </si>
  <si>
    <t>Thang-Ta training often includes the practice of which type of movement?</t>
  </si>
  <si>
    <t>A) Flowing Movements, B) Sudden Jumps, C) Circular Patterns, D) Straight Lines</t>
  </si>
  <si>
    <t>A) Flowing Movements</t>
  </si>
  <si>
    <t>Which dance form is closely associated with Thang-Ta?</t>
  </si>
  <si>
    <t>A) Manipuri Dance, B) Kathak, C) Bharatnatyam, D) Odissi</t>
  </si>
  <si>
    <t>A) Manipuri Dance</t>
  </si>
  <si>
    <t>What is the name of the traditional dress worn by Thang-Ta practitioners?</t>
  </si>
  <si>
    <t>A) Makhua, B) Dhoti, C) Salwar, D) Sari</t>
  </si>
  <si>
    <t>A) Makhua</t>
  </si>
  <si>
    <t>In Thang-Ta, which of the following is a traditional spear used?</t>
  </si>
  <si>
    <t>A) Thang, B) Sarang, C) Kanjai, D) Mashi</t>
  </si>
  <si>
    <t>B) Sarang</t>
  </si>
  <si>
    <t>Which festival in Manipur often features performances of Thang-Ta?</t>
  </si>
  <si>
    <t>A) Yaoshang, B) Diwali, C) Holi, D) Pongal</t>
  </si>
  <si>
    <t>A) Yaoshang</t>
  </si>
  <si>
    <t>What is a 'Ta' in the context of Thang-Ta?</t>
  </si>
  <si>
    <t>A) Shield, B) Spear, C) Sword, D) Bow</t>
  </si>
  <si>
    <t>Thang-Ta has historical roots in which ancient civilization?</t>
  </si>
  <si>
    <t>A) Indus Valley, B) Greek, C) Roman, D) Chinese</t>
  </si>
  <si>
    <t>A) Indus Valley</t>
  </si>
  <si>
    <t>Which of the following is a traditional form of Thang-Ta choreography?</t>
  </si>
  <si>
    <t>A) Martial Drill, B) Battle Dance, C) Ritual Dance, D) Processional Dance</t>
  </si>
  <si>
    <t>B) Battle Dance</t>
  </si>
  <si>
    <t>In which part of Manipur is Thang-Ta most prominently practiced?</t>
  </si>
  <si>
    <t>A) Imphal, B) Ukhrul, C) Churachandpur, D) Senapati</t>
  </si>
  <si>
    <t>A) Imphal</t>
  </si>
  <si>
    <t>What does the 'Thang' in Thang-Ta refer to?</t>
  </si>
  <si>
    <t>A) Spear, B) Sword, C) Shield, D) Bow</t>
  </si>
  <si>
    <t>Which of the following is a key principle in Thang-Ta combat techniques?</t>
  </si>
  <si>
    <t>A) Precision, B) Speed, C) Strength, D) Agility</t>
  </si>
  <si>
    <t>A) Precision</t>
  </si>
  <si>
    <t>Which historical figure is known for promoting Thang-Ta?</t>
  </si>
  <si>
    <t>A) Maharaja Chandrakirti Singh, B) Maharaja Jai Singh, C) Maharaja Surachandra Singh, D) Maharaja Gambhir Singh</t>
  </si>
  <si>
    <t>D) Maharaja Gambhir Singh</t>
  </si>
  <si>
    <t>Thang-Ta is often performed to commemorate which kind of historical events?</t>
  </si>
  <si>
    <t>A) Victories in Battle, B) Birthdays of Kings, C) Festivals, D) Weddings</t>
  </si>
  <si>
    <t>A) Victories in Battle</t>
  </si>
  <si>
    <t>In Thang-Ta, what is the purpose of using both sword and spear?</t>
  </si>
  <si>
    <t>A) To display versatility, B) To perform religious rituals, C) To train for dual combat, D) To entertain</t>
  </si>
  <si>
    <t>C) To train for dual combat</t>
  </si>
  <si>
    <t>Which of the following is NOT a traditional weapon used in Thang-Ta?</t>
  </si>
  <si>
    <t>A) Kanjai, B) Sarang, C) Chao, D) Malkang</t>
  </si>
  <si>
    <t>C) Chao</t>
  </si>
  <si>
    <t>The practice of Thang-Ta includes which kind of movement?</t>
  </si>
  <si>
    <t>A) Complex Forms, B) Simple Patterns, C) Repetitive Sequences, D) Random Actions</t>
  </si>
  <si>
    <t>A) Complex Forms</t>
  </si>
  <si>
    <t>What is the significance of Thang-Ta in Manipur’s cultural heritage?</t>
  </si>
  <si>
    <t>A) It symbolizes resistance, B) It is a form of entertainment, C) It is a wedding tradition, D) It represents agricultural rites</t>
  </si>
  <si>
    <t>A) It symbolizes resistance</t>
  </si>
  <si>
    <t>What is the name of the traditional song often sung during Thang-Ta performances?</t>
  </si>
  <si>
    <t>A) Lai Haraoba, B) Raas Leela, C) Thang-Ta Athing, D) Naga Dance</t>
  </si>
  <si>
    <t>C) Thang-Ta Athing</t>
  </si>
  <si>
    <t>Which of the following does NOT describe a style of Thang-Ta?</t>
  </si>
  <si>
    <t>A) Hand-to-Hand Combat, B) Sword Dance, C) Spear Throwing, D) Archery</t>
  </si>
  <si>
    <t>D) Archery</t>
  </si>
  <si>
    <t>Thang-Ta is practiced in which context besides martial arts?</t>
  </si>
  <si>
    <t>A) Healing Rituals, B) Spiritual Worship, C) Agricultural Celebrations, D) Educational Training</t>
  </si>
  <si>
    <t>B) Spiritual Worship</t>
  </si>
  <si>
    <t>What is the traditional attire worn during Thang-Ta performances?</t>
  </si>
  <si>
    <t>A) Manipuri Phanek, B) Assamese Mekhela, C) Bengali Sari, D) Punjabi Kurta</t>
  </si>
  <si>
    <t>A) Manipuri Phanek</t>
  </si>
  <si>
    <t>What is a key focus area of Thang-Ta training?</t>
  </si>
  <si>
    <t>A) Coordination, B) Strength Building, C) Flexibility, D) Speed</t>
  </si>
  <si>
    <t>A) Coordination</t>
  </si>
  <si>
    <t>What role does Thang-Ta play in the local community of Manipur?</t>
  </si>
  <si>
    <t>A) Cultural Identity, B) Economic Activity, C) Educational Tool, D) Political Statement</t>
  </si>
  <si>
    <t>A) Cultural Identity</t>
  </si>
  <si>
    <t>Which martial art form has influenced Thang-Ta?</t>
  </si>
  <si>
    <t>A) Karate, B) Taekwondo, C) Kung Fu, D) Judo</t>
  </si>
  <si>
    <t>What is the historical origin of Thang-Ta linked to?</t>
  </si>
  <si>
    <t>A) Ancient Warfare, B) Royal Court Rituals, C) Religious Ceremonies, D) Daily Life Activities</t>
  </si>
  <si>
    <t>A) Ancient Warfare</t>
  </si>
  <si>
    <t>Thang-Ta techniques are typically taught by which type of instructors?</t>
  </si>
  <si>
    <t>A) Martial Arts Masters, B) Local Chiefs, C) Religious Leaders, D) Educational Institutions</t>
  </si>
  <si>
    <t>A) Martial Arts Masters</t>
  </si>
  <si>
    <t>What is one of the primary goals of Thang-Ta training?</t>
  </si>
  <si>
    <t>A) Physical Fitness, B) Artistic Expression, C) Social Networking, D) Mental Relaxation</t>
  </si>
  <si>
    <t>A) Physical Fitness</t>
  </si>
  <si>
    <t>In Thang-Ta, what is the purpose of the ceremonial dance?</t>
  </si>
  <si>
    <t>A) To show skills, B) To honor ancestors, C) To entertain, D) To train</t>
  </si>
  <si>
    <t>B) To honor ancestors</t>
  </si>
  <si>
    <t>Which historical event is commonly associated with Thang-Ta performances?</t>
  </si>
  <si>
    <t>A) War Victories, B) Royal Coronations, C) Birth of Leaders, D) Seasonal Festivals</t>
  </si>
  <si>
    <t>A) War Victories</t>
  </si>
  <si>
    <t>Thang-Ta is often accompanied by which type of music?</t>
  </si>
  <si>
    <t>A) Traditional Drumming, B) Modern Instrumentals, C) Classical Strings, D) Vocal Harmonies</t>
  </si>
  <si>
    <t>A) Traditional Drumming</t>
  </si>
  <si>
    <t>Which historical text mentions the practice of Thang-Ta?</t>
  </si>
  <si>
    <t>A) Manusmriti, B) Mahabharata, C) Ramayana, D) Naga Scripts</t>
  </si>
  <si>
    <t>D) Naga Scripts</t>
  </si>
  <si>
    <t>Thang-Ta has been recognized by which national institution?</t>
  </si>
  <si>
    <t>A) Sangeet Natak Akademi, B) National Museum, C) Archaeological Survey of India, D) National Archives</t>
  </si>
  <si>
    <t>A) Sangeet Natak Akademi</t>
  </si>
  <si>
    <t>What aspect of Thang-Ta is emphasized in modern practice?</t>
  </si>
  <si>
    <t>A) Traditional Techniques, B) Historical Accuracy, C) Competitive Sparring, D) Artistic Performance</t>
  </si>
  <si>
    <t>C) Competitive Sparring</t>
  </si>
  <si>
    <t>Which of the following is NOT a traditional component of Thang-Ta?</t>
  </si>
  <si>
    <t>A) Sword Techniques, B) Spear Techniques, C) Archery, D) Shield Techniques</t>
  </si>
  <si>
    <t>C) Archery</t>
  </si>
  <si>
    <t>What is a common theme in Thang-Ta performances?</t>
  </si>
  <si>
    <t>A) Heroism, B) Peace, C) Celebration, D) Mourning</t>
  </si>
  <si>
    <t>A) Heroism</t>
  </si>
  <si>
    <t>Thang-Ta’s movements are designed to mimic which type of actions?</t>
  </si>
  <si>
    <t>A) Animal Movements, B) Mechanical Actions, C) Human Gestures, D) Natural Phenomena</t>
  </si>
  <si>
    <t>A) Animal Movements</t>
  </si>
  <si>
    <t>Which type of Thang-Ta weapon is used for long-range attacks?</t>
  </si>
  <si>
    <t>A) Spear, B) Sword, C) Shield, D) Axe</t>
  </si>
  <si>
    <t>A) Spear</t>
  </si>
  <si>
    <t>Thang-Ta incorporates which form of defensive technique?</t>
  </si>
  <si>
    <t>A) Parrying, B) Dodging, C) Blocking, D) Countering</t>
  </si>
  <si>
    <t>C) Blocking</t>
  </si>
  <si>
    <t>Which festival showcases the practice of Thang-Ta?</t>
  </si>
  <si>
    <t>A) Lai Haraoba, B) Diwali, C) Holi, D) Pongal</t>
  </si>
  <si>
    <t>A) Lai Haraoba</t>
  </si>
  <si>
    <t>What is the primary focus of Thang-Ta training for young practitioners?</t>
  </si>
  <si>
    <t>A) Discipline, B) Entertainment, C) Artistry, D) Fitness</t>
  </si>
  <si>
    <t>A) Discipline</t>
  </si>
  <si>
    <t>What does the practice of Thang-Ta symbolize in Manipur’s culture?</t>
  </si>
  <si>
    <t>A) Strength and Valor, B) Peace and Harmony, C) Artistic Talent, D) Spiritual Awakening</t>
  </si>
  <si>
    <t>A) Strength and Valor</t>
  </si>
  <si>
    <t>In Thang-Ta, what is a 'Chao' used for?</t>
  </si>
  <si>
    <t>A) Defense, B) Offense, C) Ritual, D) Decoration</t>
  </si>
  <si>
    <t>A) Defense</t>
  </si>
  <si>
    <t>Which of the following is a famous Thang-Ta practitioner?</t>
  </si>
  <si>
    <t>A) Sanajaoba Singh, B) Ratan Thiyam, C) Oinam Babu Singh, D) Rajkumar Chingkhei Singh</t>
  </si>
  <si>
    <t>C) Oinam Babu Singh</t>
  </si>
  <si>
    <t>Thang-Ta is often performed as part of which traditional Manipuri festival?</t>
  </si>
  <si>
    <t>A) Yaoshang, B) Holi, C) Pongal, D) Baisakhi</t>
  </si>
  <si>
    <t>What is the traditional significance of Thang-Ta in Manipur?</t>
  </si>
  <si>
    <t>A) It is a form of storytelling, B) It represents martial prowess, C) It celebrates agricultural success, D) It is a wedding tradition</t>
  </si>
  <si>
    <t>B) It represents martial prowess</t>
  </si>
  <si>
    <t>Which Thang-Ta weapon is used for short-range combat?</t>
  </si>
  <si>
    <t>A) Sword, B) Spear, C) Shield, D) Bow</t>
  </si>
  <si>
    <t>In Thang-Ta, what is the role of a 'Makhua'?</t>
  </si>
  <si>
    <t>A) Weapon Holder, B) Dance Partner, C) Choreographer, D) Ritual Leader</t>
  </si>
  <si>
    <t>A) Weapon Holder</t>
  </si>
  <si>
    <t>Thang-Ta has been preserved and passed down through generations by which type of individuals?</t>
  </si>
  <si>
    <t>A) Gurus, B) Historians, C) Politicians, D) Artists</t>
  </si>
  <si>
    <t>Which aspect of Thang-Ta performance involves synchronized movements?</t>
  </si>
  <si>
    <t>A) Martial Drill, B) Solo Display, C) Dance Routine, D) Weapon Training</t>
  </si>
  <si>
    <t>C) Dance Routine</t>
  </si>
  <si>
    <t>Thang-Ta performances often include which type of audience interaction?</t>
  </si>
  <si>
    <t>A) Audience Participation, B) Spectator Commentary, C) Performer's Response, D) Audience Silence</t>
  </si>
  <si>
    <t>A) Audience Participation</t>
  </si>
  <si>
    <t>What is the primary objective of practicing Thang-Ta in a traditional setting?</t>
  </si>
  <si>
    <t>A) Preservation of Culture, B) Skill Development, C) Social Status, D) Artistic Expression</t>
  </si>
  <si>
    <t>A) Preservation of Culture</t>
  </si>
  <si>
    <t>Which traditional event often features Thang-Ta performances as a highlight?</t>
  </si>
  <si>
    <t>A) Royal Ceremonies, B) Agricultural Festivals, C) Religious Rites, D) Historical Commemorations</t>
  </si>
  <si>
    <t>D) Historical Commemorations</t>
  </si>
  <si>
    <t>What is the historical background of Thang-Ta most closely associated with?</t>
  </si>
  <si>
    <t>A) Ancient Warfare Techniques, B) Medieval Art Forms, C) Colonial Resistance, D) Post-Independence Culture</t>
  </si>
  <si>
    <t>A) Ancient Warfare Techniques</t>
  </si>
  <si>
    <t>Which of the following weapons is used in both offense and defense in Thang-Ta?</t>
  </si>
  <si>
    <t>Which aspect of Thang-Ta practice is aimed at improving flexibility and agility?</t>
  </si>
  <si>
    <t>A) Weapon Training, B) Dance Movements, C) Sparring Sessions, D) Meditation</t>
  </si>
  <si>
    <t>B) Dance Movements</t>
  </si>
  <si>
    <t>What type of environment is ideal for practicing Thang-Ta?</t>
  </si>
  <si>
    <t>A) Open Courtyards, B) Closed Rooms, C) Public Arenas, D) Forest Areas</t>
  </si>
  <si>
    <t>A) Open Courtyards</t>
  </si>
  <si>
    <t>Which aspect of Thang-Ta performances highlights the artistry of the practice?</t>
  </si>
  <si>
    <t>A) Choreography, B) Weapon Craftsmanship, C) Costume Design, D) Audience Interaction</t>
  </si>
  <si>
    <t>A) Choreography</t>
  </si>
  <si>
    <t>What role do traditional songs play in Thang-Ta performances?</t>
  </si>
  <si>
    <t>A) Enhance Focus, B) Provide Rhythm, C) Narrate Stories, D) Guide Movements</t>
  </si>
  <si>
    <t>B) Provide Rhythm</t>
  </si>
  <si>
    <t>In Thang-Ta, what is the significance of learning both sword and spear techniques?</t>
  </si>
  <si>
    <t>A) Versatility in Combat, B) Improved Agility, C) Enhanced Strength, D) Artistic Expression</t>
  </si>
  <si>
    <t>A) Versatility in Combat</t>
  </si>
  <si>
    <t>Which of the following is a key characteristic of traditional Thang-Ta training?</t>
  </si>
  <si>
    <t>A) Rigorous Discipline, B) Artistic Freedom, C) Casual Practice, D) Competitive Spirit</t>
  </si>
  <si>
    <t>A) Rigorous Discipline</t>
  </si>
  <si>
    <t>Thang-Ta’s historical significance is often highlighted in which type of cultural documentation?</t>
  </si>
  <si>
    <t>A) Historical Texts, B) Government Records, C) Artistic Depictions, D) Oral Traditions</t>
  </si>
  <si>
    <t>D) Oral Traditions</t>
  </si>
  <si>
    <t>Which traditional Thang-Ta technique is used to demonstrate defensive skills?</t>
  </si>
  <si>
    <t>A) Blocking Techniques, B) Offensive Strikes, C) Weapon Twirling, D) Sparring</t>
  </si>
  <si>
    <t>A) Blocking Techniques</t>
  </si>
  <si>
    <t>Which ruler is credited with reviving Thang-Ta in modern times?</t>
  </si>
  <si>
    <t>A) Maharaja Chandrakirti Singh, B) Maharaja Gambhir Singh, C) Maharaja Bhagyachandra Singh, D) Maharaja Kulachandra Singh</t>
  </si>
  <si>
    <t>B) Maharaja Gambhir Singh</t>
  </si>
  <si>
    <t>In Thang-Ta, what does the term 'Lallong' refer to?</t>
  </si>
  <si>
    <t>A) Spear Techniques, B) Sword Techniques, C) Ritual Dance, D) Training Drill</t>
  </si>
  <si>
    <t>D) Training Drill</t>
  </si>
  <si>
    <t>Which type of traditional music is commonly associated with Thang-Ta performances?</t>
  </si>
  <si>
    <t>A) Pung Cholom, B) Bamboo Flute, C) Classical Sitar, D) Drum and Bugle</t>
  </si>
  <si>
    <t>A) Pung Cholom</t>
  </si>
  <si>
    <t>What is the role of 'Kanglasha' in Thang-Ta?</t>
  </si>
  <si>
    <t>A) A ceremonial sword, B) A dance partner, C) A type of spear, D) A ritualistic drum</t>
  </si>
  <si>
    <t>A) A ceremonial sword</t>
  </si>
  <si>
    <t>Which traditional Manipuri festival marks the beginning of the Thang-Ta training season?</t>
  </si>
  <si>
    <t>A) Ningol Chakouba, B) Yaoshang, C) Kut, D) Sangai Festival</t>
  </si>
  <si>
    <t>B) Yaoshang</t>
  </si>
  <si>
    <t>What type of historical event is depicted through Thang-Ta performances?</t>
  </si>
  <si>
    <t>A) Battles and Wars, B) Daily Life, C) Festivals, D) Rituals</t>
  </si>
  <si>
    <t>A) Battles and Wars</t>
  </si>
  <si>
    <t>Which type of weapon in Thang-Ta is primarily used for close combat?</t>
  </si>
  <si>
    <t>Thang-Ta practitioners traditionally learn techniques from which type of mentor?</t>
  </si>
  <si>
    <t>A) Gurus, B) Warriors, C) Scholars, D) Priests</t>
  </si>
  <si>
    <t>Which historical text details the origins of Thang-Ta?</t>
  </si>
  <si>
    <t>A) Puya Meithaba, B) Mahabharata, C) Ramayana, D) Vedas</t>
  </si>
  <si>
    <t>A) Puya Meithaba</t>
  </si>
  <si>
    <t>In Thang-Ta, what is the purpose of performing 'Sanu Kshar'?</t>
  </si>
  <si>
    <t>A) To show mastery over weapons, B) To train endurance, C) To perform rituals, D) To demonstrate dance skills</t>
  </si>
  <si>
    <t>B) To train endurance</t>
  </si>
  <si>
    <t>Which traditional event often features Thang-Ta as a primary attraction?</t>
  </si>
  <si>
    <t>What does the 'Nongyai' represent in Thang-Ta?</t>
  </si>
  <si>
    <t>A) Sword, B) Spear, C) Shield, D) Ritual Dance</t>
  </si>
  <si>
    <t>C) Shield</t>
  </si>
  <si>
    <t>Which famous Manipuri figure is known for preserving and promoting Thang-Ta?</t>
  </si>
  <si>
    <t>A) Rajkumar Chingkhei Singh, B) Ratan Thiyam, C) Oinam Babu Singh, D) N. Tombi Singh</t>
  </si>
  <si>
    <t>D) N. Tombi Singh</t>
  </si>
  <si>
    <t>What is the significance of the 'Lai Haraoba' festival in relation to Thang-Ta?</t>
  </si>
  <si>
    <t>A) It marks the end of training season, B) It celebrates historical battles, C) It is a time for performance and display, D) It honors warriors</t>
  </si>
  <si>
    <t>C) It is a time for performance and display</t>
  </si>
  <si>
    <t>Which of the following is a characteristic feature of Thang-Ta choreography?</t>
  </si>
  <si>
    <t>A) Ritualistic Movements, B) Dynamic Forms, C) Traditional Music, D) Social Dance Patterns</t>
  </si>
  <si>
    <t>B) Dynamic Forms</t>
  </si>
  <si>
    <t>In Thang-Ta, what is the main function of the 'Thang' technique?</t>
  </si>
  <si>
    <t>A) Offensive Strategy, B) Defensive Maneuver, C) Ritual Performance, D) Weapon Training</t>
  </si>
  <si>
    <t>A) Offensive Strategy</t>
  </si>
  <si>
    <t>Which historical era is most associated with the formalization of Thang-Ta techniques?</t>
  </si>
  <si>
    <t>A) Pre-colonial Era, B) Colonial Era, C) Post-independence Era, D) Medieval Era</t>
  </si>
  <si>
    <t>A) Pre-colonial Era</t>
  </si>
  <si>
    <t>What is the traditional significance of Thang-Ta in Manipur’s martial culture?</t>
  </si>
  <si>
    <t>A) It is a form of resistance, B) It is a ceremonial dance, C) It represents historical conflicts, D) It symbolizes royal power</t>
  </si>
  <si>
    <t>A) It is a form of resistance</t>
  </si>
  <si>
    <t>Which type of performance is often used to showcase Thang-Ta skills during festivals?</t>
  </si>
  <si>
    <t>A) Solo Demonstrations, B) Group Drills, C) Historical Reenactments, D) Ritual Ceremonies</t>
  </si>
  <si>
    <t>B) Group Drills</t>
  </si>
  <si>
    <t>What is the traditional role of the 'Thang-Ta Athing' in performances?</t>
  </si>
  <si>
    <t>A) To narrate stories, B) To guide movements, C) To provide rhythm, D) To honor deities</t>
  </si>
  <si>
    <t>C) To provide rhythm</t>
  </si>
  <si>
    <t>Which Manipuri ruler was known for his patronage of Thang-Ta?</t>
  </si>
  <si>
    <t>C) Maharaja Bhagyachandra Singh</t>
  </si>
  <si>
    <t>What is the role of 'Macha' in Thang-Ta?</t>
  </si>
  <si>
    <t>A) A type of sword, B) A dance form, C) A ceremonial shield, D) A traditional weapon</t>
  </si>
  <si>
    <t>D) A traditional weapon</t>
  </si>
  <si>
    <t>In which region of Manipur is Thang-Ta practice most prevalent?</t>
  </si>
  <si>
    <t>A) Central Manipur, B) Northern Manipur, C) Southern Manipur, D) Eastern Manipur</t>
  </si>
  <si>
    <t>A) Central Manipur</t>
  </si>
  <si>
    <t>Which historical event in Manipur’s history is celebrated through Thang-Ta?</t>
  </si>
  <si>
    <t>A) Victory over invaders, B) Royal Coronations, C) Festivals of Abundance, D) Agricultural Achievements</t>
  </si>
  <si>
    <t>A) Victory over invaders</t>
  </si>
  <si>
    <t>Which traditional Manipuri instrument accompanies Thang-Ta performances?</t>
  </si>
  <si>
    <t>A) Pung, B) Sarangi, C) Tabla, D) Harmonium</t>
  </si>
  <si>
    <t>A) Pung</t>
  </si>
  <si>
    <t>What is the primary focus of 'Thang-Ta training' in historical contexts?</t>
  </si>
  <si>
    <t>A) Combat Readiness, B) Cultural Preservation, C) Artistic Display, D) Ritualistic Practices</t>
  </si>
  <si>
    <t>A) Combat Readiness</t>
  </si>
  <si>
    <t>Which aspect of Thang-Ta has been officially recognized by UNESCO?</t>
  </si>
  <si>
    <t>A) Its cultural significance, B) Its artistic value, C) Its historical importance, D) Its ritualistic elements</t>
  </si>
  <si>
    <t>A) Its cultural significance</t>
  </si>
  <si>
    <t>What does 'Samu' refer to in Thang-Ta?</t>
  </si>
  <si>
    <t>A) A type of spear, B) A dance style, C) A ceremonial drum, D) A traditional shield</t>
  </si>
  <si>
    <t>A) A type of spear</t>
  </si>
  <si>
    <t>What is the role of 'Thang-Ta' in contemporary Manipuri festivals?</t>
  </si>
  <si>
    <t>A) It showcases historical combat skills, B) It serves as a ritualistic performance, C) It is a form of entertainment, D) It represents royal traditions</t>
  </si>
  <si>
    <t>A) It showcases historical combat skills</t>
  </si>
  <si>
    <t>Which famous Thang-Ta performer is known for his contributions to modernizing the practice?</t>
  </si>
  <si>
    <t>A) Oinam Babu Singh, B) Rajkumar Chingkhei Singh, C) N. Tombi Singh, D) Ratan Thiyam</t>
  </si>
  <si>
    <t>B) Rajkumar Chingkhei Singh</t>
  </si>
  <si>
    <t>What is a significant aspect of Thang-Ta performances during historical reenactments?</t>
  </si>
  <si>
    <t>A) Authenticity, B) Artistic Expression, C) Audience Engagement, D) Historical Accuracy</t>
  </si>
  <si>
    <t>D) Historical Accuracy</t>
  </si>
  <si>
    <t>What role does 'Manipuri Music' play in Thang-Ta?</t>
  </si>
  <si>
    <t>A) Sets the rhythm for movements, B) Provides narrative context, C) Enhances visual appeal, D) Guides weapon techniques</t>
  </si>
  <si>
    <t>A) Sets the rhythm for movements</t>
  </si>
  <si>
    <t>Which of the following is a common element in Thang-Ta choreography?</t>
  </si>
  <si>
    <t>A) Complex Weapon Forms, B) Simple Dance Movements, C) Ritualistic Symbols, D) Elaborate Costumes</t>
  </si>
  <si>
    <t>A) Complex Weapon Forms</t>
  </si>
  <si>
    <t>Which traditional event features Thang-Ta as a form of storytelling?</t>
  </si>
  <si>
    <t>A) Lai Haraoba, B) Pongal, C) Baisakhi, D) Holi</t>
  </si>
  <si>
    <t>What does 'Thang' refer to in the context of Thang-Ta?</t>
  </si>
  <si>
    <t>A) A type of spear, B) A sword technique, C) A traditional dance form, D) A ceremonial practice</t>
  </si>
  <si>
    <t>B) A sword technique</t>
  </si>
  <si>
    <t>Which region in Manipur is known for its historical Thang-Ta practices?</t>
  </si>
  <si>
    <t>A) Imphal Valley, B) Manipur Hills, C) Barak Valley, D) Senapati District</t>
  </si>
  <si>
    <t>A) Imphal Valley</t>
  </si>
  <si>
    <t>What aspect of Thang-Ta performances is highlighted during annual festivals?</t>
  </si>
  <si>
    <t>A) Historical Significance, B) Artistic Expression, C) Cultural Heritage, D) Ritualistic Practices</t>
  </si>
  <si>
    <t>C) Cultural Heritage</t>
  </si>
  <si>
    <t>Which traditional Manipuri item is associated with Thang-Ta rituals?</t>
  </si>
  <si>
    <t>A) Khongnang, B) Heikru Hit, C) Tumbi, D) Chak-Ya</t>
  </si>
  <si>
    <t>A) Khongnang</t>
  </si>
  <si>
    <t>What is the purpose of 'Chak-Ya' in Thang-Ta?</t>
  </si>
  <si>
    <t>A) To demonstrate offensive skills, B) To showcase defensive techniques, C) To honor deities, D) To perform ceremonial rites</t>
  </si>
  <si>
    <t>B) To showcase defensive techniques</t>
  </si>
  <si>
    <t>Which traditional Thang-Ta practice involves ceremonial movements and rituals?</t>
  </si>
  <si>
    <t>A) Yeng-Ngi, B) Sanu-Kshar, C) Lai Haraoba, D) Nongyai</t>
  </si>
  <si>
    <t>A) Yeng-Ngi</t>
  </si>
  <si>
    <t>What is the historical context behind the practice of Thang-Ta?</t>
  </si>
  <si>
    <t>A) Ancient Warfare Training, B) Royal Ceremonies, C) Religious Rituals, D) Agricultural Festivals</t>
  </si>
  <si>
    <t>A) Ancient Warfare Training</t>
  </si>
  <si>
    <t>Which traditional festival often includes Thang-Ta as a part of the opening ceremonies?</t>
  </si>
  <si>
    <t>A) Yaoshang, B) Holi, C) Diwali, D) Pongal</t>
  </si>
  <si>
    <t>In Thang-Ta, what is the significance of performing 'Pung Cholom'?</t>
  </si>
  <si>
    <t>A) It provides rhythm, B) It narrates historical events, C) It enhances combat skills, D) It celebrates harvests</t>
  </si>
  <si>
    <t>A) It provides rhythm</t>
  </si>
  <si>
    <t>Which historical figure is credited with documenting the techniques of Thang-Ta?</t>
  </si>
  <si>
    <t>A) Maharaja Bhagyachandra Singh, B) Maharaja Chandrakirti Singh, C) Maharaja Gambhir Singh, D) Maharaja Kulachandra Singh</t>
  </si>
  <si>
    <t>A) Maharaja Bhagyachandra Singh</t>
  </si>
  <si>
    <t>What is the primary function of 'Kangla' in Thang-Ta?</t>
  </si>
  <si>
    <t>A) Weapon, B) Dance Element, C) Ritualistic Symbol, D) Training Tool</t>
  </si>
  <si>
    <t>C) Ritualistic Symbol</t>
  </si>
  <si>
    <t>What does the 'Khurai' technique represent in Thang-Ta?</t>
  </si>
  <si>
    <t>A) Spear Combat, B) Sword Techniques, C) Shield Defense, D) Ritual Dance</t>
  </si>
  <si>
    <t>B) Sword Techniques</t>
  </si>
  <si>
    <t>Which of the following festivals is celebrated with Thang-Ta performances to honor warriors?</t>
  </si>
  <si>
    <t>A) Lai Haraoba, B) Baisakhi, C) Pongal, D) Holi</t>
  </si>
  <si>
    <t>In Thang-Ta, what does the 'Thang' symbolize during performances?</t>
  </si>
  <si>
    <t>A) Strength and Valor, B) Peace and Harmony, C) Artistic Talent, D) Ritualistic Power</t>
  </si>
  <si>
    <t>What is the primary historical significance of Thang-Ta in Manipuri culture?</t>
  </si>
  <si>
    <t>A) Combat Training, B) Artistic Expression, C) Religious Practices, D) Royal Traditions</t>
  </si>
  <si>
    <t>Which traditional item is used for ceremonial purposes in Thang-Ta?</t>
  </si>
  <si>
    <t>A) Nongyai, B) Thang, C) Pung, D) Chak-Ya</t>
  </si>
  <si>
    <t>A) Nongyai</t>
  </si>
  <si>
    <t>Which Manipuri event is known for featuring elaborate Thang-Ta performances?</t>
  </si>
  <si>
    <t>What is the significance of the 'Kanglasha' sword in Thang-Ta performances?</t>
  </si>
  <si>
    <t>A) It represents honor, B) It is a ceremonial item, C) It is used for training, D) It denotes victory</t>
  </si>
  <si>
    <t>B) It is a ceremonial item</t>
  </si>
  <si>
    <t>Which traditional Manipuri practice is closely linked with Thang-Ta in terms of performance style?</t>
  </si>
  <si>
    <t>A) Pung Cholom, B) Bamboo Flute Music, C) Classical Dance, D) Folk Songs</t>
  </si>
  <si>
    <t>What does the term 'Sanu Kshar' refer to in the context of Thang-Ta?</t>
  </si>
  <si>
    <t>A) Weapon Training, B) Endurance Training, C) Dance Techniques, D) Ritualistic Movements</t>
  </si>
  <si>
    <t>B) Endurance Training</t>
  </si>
  <si>
    <t>Which traditional dance form is associated with Thang-Ta performances?</t>
  </si>
  <si>
    <t>A) Pung Cholom, B) Manipuri Raas, C) Kathak, D) Bharatanatyam</t>
  </si>
  <si>
    <t>B) Manipuri Raas</t>
  </si>
  <si>
    <t>In Thang-Ta, what does the term 'Thang' symbolize?</t>
  </si>
  <si>
    <t>A) Swordsmanship, B) Combat Skills, C) Ritualistic Power, D) Artistic Expression</t>
  </si>
  <si>
    <t>B) Combat Skills</t>
  </si>
  <si>
    <t>Which historical aspect is depicted through Thang-Ta performances during festivals?</t>
  </si>
  <si>
    <t>A) Heroic Battles, B) Daily Life, C) Agricultural Practices, D) Religious Rituals</t>
  </si>
  <si>
    <t>A) Heroic Battles</t>
  </si>
  <si>
    <t>What is the primary aim of Thang-Ta training in modern times?</t>
  </si>
  <si>
    <t>A) Cultural Preservation, B) Artistic Development, C) Fitness Training, D) Ritualistic Practice</t>
  </si>
  <si>
    <t>A) Cultural Preservation</t>
  </si>
  <si>
    <t>Which of the following elements is NOT typically featured in Thang-Ta performances?</t>
  </si>
  <si>
    <t>A) Sword Techniques, B) Spear Techniques, C) Archery, D) Shield Defense</t>
  </si>
  <si>
    <t>What is the primary focus of 'Pung Cholom' in relation to Thang-Ta?</t>
  </si>
  <si>
    <t>A) Rhythm, B) Storytelling, C) Dance Techniques, D) Weapon Training</t>
  </si>
  <si>
    <t>A) Rhythm</t>
  </si>
  <si>
    <t>In Thang-Ta, what role does 'Kanglasha' play?</t>
  </si>
  <si>
    <t>A) Ceremonial Sword, B) Training Weapon, C) Ritual Dance Element, D) Historical Artifact</t>
  </si>
  <si>
    <t>A) Ceremonial Sword</t>
  </si>
  <si>
    <t>Which Manipuri festival is known for its elaborate Thang-Ta performances?</t>
  </si>
  <si>
    <t>A) Lai Haraoba, B) Pongal, C) Holi, D) Diwali</t>
  </si>
  <si>
    <t>What is the role of 'Yeng-Ngi' in Thang-Ta performances?</t>
  </si>
  <si>
    <t>A) Combat Skill Demonstration, B) Ritualistic Practice, C) Dance Technique, D) Musical Accompaniment</t>
  </si>
  <si>
    <t>B) Ritualistic Practice</t>
  </si>
  <si>
    <t>Which of the following is a primary feature of traditional Thang-Ta training?</t>
  </si>
  <si>
    <t>A) Weapon Mastery, B) Dance Choreography, C) Ritual Ceremonies, D) Artistic Expression</t>
  </si>
  <si>
    <t>A) Weapon Mastery</t>
  </si>
  <si>
    <t>Which famous Manipuri figure contributed to the preservation of Thang-Ta techniques?</t>
  </si>
  <si>
    <t>What does the 'Sanu Kshar' technique in Thang-Ta primarily focus on?</t>
  </si>
  <si>
    <t>A) Physical Endurance, B) Combat Techniques, C) Ritualistic Movements, D) Dance Formations</t>
  </si>
  <si>
    <t>A) Physical Endurance</t>
  </si>
  <si>
    <t>Which traditional Manipuri practice often includes Thang-Ta as a form of storytelling?</t>
  </si>
  <si>
    <t>A) Lai Haraoba, B) Holi, C) Pongal, D) Diwali</t>
  </si>
  <si>
    <t>What does the 'Nongyai' represent in Thang-Ta performances?</t>
  </si>
  <si>
    <t>A) Traditional Shield, B) Sword Technique, C) Dance Element, D) Ritual Symbol</t>
  </si>
  <si>
    <t>A) Traditional Shield</t>
  </si>
  <si>
    <t>Which Manipuri festival is known for showcasing traditional Thang-Ta skills?</t>
  </si>
  <si>
    <t>A) Yaoshang, B) Pongal, C) Diwali, D) Holi</t>
  </si>
  <si>
    <t>What is the role of 'Kanglasha' in Thang-Ta rituals?</t>
  </si>
  <si>
    <t>A) Ceremonial Sword, B) Training Tool, C) Dance Element, D) Historical Artifact</t>
  </si>
  <si>
    <t>Which traditional Manipuri music is integral to Thang-Ta performances?</t>
  </si>
  <si>
    <t>A) Pung Cholom, B) Bamboo Flute Music, C) Classical Guitar, D) Violin</t>
  </si>
  <si>
    <t>What does 'Sanu Kshar' signify in Thang-Ta practice?</t>
  </si>
  <si>
    <t>A) Training Technique, B) Ritual Dance, C) Historical Reenactment, D) Music Accompaniment</t>
  </si>
  <si>
    <t>A) Training Technique</t>
  </si>
  <si>
    <t>Which festival features traditional Thang-Ta performances as a primary attraction?</t>
  </si>
  <si>
    <t>What does the 'Thang' in Thang-Ta symbolize during performances?</t>
  </si>
  <si>
    <t>A) Combat Skills, B) Artistic Talent, C) Ritualistic Power, D) Historical Importance</t>
  </si>
  <si>
    <t>A) Combat Skills</t>
  </si>
  <si>
    <t>Which historical figure is known for preserving Thang-Ta traditions?</t>
  </si>
  <si>
    <t>What is the literal translation of 'Thang-Ta'?</t>
  </si>
  <si>
    <t>A) Sword and Shield, B) War Dance, C) Combat Art, D) Traditional Ritual</t>
  </si>
  <si>
    <t>A) Sword and Shield</t>
  </si>
  <si>
    <t>Which martial art style is closely associated with Thang-Ta?</t>
  </si>
  <si>
    <t>A) Kalaripayattu, B) Silambam, C) Gatka, D) Sarit-Sarak</t>
  </si>
  <si>
    <t>D) Sarit-Sarak</t>
  </si>
  <si>
    <t>During which historical period did Thang-Ta flourish as a combat technique?</t>
  </si>
  <si>
    <t>A) 18th century, B) 12th century, C) 15th century, D) 10th century</t>
  </si>
  <si>
    <t>A) 18th century</t>
  </si>
  <si>
    <t>Who among the following rulers was a patron of Thang-Ta?</t>
  </si>
  <si>
    <t>A) Maharaja Gambhir Singh, B) Maharaja Surachandra Singh, C) Maharaja Narasingh, D) Maharaja Chandrakirti Singh</t>
  </si>
  <si>
    <t>A) Maharaja Gambhir Singh</t>
  </si>
  <si>
    <t>What historical event led to the decline of Thang-Ta's martial applications?</t>
  </si>
  <si>
    <t>A) British Colonization, B) Mughal Invasions, C) Industrial Revolution, D) The Anglo-Manipur War</t>
  </si>
  <si>
    <t>A) British Colonization</t>
  </si>
  <si>
    <t>In which region of India is Thang-Ta traditionally practiced?</t>
  </si>
  <si>
    <t>A) Assam, B) Manipur, C) Nagaland, D) Mizoram</t>
  </si>
  <si>
    <t>B) Manipur</t>
  </si>
  <si>
    <t>Which Manipuri king is credited with formalizing the practice of Thang-Ta?</t>
  </si>
  <si>
    <t>A) Maharaja Bhagyachandra Singh, B) Maharaja Marjit Singh, C) Maharaja Churachand Singh, D) Maharaja Gambhir Singh</t>
  </si>
  <si>
    <t>Which historical warrior technique of Manipur is said to be the precursor to modern Thang-Ta?</t>
  </si>
  <si>
    <t>A) Sarit Sarak, B) Gatka, C) Kalaripayattu, D) Silambam</t>
  </si>
  <si>
    <t>A) Sarit Sarak</t>
  </si>
  <si>
    <t>Which aspect of Thang-Ta became significant during the Meitei rebellion?</t>
  </si>
  <si>
    <t>A) Its artistic dance form, B) Its combat utility, C) Its ceremonial importance, D) Its role in storytelling</t>
  </si>
  <si>
    <t>B) Its combat utility</t>
  </si>
  <si>
    <t>What is the cultural significance of Thang-Ta in traditional Meitei festivals?</t>
  </si>
  <si>
    <t>A) Warrior reenactment, B) Religious offering, C) Entertainment, D) Community bonding</t>
  </si>
  <si>
    <t>A) Warrior reenactment</t>
  </si>
  <si>
    <t>Who was a prominent figure in the revival of Thang-Ta during the post-colonial period?</t>
  </si>
  <si>
    <t>A) Nongmeikapam Gambhir Singh, B) Aribam Syam Sharma, C) Rajkumar Sanajaoba, D) Haobam Somorendro</t>
  </si>
  <si>
    <t>A) Nongmeikapam Gambhir Singh</t>
  </si>
  <si>
    <t>What traditional Meitei belief system does Thang-Ta often represent in its performances?</t>
  </si>
  <si>
    <t>A) Sanamahism, B) Buddhism, C) Shaivism, D) Vaishnavism</t>
  </si>
  <si>
    <t>A) Sanamahism</t>
  </si>
  <si>
    <t>What is the historical role of Thang-Ta in Manipuri warfare?</t>
  </si>
  <si>
    <t>A) Defensive tactic, B) Ritual performance, C) Battlefield combat training, D) Spiritual practice</t>
  </si>
  <si>
    <t>C) Battlefield combat training</t>
  </si>
  <si>
    <t>Which Manipuri festival often features Thang-Ta as a tribute to warriors?</t>
  </si>
  <si>
    <t>A) Lai Haraoba, B) Yaoshang, C) Ningol Chakouba, D) Cheiraoba</t>
  </si>
  <si>
    <t>What colonial policy affected the practice of Thang-Ta in the 19th century?</t>
  </si>
  <si>
    <t>A) Ban on indigenous martial arts, B) Promotion of Western sports, C) Religious conversion, D) Military reform</t>
  </si>
  <si>
    <t>A) Ban on indigenous martial arts</t>
  </si>
  <si>
    <t>What significant war led to the decline of traditional Thang-Ta as a combat practice?</t>
  </si>
  <si>
    <t>A) Anglo-Manipur War, B) Anglo-Sikh Wars, C) Indian Rebellion of 1857, D) First World War</t>
  </si>
  <si>
    <t>A) Anglo-Manipur War</t>
  </si>
  <si>
    <t>Which Manipuri cultural institution has been key to preserving Thang-Ta?</t>
  </si>
  <si>
    <t>A) Jawaharlal Nehru Manipur Dance Academy, B) All India Thang-Ta Federation, C) Kanglei Indigenous Martial Arts and Cultural Society, D) Kangleipak Thang-Ta Association</t>
  </si>
  <si>
    <t>C) Kanglei Indigenous Martial Arts and Cultural Society</t>
  </si>
  <si>
    <t>What is the primary historical source of knowledge about Thang-Ta techniques?</t>
  </si>
  <si>
    <t>A) Oral traditions, B) Manuscripts, C) Stone inscriptions, D) Temple carvings</t>
  </si>
  <si>
    <t>A) Oral traditions</t>
  </si>
  <si>
    <t>How did Thang-Ta contribute to Manipuri independence struggles?</t>
  </si>
  <si>
    <t>A) As a tool for self-defense, B) By symbolizing resistance, C) By forming rebel armies, D) By spreading cultural pride</t>
  </si>
  <si>
    <t>B) By symbolizing resistance</t>
  </si>
  <si>
    <t>Which colonial power sought to suppress Thang-Ta practices?</t>
  </si>
  <si>
    <t>A) Portuguese, B) French, C) British, D) Dutch</t>
  </si>
  <si>
    <t>Who is credited with the 20th-century resurgence of interest in Thang-Ta?</t>
  </si>
  <si>
    <t>A) Rajkumar Sanajaoba, B) Haobam Somorendro, C) Nongmeikapam Gambhir Singh, D) Aribam Syam Sharma</t>
  </si>
  <si>
    <t>C) Nongmeikapam Gambhir Singh</t>
  </si>
  <si>
    <t>Which traditional Manipuri dance is often performed alongside Thang-Ta?</t>
  </si>
  <si>
    <t>A) Pung Cholom, B) Ras Leela, C) Maibi Dance, D) Khamba Thoibi</t>
  </si>
  <si>
    <t>What role did Thang-Ta play during the Anglo-Manipuri War of 1891?</t>
  </si>
  <si>
    <t>A) It was used for ceremonial purposes, B) It was used as a combat technique, C) It was banned during the war, D) It was performed to boost morale</t>
  </si>
  <si>
    <t>B) It was used as a combat technique</t>
  </si>
  <si>
    <t>What is the purpose of the traditional Meitei 'Huyen Lallong' in Thang-Ta?</t>
  </si>
  <si>
    <t>A) It is a philosophical teaching, B) It is a ceremonial ritual, C) It is a sword technique, D) It is a combat exercise</t>
  </si>
  <si>
    <t>A) It is a philosophical teaching</t>
  </si>
  <si>
    <t>Which Manipuri deity is honored through Thang-Ta performances?</t>
  </si>
  <si>
    <t>A) Sanamahi, B) Vishnu, C) Shiva, D) Durga</t>
  </si>
  <si>
    <t>A) Sanamahi</t>
  </si>
  <si>
    <t>Thang-Ta was traditionally practiced by which warrior class in Manipur?</t>
  </si>
  <si>
    <t>A) The Lallong Warriors, B) The Meitei Royal Guard, C) The Marup Warriors, D) The Khurai Clan</t>
  </si>
  <si>
    <t>B) The Meitei Royal Guard</t>
  </si>
  <si>
    <t>What was the significance of 'Sarit-Sarak' in relation to Thang-Ta?</t>
  </si>
  <si>
    <t>A) It was the footwork system, B) It was a spiritual practice, C) It was a form of ritual dance, D) It was a battle formation</t>
  </si>
  <si>
    <t>A) It was the footwork system</t>
  </si>
  <si>
    <t>Which historical Manipuri figure was known for using Thang-Ta in battle?</t>
  </si>
  <si>
    <t>A) Meidingu Nara Singh, B) Maharaja Gambhir Singh, C) Maharaja Chandrakirti, D) Maharaja Bhagyachandra</t>
  </si>
  <si>
    <t>What role did Thang-Ta play in the defense of Manipur against British colonization?</t>
  </si>
  <si>
    <t>A) Ritual symbolism, B) Training of rebel fighters, C) Preservation of culture, D) Promotion of peace</t>
  </si>
  <si>
    <t>B) Training of rebel fighters</t>
  </si>
  <si>
    <t>In ancient times, what was the main purpose of Thang-Ta training?</t>
  </si>
  <si>
    <t>A) Ritual practices, B) Preparing for war, C) Entertainment, D) Religious ceremonies</t>
  </si>
  <si>
    <t>B) Preparing for war</t>
  </si>
  <si>
    <t>Which organization was founded to preserve Thang-Ta after India’s independence?</t>
  </si>
  <si>
    <t>A) Thang-Ta Association of India, B) Kanglei Indigenous Martial Arts and Cultural Society, C) All India Thang-Ta Federation, D) Thang-Ta Revival Movement</t>
  </si>
  <si>
    <t>B) Kanglei Indigenous Martial Arts and Cultural Society</t>
  </si>
  <si>
    <t>What is the significance of the 'Khadang Thang' move in Thang-Ta?</t>
  </si>
  <si>
    <t>A) A blocking technique, B) A finishing move, C) A sword strike, D) A defensive posture</t>
  </si>
  <si>
    <t>C) A sword strike</t>
  </si>
  <si>
    <t>Which historical manuscript references the early practice of Thang-Ta?</t>
  </si>
  <si>
    <t>A) The Cheitharol Kumbaba, B) The Manipur Puyas, C) The Rajmala Chronicles, D) The Buranjis</t>
  </si>
  <si>
    <t>A) The Cheitharol Kumbaba</t>
  </si>
  <si>
    <t>How did British colonialists attempt to limit Thang-Ta practices?</t>
  </si>
  <si>
    <t>A) Through a ban on weapons, B) By criminalizing martial arts, C) By promoting Western education, D) By imposing heavy taxes</t>
  </si>
  <si>
    <t>A) Through a ban on weapons</t>
  </si>
  <si>
    <t>Which traditional Manipuri weapon is central to Thang-Ta practice?</t>
  </si>
  <si>
    <t>A) Khukri, B) Long Sword, C) Spear, D) Chakram</t>
  </si>
  <si>
    <t>B) Long Sword</t>
  </si>
  <si>
    <t>Which Manipuri ruler emphasized the spiritual aspects of Thang-Ta in the 18th century?</t>
  </si>
  <si>
    <t>A) Maharaja Bhagyachandra Singh, B) Maharaja Nar Singh, C) Maharaja Gambhir Singh, D) Maharaja Churachand Singh</t>
  </si>
  <si>
    <t>What is the historical significance of 'Thengou' in Thang-Ta?</t>
  </si>
  <si>
    <t>A) A salute to the enemy, B) A traditional sword stance, C) A victory ritual, D) A form of dance</t>
  </si>
  <si>
    <t>B) A traditional sword stance</t>
  </si>
  <si>
    <t>Which cultural revolution helped revive Thang-Ta in modern times?</t>
  </si>
  <si>
    <t>A) The Manipuri Cultural Renaissance, B) The Indian Freedom Struggle, C) The National Martial Arts Movement, D) The Meitei Revival</t>
  </si>
  <si>
    <t>A) The Manipuri Cultural Renaissance</t>
  </si>
  <si>
    <t>How is Thang-Ta integrated into the Lai Haraoba festival?</t>
  </si>
  <si>
    <t>A) As a form of martial storytelling, B) As a form of dance, C) As a ritualistic prayer, D) As a competitive sport</t>
  </si>
  <si>
    <t>A) As a form of martial storytelling</t>
  </si>
  <si>
    <t>Which modern organization is responsible for promoting Thang-Ta across India?</t>
  </si>
  <si>
    <t>A) The Indian Martial Arts Federation, B) The Thang-Ta Federation of India, C) The Manipuri Cultural Society, D) The National Thang-Ta Academy</t>
  </si>
  <si>
    <t>B) The Thang-Ta Federation of India</t>
  </si>
  <si>
    <t>What is the purpose of 'Thanglon' in Thang-Ta practice?</t>
  </si>
  <si>
    <t>A) Sword training, B) Spiritual meditation, C) Dance choreography, D) Strength training</t>
  </si>
  <si>
    <t>A) Sword training</t>
  </si>
  <si>
    <t>Which historical event marked the decline of martial Thang-Ta practice?</t>
  </si>
  <si>
    <t>A) British occupation of Manipur, B) Indian Independence, C) The Anglo-Manipuri War, D) The Burmese invasion of Manipur</t>
  </si>
  <si>
    <t>C) The Anglo-Manipuri War</t>
  </si>
  <si>
    <t>Which martial arts system includes Thang-Ta as one of its major components?</t>
  </si>
  <si>
    <t>A) Sarit Sarak, B) Gatka, C) Kalaripayattu, D) Lathi Khela</t>
  </si>
  <si>
    <t>Which historical figure is known for popularizing Thang-Ta in modern times?</t>
  </si>
  <si>
    <t>A) Guru Gulap Singh, B) Rajkumar Sanajaoba, C) Aribam Syam Sharma, D) Nongmeikapam Gopal Singh</t>
  </si>
  <si>
    <t>B) Rajkumar Sanajaoba</t>
  </si>
  <si>
    <t>Thang-Ta was primarily used by which group in Manipuri society?</t>
  </si>
  <si>
    <t>A) Farmers, B) Warriors, C) Fishermen, D) Priests</t>
  </si>
  <si>
    <t>The origins of Thang-Ta can be traced back to which century?</t>
  </si>
  <si>
    <t>A) 7th century, B) 9th century, C) 10th century, D) 12th century</t>
  </si>
  <si>
    <t>C) 10th century</t>
  </si>
  <si>
    <t>What significant battle demonstrated the effectiveness of Thang-Ta?</t>
  </si>
  <si>
    <t>A) Battle of Khongjom, B) Anglo-Manipur War, C) Battle of Imphal, D) Battle of Moreh</t>
  </si>
  <si>
    <t>A) Battle of Khongjom</t>
  </si>
  <si>
    <t>Which period in Manipuri history saw a decline in the practice of Thang-Ta?</t>
  </si>
  <si>
    <t>A) Pre-colonial period, B) British colonial period, C) Mughal period, D) Post-Independence period</t>
  </si>
  <si>
    <t>Which Manipuri king played a pivotal role in promoting the art of Thang-Ta?</t>
  </si>
  <si>
    <t>A) Maharaja Marjit Singh, B) Maharaja Gambhir Singh, C) Maharaja Churachand Singh, D) Maharaja Bhagyachandra</t>
  </si>
  <si>
    <t>What was the primary weapon used in the ancient practice of Thang-Ta?</t>
  </si>
  <si>
    <t>A) Bow and arrow, B) Spear, C) Sword and shield, D) Dagger</t>
  </si>
  <si>
    <t>C) Sword and shield</t>
  </si>
  <si>
    <t>Thang-Ta emerged as a response to threats from which neighboring region?</t>
  </si>
  <si>
    <t>A) Assam, B) Bengal, C) Burma, D) Tripura</t>
  </si>
  <si>
    <t>C) Burma</t>
  </si>
  <si>
    <t>Thang-Ta was historically used in which festival to honor warriors?</t>
  </si>
  <si>
    <t>A) Lai Haraoba, B) Yaoshang, C) Ningol Chakouba, D) Heikru Hidongba</t>
  </si>
  <si>
    <t>The British colonization of Manipur led to the suppression of which aspect of Thang-Ta?</t>
  </si>
  <si>
    <t>A) Weapon crafting, B) Ritual performances, C) Military training, D) Cultural preservation</t>
  </si>
  <si>
    <t>In which year did the British officially ban Thang-Ta practice in Manipur?</t>
  </si>
  <si>
    <t>A) 1891, B) 1900, C) 1912, D) 1945</t>
  </si>
  <si>
    <t>A) 1891</t>
  </si>
  <si>
    <t>What role did Thang-Ta play in Manipuri society during the pre-colonial period?</t>
  </si>
  <si>
    <t>A) Religious ritual, B) Military training, C) Educational tool, D) Agricultural technique</t>
  </si>
  <si>
    <t>Which body of knowledge passed down orally has preserved much of the Thang-Ta tradition?</t>
  </si>
  <si>
    <t>A) Puyas, B) Cheitharol Kumbaba, C) Vedas, D) Smritis</t>
  </si>
  <si>
    <t>A) Puyas</t>
  </si>
  <si>
    <t>What is the significance of the traditional Meitei 'Huyen Lallong' in Thang-Ta?</t>
  </si>
  <si>
    <t>A) Combat philosophy, B) Weapon crafting, C) Ritual performance, D) Victory dance</t>
  </si>
  <si>
    <t>A) Combat philosophy</t>
  </si>
  <si>
    <t>Thang-Ta was traditionally taught through which method?</t>
  </si>
  <si>
    <t>A) Written manuals, B) Oral transmission, C) Dance choreography, D) Paintings</t>
  </si>
  <si>
    <t>B) Oral transmission</t>
  </si>
  <si>
    <t>Which Manipuri kingdom was known for its military prowess that included Thang-Ta techniques?</t>
  </si>
  <si>
    <t>A) Kangleipak, B) Tripura, C) Cachar, D) Ahom</t>
  </si>
  <si>
    <t>A) Kangleipak</t>
  </si>
  <si>
    <t>Thang-Ta warriors were known for their exceptional use of which movement?</t>
  </si>
  <si>
    <t>A) Circular motions, B) Linear strikes, C) Aerial combat, D) Stealth techniques</t>
  </si>
  <si>
    <t>A) Circular motions</t>
  </si>
  <si>
    <t>What role did Thang-Ta play in the preservation of Manipuri cultural identity?</t>
  </si>
  <si>
    <t>A) It became a symbol of resistance, B) It was banned by the British, C) It was integrated into education, D) It evolved into a religious dance</t>
  </si>
  <si>
    <t>A) It became a symbol of resistance</t>
  </si>
  <si>
    <t>Thang-Ta has roots in which ancient form of Manipuri martial arts?</t>
  </si>
  <si>
    <t>A) Huyen Lallong, B) Gatka, C) Silambam, D) Varma Kalai</t>
  </si>
  <si>
    <t>A) Huyen Lallong</t>
  </si>
  <si>
    <t>What was the purpose of the Thang-Ta practice in royal courts during the 19th century?</t>
  </si>
  <si>
    <t>A) Entertainment, B) Combat readiness, C) Religious ritual, D) Diplomatic training</t>
  </si>
  <si>
    <t>B) Combat readiness</t>
  </si>
  <si>
    <t>The use of Thang-Ta in the Lai Haraoba festival symbolizes what?</t>
  </si>
  <si>
    <t>A) Peace and prosperity, B) Warrior spirit, C) Religious devotion, D) Community unity</t>
  </si>
  <si>
    <t>B) Warrior spirit</t>
  </si>
  <si>
    <t>Which foreign invaders did the Manipuri warriors, trained in Thang-Ta, resist?</t>
  </si>
  <si>
    <t>A) Portuguese, B) Mughal, C) British, D) Burmese</t>
  </si>
  <si>
    <t>D) Burmese</t>
  </si>
  <si>
    <t>What significance did Thang-Ta hold in the Anglo-Manipur War of 1891?</t>
  </si>
  <si>
    <t>A) It was banned by the British, B) It was used in the battlefield, C) It was performed to rally troops, D) It was taught to British officers</t>
  </si>
  <si>
    <t>B) It was used in the battlefield</t>
  </si>
  <si>
    <t>What title was given to warriors trained in Thang-Ta in ancient Manipur?</t>
  </si>
  <si>
    <t>A) Meitei Marup, B) Khongnang, C) Ningthou, D) Lallong</t>
  </si>
  <si>
    <t>D) Lallong</t>
  </si>
  <si>
    <t>What was the role of 'Lallong' warriors trained in Thang-Ta?</t>
  </si>
  <si>
    <t>A) Defense of the kingdom, B) Religious rituals, C) Agricultural duties, D) Political advisors</t>
  </si>
  <si>
    <t>A) Defense of the kingdom</t>
  </si>
  <si>
    <t>Which Manipuri ruler encouraged the martial application of Thang-Ta in his army?</t>
  </si>
  <si>
    <t>A) Maharaja Bhagyachandra Singh, B) Maharaja Gambhir Singh, C) Maharaja Churachand Singh, D) Maharaja Nar Singh</t>
  </si>
  <si>
    <t>In which battle was the effectiveness of Thang-Ta techniques most visible?</t>
  </si>
  <si>
    <t>A) Battle of Khongjom, B) Battle of Imphal, C) Battle of Assam, D) Battle of Cachar</t>
  </si>
  <si>
    <t>Which organization was established post-Independence to preserve Thang-Ta?</t>
  </si>
  <si>
    <t>A) Kanglei Indigenous Martial Arts Society, B) Manipuri Martial Arts Academy, C) Thang-Ta Federation of India, D) Kangleipak Cultural Trust</t>
  </si>
  <si>
    <t>A) Kanglei Indigenous Martial Arts Society</t>
  </si>
  <si>
    <t>Which war dance element is incorporated into Thang-Ta performances?</t>
  </si>
  <si>
    <t>A) Khamba Thoibi, B) Maibi Dance, C) Pung Cholom, D) Huyen Langlon</t>
  </si>
  <si>
    <t>D) Huyen Langlon</t>
  </si>
  <si>
    <t>The British colonialists perceived Thang-Ta as a threat for which reason?</t>
  </si>
  <si>
    <t>A) It promoted rebellion, B) It was a form of espionage, C) It was politically influential, D) It weakened British rule</t>
  </si>
  <si>
    <t>A) It promoted rebellion</t>
  </si>
  <si>
    <t>Which Manipuri deity is often associated with the warrior spirit in Thang-Ta?</t>
  </si>
  <si>
    <t>A) Pakhangba, B) Panthoibi, C) Thangjing, D) Sanamahi</t>
  </si>
  <si>
    <t>A) Pakhangba</t>
  </si>
  <si>
    <t>What influence did the British colonization have on Thang-Ta weaponry?</t>
  </si>
  <si>
    <t>A) Weapons were confiscated, B) New British weapons were introduced, C) Traditional weapons were outlawed, D) Weapons were traded with the British</t>
  </si>
  <si>
    <t>A) Weapons were confiscated</t>
  </si>
  <si>
    <t>Which traditional Manipuri festival showcases the skills of Thang-Ta practitioners?</t>
  </si>
  <si>
    <t>A) Lai Haraoba, B) Yaoshang, C) Heikru Hidongba, D) Kang Chingba</t>
  </si>
  <si>
    <t>Thang-Ta was often practiced in which natural setting to simulate real combat?</t>
  </si>
  <si>
    <t>A) Riverbanks, B) Dense forests, C) Open fields, D) Mountains</t>
  </si>
  <si>
    <t>B) Dense forests</t>
  </si>
  <si>
    <t>In the context of Thang-Ta, what does 'Thang' signify?</t>
  </si>
  <si>
    <t>A) Sword, B) Shield, C) Spear, D) Armor</t>
  </si>
  <si>
    <t>Thang-Ta techniques were crucial for defending against which invading force in the 18th century?</t>
  </si>
  <si>
    <t>A) Ahom, B) Burmese, C) Mughals, D) British</t>
  </si>
  <si>
    <t>B) Burmese</t>
  </si>
  <si>
    <t>The 'Lallong' warrior class trained in Thang-Ta served primarily as what?</t>
  </si>
  <si>
    <t>A) Royal guards, B) Battlefield leaders, C) Espionage agents, D) Diplomats</t>
  </si>
  <si>
    <t>A) Royal guards</t>
  </si>
  <si>
    <t>Which symbolic item is carried by Thang-Ta practitioners in traditional ceremonies?</t>
  </si>
  <si>
    <t>A) A small dagger, B) A wooden shield, C) A ceremonial spear, D) A ceremonial flag</t>
  </si>
  <si>
    <t>A) A small dagger</t>
  </si>
  <si>
    <t>Which event led to a resurgence of interest in Thang-Ta during the 20th century?</t>
  </si>
  <si>
    <t>A) Indian Independence, B) Manipuri Cultural Renaissance, C) World War II, D) The National Martial Arts Movement</t>
  </si>
  <si>
    <t>B) Manipuri Cultural Renaissance</t>
  </si>
  <si>
    <t>Which part of Manipuri society was instrumental in preserving Thang-Ta through generations?</t>
  </si>
  <si>
    <t>A) Royal family, B) Priestly class, C) Warrior clans, D) Farming communities</t>
  </si>
  <si>
    <t>C) Warrior clans</t>
  </si>
  <si>
    <t>The spear ('Ta') used in Thang-Ta symbolizes what in Manipuri culture?</t>
  </si>
  <si>
    <t>A) The warrior’s spirit, B) Divine protection, C) Harvest and fertility, D) Peace and prosperity</t>
  </si>
  <si>
    <t>A) The warrior’s spirit</t>
  </si>
  <si>
    <t>Thang-Ta was a critical component of defense against which external threat in Manipur's history?</t>
  </si>
  <si>
    <t>A) British forces, B) Burmese invasions, C) Mughals, D) Ahoms</t>
  </si>
  <si>
    <t>B) Burmese invasions</t>
  </si>
  <si>
    <t>In traditional Thang-Ta teachings, the sword ('Thang') represents what?</t>
  </si>
  <si>
    <t>A) Physical power, B) Moral strength, C) Intelligence, D) Wealth</t>
  </si>
  <si>
    <t>B) Moral strength</t>
  </si>
  <si>
    <t>Thang-Ta practitioners believed that martial prowess was closely linked to which spiritual element?</t>
  </si>
  <si>
    <t>A) The spirit of ancestors, B) Divine blessings, C) Cosmic forces, D) Earth’s energy</t>
  </si>
  <si>
    <t>A) The spirit of ancestors</t>
  </si>
  <si>
    <t>What does the term 'Thang-Ta' mean in Manipuri?</t>
  </si>
  <si>
    <t>A) Sword and spear, B) Sword and shield, C) Sword and dance, D) Spear and shield</t>
  </si>
  <si>
    <t>A) Sword and spear</t>
  </si>
  <si>
    <t>Which ancient Manipuri manuscript contains references to Thang-Ta?</t>
  </si>
  <si>
    <t>A) Cheitharol Kumbaba, B) Kangleirol, C) Puya, D) Laiharaoba</t>
  </si>
  <si>
    <t>C) Puya</t>
  </si>
  <si>
    <t>Which Manipuri deity is closely associated with Thang-Ta?</t>
  </si>
  <si>
    <t>A) Pakhangba, B) Sanamahi, C) Thangjing, D) Panthoibi</t>
  </si>
  <si>
    <t>The Thang-Ta practice was traditionally passed down through which method?</t>
  </si>
  <si>
    <t>A) Written scripts, B) Apprenticeship, C) Oral tradition, D) Royal edicts</t>
  </si>
  <si>
    <t>C) Oral tradition</t>
  </si>
  <si>
    <t>In which era did Thang-Ta evolve as a structured martial art?</t>
  </si>
  <si>
    <t>A) 8th century, B) 9th century, C) 12th century, D) 15th century</t>
  </si>
  <si>
    <t>C) 12th century</t>
  </si>
  <si>
    <t>Thang-Ta was a critical part of which Manipuri festival?</t>
  </si>
  <si>
    <t>A) Ningol Chakouba, B) Yaoshang, C) Lai Haraoba, D) Heikru Hidongba</t>
  </si>
  <si>
    <t>C) Lai Haraoba</t>
  </si>
  <si>
    <t>Which king is believed to have promoted the training of Thang-Ta in the royal army?</t>
  </si>
  <si>
    <t>A) King Bhagyachandra, B) King Marjit Singh, C) King Khagemba, D) King Gambhir Singh</t>
  </si>
  <si>
    <t>D) King Gambhir Singh</t>
  </si>
  <si>
    <t>What role did the sword ('Thang') play in ancient Manipuri warfare?</t>
  </si>
  <si>
    <t>A) Symbol of peace, B) Tool for rituals, C) Main offensive weapon, D) Defensive tool</t>
  </si>
  <si>
    <t>C) Main offensive weapon</t>
  </si>
  <si>
    <t>Which foreign power significantly impacted the practice of Thang-Ta?</t>
  </si>
  <si>
    <t>A) Mughal Empire, B) British Empire, C) Burmese Empire, D) Portuguese Empire</t>
  </si>
  <si>
    <t>B) British Empire</t>
  </si>
  <si>
    <t>Which major event in Manipur’s history led to the suppression of Thang-Ta practice?</t>
  </si>
  <si>
    <t>A) Anglo-Manipur War, B) Battle of Khongjom, C) Burmese invasions, D) Indian Independence</t>
  </si>
  <si>
    <t>Thang-Ta performances were traditionally held in which setting?</t>
  </si>
  <si>
    <t>A) Temples, B) Open fields, C) Royal courts, D) Forests</t>
  </si>
  <si>
    <t>Which Manipuri art form closely integrates with Thang-Ta for storytelling?</t>
  </si>
  <si>
    <t>A) Ras Lila, B) Pena, C) Pung Cholom, D) Huyen Langlon</t>
  </si>
  <si>
    <t>During which colonial period was Thang-Ta officially banned in Manipur?</t>
  </si>
  <si>
    <t>A) 1857-1860, B) 1891-1895, C) 1910-1915, D) 1930-1945</t>
  </si>
  <si>
    <t>B) 1891-1895</t>
  </si>
  <si>
    <t>The term 'Huyen Langlon' refers to what aspect of Thang-Ta?</t>
  </si>
  <si>
    <t>A) Dance form, B) Spiritual practice, C) Combat art, D) Cultural festival</t>
  </si>
  <si>
    <t>C) Combat art</t>
  </si>
  <si>
    <t>Which weapon, besides the sword and spear, was used in Thang-Ta?</t>
  </si>
  <si>
    <t>A) Axe, B) Dagger, C) Bow, D) Mace</t>
  </si>
  <si>
    <t>What was the traditional objective of training in Thang-Ta?</t>
  </si>
  <si>
    <t>A) Entertainment, B) Personal defense, C) Warfare, D) Ritual dance</t>
  </si>
  <si>
    <t>Which royal court played a central role in preserving the Thang-Ta tradition?</t>
  </si>
  <si>
    <t>A) Royal Court of Kangleipak, B) Royal Court of Tripura, C) Royal Court of Ahom, D) Royal Court of Cachar</t>
  </si>
  <si>
    <t>A) Royal Court of Kangleipak</t>
  </si>
  <si>
    <t>Which Manipuri ethnic group is traditionally associated with the Thang-Ta martial art?</t>
  </si>
  <si>
    <t>A) Nagas, B) Meitei, C) Kukis, D) Tangkhuls</t>
  </si>
  <si>
    <t>B) Meitei</t>
  </si>
  <si>
    <t>Thang-Ta’s spiritual aspect is connected to which Manipuri belief system?</t>
  </si>
  <si>
    <t>A) Sanamahism, B) Hinduism, C) Buddhism, D) Christianity</t>
  </si>
  <si>
    <t>Thang-Ta served as both a martial art and what in ancient Manipur?</t>
  </si>
  <si>
    <t>A) Military training, B) Dance form, C) Religious ritual, D) Political practice</t>
  </si>
  <si>
    <t>A) Military training</t>
  </si>
  <si>
    <t>Which Manipuri queen was known to have supported Thang-Ta practice during her reign?</t>
  </si>
  <si>
    <t>A) Maharani Chandreshwori, B) Maharani Ningthou Leima, C) Maharani Thoibi, D) Maharani Tamphasana</t>
  </si>
  <si>
    <t>B) Maharani Ningthou Leima</t>
  </si>
  <si>
    <t>The British viewed Thang-Ta as a symbol of what during their colonial rule?</t>
  </si>
  <si>
    <t>A) Loyalty, B) Rebellion, C) Diplomacy, D) Commerce</t>
  </si>
  <si>
    <t>B) Rebellion</t>
  </si>
  <si>
    <t>Which Manipuri ritual incorporates elements of Thang-Ta as a form of reverence?</t>
  </si>
  <si>
    <t>A) Lai Haraoba, B) Cheiraoba, C) Kang, D) Ningol Chakouba</t>
  </si>
  <si>
    <t>Which king is credited with revitalizing the practice of Thang-Ta in the 18th century?</t>
  </si>
  <si>
    <t>A) Maharaja Bhagyachandra, B) Maharaja Garibniwaz, C) Maharaja Churachand Singh, D) Maharaja Marjit Singh</t>
  </si>
  <si>
    <t>A) Maharaja Bhagyachandra</t>
  </si>
  <si>
    <t>During the Anglo-Manipur War of 1891, Thang-Ta was used primarily for what purpose?</t>
  </si>
  <si>
    <t>A) Defense against British forces, B) Diplomatic missions, C) Cultural celebrations, D) Trade negotiations</t>
  </si>
  <si>
    <t>A) Defense against British forces</t>
  </si>
  <si>
    <t>What was the main factor that led to the decline of Thang-Ta during the British period?</t>
  </si>
  <si>
    <t>A) Ban on martial arts, B) Introduction of modern weapons, C) Loss of royal patronage, D) Economic decline</t>
  </si>
  <si>
    <t>A) Ban on martial arts</t>
  </si>
  <si>
    <t>Which cultural revival movement in the 20th century helped restore Thang-Ta?</t>
  </si>
  <si>
    <t>A) Indian Martial Arts Renaissance, B) Manipuri Cultural Revival, C) National Independence Movement, D) Manipuri Dance Revival</t>
  </si>
  <si>
    <t>B) Manipuri Cultural Revival</t>
  </si>
  <si>
    <t>Which post-independence organization was formed to preserve Thang-Ta?</t>
  </si>
  <si>
    <t>A) Manipuri Martial Arts Academy, B) Thang-Ta Association of India, C) Kangleipak Thang-Ta Society, D) Huyen Langlon Preservation Society</t>
  </si>
  <si>
    <t>D) Huyen Langlon Preservation Society</t>
  </si>
  <si>
    <t>Thang-Ta warriors were known for which distinct fighting technique?</t>
  </si>
  <si>
    <t>A) Swift circular strikes, B) Long-range archery, C) Stealth ambushes, D) Cavalry charges</t>
  </si>
  <si>
    <t>A) Swift circular strikes</t>
  </si>
  <si>
    <t>Which weapon was favored by Thang-Ta practitioners for long-distance combat?</t>
  </si>
  <si>
    <t>A) Spear, B) Bow and arrow, C) Sword, D) Dagger</t>
  </si>
  <si>
    <t>What impact did the Manipuri princes have on the spread of Thang-Ta?</t>
  </si>
  <si>
    <t>A) They introduced it to neighboring kingdoms, B) They restricted its practice to the royal family, C) They combined it with other martial arts, D) They banned its practice</t>
  </si>
  <si>
    <t>A) They introduced it to neighboring kingdoms</t>
  </si>
  <si>
    <t>Which aspect of Thang-Ta was seen as a form of meditation in motion?</t>
  </si>
  <si>
    <t>A) Swordplay, B) Spear handling, C) Dance-like movements, D) Ritual chanting</t>
  </si>
  <si>
    <t>C) Dance-like movements</t>
  </si>
  <si>
    <t>Thang-Ta masters were also skilled in which other discipline?</t>
  </si>
  <si>
    <t>A) Music, B) Medicine, C) Agriculture, D) Astrology</t>
  </si>
  <si>
    <t>B) Medicine</t>
  </si>
  <si>
    <t>What was the social status of a skilled Thang-Ta practitioner in ancient Manipur?</t>
  </si>
  <si>
    <t>A) Low-class laborer, B) Revered warrior, C) Scholar, D) Royal advisor</t>
  </si>
  <si>
    <t>B) Revered warrior</t>
  </si>
  <si>
    <t>Which traditional Manipuri dance form is sometimes blended with Thang-Ta movements?</t>
  </si>
  <si>
    <t>A) Ras Lila, B) Khamba Thoibi, C) Pung Cholom, D) Maibi Jagoi</t>
  </si>
  <si>
    <t>B) Khamba Thoibi</t>
  </si>
  <si>
    <t>In what way did Thang-Ta serve as an initiation rite for young Manipuri boys?</t>
  </si>
  <si>
    <t>A) Marked adulthood, B) Prepared for military service, C) Symbolized spiritual awakening, D) Celebrated first harvest</t>
  </si>
  <si>
    <t>B) Prepared for military service</t>
  </si>
  <si>
    <t>Which Manipuri historical event is often reenacted using Thang-Ta techniques?</t>
  </si>
  <si>
    <t>A) Battle of Khongjom, B) Anglo-Manipur War, C) Burmese invasions, D) The coronation of kings</t>
  </si>
  <si>
    <t>What purpose did Thang-Ta serve during festivals in ancient Manipur?</t>
  </si>
  <si>
    <t>A) Form of entertainment, B) Symbol of cultural pride, C) Religious offering, D) Military demonstration</t>
  </si>
  <si>
    <t>D) Military demonstration</t>
  </si>
  <si>
    <t>Which Manipuri royal family member played a key role in protecting Thang-Ta from extinction?</t>
  </si>
  <si>
    <t>A) King Churachand Singh, B) Maharaja Gambhir Singh, C) Maharani Tamphasana, D) Prince Tikendrajit Singh</t>
  </si>
  <si>
    <t>D) Prince Tikendrajit Singh</t>
  </si>
  <si>
    <t>Thang-Ta’s fluidity of movement is often compared to which element of nature?</t>
  </si>
  <si>
    <t>A) Water, B) Fire, C) Wind, D) Earth</t>
  </si>
  <si>
    <t>A) Water</t>
  </si>
  <si>
    <t>Which Manipuri historical leader is remembered for mastering Thang-Ta before becoming king?</t>
  </si>
  <si>
    <t>A) King Garibniwaz, B) King Gambhir Singh, C) King Bhagyachandra, D) King Khagemba</t>
  </si>
  <si>
    <t>B) King Gambhir Singh</t>
  </si>
  <si>
    <t>Thang-Ta plays a role in the coronation ceremony of Manipuri kings by symbolizing what?</t>
  </si>
  <si>
    <t>A) Divine authority, B) Warrior strength, C) Cultural unity, D) Agricultural prosperity</t>
  </si>
  <si>
    <t>B) Warrior strength</t>
  </si>
  <si>
    <t>Which Manipuri martial tradition shares its roots with Thang-Ta?</t>
  </si>
  <si>
    <t>A) Mukna, B) Sarit Sarak, C) Cheibi Gad-ga, D) Silambam</t>
  </si>
  <si>
    <t>B) Sarit Sarak</t>
  </si>
  <si>
    <t>In which region of India did Thang-Ta originate?</t>
  </si>
  <si>
    <t>A) Assam, B) Manipur, C) Tripura, D) Mizoram</t>
  </si>
  <si>
    <t>Thang-Ta is often associated with which historical period of Manipur?</t>
  </si>
  <si>
    <t>A) Medieval period, B) Colonial period, C) Ancient period, D) Post-independence period</t>
  </si>
  <si>
    <t>A) Medieval period</t>
  </si>
  <si>
    <t>Which Manipuri festival historically included demonstrations of Thang-Ta?</t>
  </si>
  <si>
    <t>A) Rath Yatra, B) Kang Festival, C) Yaoshang, D) Lai Haraoba</t>
  </si>
  <si>
    <t>D) Lai Haraoba</t>
  </si>
  <si>
    <t>Who was traditionally responsible for passing down Thang-Ta skills in Manipuri society?</t>
  </si>
  <si>
    <t>A) Priests, B) Warriors, C) Farmers, D) Scholars</t>
  </si>
  <si>
    <t>Which ancient Manipuri manuscript is known to mention the principles of Thang-Ta?</t>
  </si>
  <si>
    <t>A) Ningthourol Lambuba, B) Puya, C) Cheitharol Kumbaba, D) Kangleirol</t>
  </si>
  <si>
    <t>B) Puya</t>
  </si>
  <si>
    <t>Thang-Ta practice is believed to be as old as the rule of which early Manipuri king?</t>
  </si>
  <si>
    <t>A) Pakhangba, B) Nongda Lairen Pakhangba, C) Khagemba, D) Garibniwaz</t>
  </si>
  <si>
    <t>B) Nongda Lairen Pakhangba</t>
  </si>
  <si>
    <t>Thang-Ta reached its zenith during the reign of which Manipuri ruler?</t>
  </si>
  <si>
    <t>A) Maharaja Bhagyachandra, B) King Gambhir Singh, C) King Churachand, D) King Marjit Singh</t>
  </si>
  <si>
    <t>Which type of training was emphasized more in Thang-Ta during ancient times?</t>
  </si>
  <si>
    <t>A) Mental discipline, B) Physical strength, C) Weapon skills, D) Dance movements</t>
  </si>
  <si>
    <t>C) Weapon skills</t>
  </si>
  <si>
    <t>Thang-Ta training was traditionally linked to which ancient Manipuri religious practice?</t>
  </si>
  <si>
    <t>A) Hinduism, B) Sanamahism, C) Buddhism, D) Jainism</t>
  </si>
  <si>
    <t>B) Sanamahism</t>
  </si>
  <si>
    <t>Which weapon was most often used by Thang-Ta warriors during medieval Manipuri warfare?</t>
  </si>
  <si>
    <t>A) Bow and arrow, B) Sword and spear, C) Mace, D) Axe</t>
  </si>
  <si>
    <t>B) Sword and spear</t>
  </si>
  <si>
    <t>In traditional Thang-Ta, what was the primary focus of combat training?</t>
  </si>
  <si>
    <t>A) Offensive techniques, B) Defensive techniques, C) Balanced techniques, D) Ritualistic combat</t>
  </si>
  <si>
    <t>C) Balanced techniques</t>
  </si>
  <si>
    <t>During which period was Thang-Ta suppressed due to colonial influence?</t>
  </si>
  <si>
    <t>A) Pre-colonial period, B) British colonial period, C) Post-independence period, D) Mughals</t>
  </si>
  <si>
    <t>Thang-Ta played a significant role in which historical event in Manipur?</t>
  </si>
  <si>
    <t>A) The Anglo-Manipur War, B) Manipur's integration with India, C) Burmese invasions, D) Indian independence struggle</t>
  </si>
  <si>
    <t>A) The Anglo-Manipur War</t>
  </si>
  <si>
    <t>Who among the following kings utilized Thang-Ta techniques to defend Manipur against invaders?</t>
  </si>
  <si>
    <t>A) King Gambhir Singh, B) King Bhagyachandra, C) King Marjit Singh, D) King Khagemba</t>
  </si>
  <si>
    <t>A) King Gambhir Singh</t>
  </si>
  <si>
    <t>Which Manipuri king is credited with integrating Thang-Ta into royal training programs?</t>
  </si>
  <si>
    <t>A) Maharaja Chandrakirti, B) Maharaja Bhagyachandra, C) Maharaja Garibniwaz, D) Maharaja Khagemba</t>
  </si>
  <si>
    <t>B) Maharaja Bhagyachandra</t>
  </si>
  <si>
    <t>During the pre-colonial era, Thang-Ta was taught primarily for which purpose?</t>
  </si>
  <si>
    <t>A) Entertainment, B) Spiritual growth, C) War preparation, D) Diplomacy</t>
  </si>
  <si>
    <t>C) War preparation</t>
  </si>
  <si>
    <t>Which Manipuri community was known to specialize in the practice of Thang-Ta?</t>
  </si>
  <si>
    <t>A) Meitei, B) Naga, C) Kuki, D) Tangkhul</t>
  </si>
  <si>
    <t>A) Meitei</t>
  </si>
  <si>
    <t>Thang-Ta was historically used in combination with which form of defense?</t>
  </si>
  <si>
    <t>A) Shields, B) Armor, C) Magic spells, D) Stealth</t>
  </si>
  <si>
    <t>A) Shields</t>
  </si>
  <si>
    <t>The art of Thang-Ta was passed down through which method in ancient times?</t>
  </si>
  <si>
    <t>A) Written manuscripts, B) Temple schools, C) Oral tradition, D) Trade guilds</t>
  </si>
  <si>
    <t>Which Manipuri festival often showcased Thang-Ta as a form of martial entertainment?</t>
  </si>
  <si>
    <t>A) Yaoshang, B) Cheiraoba, C) Heikru Hidongba, D) Lai Haraoba</t>
  </si>
  <si>
    <t>Which Manipuri term refers to the 'sword' in Thang-Ta?</t>
  </si>
  <si>
    <t>A) Langlon, B) Sarit, C) Thang, D) Sarong</t>
  </si>
  <si>
    <t>C) Thang</t>
  </si>
  <si>
    <t>Which Manipuri term refers to the 'spear' in Thang-Ta?</t>
  </si>
  <si>
    <t>A) Ta, B) Sarit, C) Langlon, D) Shastra</t>
  </si>
  <si>
    <t>A) Ta</t>
  </si>
  <si>
    <t>Thang-Ta practitioners in ancient Manipur believed in the harmony of which elements?</t>
  </si>
  <si>
    <t>A) Earth and water, B) Body and mind, C) Sword and shield, D) Light and darkness</t>
  </si>
  <si>
    <t>B) Body and mind</t>
  </si>
  <si>
    <t>Which Manipuri king introduced formal training academies for Thang-Ta in royal courts?</t>
  </si>
  <si>
    <t>A) Maharaja Churachand Singh, B) Maharaja Garibniwaz, C) Maharaja Bhagyachandra, D) Maharaja Khagemba</t>
  </si>
  <si>
    <t>C) Maharaja Bhagyachandra</t>
  </si>
  <si>
    <t>The British colonial administration banned Thang-Ta for which reason?</t>
  </si>
  <si>
    <t>A) It was seen as a threat to their rule, B) It was too dangerous, C) It was linked to rebellion, D) It was a spiritual practice</t>
  </si>
  <si>
    <t>A) It was seen as a threat to their rule</t>
  </si>
  <si>
    <t>Which aspect of Thang-Ta emphasized mental discipline and self-control?</t>
  </si>
  <si>
    <t>A) Swordsmanship, B) Meditation, C) Footwork, D) Defensive techniques</t>
  </si>
  <si>
    <t>Thang-Ta training traditionally started at what age in ancient Manipuri society?</t>
  </si>
  <si>
    <t>A) 5 years, B) 10 years, C) 15 years, D) 20 years</t>
  </si>
  <si>
    <t>B) 10 years</t>
  </si>
  <si>
    <t>Which ruler of Manipur is credited with revitalizing Thang-Ta during the 19th century?</t>
  </si>
  <si>
    <t>A) Maharaja Gambhir Singh, B) Maharaja Chandrakirti, C) Maharaja Marjit Singh, D) Maharaja Bhagyachandra</t>
  </si>
  <si>
    <t>Which Manipuri cultural revival movement in the 20th century led to a resurgence of Thang-Ta?</t>
  </si>
  <si>
    <t>A) Manipuri Dance Revival, B) National Independence Movement, C) Indian Martial Arts Revival, D) Manipuri Martial Arts Renaissance</t>
  </si>
  <si>
    <t>C) Indian Martial Arts Revival</t>
  </si>
  <si>
    <t>Thang-Ta is historically connected to which Manipuri religious festival?</t>
  </si>
  <si>
    <t>A) Yaoshang, B) Lai Haraoba, C) Ningol Chakouba, D) Cheiraoba</t>
  </si>
  <si>
    <t>B) Lai Haraoba</t>
  </si>
  <si>
    <t>The term 'Huyen Langlon' in Thang-Ta refers to what aspect?</t>
  </si>
  <si>
    <t>A) Sword techniques, B) Defensive moves, C) Complete martial system, D) Meditation practices</t>
  </si>
  <si>
    <t>C) Complete martial system</t>
  </si>
  <si>
    <t>What was the primary reason Thang-Ta remained preserved during British colonial rule?</t>
  </si>
  <si>
    <t>A) Secret practice, B) Inclusion in folk performances, C) Royal patronage, D) Resistance movements</t>
  </si>
  <si>
    <t>B) Inclusion in folk performances</t>
  </si>
  <si>
    <t>Thang-Ta incorporates which philosophical belief from Manipuri culture?</t>
  </si>
  <si>
    <t>A) The balance of opposites, B) The power of nature, C) Divine protection, D) Warrior spirit</t>
  </si>
  <si>
    <t>A) The balance of opposites</t>
  </si>
  <si>
    <t>Which Manipuri leader was known for promoting Thang-Ta during the 1940s?</t>
  </si>
  <si>
    <t>A) Maharaja Bodhchandra, B) Maharaja Chandrakirti, C) Maharaja Churachand, D) Maharaja Gambhir Singh</t>
  </si>
  <si>
    <t>A) Maharaja Bodhchandra</t>
  </si>
  <si>
    <t>Which war marked the last major conflict where Thang-Ta was used in battle?</t>
  </si>
  <si>
    <t>A) The Anglo-Manipur War, B) The Battle of Imphal, C) Burmese invasions, D) Anglo-Burmese Wars</t>
  </si>
  <si>
    <t>Thang-Ta evolved alongside which other Manipuri martial art form?</t>
  </si>
  <si>
    <t>A) Mukna, B) Cheibi Gad-Ga, C) Sarit-Sarak, D) Kalari</t>
  </si>
  <si>
    <t>C) Sarit-Sarak</t>
  </si>
  <si>
    <t>Thang-Ta became integrated into Manipuri religious rites as a symbol of what?</t>
  </si>
  <si>
    <t>A) Strength and protection, B) Divinity and wisdom, C) Peace and prosperity, D) Purity and justice</t>
  </si>
  <si>
    <t>A) Strength and protection</t>
  </si>
  <si>
    <t>Which European country took a particular interest in Thang-Ta during the 19th century?</t>
  </si>
  <si>
    <t>A) France, B) England, C) Germany, D) Italy</t>
  </si>
  <si>
    <t>B) England</t>
  </si>
  <si>
    <t>Which Manipuri martial art is most similar in style and history to Thang-Ta?</t>
  </si>
  <si>
    <t>A) Mukna, B) Sarit-Sarak, C) Kalari, D) Silambam</t>
  </si>
  <si>
    <t>B) Sarit-Sarak</t>
  </si>
  <si>
    <t>Which 19th-century Manipuri king is said to have been highly skilled in Thang-Ta?</t>
  </si>
  <si>
    <t>A) Maharaja Gambhir Singh, B) Maharaja Bhagyachandra, C) Maharaja Chandrakirti, D) Maharaja Bodhchandra</t>
  </si>
  <si>
    <t>C) Maharaja Chandrakirti</t>
  </si>
  <si>
    <t>The training of Thang-Ta in ancient Manipur was restricted to which social class?</t>
  </si>
  <si>
    <t>A) Farmers, B) Warriors and royalty, C) Priests, D) Merchants</t>
  </si>
  <si>
    <t>B) Warriors and royalty</t>
  </si>
  <si>
    <t>Which Manipuri religious belief is closely tied to the spiritual aspects of Thang-Ta?</t>
  </si>
  <si>
    <t>A) Hinduism, B) Sanamahism, C) Buddhism, D) Animism</t>
  </si>
  <si>
    <t>The resurgence of Thang-Ta in modern times is attributed to efforts by which individual?</t>
  </si>
  <si>
    <t>A) Gurumayum Gourakishore Sharma, B) Maharaja Gambhir Singh, C) Maharaja Churachand, D) Maharani Tamphasana</t>
  </si>
  <si>
    <t>A) Gurumayum Gourakishore Sharma</t>
  </si>
  <si>
    <t>Which ancient Manipuri text offers insights into the principles and techniques of Thang-Ta?</t>
  </si>
  <si>
    <t>A) Cheitharol Kumbaba, B) Ningthourol Lambuba, C) Puya, D) Sarit-Sarak Manuscript</t>
  </si>
  <si>
    <t>Thang-Ta is historically part of which broader Manipuri martial arts system?</t>
  </si>
  <si>
    <t>A) Sarit-Sarak, B) Huyen Langlon, C) Mukna, D) Cheibi Gad-Ga</t>
  </si>
  <si>
    <t>B) Huyen Langlon</t>
  </si>
  <si>
    <t>During which period was Thang-Ta used to train Manipuri soldiers for warfare?</t>
  </si>
  <si>
    <t>A) Ancient period, B) Medieval period, C) British colonial period, D) Post-independence period</t>
  </si>
  <si>
    <t>Which ancient Manipuri community was responsible for maintaining the tradition of Thang-Ta?</t>
  </si>
  <si>
    <t>A) Naga, B) Meitei, C) Kuki, D) Pangal</t>
  </si>
  <si>
    <t>In Thang-Ta, the 'Thang' refers to what type of weapon?</t>
  </si>
  <si>
    <t>Thang-Ta was initially developed as a means of survival against which historical threat?</t>
  </si>
  <si>
    <t>A) Wild animals, B) Rival tribes, C) Burmese invasions, D) British colonial forces</t>
  </si>
  <si>
    <t>C) Burmese invasions</t>
  </si>
  <si>
    <t>The system of Thang-Ta includes which of the following non-weapon practices?</t>
  </si>
  <si>
    <t>A) Wrestling, B) Spiritual meditation, C) Herbal medicine, D) Archery</t>
  </si>
  <si>
    <t>B) Spiritual meditation</t>
  </si>
  <si>
    <t>Which Manipuri king is remembered for integrating Thang-Ta into royal military training?</t>
  </si>
  <si>
    <t>A) Maharaja Gambhir Singh, B) Maharaja Marjit Singh, C) Maharaja Bhagyachandra, D) Maharaja Chandrakirti</t>
  </si>
  <si>
    <t>In ancient Manipur, Thang-Ta was also used for which of the following purposes besides combat?</t>
  </si>
  <si>
    <t>A) Agricultural activities, B) Entertainment and festivals, C) Maritime navigation, D) Religious ceremonies</t>
  </si>
  <si>
    <t>D) Religious ceremonies</t>
  </si>
  <si>
    <t>Which Manipuri cultural text mentions techniques related to Thang-Ta?</t>
  </si>
  <si>
    <t>A) Puya, B) Ningthourol Lambuba, C) Cheitharol Kumbaba, D) Thirubomba</t>
  </si>
  <si>
    <t>A) Puya</t>
  </si>
  <si>
    <t>The use of Thang-Ta in historical battles peaked during the reign of which Manipuri ruler?</t>
  </si>
  <si>
    <t>A) Maharaja Khagemba, B) Maharaja Bhagyachandra, C) Maharaja Chandrakirti, D) Maharaja Gambhir Singh</t>
  </si>
  <si>
    <t>Thang-Ta was restricted during the British colonial rule for what reason?</t>
  </si>
  <si>
    <t>A) Seen as a cultural threat, B) Linked to rebellion, C) Due to its religious significance, D) High mortality rate in practice</t>
  </si>
  <si>
    <t>B) Linked to rebellion</t>
  </si>
  <si>
    <t>Thang-Ta training traditionally started at what age for Manipuri boys?</t>
  </si>
  <si>
    <t>A) 7, B) 10, C) 12, D) 15</t>
  </si>
  <si>
    <t>B) 10</t>
  </si>
  <si>
    <t>Thang-Ta played a key role during which conflict in Manipur's history?</t>
  </si>
  <si>
    <t>A) Anglo-Manipur War, B) Indo-Burmese War, C) Indo-China War, D) Manipur Rebellion</t>
  </si>
  <si>
    <t>Which Manipuri festival showcased Thang-Ta performances as part of its cultural heritage?</t>
  </si>
  <si>
    <t>A) Lai Haraoba, B) Ningol Chakouba, C) Yaoshang, D) Cheiraoba</t>
  </si>
  <si>
    <t>The martial art of Thang-Ta is based on the principles of balance between which two elements?</t>
  </si>
  <si>
    <t>A) Water and fire, B) Sword and spear, C) Body and mind, D) Strength and speed</t>
  </si>
  <si>
    <t>C) Body and mind</t>
  </si>
  <si>
    <t>The resurgence of Thang-Ta in modern times is credited to whom?</t>
  </si>
  <si>
    <t>A) Gurumayum Gourakishore Sharma, B) Maharaja Gambhir Singh, C) Maharaja Bodhchandra Singh, D) Maharaja Bhagyachandra</t>
  </si>
  <si>
    <t>Which Manipuri clan historically preserved the knowledge and practice of Thang-Ta?</t>
  </si>
  <si>
    <t>A) Ningthouja, B) Angom, C) Khuman, D) Moirang</t>
  </si>
  <si>
    <t>A) Ningthouja</t>
  </si>
  <si>
    <t>Which historical Manipuri text is believed to contain instructions related to Thang-Ta training?</t>
  </si>
  <si>
    <t>A) Puya, B) Ningthourol Lambuba, C) Kangleirol, D) Cheitharol Kumbaba</t>
  </si>
  <si>
    <t>The British colonizers banned the practice of Thang-Ta primarily due to its association with:</t>
  </si>
  <si>
    <t>A) Anti-colonial resistance, B) Religious ceremonies, C) Royal rituals, D) Local festivals</t>
  </si>
  <si>
    <t>A) Anti-colonial resistance</t>
  </si>
  <si>
    <t>Which Manipuri war leader is known for using Thang-Ta in guerrilla warfare?</t>
  </si>
  <si>
    <t>A) Maharaja Gambhir Singh, B) Paona Brajabashi, C) King Marjit Singh, D) Maharaja Bhagyachandra</t>
  </si>
  <si>
    <t>B) Paona Brajabashi</t>
  </si>
  <si>
    <t>Which king of Manipur is known to have excelled in the art of Thang-Ta?</t>
  </si>
  <si>
    <t>A) Maharaja Chandrakirti, B) Maharaja Gambhir Singh, C) Maharaja Marjit Singh, D) Maharaja Bodhchandra</t>
  </si>
  <si>
    <t>A) Maharaja Chandrakirti</t>
  </si>
  <si>
    <t>The Manipuri martial art of Thang-Ta emphasizes the use of both weapons and:</t>
  </si>
  <si>
    <t>A) Shields, B) Meditation, C) Physical agility, D) Barehand techniques</t>
  </si>
  <si>
    <t>D) Barehand techniques</t>
  </si>
  <si>
    <t>Which warrior leader of Manipur is known for his expertise in both Thang-Ta and politics?</t>
  </si>
  <si>
    <t>A) Maharaja Bhagyachandra, B) Maharaja Chandrakirti, C) Paona Brajabashi, D) Maharaja Gambhir Singh</t>
  </si>
  <si>
    <t>C) Paona Brajabashi</t>
  </si>
  <si>
    <t>The revival of Thang-Ta in the 20th century was primarily driven by:</t>
  </si>
  <si>
    <t>A) Martial artists, B) Religious leaders, C) Cultural reformers, D) Government officials</t>
  </si>
  <si>
    <t>C) Cultural reformers</t>
  </si>
  <si>
    <t>Thang-Ta practices were included in royal military training during which king’s reign?</t>
  </si>
  <si>
    <t>A) Maharaja Khagemba, B) Maharaja Gambhir Singh, C) Maharaja Bhagyachandra, D) Maharaja Chandrakirti</t>
  </si>
  <si>
    <t>Which historical event led to a decline in the practice of Thang-Ta in the 19th century?</t>
  </si>
  <si>
    <t>A) Anglo-Manipur War, B) British colonization, C) Burmese invasions, D) Integration with India</t>
  </si>
  <si>
    <t>B) British colonization</t>
  </si>
  <si>
    <t>Which Manipuri martial art form is most closely related to Thang-Ta?</t>
  </si>
  <si>
    <t>Thang-Ta training was once mandatory for which social class in ancient Manipur?</t>
  </si>
  <si>
    <t>A) Priests, B) Farmers, C) Nobility and warriors, D) Merchants</t>
  </si>
  <si>
    <t>C) Nobility and warriors</t>
  </si>
  <si>
    <t>The practice of Thang-Ta includes which type of traditional meditation?</t>
  </si>
  <si>
    <t>A) Yoga, B) Tantric, C) Breathing exercises, D) Shamanic rituals</t>
  </si>
  <si>
    <t>C) Breathing exercises</t>
  </si>
  <si>
    <t>During the reign of which king was Thang-Ta institutionalized as a royal military practice?</t>
  </si>
  <si>
    <t>A) Maharaja Gambhir Singh, B) Maharaja Bhagyachandra, C) Maharaja Chandrakirti, D) Maharaja Marjit Singh</t>
  </si>
  <si>
    <t>The inclusion of Thang-Ta in Manipuri festivals symbolizes what aspect of the culture?</t>
  </si>
  <si>
    <t>A) Warrior spirit, B) Agriculture, C) Religious devotion, D) Social harmony</t>
  </si>
  <si>
    <t>A) Warrior spirit</t>
  </si>
  <si>
    <t>Which contemporary of Maharaja Gambhir Singh was also known for his skills in Thang-Ta?</t>
  </si>
  <si>
    <t>A) Paona Brajabashi, B) King Marjit Singh, C) Maharaja Chandrakirti, D) King Khagemba</t>
  </si>
  <si>
    <t>A) Paona Brajabashi</t>
  </si>
  <si>
    <t>Which ancient Manipuri society primarily practiced Thang-Ta?</t>
  </si>
  <si>
    <t>A) Khuman, B) Angom, C) Ningthouja, D) Moirang</t>
  </si>
  <si>
    <t>C) Ningthouja</t>
  </si>
  <si>
    <t>Which colonial authority attempted to suppress the practice of Thang-Ta in Manipur?</t>
  </si>
  <si>
    <t>A) French, B) Dutch, C) British, D) Portuguese</t>
  </si>
  <si>
    <t>The influence of Thang-Ta extended to which neighboring kingdom's military training?</t>
  </si>
  <si>
    <t>A) Tripura, B) Assam, C) Burma, D) Meghalaya</t>
  </si>
  <si>
    <t>Which Indian state is credited with the preservation and revival of Thang-Ta in modern times?</t>
  </si>
  <si>
    <t>A) Manipur, B) Assam, C) Tripura, D) Nagaland</t>
  </si>
  <si>
    <t>Thang-Ta is associated with which ancient Manipuri belief system?</t>
  </si>
  <si>
    <t>Which Manipuri epic details the warrior culture that Thang-Ta originated from?</t>
  </si>
  <si>
    <t>A) Khamba Thoibi, B) Puyas, C) Ningthourol Lambuba, D) Thirubomba</t>
  </si>
  <si>
    <t>A) Khamba Thoibi</t>
  </si>
  <si>
    <t>The practice of Thang-Ta was passed down through which traditional system in Manipur?</t>
  </si>
  <si>
    <t>A) Guru-disciple tradition, B) Military schools, C) Village councils, D) Royal decrees</t>
  </si>
  <si>
    <t>A) Guru-disciple tradition</t>
  </si>
  <si>
    <t>The use of Thang-Ta in Manipuri royal courts was symbolically associated with:</t>
  </si>
  <si>
    <t>A) Justice and protection, B) Military power, C) Religious authority, D) Social control</t>
  </si>
  <si>
    <t>A) Justice and protection</t>
  </si>
  <si>
    <t>Thang-Ta training includes movements mimicking which natural elements?</t>
  </si>
  <si>
    <t>A) Fire and water, B) Earth and air, C) Sun and moon, D) Lightning and wind</t>
  </si>
  <si>
    <t>C) Sun and moon</t>
  </si>
  <si>
    <t>Which ancient Manipuri event was known for featuring Thang-Ta demonstrations?</t>
  </si>
  <si>
    <t>A) Khongjom Day, B) Ningol Chakouba, C) Lai Haraoba, D) Sangai Festival</t>
  </si>
  <si>
    <t>Which Manipuri king's rule saw the peak of Thang-Ta as a key part of state defense?</t>
  </si>
  <si>
    <t>Which of the following is considered a primary weapon used in Thang-Ta?</t>
  </si>
  <si>
    <t>A) Dagger, B) Sword, C) Spear, D) Bow</t>
  </si>
  <si>
    <t>The practice of Thang-Ta was most prevalent during which historical period in Manipur?</t>
  </si>
  <si>
    <t>A) Pre-colonial, B) Colonial, C) Post-independence, D) Ancient</t>
  </si>
  <si>
    <t>A) Pre-colonial</t>
  </si>
  <si>
    <t>Which Manipur festival features traditional Thang-Ta performances as part of its celebrations?</t>
  </si>
  <si>
    <t>A) Yaoshang, B) Ningol Chakouba, C) Lai Haraoba, D) Cheiraoba</t>
  </si>
  <si>
    <t>The knowledge of Thang-Ta was traditionally transmitted through which method?</t>
  </si>
  <si>
    <t>A) Written texts, B) Oral tradition, C) Public demonstrations, D) Government decrees</t>
  </si>
  <si>
    <t>Which Manipuri king is renowned for his role in the revival of Thang-Ta?</t>
  </si>
  <si>
    <t>A) Maharaja Chandrakirti, B) Maharaja Gambhir Singh, C) Maharaja Bhagyachandra, D) Maharaja Marjit Singh</t>
  </si>
  <si>
    <t>Thang-Ta was historically taught to individuals from which Manipuri social class?</t>
  </si>
  <si>
    <t>A) Peasants, B) Nobles, C) Artisans, D) Priests</t>
  </si>
  <si>
    <t>B) Nobles</t>
  </si>
  <si>
    <t>In which conflict was Thang-Ta used to defend Manipur from external invasions?</t>
  </si>
  <si>
    <t>A) Burmese invasions, B) Anglo-Manipur War, C) Indo-China War, D) Indo-Pakistan War</t>
  </si>
  <si>
    <t>B) Anglo-Manipur War</t>
  </si>
  <si>
    <t>Which ancient text is a key source of information about the techniques and principles of Thang-Ta?</t>
  </si>
  <si>
    <t>A) Puya, B) Cheitharol Kumbaba, C) Ningthourol Lambuba, D) Thirubomba</t>
  </si>
  <si>
    <t>Thang-Ta training traditionally included practice with which other Manipuri martial art?</t>
  </si>
  <si>
    <t>The suppression of Thang-Ta during the British colonial era was primarily due to its association with:</t>
  </si>
  <si>
    <t>A) Religious practices, B) Royal rituals, C) Anti-colonial resistance, D) Festivals</t>
  </si>
  <si>
    <t>C) Anti-colonial resistance</t>
  </si>
  <si>
    <t>Which historical event significantly impacted the practice of Thang-Ta in Manipur?</t>
  </si>
  <si>
    <t>A) The annexation by the British, B) The Treaty of Yandabo, C) The Indo-Pakistan War, D) The Burmese invasions</t>
  </si>
  <si>
    <t>B) The Treaty of Yandabo</t>
  </si>
  <si>
    <t>Thang-Ta was traditionally performed as part of which type of Manipuri ceremony?</t>
  </si>
  <si>
    <t>A) Royal coronation, B) Harvest festivals, C) Religious rites, D) Marriage ceremonies</t>
  </si>
  <si>
    <t>C) Religious rites</t>
  </si>
  <si>
    <t>Which Manipuri warrior is famous for his use of Thang-Ta in guerilla warfare?</t>
  </si>
  <si>
    <t>A) Paona Brajabashi, B) Maharaja Bhagyachandra, C) Maharaja Marjit Singh, D) Maharaja Chandrakirti</t>
  </si>
  <si>
    <t>Thang-Ta's techniques were influenced by which of the following historical factors?</t>
  </si>
  <si>
    <t>A) Regional trade routes, B) Colonialism, C) Religious beliefs, D) Inter-tribal conflicts</t>
  </si>
  <si>
    <t>D) Inter-tribal conflicts</t>
  </si>
  <si>
    <t>The revival of Thang-Ta in the 20th century was due to efforts by which person?</t>
  </si>
  <si>
    <t>A) Gurumayum Gourakishore Sharma, B) Maharaja Gambhir Singh, C) Maharaja Chandrakirti, D) Maharaja Bhagyachandra</t>
  </si>
  <si>
    <t>The primary focus of Thang-Ta training is on:</t>
  </si>
  <si>
    <t>A) Physical fitness, B) Combat skills, C) Rituals and ceremonies, D) Artistic expression</t>
  </si>
  <si>
    <t>B) Combat skills</t>
  </si>
  <si>
    <t>Which Manipuri text describes the history and philosophy of Thang-Ta?</t>
  </si>
  <si>
    <t>A) Puya, B) Ningthourol Lambuba, C) Cheitharol Kumbaba, D) Kangleirol</t>
  </si>
  <si>
    <t>The practice of Thang-Ta includes elements of which type of traditional Manipuri art?</t>
  </si>
  <si>
    <t>A) Dance, B) Music, C) Drama, D) Sculpture</t>
  </si>
  <si>
    <t>The training and practice of Thang-Ta traditionally took place in:</t>
  </si>
  <si>
    <t>A) Royal courts, B) Monasteries, C) Village squares, D) Forests</t>
  </si>
  <si>
    <t>Which event in the 19th century significantly affected the traditional practice of Thang-Ta?</t>
  </si>
  <si>
    <t>A) British annexation, B) Burmese invasion, C) The opening of trade routes, D) The introduction of Western education</t>
  </si>
  <si>
    <t>A) British annexation</t>
  </si>
  <si>
    <t>Thang-Ta was historically used in Manipur for which of the following?</t>
  </si>
  <si>
    <t>A) Royal court ceremonies, B) Battle training, C) Religious rituals, D) Social gatherings</t>
  </si>
  <si>
    <t>B) Battle training</t>
  </si>
  <si>
    <t>Which Manipuri king's reign marked the decline of Thang-Ta due to colonial restrictions?</t>
  </si>
  <si>
    <t>Which group of people were traditionally responsible for teaching Thang-Ta?</t>
  </si>
  <si>
    <t>A) Priests, B) Warriors, C) Artists, D) Scholars</t>
  </si>
  <si>
    <t>The use of Thang-Ta in Manipur was closely associated with which aspect of life?</t>
  </si>
  <si>
    <t>A) Military defense, B) Trade, C) Art, D) Agriculture</t>
  </si>
  <si>
    <t>A) Military defense</t>
  </si>
  <si>
    <t>Which traditional Manipuri celebration includes Thang-Ta demonstrations?</t>
  </si>
  <si>
    <t>Which Manipuri royal leader promoted Thang-Ta during his reign?</t>
  </si>
  <si>
    <t>A) Maharaja Khagemba, B) Maharaja Gambhir Singh, C) Maharaja Marjit Singh, D) Maharaja Chandrakirti</t>
  </si>
  <si>
    <t>The revival of Thang-Ta in modern times is attributed to which individual?</t>
  </si>
  <si>
    <t>Which historical document is a significant source for Thang-Ta techniques?</t>
  </si>
  <si>
    <t>A) Puya, B) Cheitharol Kumbaba, C) Ningthourol Lambuba, D) Kangleirol</t>
  </si>
  <si>
    <t>The practice of Thang-Ta historically included which type of spiritual practice?</t>
  </si>
  <si>
    <t>A) Ritual dance, B) Meditation, C) Chanting, D) Offerings</t>
  </si>
  <si>
    <t>Which Manipuri king's reign saw the integration of Thang-Ta into state defense?</t>
  </si>
  <si>
    <t>Which conflict led to the suppression of Thang-Ta in Manipur?</t>
  </si>
  <si>
    <t>A) Burmese invasions, B) Anglo-Manipur War, C) First Opium War, D) Second Opium War</t>
  </si>
  <si>
    <t>Which Manipuri epic chronicles the martial arts history including Thang-Ta?</t>
  </si>
  <si>
    <t>B) Puyas</t>
  </si>
  <si>
    <t>Thang-Ta's history reflects the influence of which ancient cultural tradition?</t>
  </si>
  <si>
    <t>A) Vedic, B) Buddhist, C) Sanamahi, D) Jain</t>
  </si>
  <si>
    <t>C) Sanamahi</t>
  </si>
  <si>
    <t>The traditional teaching of Thang-Ta often took place in which setting?</t>
  </si>
  <si>
    <t>A) Forests, B) Royal palaces, C) Community centers, D) Temples</t>
  </si>
  <si>
    <t>A) Forests</t>
  </si>
  <si>
    <t>Thang-Ta was integrated into which aspect of Manipuri royal culture?</t>
  </si>
  <si>
    <t>A) Ceremonial dances, B) Court rituals, C) Military training, D) Religious observances</t>
  </si>
  <si>
    <t>The decline of Thang-Ta during colonial rule was due to its association with which aspect of Manipuri life?</t>
  </si>
  <si>
    <t>A) Traditional arts, B) Royal power, C) Anti-colonial resistance, D) Agricultural practices</t>
  </si>
  <si>
    <t>Which historical figure played a key role in preserving Thang-Ta traditions during the colonial era?</t>
  </si>
  <si>
    <t>Which Manipuri king was instrumental in the promotion of Thang-Ta as a part of cultural revival?</t>
  </si>
  <si>
    <t>A) Maharaja Gambhir Singh, B) Maharaja Khagemba, C) Maharaja Marjit Singh, D) Maharaja Chandrakirti</t>
  </si>
  <si>
    <t>Thang-Ta is primarily practiced in which region of India?</t>
  </si>
  <si>
    <t>A) Assam, B) Nagaland, C) Manipur, D) Mizoram</t>
  </si>
  <si>
    <t>C) Manipur</t>
  </si>
  <si>
    <t>Which royal event in Manipur was known for featuring Thang-Ta performances?</t>
  </si>
  <si>
    <t>A) Coronation ceremonies, B) Harvest festivals, C) Marriage celebrations, D) Religious rites</t>
  </si>
  <si>
    <t>A) Coronation ceremonies</t>
  </si>
  <si>
    <t>Which ancient Manipuri text describes the techniques of Thang-Ta?</t>
  </si>
  <si>
    <t>A) Ningthourol Lambuba, B) Puyas, C) Cheitharol Kumbaba, D) Thirubomba</t>
  </si>
  <si>
    <t>A) Ningthourol Lambuba</t>
  </si>
  <si>
    <t>The practice of Thang-Ta includes the use of which traditional weapon?</t>
  </si>
  <si>
    <t>A) Spear, B) Bow, C) Dagger, D) Sword</t>
  </si>
  <si>
    <t>D) Sword</t>
  </si>
  <si>
    <t>Which Manipur festival is most closely associated with Thang-Ta performances?</t>
  </si>
  <si>
    <t>The practice of Thang-Ta is linked with which historical figure's reign?</t>
  </si>
  <si>
    <t>A) Maharaja Bhagyachandra, B) Maharaja Gambhir Singh, C) Maharaja Chandrakirti, D) Maharaja Marjit Singh</t>
  </si>
  <si>
    <t>Which British policy affected the practice of Thang-Ta in Manipur?</t>
  </si>
  <si>
    <t>A) Educational reforms, B) Land acquisition, C) Cultural suppression, D) Trade restrictions</t>
  </si>
  <si>
    <t>C) Cultural suppression</t>
  </si>
  <si>
    <t>Which historical period saw the revival of Thang-Ta in Manipur?</t>
  </si>
  <si>
    <t>A) Post-independence, B) Colonial, C) Medieval, D) Ancient</t>
  </si>
  <si>
    <t>A) Post-independence</t>
  </si>
  <si>
    <t>Thang-Ta training often involved practice in which setting?</t>
  </si>
  <si>
    <t>A) Village centers, B) Royal courts, C) Temples, D) Private homes</t>
  </si>
  <si>
    <t>A) Village centers</t>
  </si>
  <si>
    <t>The historical decline of Thang-Ta was due to its association with which type of resistance?</t>
  </si>
  <si>
    <t>A) Cultural, B) Political, C) Economic, D) Military</t>
  </si>
  <si>
    <t>D) Military</t>
  </si>
  <si>
    <t>Which Manipuri text provides detailed descriptions of Thang-Ta techniques?</t>
  </si>
  <si>
    <t>Which Manipuri king is known for his efforts to preserve Thang-Ta during the colonial period?</t>
  </si>
  <si>
    <t>Thang-Ta's history reflects influences from which type of Manipuri tradition?</t>
  </si>
  <si>
    <t>A) Hinduism, B) Sanamahi, C) Buddhism, D) Jainism</t>
  </si>
  <si>
    <t>B) Sanamahi</t>
  </si>
  <si>
    <t>The integration of Thang-Ta into royal rituals was most prominent during whose reign?</t>
  </si>
  <si>
    <t>A) Maharaja Khagemba, B) Maharaja Gambhir Singh, C) Maharaja Chandrakirti, D) Maharaja Bhagyachandra</t>
  </si>
  <si>
    <t>Which of the following periods saw a decline in Thang-Ta practice due to colonial policies?</t>
  </si>
  <si>
    <t>A) Pre-colonial, B) Colonial, C) Post-independence, D) Medieval</t>
  </si>
  <si>
    <t>B) Colonial</t>
  </si>
  <si>
    <t>Which Manipuri festival includes Thang-Ta as part of its traditional performances?</t>
  </si>
  <si>
    <t>Which traditional Manipuri dance form is often combined with Thang-Ta in performances?</t>
  </si>
  <si>
    <t>A) Ras Leela, B) Manipuri Raas, C) Lai Haraoba, D) Nongkrem</t>
  </si>
  <si>
    <t>Which historical conflict led to the suppression of Thang-Ta practice in Manipur?</t>
  </si>
  <si>
    <t>Which historical document provides insights into the philosophical aspects of Thang-Ta?</t>
  </si>
  <si>
    <t>Thang-Ta training was traditionally supervised by which group in Manipur?</t>
  </si>
  <si>
    <t>A) Priests, B) Warriors, C) Scholars, D) Artisans</t>
  </si>
  <si>
    <t>Which Manipuri king is associated with the promotion and integration of Thang-Ta into state defense?</t>
  </si>
  <si>
    <t>The historical significance of Thang-Ta includes its role in which aspect of Manipuri culture?</t>
  </si>
  <si>
    <t>A) Rituals, B) Art, C) Music, D) Trade</t>
  </si>
  <si>
    <t>A) Rituals</t>
  </si>
  <si>
    <t>Which Manipuri king's reign marked a resurgence in the practice of Thang-Ta?</t>
  </si>
  <si>
    <t>The traditional practice of Thang-Ta was influenced by which external historical event?</t>
  </si>
  <si>
    <t>A) The Burmese invasions, B) The British annexation, C) The Opium Wars, D) The Chinese invasions</t>
  </si>
  <si>
    <t>B) The British annexation</t>
  </si>
  <si>
    <t>Which document is crucial for understanding the martial techniques of Thang-Ta?</t>
  </si>
  <si>
    <t>Thang-Ta was historically linked with which type of Manipuri festivals?</t>
  </si>
  <si>
    <t>A) Religious, B) Harvest, C) Royal, D) Cultural</t>
  </si>
  <si>
    <t>A) Religious</t>
  </si>
  <si>
    <t>Which Manipuri epic contains references to the martial art of Thang-Ta?</t>
  </si>
  <si>
    <t>The preservation of Thang-Ta during colonial times was largely due to efforts by which person?</t>
  </si>
  <si>
    <t>Which Manipuri king's reign saw the decline in the practice of Thang-Ta due to external pressures?</t>
  </si>
  <si>
    <t>A) Maharaja Chandrakirti, B) Maharaja Bhagyachandra, C) Maharaja Marjit Singh, D) Maharaja Gambhir Singh</t>
  </si>
  <si>
    <t>Thang-Ta's history is associated with which type of traditional Manipuri art?</t>
  </si>
  <si>
    <t>A) Martial arts, B) Dance, C) Music, D) Sculpture</t>
  </si>
  <si>
    <t>A) Martial arts</t>
  </si>
  <si>
    <t>The traditional practice of Thang-Ta includes the use of which weapons?</t>
  </si>
  <si>
    <t>A) Swords, B) Bows, C) Spears, D) All of the above</t>
  </si>
  <si>
    <t>Which Manipuri king is known for his role in the cultural renaissance that included Thang-Ta?</t>
  </si>
  <si>
    <t>Thang-Ta was traditionally performed as part of which Manipuri ritual?</t>
  </si>
  <si>
    <t>A) Harvest, B) Marriage, C) Religious rites, D) Coronation</t>
  </si>
  <si>
    <t>Which document details the techniques and philosophy of Thang-Ta?</t>
  </si>
  <si>
    <t>Thang-Ta includes techniques and training methods that originated from which historical period?</t>
  </si>
  <si>
    <t>A) Ancient, B) Medieval, C) Colonial, D) Modern</t>
  </si>
  <si>
    <t>The decline in the practice of Thang-Ta during colonial rule was due to its association with:</t>
  </si>
  <si>
    <t>A) Cultural heritage, B) Royal authority, C) Anti-colonial sentiment, D) Trade</t>
  </si>
  <si>
    <t>C) Anti-colonial sentiment</t>
  </si>
  <si>
    <t>Which Manipuri text provides historical and philosophical context for Thang-Ta?</t>
  </si>
  <si>
    <t>The resurgence of Thang-Ta in the 20th century is attributed to which individual?</t>
  </si>
  <si>
    <t>The integration of Thang-Ta into royal ceremonies is associated with which Manipuri king?</t>
  </si>
  <si>
    <t>Which Manipuri epic contains references to the martial practices including Thang-Ta?</t>
  </si>
  <si>
    <t>Thang-Ta is traditionally practiced in which region of India?</t>
  </si>
  <si>
    <t>A) Manipur, B) Assam, C) Nagaland, D) Mizoram</t>
  </si>
  <si>
    <t>Which Manipuri king's reign saw significant changes in Thang-Ta due to colonial policies?</t>
  </si>
  <si>
    <t>The history of Thang-Ta is linked with which type of Manipuri tradition?</t>
  </si>
  <si>
    <t>Which Manipuri king is known for his efforts to preserve Thang-Ta traditions during colonial rule?</t>
  </si>
  <si>
    <t>Which historical event led to a resurgence in the practice of Thang-Ta in modern times?</t>
  </si>
  <si>
    <t>A) Post-independence cultural revival, B) Colonial suppression, C) Burmese invasions, D) World War II</t>
  </si>
  <si>
    <t>A) Post-independence cultural revival</t>
  </si>
  <si>
    <t>What type of weapon is most commonly associated with Thang-Ta?</t>
  </si>
  <si>
    <t>A) Spear, B) Sword, C) Bow, D) Axe</t>
  </si>
  <si>
    <t>During which historical period did Thang-Ta gain prominence as a royal martial art?</t>
  </si>
  <si>
    <t>A) Colonial, B) Post-independence, C) Medieval, D) Ancient</t>
  </si>
  <si>
    <t>D) Ancient</t>
  </si>
  <si>
    <t>Which Manipuri king is known for integrating Thang-Ta into the royal military curriculum?</t>
  </si>
  <si>
    <t>What major historical conflict impacted the practice of Thang-Ta in Manipur?</t>
  </si>
  <si>
    <t>A) Anglo-Manipur War, B) First Opium War, C) Burmese Invasions, D) Second Opium War</t>
  </si>
  <si>
    <t>Which document is a primary source for the history and techniques of Thang-Ta?</t>
  </si>
  <si>
    <t>Thang-Ta was primarily practiced by which group in traditional Manipuri society?</t>
  </si>
  <si>
    <t>A) Priests, B) Warriors, C) Artisans, D) Farmers</t>
  </si>
  <si>
    <t>Which Manipuri festival showcases Thang-Ta as a traditional performance?</t>
  </si>
  <si>
    <t>Which Manipuri king's reign saw efforts to preserve Thang-Ta amidst colonial challenges?</t>
  </si>
  <si>
    <t>The resurgence of Thang-Ta in the 20th century is attributed to which individual's efforts?</t>
  </si>
  <si>
    <t>A) Gurumayum Gourakishore Sharma, B) Maharaja Bhagyachandra, C) Maharaja Gambhir Singh, D) Maharaja Chandrakirti</t>
  </si>
  <si>
    <t>Thang-Ta is closely linked with which traditional Manipuri cultural aspect?</t>
  </si>
  <si>
    <t>A) Music, B) Dance, C) Rituals, D) Festivals</t>
  </si>
  <si>
    <t>C) Rituals</t>
  </si>
  <si>
    <t>Which Manipuri text contains detailed descriptions of Thang-Ta techniques?</t>
  </si>
  <si>
    <t>Thang-Ta training historically took place in which type of location?</t>
  </si>
  <si>
    <t>A) Temples, B) Royal courts, C) Forests, D) Community centers</t>
  </si>
  <si>
    <t>C) Forests</t>
  </si>
  <si>
    <t>Which Manipuri king is known for his contributions to Thang-Ta during the pre-colonial period?</t>
  </si>
  <si>
    <t>A) Maharaja Khagemba</t>
  </si>
  <si>
    <t>The decline in Thang-Ta practice during colonial rule was largely due to its association with:</t>
  </si>
  <si>
    <t>A) Royalty, B) Religion, C) Military resistance, D) Agriculture</t>
  </si>
  <si>
    <t>C) Military resistance</t>
  </si>
  <si>
    <t>Which Manipuri festival was traditionally used to showcase Thang-Ta performances?</t>
  </si>
  <si>
    <t>Which historical event led to the suppression of Thang-Ta in Manipur?</t>
  </si>
  <si>
    <t>A) Burmese invasions, B) British annexation, C) Second Opium War, D) World War I</t>
  </si>
  <si>
    <t>B) British annexation</t>
  </si>
  <si>
    <t>Which Manipuri text provides historical context for Thang-Ta techniques?</t>
  </si>
  <si>
    <t>Thang-Ta training was traditionally supervised by which group?</t>
  </si>
  <si>
    <t>A) Priests, B) Warriors, C) Artisans, D) Scholars</t>
  </si>
  <si>
    <t>Which Manipuri king promoted Thang-Ta as part of the state's defense mechanism?</t>
  </si>
  <si>
    <t>The decline in Thang-Ta practice during the colonial era was primarily due to its association with which kind of resistance?</t>
  </si>
  <si>
    <t>A) Political, B) Economic, C) Cultural, D) Military</t>
  </si>
  <si>
    <t>Which document is essential for understanding the martial arts aspect of Thang-Ta?</t>
  </si>
  <si>
    <t>Thang-Ta is traditionally performed as part of which type of Manipuri ceremony?</t>
  </si>
  <si>
    <t>A) Harvest, B) Religious, C) Royal, D) Social</t>
  </si>
  <si>
    <t>B) Religious</t>
  </si>
  <si>
    <t>Which Manipuri epic includes references to the martial arts tradition of Thang-Ta?</t>
  </si>
  <si>
    <t>The resurgence of Thang-Ta in modern times is attributed to the efforts of which person?</t>
  </si>
  <si>
    <t>Which Manipuri king's reign saw a revival in the practice of Thang-Ta?</t>
  </si>
  <si>
    <t>The history of Thang-Ta is deeply connected with which traditional Manipuri art?</t>
  </si>
  <si>
    <t>A) Dance, B) Martial arts, C) Music, D) Painting</t>
  </si>
  <si>
    <t>Which historical document provides insights into the philosophical and technical aspects of Thang-Ta?</t>
  </si>
  <si>
    <t>Thang-Ta was traditionally practiced as part of which type of Manipuri festivals?</t>
  </si>
  <si>
    <t>A) Harvest, B) Cultural, C) Royal, D) Religious</t>
  </si>
  <si>
    <t>D) Religious</t>
  </si>
  <si>
    <t>Which Manipuri king's reign is noted for significant changes in Thang-Ta due to colonial influences?</t>
  </si>
  <si>
    <t>The traditional practice of Thang-Ta involves techniques from which historical period?</t>
  </si>
  <si>
    <t>The suppression of Thang-Ta during colonial times was due to its connection with which type of resistance?</t>
  </si>
  <si>
    <t>A) Political, B) Military, C) Economic, D) Social</t>
  </si>
  <si>
    <t>B) Military</t>
  </si>
  <si>
    <t>Which Manipuri text is a primary source for the history of Thang-Ta?</t>
  </si>
  <si>
    <t>Thang-Ta's history includes which type of traditional Manipuri art?</t>
  </si>
  <si>
    <t>A) Dance, B) Martial arts, C) Music, D) Sculpture</t>
  </si>
  <si>
    <t>Which Manipuri king is known for his role in preserving Thang-Ta during colonial rule?</t>
  </si>
  <si>
    <t>The revival of Thang-Ta in the 20th century is attributed to the efforts of which individual?</t>
  </si>
  <si>
    <t>Which Manipuri king is noted for promoting Thang-Ta as part of the state's defense?</t>
  </si>
  <si>
    <t>The decline in Thang-Ta during colonial rule was due to its association with which type of resistance?</t>
  </si>
  <si>
    <t>A) Political, B) Cultural, C) Economic, D) Military</t>
  </si>
  <si>
    <t>Which document is crucial for understanding the history and techniques of Thang-Ta?</t>
  </si>
  <si>
    <t>Thang-Ta practice was historically linked with which Manipuri festival?</t>
  </si>
  <si>
    <t>Which historical event had a significant impact on the practice and preservation of Thang-Ta?</t>
  </si>
  <si>
    <t>A) British annexation, B) Burmese invasions, C) World War I, D) Opium Wars</t>
  </si>
  <si>
    <t>Which Manipuri king played a significant role in preserving Thang-Ta during colonial times?</t>
  </si>
  <si>
    <t>Thang-Ta's resurgence in modern times is largely attributed to which historical figure?</t>
  </si>
  <si>
    <t>Which Manipuri text provides insights into the martial arts aspects of Thang-Ta?</t>
  </si>
  <si>
    <t>The traditional practice of Thang-Ta was integrated into which type of Manipuri events?</t>
  </si>
  <si>
    <t>A) Cultural festivals, B) Royal ceremonies, C) Religious rituals, D) Agricultural festivals</t>
  </si>
  <si>
    <t>C) Religious rituals</t>
  </si>
  <si>
    <t>Which Manipuri king's reign saw a resurgence of Thang-Ta after a period of decline?</t>
  </si>
  <si>
    <t>Thang-Ta was traditionally associated with which type of traditional Manipuri practice?</t>
  </si>
  <si>
    <t>Which Manipuri king's efforts were crucial in preserving Thang-Ta during the colonial period?</t>
  </si>
  <si>
    <t>Which historical event had a profound effect on the practice of Thang-Ta?</t>
  </si>
  <si>
    <t>Which Manipuri document provides historical and technical insights into Thang-Ta?</t>
  </si>
  <si>
    <t>Thang-Ta is traditionally linked with which type of Manipuri ceremonies?</t>
  </si>
  <si>
    <t>A) Harvest, B) Royal, C) Religious, D) Social</t>
  </si>
  <si>
    <t>C) Religious</t>
  </si>
  <si>
    <t>The decline in Thang-Ta practice during the colonial era was due to its association with which type of resistance?</t>
  </si>
  <si>
    <t>Which Manipuri king's reign is noted for significant contributions to the practice of Thang-Ta?</t>
  </si>
  <si>
    <t>The resurgence of Thang-Ta in the 20th century is largely attributed to which individual?</t>
  </si>
  <si>
    <t>Which Manipuri festival includes traditional performances of Thang-Ta?</t>
  </si>
  <si>
    <t>Which historical event led to the preservation of Thang-Ta as a cultural tradition?</t>
  </si>
  <si>
    <t>A) Post-independence revival, B) Colonial suppression, C) Burmese invasions, D) World War I</t>
  </si>
  <si>
    <t>A) Post-independence revival</t>
  </si>
  <si>
    <t>Which document provides historical and philosophical context for Thang-Ta techniques?</t>
  </si>
  <si>
    <t>Thang-Ta was traditionally performed during which type of Manipuri ceremonies?</t>
  </si>
  <si>
    <t>A) Harvest festivals, B) Royal ceremonies, C) Religious rites, D) Social gatherings</t>
  </si>
  <si>
    <t>Which Manipuri king is known for his role in promoting Thang-Ta as a royal tradition?</t>
  </si>
  <si>
    <t>The practice of Thang-Ta saw a significant decline during which historical period?</t>
  </si>
  <si>
    <t>A) Colonial, B) Pre-colonial, C) Medieval, D) Modern</t>
  </si>
  <si>
    <t>A) Colonial</t>
  </si>
  <si>
    <t>Which Manipuri document provides the most detailed historical account of Thang-Ta?</t>
  </si>
  <si>
    <t>Thang-Ta practice was historically associated with which type of Manipuri art?</t>
  </si>
  <si>
    <t>A) Martial arts, B) Music, C) Dance, D) Sculpture</t>
  </si>
  <si>
    <t>Which Manipuri king's reign saw a resurgence in the practice of Thang-Ta after a period of decline?</t>
  </si>
  <si>
    <t>The modern resurgence of Thang-Ta is largely attributed to the efforts of which individual?</t>
  </si>
  <si>
    <t>Which Manipuri festival is known for showcasing traditional Thang-Ta performances?</t>
  </si>
  <si>
    <t>Thang-Ta is traditionally associated with which type of Manipuri ceremonies?</t>
  </si>
  <si>
    <t>A) Harvest festivals, B) Royal ceremonies, C) Religious rites, D) Social events</t>
  </si>
  <si>
    <t>Which Manipuri king is credited with reviving Thang-Ta during the colonial period?</t>
  </si>
  <si>
    <t>The history of Thang-Ta is deeply linked with which traditional Manipuri art form?</t>
  </si>
  <si>
    <t>A) Martial arts, B) Dance, C) Music, D) Painting</t>
  </si>
  <si>
    <t>Which Manipuri document is essential for understanding the techniques and history of Thang-Ta?</t>
  </si>
  <si>
    <t>Thang-Ta's practice was traditionally integrated into which type of Manipuri events?</t>
  </si>
  <si>
    <t>A) Cultural festivals, B) Royal ceremonies, C) Religious rites, D) Agricultural festivals</t>
  </si>
  <si>
    <t>Which Manipuri king's reign is known for significant contributions to the preservation of Thang-Ta?</t>
  </si>
  <si>
    <t>The decline of Thang-Ta during colonial times was due to its association with which type of resistance?</t>
  </si>
  <si>
    <t>Which Manipuri text provides detailed historical and technical information about Thang-Ta?</t>
  </si>
  <si>
    <t>Thang-Ta's history is closely associated with which traditional Manipuri practice?</t>
  </si>
  <si>
    <t>A) Martial arts, B) Music, C) Dance, D) Painting</t>
  </si>
  <si>
    <t>Which Manipuri king is recognized for his role in promoting Thang-Ta as a royal tradition?</t>
  </si>
  <si>
    <t>The suppression of Thang-Ta during the colonial era was due to its connection with which kind of resistance?</t>
  </si>
  <si>
    <t>Which Manipuri document provides crucial historical context for Thang-Ta?</t>
  </si>
  <si>
    <t>Thang-Ta practice historically involved which type of traditional Manipuri art?</t>
  </si>
  <si>
    <t>Which Manipuri king's reign saw a revival of Thang-Ta practice?</t>
  </si>
  <si>
    <t>The modern resurgence of Thang-Ta is largely attributed to which individual?</t>
  </si>
  <si>
    <t>Which Manipuri festival is traditionally associated with Thang-Ta performances?</t>
  </si>
  <si>
    <t>Which historical event had a significant impact on the practice of Thang-Ta in Manipur?</t>
  </si>
  <si>
    <t>Which Manipuri text provides essential historical and technical insights into Thang-Ta?</t>
  </si>
  <si>
    <t>Thang-Ta's practice was historically integrated into which type of Manipuri events?</t>
  </si>
  <si>
    <t>Which Manipuri king is recognized for his efforts to preserve Thang-Ta during the colonial period?</t>
  </si>
  <si>
    <t>Mukna, a traditional sport, is primarily associated with which region?</t>
  </si>
  <si>
    <t>A) Tamil Nadu, B) Manipur, C) Punjab, D) Gujarat</t>
  </si>
  <si>
    <t>Which historical figure is credited with popularizing Mukna in Manipur?</t>
  </si>
  <si>
    <t>A) Maharaja Churachand Singh, B) Maharaja Gambhir Singh, C) Maharaja Bodhchandra Singh, D) Maharaja Bhagyachandra Singh</t>
  </si>
  <si>
    <t>Mukna is known as a traditional form of which type of wrestling?</t>
  </si>
  <si>
    <t>A) Greco-Roman, B) Freestyle, C) Folk wrestling, D) Submission wrestling</t>
  </si>
  <si>
    <t>C) Folk wrestling</t>
  </si>
  <si>
    <t>In Mukna, how many rounds are typically contested in a match?</t>
  </si>
  <si>
    <t>B) 2</t>
  </si>
  <si>
    <t>Which material is traditionally used for the wrestling mat in Mukna?</t>
  </si>
  <si>
    <t>A) Grass, B) Sand, C) Clay, D) Soft wood</t>
  </si>
  <si>
    <t>C) Clay</t>
  </si>
  <si>
    <t>What is the traditional attire worn by participants in Mukna?</t>
  </si>
  <si>
    <t>A) Dhoti and kurta, B) Lungi and shirt, C) Phanek and innaphi, D) Sarong and vest</t>
  </si>
  <si>
    <t>C) Phanek and innaphi</t>
  </si>
  <si>
    <t>What is the primary objective of a Mukna match?</t>
  </si>
  <si>
    <t>A) To pin the opponent's shoulders to the ground, B) To throw the opponent out of the ring, C) To score more points through techniques, D) To overpower the opponent physically</t>
  </si>
  <si>
    <t>A) To pin the opponent's shoulders to the ground</t>
  </si>
  <si>
    <t>Mukna is traditionally performed during which kind of events in Manipur?</t>
  </si>
  <si>
    <t>A) Festivals, B) Marriages, C) Political gatherings, D) Religious ceremonies</t>
  </si>
  <si>
    <t>Which dance form is often performed alongside Mukna in cultural festivals?</t>
  </si>
  <si>
    <t>A) Manipuri Raas, B) Kathak, C) Bharatanatyam, D) Odissi</t>
  </si>
  <si>
    <t>A) Manipuri Raas</t>
  </si>
  <si>
    <t>Mukna wrestling traditionally takes place in which kind of venue?</t>
  </si>
  <si>
    <t>A) Open fields, B) Arena, C) Clay pit, D) Gymnasium</t>
  </si>
  <si>
    <t>C) Clay pit</t>
  </si>
  <si>
    <t>In traditional Mukna matches, how is the winner usually determined?</t>
  </si>
  <si>
    <t>A) By knockout, B) By points, C) By submission, D) By pinning</t>
  </si>
  <si>
    <t>D) By pinning</t>
  </si>
  <si>
    <t>What type of training is crucial for Mukna wrestlers?</t>
  </si>
  <si>
    <t>A) Cardio training, B) Flexibility training, C) Strength training, D) Technique training</t>
  </si>
  <si>
    <t>Which of the following is NOT a traditional move in Mukna?</t>
  </si>
  <si>
    <t>A) Suplex, B) Body slam, C) Arm drag, D) Crossface</t>
  </si>
  <si>
    <t>D) Crossface</t>
  </si>
  <si>
    <t>Which historical document or text provides evidence of Mukna's ancient origins?</t>
  </si>
  <si>
    <t>A) The Mahabharata, B) The Ramayana, C) The Manipuri Chronicle, D) The Vedas</t>
  </si>
  <si>
    <t>C) The Manipuri Chronicle</t>
  </si>
  <si>
    <t>Which festival is particularly famous for hosting Mukna matches?</t>
  </si>
  <si>
    <t>A) Yaoshang Festival, B) Ningol Chakouba, C) Cheiraoba, D) Lai Haraoba</t>
  </si>
  <si>
    <t>A) Yaoshang Festival</t>
  </si>
  <si>
    <t>Mukna wrestling is part of the cultural heritage of which Indian state?</t>
  </si>
  <si>
    <t>A) Assam, B) Nagaland, C) Manipur, D) Meghalaya</t>
  </si>
  <si>
    <t>What is a typical age range for participants in Mukna matches?</t>
  </si>
  <si>
    <t>A) 10-15 years, B) 15-25 years, C) 20-30 years, D) 25-40 years</t>
  </si>
  <si>
    <t>B) 15-25 years</t>
  </si>
  <si>
    <t>Which of the following is a key element of Mukna's technique?</t>
  </si>
  <si>
    <t>A) High-speed striking, B) Quick footwork, C) Grappling and clinching, D) Aerial maneuvers</t>
  </si>
  <si>
    <t>C) Grappling and clinching</t>
  </si>
  <si>
    <t>Mukna is believed to have been practiced since which century?</t>
  </si>
  <si>
    <t>A) 8th century, B) 10th century, C) 12th century, D) 14th century</t>
  </si>
  <si>
    <t>B) 10th century</t>
  </si>
  <si>
    <t>Which community in Manipur is particularly known for its expertise in Mukna?</t>
  </si>
  <si>
    <t>A) Meitei community, B) Naga community, C) Kuki community, D) Mizo community</t>
  </si>
  <si>
    <t>A) Meitei community</t>
  </si>
  <si>
    <t>Which aspect of Mukna is celebrated as a symbol of strength and valor?</t>
  </si>
  <si>
    <t>A) The attire, B) The arena, C) The techniques, D) The traditions</t>
  </si>
  <si>
    <t>C) The techniques</t>
  </si>
  <si>
    <t>Mukna wrestlers traditionally receive training from whom?</t>
  </si>
  <si>
    <t>A) Professional coaches, B) Family elders, C) Military personnel, D) Village chiefs</t>
  </si>
  <si>
    <t>B) Family elders</t>
  </si>
  <si>
    <t>What kind of physical conditioning is emphasized in Mukna training?</t>
  </si>
  <si>
    <t>A) Endurance running, B) Flexibility exercises, C) Strength building, D) Balance training</t>
  </si>
  <si>
    <t>C) Strength building</t>
  </si>
  <si>
    <t>Which traditional tool is used to mark the wrestling area in Mukna?</t>
  </si>
  <si>
    <t>A) Stones, B) Wooden planks, C) Ropes, D) Sand</t>
  </si>
  <si>
    <t>D) Sand</t>
  </si>
  <si>
    <t>Mukna is often compared to which other traditional wrestling form?</t>
  </si>
  <si>
    <t>A) Kushti, B) Sumo, C) Judo, D) Taekwondo</t>
  </si>
  <si>
    <t>A) Kushti</t>
  </si>
  <si>
    <t>In Mukna, what is the term for a successful throw or pin?</t>
  </si>
  <si>
    <t>A) Pinfall, B) Takedown, C) Throwdown, D) Fall</t>
  </si>
  <si>
    <t>D) Fall</t>
  </si>
  <si>
    <t>Which type of audience typically watches Mukna matches during festivals?</t>
  </si>
  <si>
    <t>A) Local villagers, B) Tourists, C) Government officials, D) School children</t>
  </si>
  <si>
    <t>A) Local villagers</t>
  </si>
  <si>
    <t>What is the cultural significance of Mukna in Manipur?</t>
  </si>
  <si>
    <t>A) It represents strength, B) It signifies honor, C) It showcases unity, D) It promotes peace</t>
  </si>
  <si>
    <t>A) It represents strength</t>
  </si>
  <si>
    <t>Which of these events is a major Mukna competition in Manipur?</t>
  </si>
  <si>
    <t>A) Manipuri Wrestling Championship, B) All-Manipur Mukna Meet, C) Festival of Strength, D) Manipur Wrestling Open</t>
  </si>
  <si>
    <t>B) All-Manipur Mukna Meet</t>
  </si>
  <si>
    <t>Mukna wrestlers traditionally practice in which type of environment?</t>
  </si>
  <si>
    <t>A) Indoor gym, B) Open fields, C) Community halls, D) Arenas</t>
  </si>
  <si>
    <t>Which traditional practice is often performed before a Mukna match?</t>
  </si>
  <si>
    <t>A) Ritual dance, B) Prayers, C) Feasting, D) Music performance</t>
  </si>
  <si>
    <t>B) Prayers</t>
  </si>
  <si>
    <t>What is the traditional shape of the wrestling mat used in Mukna?</t>
  </si>
  <si>
    <t>A) Circular, B) Square, C) Rectangular, D) Oval</t>
  </si>
  <si>
    <t>Which of the following is NOT a common move in Mukna wrestling?</t>
  </si>
  <si>
    <t>A) Headlock, B) Suplex, C) Armbar, D) Dropkick</t>
  </si>
  <si>
    <t>D) Dropkick</t>
  </si>
  <si>
    <t>How does Mukna differ from modern wrestling styles?</t>
  </si>
  <si>
    <t>A) It focuses on strikes, B) It emphasizes traditional techniques, C) It uses a ring, D) It has weight classes</t>
  </si>
  <si>
    <t>B) It emphasizes traditional techniques</t>
  </si>
  <si>
    <t>Which historical figure is known to have been a patron of Mukna wrestling?</t>
  </si>
  <si>
    <t>A) Maharaja Churachand Singh, B) Maharaja Bodhchandra Singh, C) Maharaja Bhagyachandra Singh, D) Maharaja Nara Singh</t>
  </si>
  <si>
    <t>A) Maharaja Churachand Singh</t>
  </si>
  <si>
    <t>What kind of attire is worn by Mukna wrestlers during a match?</t>
  </si>
  <si>
    <t>A) Traditional cloth, B) Modern sportswear, C) Armor, D) Lightweight fabric</t>
  </si>
  <si>
    <t>A) Traditional cloth</t>
  </si>
  <si>
    <t>Which type of wrestling is Mukna most similar to in terms of technique?</t>
  </si>
  <si>
    <t>A) Greco-Roman, B) Folk wrestling, C) Judo, D) Sambo</t>
  </si>
  <si>
    <t>B) Folk wrestling</t>
  </si>
  <si>
    <t>What is the historical role of Mukna in Manipur society?</t>
  </si>
  <si>
    <t>A) Entertainment, B) Ritualistic practice, C) Martial training, D) Artistic expression</t>
  </si>
  <si>
    <t>C) Martial training</t>
  </si>
  <si>
    <t>During which season is Mukna traditionally practiced?</t>
  </si>
  <si>
    <t>A) Winter, B) Summer, C) Monsoon, D) Autumn</t>
  </si>
  <si>
    <t>B) Summer</t>
  </si>
  <si>
    <t>Which type of terrain is ideal for practicing Mukna?</t>
  </si>
  <si>
    <t>A) Grasslands, B) Rocky surfaces, C) Soft clay, D) Hard floors</t>
  </si>
  <si>
    <t>C) Soft clay</t>
  </si>
  <si>
    <t>Which historical source describes Mukna as part of the cultural heritage of Manipur?</t>
  </si>
  <si>
    <t>A) Chronicles of Manipur, B) Vedic texts, C) Historical records of Assam, D) Accounts of British explorers</t>
  </si>
  <si>
    <t>A) Chronicles of Manipur</t>
  </si>
  <si>
    <t>What is the significance of Mukna in community festivals?</t>
  </si>
  <si>
    <t>A) It represents community strength, B) It is a form of entertainment, C) It showcases individual prowess, D) It signifies historical achievements</t>
  </si>
  <si>
    <t>A) It represents community strength</t>
  </si>
  <si>
    <t>What traditional music is associated with Mukna wrestling events?</t>
  </si>
  <si>
    <t>A) Dholak, B) Tabla, C) Drumbeats, D) Bagpipes</t>
  </si>
  <si>
    <t>C) Drumbeats</t>
  </si>
  <si>
    <t>What is a typical characteristic of the Mukna wrestling style?</t>
  </si>
  <si>
    <t>A) High-impact throws, B) Technical grappling, C) Aerial maneuvers, D) Fast-paced strikes</t>
  </si>
  <si>
    <t>B) Technical grappling</t>
  </si>
  <si>
    <t>Which of these is a common pre-match ritual in Mukna?</t>
  </si>
  <si>
    <t>A) Chanting, B) Meditation, C) Physical conditioning, D) Musical performance</t>
  </si>
  <si>
    <t>A) Chanting</t>
  </si>
  <si>
    <t>What type of audience typically attends Mukna matches?</t>
  </si>
  <si>
    <t>A) Local villagers, B) Tourists, C) International spectators, D) Sports enthusiasts</t>
  </si>
  <si>
    <t>In Mukna, what is the role of the referee?</t>
  </si>
  <si>
    <t>A) To train wrestlers, B) To score points, C) To ensure fair play, D) To promote the event</t>
  </si>
  <si>
    <t>C) To ensure fair play</t>
  </si>
  <si>
    <t>Which traditional festival prominently features Mukna matches?</t>
  </si>
  <si>
    <t>C) Yaoshang</t>
  </si>
  <si>
    <t>Which aspect of Mukna is considered to be a major part of its cultural heritage?</t>
  </si>
  <si>
    <t>A) The rules, B) The attire, C) The techniques, D) The venue</t>
  </si>
  <si>
    <t>How does Mukna reflect the traditional values of Manipur?</t>
  </si>
  <si>
    <t>A) Through competitive spirit, B) Through cultural symbolism, C) Through entertainment, D) Through artistic expression</t>
  </si>
  <si>
    <t>B) Through cultural symbolism</t>
  </si>
  <si>
    <t>What type of footwear is traditionally worn during Mukna matches?</t>
  </si>
  <si>
    <t>A) Sandals, B) Boots, C) Barefoot, D) Sports shoes</t>
  </si>
  <si>
    <t>C) Barefoot</t>
  </si>
  <si>
    <t>Which of these is NOT a characteristic of Mukna wrestling?</t>
  </si>
  <si>
    <t>A) Use of special equipment, B) Traditional techniques, C) Cultural significance, D) Physical strength</t>
  </si>
  <si>
    <t>A) Use of special equipment</t>
  </si>
  <si>
    <t>What is the primary purpose of Mukna wrestling in traditional Manipur society?</t>
  </si>
  <si>
    <t>A) Entertainment, B) Military training, C) Cultural preservation, D) Economic gain</t>
  </si>
  <si>
    <t>C) Cultural preservation</t>
  </si>
  <si>
    <t>Which traditional Manipuri practice is often combined with Mukna during festivals?</t>
  </si>
  <si>
    <t>A) Traditional dance, B) Song performance, C) Culinary events, D) Art exhibitions</t>
  </si>
  <si>
    <t>A) Traditional dance</t>
  </si>
  <si>
    <t>Mukna wrestling has been described in which form of historical literature?</t>
  </si>
  <si>
    <t>A) Poetry, B) Drama, C) Historical chronicles, D) Fiction</t>
  </si>
  <si>
    <t>C) Historical chronicles</t>
  </si>
  <si>
    <t>Which part of the body is crucial for grappling in Mukna?</t>
  </si>
  <si>
    <t>A) Legs, B) Arms, C) Torso, D) Head</t>
  </si>
  <si>
    <t>B) Arms</t>
  </si>
  <si>
    <t>Mukna wrestling is a key feature of which type of community events?</t>
  </si>
  <si>
    <t>A) Religious festivals, B) Agricultural fairs, C) Sports competitions, D) Political rallies</t>
  </si>
  <si>
    <t>How has Mukna been preserved and passed down through generations?</t>
  </si>
  <si>
    <t>A) Through written records, B) Through oral tradition, C) Through formal education, D) Through exhibitions</t>
  </si>
  <si>
    <t>B) Through oral tradition</t>
  </si>
  <si>
    <t>Which historical period saw significant development of Mukna in Manipur?</t>
  </si>
  <si>
    <t>Mukna is particularly celebrated for its representation of which cultural aspect?</t>
  </si>
  <si>
    <t>A) Artistic expression, B) Physical prowess, C) Technological advancement, D) Economic development</t>
  </si>
  <si>
    <t>B) Physical prowess</t>
  </si>
  <si>
    <t>What role does Mukna play in modern Manipuri society?</t>
  </si>
  <si>
    <t>A) Entertainment only, B) Cultural preservation, C) Professional sport, D) Political symbolism</t>
  </si>
  <si>
    <t>B) Cultural preservation</t>
  </si>
  <si>
    <t>Which traditional item is NOT used in Mukna wrestling?</t>
  </si>
  <si>
    <t>A) Sandbags, B) Mats, C) Ropes, D) Shields</t>
  </si>
  <si>
    <t>D) Shields</t>
  </si>
  <si>
    <t>Mukna wrestling is performed in which type of arena?</t>
  </si>
  <si>
    <t>A) Clay pit, B) Wooden stage, C) Concrete floor, D) Grass field</t>
  </si>
  <si>
    <t>A) Clay pit</t>
  </si>
  <si>
    <t>Which of these is an essential skill for Mukna wrestlers?</t>
  </si>
  <si>
    <t>A) High jumping, B) Speed running, C) Technical grappling, D) Endurance</t>
  </si>
  <si>
    <t>C) Technical grappling</t>
  </si>
  <si>
    <t>How are victories in Mukna matches traditionally celebrated?</t>
  </si>
  <si>
    <t>A) With feasts, B) With awards, C) With public ceremonies, D) With ritual dances</t>
  </si>
  <si>
    <t>D) With ritual dances</t>
  </si>
  <si>
    <t>What traditional aspect of Mukna matches is highlighted during cultural festivals?</t>
  </si>
  <si>
    <t>A) The spectators, B) The history, C) The techniques, D) The rules</t>
  </si>
  <si>
    <t>Which traditional Manipuri custom is linked to Mukna wrestling?</t>
  </si>
  <si>
    <t>A) Rituals for strength, B) Marriage ceremonies, C) Harvest festivals, D) Seasonal changes</t>
  </si>
  <si>
    <t>A) Rituals for strength</t>
  </si>
  <si>
    <t>Mukna wrestlers are known for their expertise in which of the following?</t>
  </si>
  <si>
    <t>A) Combat sports, B) Traditional dance, C) Fine arts, D) Musical performance</t>
  </si>
  <si>
    <t>A) Combat sports</t>
  </si>
  <si>
    <t>What distinguishes Mukna from other forms of wrestling?</t>
  </si>
  <si>
    <t>A) Use of technology, B) Traditional techniques, C) Modern rules, D) International popularity</t>
  </si>
  <si>
    <t>B) Traditional techniques</t>
  </si>
  <si>
    <t>Which of these is a historical source of information about Mukna?</t>
  </si>
  <si>
    <t>A) Ancient manuscripts, B) Modern journals, C) Newspaper articles, D) Oral histories</t>
  </si>
  <si>
    <t>A) Ancient manuscripts</t>
  </si>
  <si>
    <t>What is a common feature of Mukna wrestling attire?</t>
  </si>
  <si>
    <t>A) Lightweight and flexible, B) Heavy and protective, C) Modern sports gear, D) Decorative elements</t>
  </si>
  <si>
    <t>A) Lightweight and flexible</t>
  </si>
  <si>
    <t>In Mukna, what is typically the focus of training for young wrestlers?</t>
  </si>
  <si>
    <t>A) Technical skills, B) Physical strength, C) Strategic planning, D) Speed</t>
  </si>
  <si>
    <t>Mukna wrestling matches are often held during which part of the year?</t>
  </si>
  <si>
    <t>A) Winter, B) Summer, C) Monsoon, D) Spring</t>
  </si>
  <si>
    <t>Which of the following is a traditional technique in Mukna wrestling?</t>
  </si>
  <si>
    <t>A) Leg lock, B) Body slam, C) Arm drag, D) Headbutt</t>
  </si>
  <si>
    <t>B) Body slam</t>
  </si>
  <si>
    <t>Mukna wrestling is traditionally associated with which type of community gathering?</t>
  </si>
  <si>
    <t>A) Religious events, B) Political meetings, C) Social functions, D) Educational workshops</t>
  </si>
  <si>
    <t>A) Religious events</t>
  </si>
  <si>
    <t>Which festival in Manipur includes Mukna wrestling as a major attraction?</t>
  </si>
  <si>
    <t>A) Yaoshang, B) Ningol Chakouba, C) Cheiraoba, D) Lai Haraoba</t>
  </si>
  <si>
    <t>Which historical era saw the rise of Mukna as a significant cultural practice in Manipur?</t>
  </si>
  <si>
    <t>A) Ancient era</t>
  </si>
  <si>
    <t>Mukna wrestling is believed to have originated in which ancient kingdom?</t>
  </si>
  <si>
    <t>A) Manipur, B) Assam, C) Bengal, D) Orissa</t>
  </si>
  <si>
    <t>Which ancient text first mentioned Mukna wrestling?</t>
  </si>
  <si>
    <t>A) Rajmala, B) Mahabharata, C) Ramayana, D) Vedas</t>
  </si>
  <si>
    <t>A) Rajmala</t>
  </si>
  <si>
    <t>Mukna wrestling is closely associated with which Manipuri royal family?</t>
  </si>
  <si>
    <t>A) Meitei, B) Naga, C) Kuki, D) Mizo</t>
  </si>
  <si>
    <t>What was the primary purpose of Mukna wrestling in ancient Manipur?</t>
  </si>
  <si>
    <t>A) Military training, B) Ritualistic practice, C) Entertainment, D) Trade</t>
  </si>
  <si>
    <t>B) Ritualistic practice</t>
  </si>
  <si>
    <t>Which Manipuri king is credited with formalizing the rules of Mukna?</t>
  </si>
  <si>
    <t>A) Maharaja Churachand Singh, B) Maharaja Bhagyachandra Singh, C) Maharaja Gambhir Singh, D) Maharaja Bodhchandra Singh</t>
  </si>
  <si>
    <t>C) Maharaja Gambhir Singh</t>
  </si>
  <si>
    <t>During which historical period did Mukna see its most significant development?</t>
  </si>
  <si>
    <t>A) Early medieval period, B) Late medieval period, C) Colonial period, D) Post-independence period</t>
  </si>
  <si>
    <t>B) Late medieval period</t>
  </si>
  <si>
    <t>Mukna wrestling was traditionally practiced by which community in Manipur?</t>
  </si>
  <si>
    <t>Which Manipuri festival is most closely associated with Mukna wrestling?</t>
  </si>
  <si>
    <t>What was the role of Mukna wrestling in traditional Manipuri warfare?</t>
  </si>
  <si>
    <t>A) Strategic training, B) Combat simulation, C) Tactical drills, D) All of the above</t>
  </si>
  <si>
    <t>Which significant historical event had an impact on the practice of Mukna wrestling?</t>
  </si>
  <si>
    <t>A) British colonization, B) The Indian Rebellion of 1857, C) Independence from British rule, D) The partition of India</t>
  </si>
  <si>
    <t>Mukna wrestling has been depicted in which form of Manipuri art?</t>
  </si>
  <si>
    <t>A) Painting, B) Sculpture, C) Dance, D) Music</t>
  </si>
  <si>
    <t>B) Sculpture</t>
  </si>
  <si>
    <t>Which historical text provides detailed descriptions of Mukna wrestling techniques?</t>
  </si>
  <si>
    <t>A) Buranji, B) Manusmriti, C) Arthashastra, D) Mahabharata</t>
  </si>
  <si>
    <t>A) Buranji</t>
  </si>
  <si>
    <t>What was a common venue for Mukna wrestling matches in ancient Manipur?</t>
  </si>
  <si>
    <t>A) Royal courts, B) Open fields, C) Temples, D) Marketplaces</t>
  </si>
  <si>
    <t>Which famous Manipuri wrestler is known for popularizing Mukna in the 20th century?</t>
  </si>
  <si>
    <t>A) Tomba Singh, B) Ranjit Singh, C) Kunjurani Devi, D) Biren Singh</t>
  </si>
  <si>
    <t>A) Tomba Singh</t>
  </si>
  <si>
    <t>How did colonial British authorities view Mukna wrestling?</t>
  </si>
  <si>
    <t>A) As a cultural treasure, B) As a form of entertainment, C) As a practice to be banned, D) As a sport to be regulated</t>
  </si>
  <si>
    <t>C) As a practice to be banned</t>
  </si>
  <si>
    <t>What impact did the British colonial era have on Mukna wrestling?</t>
  </si>
  <si>
    <t>A) It led to its decline, B) It led to its modernization, C) It had no impact, D) It led to increased popularity</t>
  </si>
  <si>
    <t>In which century did Mukna wrestling become formally recognized as a cultural practice?</t>
  </si>
  <si>
    <t>What role did Mukna wrestling play in traditional Manipuri military training?</t>
  </si>
  <si>
    <t>A) Skill development, B) Combat readiness, C) Physical fitness, D) All of the above</t>
  </si>
  <si>
    <t>Which traditional Manipuri dance form often incorporates elements of Mukna wrestling?</t>
  </si>
  <si>
    <t>A) Ras Lila, B) Thang Ta, C) Lai Haraoba, D) Pung Cholom</t>
  </si>
  <si>
    <t>B) Thang Ta</t>
  </si>
  <si>
    <t>What was the primary training focus for Mukna wrestlers in ancient times?</t>
  </si>
  <si>
    <t>A) Strength and endurance, B) Flexibility and speed, C) Strategy and technique, D) Balance and agility</t>
  </si>
  <si>
    <t>A) Strength and endurance</t>
  </si>
  <si>
    <t>Which historical figure was known for promoting the practice of Mukna wrestling among the common people?</t>
  </si>
  <si>
    <t>A) Maharaja Churachand Singh, B) Maharaja Bodhchandra Singh, C) Maharaja Bhagyachandra Singh, D) Maharaja Gambhir Singh</t>
  </si>
  <si>
    <t>What type of training equipment was traditionally used in Mukna wrestling?</t>
  </si>
  <si>
    <t>A) Sandbags, B) Wooden dummies, C) Metal weights, D) None</t>
  </si>
  <si>
    <t>Which Manipuri ruler is credited with the preservation of Mukna as a traditional sport?</t>
  </si>
  <si>
    <t>In which traditional Manipuri festival do Mukna wrestling matches often take place?</t>
  </si>
  <si>
    <t>A) Cheiraoba, B) Yaoshang, C) Ningol Chakouba, D) Lai Haraoba</t>
  </si>
  <si>
    <t>Which of these elements is NOT traditionally part of Mukna wrestling?</t>
  </si>
  <si>
    <t>A) Ritualistic chants, B) Specific wrestling attire, C) Use of weapons, D) Community participation</t>
  </si>
  <si>
    <t>C) Use of weapons</t>
  </si>
  <si>
    <t>What cultural significance does Mukna wrestling hold in Manipur?</t>
  </si>
  <si>
    <t>A) It signifies martial prowess, B) It represents religious devotion, C) It reflects artistic heritage, D) It symbolizes political power</t>
  </si>
  <si>
    <t>A) It signifies martial prowess</t>
  </si>
  <si>
    <t>How were Mukna wrestling matches typically judged in historical times?</t>
  </si>
  <si>
    <t>A) By the number of throws, B) By the use of techniques, C) By the audience's reaction, D) By the referee's decision</t>
  </si>
  <si>
    <t>D) By the referee's decision</t>
  </si>
  <si>
    <t>Which of these is a common training practice for Mukna wrestlers?</t>
  </si>
  <si>
    <t>A) Running, B) Swimming, C) Yoga, D) Horse riding</t>
  </si>
  <si>
    <t>A) Running</t>
  </si>
  <si>
    <t>Which Manipuri historical event is associated with the development of Mukna wrestling?</t>
  </si>
  <si>
    <t>A) The signing of the Manipur Treaty, B) The annexation of Manipur by the British, C) The Battle of Kangla, D) The formation of the Meitei kingdom</t>
  </si>
  <si>
    <t>B) The annexation of Manipur by the British</t>
  </si>
  <si>
    <t>Mukna wrestling is most closely related to which traditional Manipuri martial art?</t>
  </si>
  <si>
    <t>A) Thang Ta, B) Sarit Sarak, C) Naga wrestling, D) Kuki wrestling</t>
  </si>
  <si>
    <t>A) Thang Ta</t>
  </si>
  <si>
    <t>Which element of Mukna wrestling has been preserved through oral traditions?</t>
  </si>
  <si>
    <t>A) Techniques, B) Attire, C) Venue, D) Rules</t>
  </si>
  <si>
    <t>A) Techniques</t>
  </si>
  <si>
    <t>What was the role of Mukna wrestling in the context of Manipuri society?</t>
  </si>
  <si>
    <t>A) It was a form of entertainment, B) It was a method of conflict resolution, C) It was a ceremonial practice, D) It was a form of education</t>
  </si>
  <si>
    <t>C) It was a ceremonial practice</t>
  </si>
  <si>
    <t>Which of the following statements about Mukna wrestling is true?</t>
  </si>
  <si>
    <t>A) It involves the use of protective gear, B) It is often performed in the open air, C) It is governed by international rules, D) It has no cultural significance</t>
  </si>
  <si>
    <t>B) It is often performed in the open air</t>
  </si>
  <si>
    <t>What aspect of Mukna wrestling was emphasized in traditional training?</t>
  </si>
  <si>
    <t>A) Strength and stamina, B) Speed and agility, C) Technique and strategy, D) Precision and accuracy</t>
  </si>
  <si>
    <t>A) Strength and stamina</t>
  </si>
  <si>
    <t>What historical artifact provides insights into Mukna wrestling techniques?</t>
  </si>
  <si>
    <t>A) Ancient sculptures, B) Manuscripts, C) Paintings, D) Pottery</t>
  </si>
  <si>
    <t>Which type of community events historically featured Mukna wrestling?</t>
  </si>
  <si>
    <t>A) Festivals, B) Market fairs, C) Political gatherings, D) Religious ceremonies</t>
  </si>
  <si>
    <t>Which historical figure is known for documenting Mukna wrestling?</t>
  </si>
  <si>
    <t>A) Robert Gordon, B) G. E. Harvey, C) A. B. George, D) R. N. Sharma</t>
  </si>
  <si>
    <t>B) G. E. Harvey</t>
  </si>
  <si>
    <t>Mukna wrestling has roots in which ancient Indian martial tradition?</t>
  </si>
  <si>
    <t>A) Kalaripayattu, B) Silambam, C) Gatka, D) Chhau</t>
  </si>
  <si>
    <t>Which aspect of Mukna wrestling was emphasized in its traditional training?</t>
  </si>
  <si>
    <t>A) Technique, B) Speed, C) Flexibility, D) Agility</t>
  </si>
  <si>
    <t>A) Technique</t>
  </si>
  <si>
    <t>In which form of traditional Manipuri art is Mukna wrestling often depicted?</t>
  </si>
  <si>
    <t>A) Dance, B) Sculpture, C) Painting, D) Music</t>
  </si>
  <si>
    <t>How did the introduction of British rule affect the practice of Mukna wrestling?</t>
  </si>
  <si>
    <t>A) It led to its decline, B) It led to its modernization, C) It had no impact, D) It led to its growth</t>
  </si>
  <si>
    <t>Mukna wrestling's rules were historically passed down through which method?</t>
  </si>
  <si>
    <t>A) Written texts, B) Oral traditions, C) Public demonstrations, D) Educational institutions</t>
  </si>
  <si>
    <t>Which traditional Manipuri event is considered the 'harbinger' of Mukna wrestling?</t>
  </si>
  <si>
    <t>What significant change occurred in Mukna wrestling during the 20th century?</t>
  </si>
  <si>
    <t>A) Its formalization as a sport, B) Its decline in popularity, C) Its adaptation to international rules, D) Its introduction to global audiences</t>
  </si>
  <si>
    <t>A) Its formalization as a sport</t>
  </si>
  <si>
    <t>Which of the following historical texts includes descriptions of Mukna wrestling?</t>
  </si>
  <si>
    <t>A) Buranji, B) Mahabharata, C) Ramayana, D) Manusmriti</t>
  </si>
  <si>
    <t>Which traditional Manipuri community is known for preserving Mukna wrestling practices?</t>
  </si>
  <si>
    <t>A) Meitei, B) Kuki, C) Naga, D) Mizo</t>
  </si>
  <si>
    <t>Mukna wrestling has traditionally been associated with which type of Manipuri festival?</t>
  </si>
  <si>
    <t>A) Agricultural festivals, B) Religious festivals, C) Political festivals, D) Educational festivals</t>
  </si>
  <si>
    <t>B) Religious festivals</t>
  </si>
  <si>
    <t>Which aspect of Mukna wrestling was highlighted in traditional training manuals?</t>
  </si>
  <si>
    <t>A) Combat techniques, B) Training regimens, C) Historical context, D) Attire specifications</t>
  </si>
  <si>
    <t>Mukna wrestling is historically associated with which kind of Manipuri social gathering?</t>
  </si>
  <si>
    <t>A) Family gatherings, B) Village festivals, C) Political assemblies, D) Religious ceremonies</t>
  </si>
  <si>
    <t>B) Village festivals</t>
  </si>
  <si>
    <t>Which of the following best describes the historical significance of Mukna wrestling in Manipur?</t>
  </si>
  <si>
    <t>A) It was a form of military training, B) It was a form of entertainment, C) It was a form of ritualistic practice, D) It was a form of economic exchange</t>
  </si>
  <si>
    <t>C) It was a form of ritualistic practice</t>
  </si>
  <si>
    <t>Which Manipuri king played a crucial role in the preservation of Mukna wrestling?</t>
  </si>
  <si>
    <t>A) Maharaja Churachand Singh, B) Maharaja Bhagyachandra Singh, C) Maharaja Bodhchandra Singh, D) Maharaja Gambhir Singh</t>
  </si>
  <si>
    <t>In which ancient Manipuri text are Mukna wrestling techniques described?</t>
  </si>
  <si>
    <t>A) Rajmala, B) Buranji, C) Manusmriti, D) Vedas</t>
  </si>
  <si>
    <t>B) Buranji</t>
  </si>
  <si>
    <t>Which period saw a decline in the practice of Mukna wrestling due to external influences?</t>
  </si>
  <si>
    <t>A) Colonial period, B) Medieval period, C) Post-independence period, D) Ancient period</t>
  </si>
  <si>
    <t>What is a key feature of traditional Mukna wrestling attire?</t>
  </si>
  <si>
    <t>A) Lightweight fabric, B) Heavy armor, C) Modern sportswear, D) Decorative embellishments</t>
  </si>
  <si>
    <t>A) Lightweight fabric</t>
  </si>
  <si>
    <t>Which community in Manipur is most renowned for its expertise in Mukna wrestling?</t>
  </si>
  <si>
    <t>Mukna wrestling was traditionally used as a form of preparation for which type of activities?</t>
  </si>
  <si>
    <t>A) Ceremonial events, B) Military engagements, C) Diplomatic missions, D) Commercial transactions</t>
  </si>
  <si>
    <t>B) Military engagements</t>
  </si>
  <si>
    <t>Which festival is known for its traditional Mukna wrestling matches?</t>
  </si>
  <si>
    <t>Which historical document provides information about Mukna wrestling practices in Manipur?</t>
  </si>
  <si>
    <t>A) Buranji, B) Manusmriti, C) Arthashastra, D) Vedas</t>
  </si>
  <si>
    <t>Mukna wrestling has been portrayed in which traditional Manipuri art form?</t>
  </si>
  <si>
    <t>A) Dance, B) Music, C) Sculpture, D) Painting</t>
  </si>
  <si>
    <t>C) Sculpture</t>
  </si>
  <si>
    <t>What was a major challenge faced by Mukna wrestling during the colonial period?</t>
  </si>
  <si>
    <t>A) Suppression by colonial authorities, B) Loss of traditional techniques, C) Decline in public interest, D) Increased competition from other sports</t>
  </si>
  <si>
    <t>A) Suppression by colonial authorities</t>
  </si>
  <si>
    <t>In Mukna wrestling, what was traditionally the focus of the wrestlers' training?</t>
  </si>
  <si>
    <t>A) Combat skills, B) Speed and agility, C) Strength and endurance, D) Strategy and tactics</t>
  </si>
  <si>
    <t>Which Manipuri historical figure is remembered for his contributions to Mukna wrestling?</t>
  </si>
  <si>
    <t>Mukna wrestling was traditionally performed during which type of Manipuri events?</t>
  </si>
  <si>
    <t>A) Ritualistic festivals, B) Political gatherings, C) Trade fairs, D) Educational seminars</t>
  </si>
  <si>
    <t>A) Ritualistic festivals</t>
  </si>
  <si>
    <t>Which historical text provides a comprehensive overview of Mukna wrestling techniques and training?</t>
  </si>
  <si>
    <t>A) Rajmala, B) Buranji, C) Arthashastra, D) Manusmriti</t>
  </si>
  <si>
    <t>What role did Mukna wrestling play in the context of Manipuri culture?</t>
  </si>
  <si>
    <t>A) It was a form of entertainment, B) It was a form of military training, C) It was a form of ritualistic practice, D) It was a form of trade</t>
  </si>
  <si>
    <t>Which period saw the revival of Mukna wrestling as a formal sport?</t>
  </si>
  <si>
    <t>A) Early 20th century, B) Late 19th century, C) Mid-20th century, D) 21st century</t>
  </si>
  <si>
    <t>A) Early 20th century</t>
  </si>
  <si>
    <t>What is one of the key features of traditional Mukna wrestling attire?</t>
  </si>
  <si>
    <t>A) Lightweight and flexible, B) Heavy and protective, C) Decorative and ceremonial, D) Modern and sporty</t>
  </si>
  <si>
    <t>Which festival in Manipur is associated with traditional Mukna wrestling matches?</t>
  </si>
  <si>
    <t>A) Lai Haraoba, B) Ningol Chakouba, C) Cheiraoba, D) Yaoshang</t>
  </si>
  <si>
    <t>Which community in Manipur is known for its historical practice of Mukna wrestling?</t>
  </si>
  <si>
    <t>Which historical figure is credited with documenting Mukna wrestling practices?</t>
  </si>
  <si>
    <t>A) G. E. Harvey, B) Robert Gordon, C) R. N. Sharma, D) A. B. George</t>
  </si>
  <si>
    <t>A) G. E. Harvey</t>
  </si>
  <si>
    <t>What was a traditional setting for Mukna wrestling matches in Manipur?</t>
  </si>
  <si>
    <t>A) Open fields, B) Indoor arenas, C) Royal courts, D) Marketplaces</t>
  </si>
  <si>
    <t>A) Open fields</t>
  </si>
  <si>
    <t>Which historical era saw the decline of traditional Mukna wrestling practices?</t>
  </si>
  <si>
    <t>A) Colonial era, B) Medieval era, C) Post-independence era, D) Ancient era</t>
  </si>
  <si>
    <t>What impact did British colonization have on Mukna wrestling in Manipur?</t>
  </si>
  <si>
    <t>Which Manipuri king is known for his efforts to preserve Mukna wrestling?</t>
  </si>
  <si>
    <t>A) Maharaja Churachand Singh, B) Maharaja Gambhir Singh, C) Maharaja Bhagyachandra Singh, D) Maharaja Bodhchandra Singh</t>
  </si>
  <si>
    <t>Mukna wrestling is closely associated with which traditional Manipuri festival?</t>
  </si>
  <si>
    <t>A) Lai Haraoba, B) Cheiraoba, C) Ningol Chakouba, D) Yaoshang</t>
  </si>
  <si>
    <t>Which of the following best describes the training focus of Mukna wrestlers historically?</t>
  </si>
  <si>
    <t>A) Combat skills, B) Agility and flexibility, C) Strength and endurance, D) Speed and reflexes</t>
  </si>
  <si>
    <t>Mukna wrestling was traditionally performed in which type of setting?</t>
  </si>
  <si>
    <t>A) Open air, B) Indoor arenas, C) Royal courts, D) Private residences</t>
  </si>
  <si>
    <t>A) Open air</t>
  </si>
  <si>
    <t>Which text is known for its detailed account of Mukna wrestling techniques?</t>
  </si>
  <si>
    <t>A) Buranji, B) Rajmala, C) Manusmriti, D) Vedas</t>
  </si>
  <si>
    <t>What was the historical significance of Mukna wrestling in Manipuri society?</t>
  </si>
  <si>
    <t>A) It was a form of military training, B) It was a form of entertainment, C) It was a ritualistic practice, D) It was a method of conflict resolution</t>
  </si>
  <si>
    <t>C) It was a ritualistic practice</t>
  </si>
  <si>
    <t>Which historical text provides early references to Mukna wrestling in Manipur?</t>
  </si>
  <si>
    <t>A) Rajmala, B) Buranji, C) Manipuri Veda, D) Mahabharata</t>
  </si>
  <si>
    <t>During which century did Mukna wrestling gain prominence in Manipuri culture?</t>
  </si>
  <si>
    <t>What traditional material was used for the Mukna wrestling mat?</t>
  </si>
  <si>
    <t>A) Bamboo, B) Jute, C) Straw, D) Cotton</t>
  </si>
  <si>
    <t>C) Straw</t>
  </si>
  <si>
    <t>Who was a key promoter of Mukna wrestling during the 19th century?</t>
  </si>
  <si>
    <t>Mukna wrestling was traditionally performed during which type of Manipuri event?</t>
  </si>
  <si>
    <t>A) Agricultural harvest, B) Religious festivals, C) Political meetings, D) Market fairs</t>
  </si>
  <si>
    <t>Which Manipuri king was known for his support of Mukna wrestling in the early 20th century?</t>
  </si>
  <si>
    <t>What was a significant factor in the decline of Mukna wrestling during British rule?</t>
  </si>
  <si>
    <t>A) Suppression by colonial authorities, B) Lack of interest from locals, C) Introduction of new sports, D) Economic hardship</t>
  </si>
  <si>
    <t>Mukna wrestling was historically linked to which Manipuri royal ceremonies?</t>
  </si>
  <si>
    <t>A) Coronation ceremonies, B) Wedding ceremonies, C) Harvest festivals, D) Funeral rites</t>
  </si>
  <si>
    <t>Which art form was used to depict Mukna wrestling historically?</t>
  </si>
  <si>
    <t>A) Traditional dance, B) Painting, C) Sculpture, D) Music</t>
  </si>
  <si>
    <t>Which Manipuri text provides a description of Mukna wrestling techniques?</t>
  </si>
  <si>
    <t>A) Rajmala, B) Buranji, C) Manipuri Veda, D) Manusmriti</t>
  </si>
  <si>
    <t>What was a major challenge to the practice of Mukna wrestling in the 19th century?</t>
  </si>
  <si>
    <t>A) European influence, B) Decline in local interest, C) Introduction of foreign sports, D) Economic constraints</t>
  </si>
  <si>
    <t>A) European influence</t>
  </si>
  <si>
    <t>Which event in Manipuri history marked the revival of Mukna wrestling as a formal sport?</t>
  </si>
  <si>
    <t>A) Independence movement, B) Post-independence era, C) World War II, D) Early 20th century reform</t>
  </si>
  <si>
    <t>D) Early 20th century reform</t>
  </si>
  <si>
    <t>Which Manipuri king is credited with formalizing Mukna wrestling into a sport?</t>
  </si>
  <si>
    <t>A) Maharaja Bhagyachandra Singh, B) Maharaja Bodhchandra Singh, C) Maharaja Churachand Singh, D) Maharaja Gambhir Singh</t>
  </si>
  <si>
    <t>C) Maharaja Churachand Singh</t>
  </si>
  <si>
    <t>In traditional Mukna wrestling, what was a common method for selecting participants?</t>
  </si>
  <si>
    <t>A) By lottery, B) By skill demonstration, C) By social status, D) By age group</t>
  </si>
  <si>
    <t>B) By skill demonstration</t>
  </si>
  <si>
    <t>Which festival prominently features Mukna wrestling matches in Manipur?</t>
  </si>
  <si>
    <t>Which traditional Manipuri practice is often compared to Mukna wrestling?</t>
  </si>
  <si>
    <t>A) Kalaripayattu, B) Silambam, C) Judo, D) Wrestling in other Indian states</t>
  </si>
  <si>
    <t>D) Wrestling in other Indian states</t>
  </si>
  <si>
    <t>What type of traditional Manipuri clothing is worn during Mukna wrestling?</t>
  </si>
  <si>
    <t>A) Light cotton garments, B) Heavy armor, C) Decorative attire, D) Modern sportswear</t>
  </si>
  <si>
    <t>A) Light cotton garments</t>
  </si>
  <si>
    <t>What was the primary focus of Mukna wrestling training historically?</t>
  </si>
  <si>
    <t>A) Physical strength, B) Tactical skills, C) Speed, D) Agility</t>
  </si>
  <si>
    <t>A) Physical strength</t>
  </si>
  <si>
    <t>Which Manipuri festival is associated with the largest Mukna wrestling events?</t>
  </si>
  <si>
    <t>A) Lai Haraoba, B) Yaoshang, C) Cheiraoba, D) Ningol Chakouba</t>
  </si>
  <si>
    <t>During which era did Mukna wrestling see a decline due to colonial influence?</t>
  </si>
  <si>
    <t>Which king is known for his efforts in preserving Mukna wrestling during colonial times?</t>
  </si>
  <si>
    <t>What was one of the traditional purposes of Mukna wrestling matches in Manipuri society?</t>
  </si>
  <si>
    <t>A) Religious rituals, B) Military training, C) Social gatherings, D) Political discussions</t>
  </si>
  <si>
    <t>Which historical period saw the formalization of Mukna wrestling as a competitive sport?</t>
  </si>
  <si>
    <t>What is a significant feature of Mukna wrestling attire?</t>
  </si>
  <si>
    <t>A) Lightweight and flexible, B) Heavy and padded, C) Modern athletic gear, D) Ornate and decorative</t>
  </si>
  <si>
    <t>Which historical text offers insights into the cultural significance of Mukna wrestling?</t>
  </si>
  <si>
    <t>Which Manipuri king was instrumental in documenting Mukna wrestling techniques?</t>
  </si>
  <si>
    <t>A) Maharaja Bhagyachandra Singh, B) Maharaja Bodhchandra Singh, C) Maharaja Gambhir Singh, D) Maharaja Churachand Singh</t>
  </si>
  <si>
    <t>D) Maharaja Churachand Singh</t>
  </si>
  <si>
    <t>A) Open fields, B) Indoor arenas, C) Palaces, D) Temples</t>
  </si>
  <si>
    <t>Which historical figure is known for their role in promoting Mukna wrestling during the colonial era?</t>
  </si>
  <si>
    <t>A) Maharaja Gambhir Singh, B) Maharaja Churachand Singh, C) Maharaja Bhagyachandra Singh, D) Maharaja Bodhchandra Singh</t>
  </si>
  <si>
    <t>B) Maharaja Churachand Singh</t>
  </si>
  <si>
    <t>Mukna wrestling was traditionally performed in which type of Manipuri setting?</t>
  </si>
  <si>
    <t>A) Community festivals, B) Royal courts, C) Educational institutions, D) Political rallies</t>
  </si>
  <si>
    <t>A) Community festivals</t>
  </si>
  <si>
    <t>Which of the following best describes the cultural role of Mukna wrestling in Manipur?</t>
  </si>
  <si>
    <t>A) Entertainment, B) Military training, C) Religious practice, D) Political activity</t>
  </si>
  <si>
    <t>C) Religious practice</t>
  </si>
  <si>
    <t>What was a key element of traditional Mukna wrestling training?</t>
  </si>
  <si>
    <t>A) Combat skills, B) Agility drills, C) Strength exercises, D) Tactical planning</t>
  </si>
  <si>
    <t>C) Strength exercises</t>
  </si>
  <si>
    <t>Which Manipuri king is credited with modernizing Mukna wrestling in the early 20th century?</t>
  </si>
  <si>
    <t>What was the traditional role of Mukna wrestling matches in Manipuri society?</t>
  </si>
  <si>
    <t>A) Religious ceremonies, B) Social events, C) Educational activities, D) Political events</t>
  </si>
  <si>
    <t>A) Religious ceremonies</t>
  </si>
  <si>
    <t>Which Manipuri king is associated with efforts to preserve Mukna wrestling traditions during British rule?</t>
  </si>
  <si>
    <t>What historical text is crucial for understanding the techniques of Mukna wrestling?</t>
  </si>
  <si>
    <t>A) Buranji, B) Rajmala, C) Manipuri Veda, D) Manusmriti</t>
  </si>
  <si>
    <t>Which festival is known for showcasing traditional Mukna wrestling matches?</t>
  </si>
  <si>
    <t>Which community played a significant role in the development of Mukna wrestling in Manipur?</t>
  </si>
  <si>
    <t>What was one of the primary influences on Mukna wrestling during the colonial era?</t>
  </si>
  <si>
    <t>A) European sports, B) Local traditions, C) Modern sports practices, D) Economic changes</t>
  </si>
  <si>
    <t>A) European sports</t>
  </si>
  <si>
    <t>What was a significant cultural event associated with Mukna wrestling in traditional Manipur?</t>
  </si>
  <si>
    <t>A) Harvest festivals, B) Royal ceremonies, C) Wedding celebrations, D) Political assemblies</t>
  </si>
  <si>
    <t>B) Royal ceremonies</t>
  </si>
  <si>
    <t>Who played a pivotal role in the preservation of Mukna wrestling traditions in the 20th century?</t>
  </si>
  <si>
    <t>Which aspect of Mukna wrestling was highlighted in historical Manipuri texts?</t>
  </si>
  <si>
    <t>A) Ritualistic significance, B) Economic impact, C) Political influence, D) Educational value</t>
  </si>
  <si>
    <t>A) Ritualistic significance</t>
  </si>
  <si>
    <t>What was the primary material used to make Mukna wrestling mats historically?</t>
  </si>
  <si>
    <t>A) Bamboo, B) Jute, C) Cotton, D) Straw</t>
  </si>
  <si>
    <t>D) Straw</t>
  </si>
  <si>
    <t>Which historical figure is known for their detailed account of Mukna wrestling practices?</t>
  </si>
  <si>
    <t>A) Robert Gordon, B) R. N. Sharma, C) G. E. Harvey, D) A. B. George</t>
  </si>
  <si>
    <t>C) G. E. Harvey</t>
  </si>
  <si>
    <t>Which Manipuri king is recognized for their efforts in documenting Mukna wrestling techniques?</t>
  </si>
  <si>
    <t>What was one of the main reasons for the decline of Mukna wrestling during British rule?</t>
  </si>
  <si>
    <t>A) Colonial suppression, B) Lack of interest, C) Economic downturn, D) Introduction of foreign sports</t>
  </si>
  <si>
    <t>A) Colonial suppression</t>
  </si>
  <si>
    <t>Which of the following best describes the attire worn by Mukna wrestlers historically?</t>
  </si>
  <si>
    <t>A) Light and flexible, B) Heavy and protective, C) Modern sports gear, D) Ornate and decorative</t>
  </si>
  <si>
    <t>A) Light and flexible</t>
  </si>
  <si>
    <t>Which traditional festival in Manipur includes Mukna wrestling as a major event?</t>
  </si>
  <si>
    <t>What role did Mukna wrestling play in the context of Manipuri royal ceremonies?</t>
  </si>
  <si>
    <t>A) It was a form of entertainment, B) It was a form of military training, C) It was a form of ritualistic practice, D) It was a form of diplomacy</t>
  </si>
  <si>
    <t>Which historical document is essential for understanding the evolution of Mukna wrestling in Manipur?</t>
  </si>
  <si>
    <t>During which historical period did Mukna wrestling experience a revival as a formal sport?</t>
  </si>
  <si>
    <t>What was a traditional setting for Mukna wrestling matches in historical Manipur?</t>
  </si>
  <si>
    <t>What was a key feature of traditional Mukna wrestling attire historically?</t>
  </si>
  <si>
    <t>Which Manipuri king is credited with the preservation of Mukna wrestling during colonial rule?</t>
  </si>
  <si>
    <t>Mukna wrestling was traditionally linked to which type of Manipuri event?</t>
  </si>
  <si>
    <t>A) Religious rituals, B) Social gatherings, C) Political events, D) Economic transactions</t>
  </si>
  <si>
    <t>Which traditional Manipuri text provides insight into Mukna wrestling techniques?</t>
  </si>
  <si>
    <t>A) Buranji, B) Rajmala, C) Manusmriti, D) Manipuri Veda</t>
  </si>
  <si>
    <t>What was a significant factor in the decline of Mukna wrestling during the British colonial era?</t>
  </si>
  <si>
    <t>A) Colonial suppression, B) Economic hardship, C) Lack of local interest, D) Introduction of new sports</t>
  </si>
  <si>
    <t>Which Manipuri king played a key role in documenting Mukna wrestling techniques?</t>
  </si>
  <si>
    <t>A) Community festivals, B) Political assemblies, C) Educational events, D) Market fairs</t>
  </si>
  <si>
    <t>What aspect of Mukna wrestling was emphasized in traditional Manipuri texts?</t>
  </si>
  <si>
    <t>Which historical figure is known for their detailed accounts of Mukna wrestling practices?</t>
  </si>
  <si>
    <t>What was a primary material used for Mukna wrestling mats in historical Manipur?</t>
  </si>
  <si>
    <t>A) Straw, B) Bamboo, C) Jute, D) Cotton</t>
  </si>
  <si>
    <t>A) Straw</t>
  </si>
  <si>
    <t>Which Manipuri king is recognized for their efforts in modernizing Mukna wrestling?</t>
  </si>
  <si>
    <t>What role did Mukna wrestling traditionally play in Manipuri royal ceremonies?</t>
  </si>
  <si>
    <t>A) Ritualistic practice, B) Military training, C) Social entertainment, D) Political discourse</t>
  </si>
  <si>
    <t>A) Ritualistic practice</t>
  </si>
  <si>
    <t>Which Manipuri festival is famous for its Mukna wrestling events?</t>
  </si>
  <si>
    <t>Which historical document is crucial for understanding Mukna wrestling techniques?</t>
  </si>
  <si>
    <t>During which period did Mukna wrestling experience a significant revival as a sport?</t>
  </si>
  <si>
    <t>What was a common setting for Mukna wrestling matches historically?</t>
  </si>
  <si>
    <t>What type of attire was traditionally worn by Mukna wrestlers?</t>
  </si>
  <si>
    <t>Which Manipuri ruler is known for their patronage of Mukna wrestling in the 19th century?</t>
  </si>
  <si>
    <t>What was the traditional significance of Mukna wrestling in Manipuri warfare?</t>
  </si>
  <si>
    <t>A) Training for combat, B) Symbolic victory, C) Display of strength, D) Diplomatic gesture</t>
  </si>
  <si>
    <t>A) Training for combat</t>
  </si>
  <si>
    <t>Which ancient Manipuri text describes the origins and techniques of Mukna wrestling?</t>
  </si>
  <si>
    <t>B) Rajmala</t>
  </si>
  <si>
    <t>In which Manipuri festival was Mukna wrestling traditionally performed as part of the celebrations?</t>
  </si>
  <si>
    <t>Which of the following was a primary venue for Mukna wrestling in historical Manipur?</t>
  </si>
  <si>
    <t>A) Royal palaces, B) Village squares, C) Temple courtyards, D) Marketplaces</t>
  </si>
  <si>
    <t>B) Village squares</t>
  </si>
  <si>
    <t>What was a traditional Mukna wrestling practice to ensure fair competition?</t>
  </si>
  <si>
    <t>A) Use of specific wrestling mats, B) Ritual purification, C) Mandatory training period, D) Scheduled competitions</t>
  </si>
  <si>
    <t>B) Ritual purification</t>
  </si>
  <si>
    <t>Which Manipuri king is associated with the promotion of Mukna wrestling as a cultural heritage?</t>
  </si>
  <si>
    <t>What material was traditionally used to create Mukna wrestling attire?</t>
  </si>
  <si>
    <t>A) Silk, B) Cotton, C) Jute, D) Wool</t>
  </si>
  <si>
    <t>B) Cotton</t>
  </si>
  <si>
    <t>Which historical event led to a significant decline in Mukna wrestling practices?</t>
  </si>
  <si>
    <t>A) The Anglo-Manipuri War, B) British colonial rule, C) Japanese invasion, D) Indian independence</t>
  </si>
  <si>
    <t>B) British colonial rule</t>
  </si>
  <si>
    <t>Which Manipuri text is an important source for the history and rules of Mukna wrestling?</t>
  </si>
  <si>
    <t>A) Religious festivals, B) Political gatherings, C) Social celebrations, D) Economic fairs</t>
  </si>
  <si>
    <t>What role did Mukna wrestling play in the education of Manipuri youth historically?</t>
  </si>
  <si>
    <t>A) Physical training, B) Moral education, C) Military preparation, D) Artistic development</t>
  </si>
  <si>
    <t>C) Military preparation</t>
  </si>
  <si>
    <t>Which royal figure is credited with preserving Mukna wrestling practices during times of cultural transition?</t>
  </si>
  <si>
    <t>A) Maharaja Gambhir Singh, B) Maharaja Bhagyachandra Singh, C) Maharaja Churachand Singh, D) Maharaja Bodhchandra Singh</t>
  </si>
  <si>
    <t>B) Maharaja Bhagyachandra Singh</t>
  </si>
  <si>
    <t>What was a common purpose of Mukna wrestling matches in historical Manipur?</t>
  </si>
  <si>
    <t>A) Entertainment, B) Ritual offerings, C) Training for battle, D) Social bonding</t>
  </si>
  <si>
    <t>C) Training for battle</t>
  </si>
  <si>
    <t>Which aspect of Mukna wrestling is highlighted in traditional Manipuri folklore?</t>
  </si>
  <si>
    <t>A) Spiritual significance, B) Competitive nature, C) Historical heroes, D) Physical techniques</t>
  </si>
  <si>
    <t>A) Spiritual significance</t>
  </si>
  <si>
    <t>Which Manipuri text provides detailed information on Mukna wrestling rituals?</t>
  </si>
  <si>
    <t>What was a typical feature of traditional Mukna wrestling attire?</t>
  </si>
  <si>
    <t>A) Loose fitting, B) Heavy padding, C) Bright colors, D) Ornate decorations</t>
  </si>
  <si>
    <t>A) Loose fitting</t>
  </si>
  <si>
    <t>Which historical period saw a revival of Mukna wrestling as a traditional sport?</t>
  </si>
  <si>
    <t>Which Manipuri king is known for establishing formal training centers for Mukna wrestling?</t>
  </si>
  <si>
    <t>What traditional material was used for making the wrestling mats for Mukna in historical Manipur?</t>
  </si>
  <si>
    <t>A) Straw, B) Jute, C) Cotton, D) Bamboo</t>
  </si>
  <si>
    <t>Which historical figure documented Mukna wrestling techniques in the early 20th century?</t>
  </si>
  <si>
    <t>Mukna wrestling was traditionally associated with which Manipuri royal activities?</t>
  </si>
  <si>
    <t>A) Ceremonial rites, B) Administrative meetings, C) Military training, D) Diplomatic events</t>
  </si>
  <si>
    <t>A) Ceremonial rites</t>
  </si>
  <si>
    <t>What was a significant challenge faced by Mukna wrestling practitioners during colonial times?</t>
  </si>
  <si>
    <t>A) Suppression of traditional practices, B) Introduction of new sports, C) Economic hardships, D) Cultural shifts</t>
  </si>
  <si>
    <t>A) Suppression of traditional practices</t>
  </si>
  <si>
    <t>Which festival saw the highest participation in Mukna wrestling historically?</t>
  </si>
  <si>
    <t>A) Yaoshang, B) Lai Haraoba, C) Cheiraoba, D) Ningol Chakouba</t>
  </si>
  <si>
    <t>What was the traditional purpose of Mukna wrestling in Manipuri society?</t>
  </si>
  <si>
    <t>A) Social entertainment, B) Religious ceremonies, C) Training for war, D) Political demonstrations</t>
  </si>
  <si>
    <t>C) Training for war</t>
  </si>
  <si>
    <t>What aspect of Mukna wrestling was emphasized in historical training sessions?</t>
  </si>
  <si>
    <t>A) Strength and agility, B) Ritual knowledge, C) Combat techniques, D) Physical endurance</t>
  </si>
  <si>
    <t>Which historical document provides a comprehensive view of Mukna wrestling practices in Manipur?</t>
  </si>
  <si>
    <t>What was a common feature of Mukna wrestling matches held in the past?</t>
  </si>
  <si>
    <t>A) Ritualistic elements, B) Formal scoring, C) Strict rules, D) Spectator involvement</t>
  </si>
  <si>
    <t>A) Ritualistic elements</t>
  </si>
  <si>
    <t>Which king is remembered for reviving Mukna wrestling as a cultural practice during the 20th century?</t>
  </si>
  <si>
    <t>What was a traditional feature of the wrestling mat used in Mukna?</t>
  </si>
  <si>
    <t>A) Made of straw, B) Covered in jute, C) Embellished with symbols, D) Equipped with padding</t>
  </si>
  <si>
    <t>A) Made of straw</t>
  </si>
  <si>
    <t>Which Manipuri text provides detailed historical accounts of Mukna wrestling?</t>
  </si>
  <si>
    <t>What was a key focus of Mukna wrestling training historically?</t>
  </si>
  <si>
    <t>A) Combat readiness, B) Cultural rituals, C) Social status, D) Economic benefits</t>
  </si>
  <si>
    <t>A) Combat readiness</t>
  </si>
  <si>
    <t>Which Manipuri king is credited with supporting Mukna wrestling as a sport during their reign?</t>
  </si>
  <si>
    <t>What traditional attire was used in Mukna wrestling?</t>
  </si>
  <si>
    <t>A) Cotton garments, B) Silk robes, C) Woolen outfits, D) Leather armor</t>
  </si>
  <si>
    <t>A) Cotton garments</t>
  </si>
  <si>
    <t>What was the impact of British colonial rule on Mukna wrestling?</t>
  </si>
  <si>
    <t>A) Decline in popularity, B) Introduction of new rules, C) Increased international exposure, D) Preservation of traditional practices</t>
  </si>
  <si>
    <t>A) Decline in popularity</t>
  </si>
  <si>
    <t>Which festival was most associated with traditional Mukna wrestling in Manipur?</t>
  </si>
  <si>
    <t>What aspect of Mukna wrestling was commonly celebrated in Manipuri society?</t>
  </si>
  <si>
    <t>A) Ritual significance, B) Competitive spirit, C) Artistic display, D) Political importance</t>
  </si>
  <si>
    <t>A) Ritual significance</t>
  </si>
  <si>
    <t>Which historical period saw a resurgence in Mukna wrestling as a traditional sport?</t>
  </si>
  <si>
    <t>A) Post-independence, B) During British rule, C) Early 20th century, D) Pre-colonial era</t>
  </si>
  <si>
    <t>What was a typical feature of Mukna wrestling mats in historical times?</t>
  </si>
  <si>
    <t>A) Made of straw, B) Covered with jute, C) Embellished with patterns, D) Equipped with padding</t>
  </si>
  <si>
    <t>Which king is associated with formalizing Mukna wrestling rules and practices?</t>
  </si>
  <si>
    <t>Which historical account provides insights into Mukna wrestling techniques and training?</t>
  </si>
  <si>
    <t>What role did Mukna wrestling play in Manipuri culture during the 19th century?</t>
  </si>
  <si>
    <t>A) Cultural ritual, B) Entertainment, C) Military training, D) Political statement</t>
  </si>
  <si>
    <t>A) Cultural ritual</t>
  </si>
  <si>
    <t>Which Manipuri king is remembered for supporting Mukna wrestling as a cultural practice?</t>
  </si>
  <si>
    <t>What was a common feature of historical Mukna wrestling attire?</t>
  </si>
  <si>
    <t>A) Loose fitting, B) Bright colors, C) Heavy padding, D) Elaborate designs</t>
  </si>
  <si>
    <t>Which document offers a detailed description of traditional Mukna wrestling practices in Manipur?</t>
  </si>
  <si>
    <t>What was a traditional use of Mukna wrestling mats in Manipur?</t>
  </si>
  <si>
    <t>A) For ceremonial purposes, B) For sports competitions, C) For military training, D) For educational events</t>
  </si>
  <si>
    <t>A) For ceremonial purposes</t>
  </si>
  <si>
    <t>Which festival had the highest participation in Mukna wrestling historically?</t>
  </si>
  <si>
    <t>What was a primary challenge for Mukna wrestling practitioners during colonial rule?</t>
  </si>
  <si>
    <t>A) Loss of traditional practices, B) Lack of support, C) Economic constraints, D) Cultural shifts</t>
  </si>
  <si>
    <t>A) Loss of traditional practices</t>
  </si>
  <si>
    <t>What was a key feature of traditional Mukna wrestling attire in Manipur?</t>
  </si>
  <si>
    <t>A) Cotton garments, B) Woolen outfits, C) Silk robes, D) Leather armor</t>
  </si>
  <si>
    <t>Which king is known for their efforts to revive Mukna wrestling in modern times?</t>
  </si>
  <si>
    <t>What was a major influence on the decline of Mukna wrestling during the British era?</t>
  </si>
  <si>
    <t>A) Colonial policies, B) Economic shifts, C) Cultural changes, D) Military conflicts</t>
  </si>
  <si>
    <t>A) Colonial policies</t>
  </si>
  <si>
    <t>Which document is crucial for understanding the historical context of Mukna wrestling?</t>
  </si>
  <si>
    <t>What was a traditional purpose of Mukna wrestling matches in Manipur?</t>
  </si>
  <si>
    <t>A) Training for battle, B) Social entertainment, C) Religious rites, D) Political displays</t>
  </si>
  <si>
    <t>A) Training for battle</t>
  </si>
  <si>
    <t>Which Manipuri king is associated with the formalization of Mukna wrestling techniques?</t>
  </si>
  <si>
    <t>What was a traditional feature of Mukna wrestling in historical times?</t>
  </si>
  <si>
    <t>A) Ritualistic practices, B) Competitive formats, C) Political significance, D) Artistic displays</t>
  </si>
  <si>
    <t>A) Ritualistic practices</t>
  </si>
  <si>
    <t>Which historical account offers valuable insights into the practice and significance of Mukna wrestling?</t>
  </si>
  <si>
    <t>Which Manipuri festival is closely associated with Mukna wrestling?</t>
  </si>
  <si>
    <t>What was a traditional aspect of Mukna wrestling training in historical Manipur?</t>
  </si>
  <si>
    <t>A) Combat readiness, B) Physical endurance, C) Ritual knowledge, D) Social skills</t>
  </si>
  <si>
    <t>Which king is noted for their contribution to the preservation of Mukna wrestling during the 20th century?</t>
  </si>
  <si>
    <t>What material was commonly used for historical Mukna wrestling mats in Manipur?</t>
  </si>
  <si>
    <t>Which Manipuri text provides a comprehensive description of Mukna wrestling practices and rituals?</t>
  </si>
  <si>
    <t>What was the primary purpose of Mukna wrestling in historical Manipuri society?</t>
  </si>
  <si>
    <t>A) Combat training, B) Social entertainment, C) Religious observances, D) Political demonstrations</t>
  </si>
  <si>
    <t>A) Combat training</t>
  </si>
  <si>
    <t>Which historical text is essential for understanding the history of Mukna wrestling?</t>
  </si>
  <si>
    <t>What was a major factor contributing to the decline of Mukna wrestling during the colonial era?</t>
  </si>
  <si>
    <t>A) Suppression of traditional practices, B) Economic hardships, C) Cultural shifts, D) Military conflicts</t>
  </si>
  <si>
    <t>Which Manipuri king played a key role in the revival of Mukna wrestling as a traditional sport?</t>
  </si>
  <si>
    <t>What was a notable feature of traditional Mukna wrestling attire?</t>
  </si>
  <si>
    <t>A) Loose fitting cotton, B) Silk robes, C) Heavy padding, D) Elaborate decorations</t>
  </si>
  <si>
    <t>A) Loose fitting cotton</t>
  </si>
  <si>
    <t>Which historical account offers detailed insights into Mukna wrestling techniques and practices?</t>
  </si>
  <si>
    <t>Which Manipuri festival historically had the largest number of Mukna wrestling participants?</t>
  </si>
  <si>
    <t>A) Combat readiness, B) Physical endurance, C) Ritual knowledge, D) Social interaction</t>
  </si>
  <si>
    <t>Which historical figure is credited with documenting Mukna wrestling practices in early 20th century Manipur?</t>
  </si>
  <si>
    <t>What was the traditional role of Mukna wrestling in Manipuri warfare?</t>
  </si>
  <si>
    <t>A) Combat training, B) Ritual preparation, C) Social bonding, D) Artistic expression</t>
  </si>
  <si>
    <t>Which Manipuri king is known for their efforts to formalize Mukna wrestling techniques?</t>
  </si>
  <si>
    <t>A) Colonial policies, B) Economic pressures, C) Cultural changes, D) Military conflicts</t>
  </si>
  <si>
    <t>Which historical text is crucial for understanding Mukna wrestling practices?</t>
  </si>
  <si>
    <t>What was the traditional attire for Mukna wrestling matches in historical Manipur?</t>
  </si>
  <si>
    <t>Which king is noted for their role in the revival of Mukna wrestling as a cultural practice?</t>
  </si>
  <si>
    <t>A) Decline in popularity, B) Increased exposure, C) Preservation of practices, D) Introduction of new rules</t>
  </si>
  <si>
    <t>Which Manipuri festival saw the most significant participation in Mukna wrestling historically?</t>
  </si>
  <si>
    <t>What was the primary purpose of Mukna wrestling in historical Manipur?</t>
  </si>
  <si>
    <t>A) Combat training, B) Entertainment, C) Religious rites, D) Social status</t>
  </si>
  <si>
    <t>Which historical document is essential for understanding the evolution of Mukna wrestling?</t>
  </si>
  <si>
    <t>What was a traditional feature of Mukna wrestling attire in Manipur?</t>
  </si>
  <si>
    <t>A) Loose fitting, B) Bright colors, C) Heavy padding, D) Decorative designs</t>
  </si>
  <si>
    <t>Which Manipuri king played a significant role in the revival of Mukna wrestling during the 20th century?</t>
  </si>
  <si>
    <t>What was a notable feature of Mukna wrestling mats in historical times?</t>
  </si>
  <si>
    <t>A) Made of straw, B) Covered with jute, C) Equipped with padding, D) Embellished with patterns</t>
  </si>
  <si>
    <t>Which historical text offers detailed insights into Mukna wrestling practices and techniques?</t>
  </si>
  <si>
    <t>What was a traditional purpose of Mukna wrestling in Manipuri society?</t>
  </si>
  <si>
    <t>A) Combat training, B) Social entertainment, C) Religious ceremonies, D) Political demonstrations</t>
  </si>
  <si>
    <t>Which Manipuri king is noted for their efforts to preserve Mukna wrestling as a traditional practice?</t>
  </si>
  <si>
    <t>What was a significant factor contributing to the decline of Mukna wrestling during the British era?</t>
  </si>
  <si>
    <t>Which historical account provides valuable insights into the practice of Mukna wrestling?</t>
  </si>
  <si>
    <t>What was the primary use of Mukna wrestling mats in historical Manipur?</t>
  </si>
  <si>
    <t>A) Ceremonial purposes, B) Sports competitions, C) Military training, D) Educational events</t>
  </si>
  <si>
    <t>A) Ceremonial purposes</t>
  </si>
  <si>
    <t>Which Manipuri festival historically saw the largest number of Mukna wrestling participants?</t>
  </si>
  <si>
    <t>Which king is associated with documenting Mukna wrestling practices in early 20th century Manipur?</t>
  </si>
  <si>
    <t>Which Manipuri king played a key role in the revival of Mukna wrestling during the 20th century?</t>
  </si>
  <si>
    <t>Which ancient text provides detailed descriptions of Mukna wrestling techniques?</t>
  </si>
  <si>
    <t>Which Manipuri king was known for his patronage of Mukna wrestling?</t>
  </si>
  <si>
    <t>What was a significant factor in the decline of Mukna wrestling during the 19th century?</t>
  </si>
  <si>
    <t>A) Colonial intervention, B) Economic changes, C) Social reforms, D) Political conflicts</t>
  </si>
  <si>
    <t>A) Colonial intervention</t>
  </si>
  <si>
    <t>Which festival in Manipur historically featured prominent Mukna wrestling events?</t>
  </si>
  <si>
    <t>What was a common characteristic of traditional Mukna wrestling attire?</t>
  </si>
  <si>
    <t>A) Loose-fitting cotton garments, B) Silk robes, C) Leather armor, D) Woolen outfits</t>
  </si>
  <si>
    <t>A) Loose-fitting cotton garments</t>
  </si>
  <si>
    <t>Which historical account is crucial for understanding the rules and techniques of Mukna wrestling?</t>
  </si>
  <si>
    <t>What was the role of Mukna wrestling in traditional Manipuri military training?</t>
  </si>
  <si>
    <t>Which British-era document provides insights into the decline of Mukna wrestling?</t>
  </si>
  <si>
    <t>A) G. E. Harvey's writings, B) R. N. Sharma's reports, C) Robert Gordon's studies, D) A. B. George's records</t>
  </si>
  <si>
    <t>A) G. E. Harvey's writings</t>
  </si>
  <si>
    <t>What traditional feature was prominent in the training of Mukna wrestlers?</t>
  </si>
  <si>
    <t>A) Combat readiness, B) Physical strength, C) Ritualistic practices, D) Social etiquette</t>
  </si>
  <si>
    <t>Which Manipuri king is associated with the modernization of Mukna wrestling techniques?</t>
  </si>
  <si>
    <t>What impact did British colonial policies have on Mukna wrestling?</t>
  </si>
  <si>
    <t>A) Suppression of traditional practices, B) Promotion of the sport, C) Introduction of new rules, D) Preservation of traditions</t>
  </si>
  <si>
    <t>Which text provides a historical account of Mukna wrestling's role in Manipuri society?</t>
  </si>
  <si>
    <t>What material was historically used for Mukna wrestling mats in Manipur?</t>
  </si>
  <si>
    <t>Which Manipuri festival was historically known for large-scale Mukna wrestling matches?</t>
  </si>
  <si>
    <t>Which historical text is essential for understanding Mukna wrestling practices?</t>
  </si>
  <si>
    <t>What was a traditional aspect of Mukna wrestling attire in Manipur?</t>
  </si>
  <si>
    <t>A) Loose-fitting garments, B) Bright colors, C) Heavy padding, D) Decorative designs</t>
  </si>
  <si>
    <t>A) Loose-fitting garments</t>
  </si>
  <si>
    <t>Which Manipuri king is noted for their contributions to the revival of Mukna wrestling?</t>
  </si>
  <si>
    <t>Which historical account is crucial for understanding Mukna wrestling practices and techniques?</t>
  </si>
  <si>
    <t>What role did Mukna wrestling play in Manipuri society during the 19th century?</t>
  </si>
  <si>
    <t>Which historical document is essential for understanding the history of Mukna wrestling?</t>
  </si>
  <si>
    <t>Which Manipuri king is associated with the promotion and formalization of Mukna wrestling?</t>
  </si>
  <si>
    <t>What was a significant cause of the decline of Mukna wrestling during the colonial period?</t>
  </si>
  <si>
    <t>A) British policies, B) Economic decline, C) Cultural changes, D) Internal conflicts</t>
  </si>
  <si>
    <t>A) British policies</t>
  </si>
  <si>
    <t>Which festival was known for its large-scale Mukna wrestling events in historical Manipur?</t>
  </si>
  <si>
    <t>What was the primary purpose of Mukna wrestling in traditional Manipuri society?</t>
  </si>
  <si>
    <t>Which Manipuri text offers a comprehensive description of Mukna wrestling practices?</t>
  </si>
  <si>
    <t>Which historical account provides insights into Mukna wrestling’s role in Manipuri society?</t>
  </si>
  <si>
    <t>What was the primary function of Mukna wrestling in historical Manipur?</t>
  </si>
  <si>
    <t>A) Combat training, B) Ritual practice, C) Political display, D) Entertainment</t>
  </si>
  <si>
    <t>Which British-era document discusses the decline of traditional sports like Mukna wrestling?</t>
  </si>
  <si>
    <t>What traditional feature was prominent in Mukna wrestling attire?</t>
  </si>
  <si>
    <t>A) Loose-fitting cotton garments, B) Silk robes, C) Heavy padding, D) Decorative patterns</t>
  </si>
  <si>
    <t>What impact did colonial policies have on Mukna wrestling in Manipur?</t>
  </si>
  <si>
    <t>Which festival historically featured Mukna wrestling matches in Manipur?</t>
  </si>
  <si>
    <t>What material was used for traditional Mukna wrestling mats in Manipur?</t>
  </si>
  <si>
    <t>Which Manipuri text is crucial for understanding Mukna wrestling techniques?</t>
  </si>
  <si>
    <t>What was a notable characteristic of Mukna wrestling training in historical times?</t>
  </si>
  <si>
    <t>A) Emphasis on combat readiness, B) Focus on physical endurance, C) Ritualistic elements, D) Social skills development</t>
  </si>
  <si>
    <t>A) Emphasis on combat readiness</t>
  </si>
  <si>
    <t>Which Manipuri king played a significant role in the revival of Mukna wrestling in the 20th century?</t>
  </si>
  <si>
    <t>A) Loose-fitting garments, B) Silk robes, C) Leather armor, D) Woolen outfits</t>
  </si>
  <si>
    <t>Which British-era writings are crucial for understanding the decline of Mukna wrestling?</t>
  </si>
  <si>
    <t>What role did Mukna wrestling play in the military training of historical Manipur?</t>
  </si>
  <si>
    <t>A) Combat readiness, B) Physical endurance, C) Ritual preparation, D) Social bonding</t>
  </si>
  <si>
    <t>Which festival in Manipur was known for featuring Mukna wrestling matches?</t>
  </si>
  <si>
    <t>Which historical text is essential for understanding Mukna wrestling?</t>
  </si>
  <si>
    <t>What was a significant feature of Mukna wrestling mats in historical Manipur?</t>
  </si>
  <si>
    <t>Which Manipuri festival was historically known for Mukna wrestling events?</t>
  </si>
  <si>
    <t>Which historical text provides a comprehensive description of Mukna wrestling?</t>
  </si>
  <si>
    <t>Which Manipuri king contributed significantly to the revival of Mukna wrestling in the 20th century?</t>
  </si>
  <si>
    <t>Which historical document is crucial for understanding Mukna wrestling practices and techniques?</t>
  </si>
  <si>
    <t>What was the primary function of Mukna wrestling in historical Manipuri society?</t>
  </si>
  <si>
    <t>Which British-era writings provide insights into the decline of Mukna wrestling?</t>
  </si>
  <si>
    <t>Which document is known for detailing the traditional Mukna wrestling techniques and rituals?</t>
  </si>
  <si>
    <t>A) Buranji, B) Manipuri Veda, C) Rajmala, D) Manusmriti</t>
  </si>
  <si>
    <t>Who is considered the modern promoter of Mukna wrestling in Manipur?</t>
  </si>
  <si>
    <t>What was a major factor in the historical decline of Mukna wrestling during British rule?</t>
  </si>
  <si>
    <t>A) British policies, B) Economic shifts, C) Social reforms, D) Cultural changes</t>
  </si>
  <si>
    <t>Which traditional Manipuri festival was historically associated with Mukna wrestling?</t>
  </si>
  <si>
    <t>What type of attire was traditionally worn during Mukna wrestling matches in Manipur?</t>
  </si>
  <si>
    <t>A) Loose-fitting garments, B) Heavy armor, C) Silk robes, D) Leather belts</t>
  </si>
  <si>
    <t>Which historical text provides the most detailed account of Mukna wrestling practices?</t>
  </si>
  <si>
    <t>What was the primary function of Mukna wrestling in Manipuri society during the early 20th century?</t>
  </si>
  <si>
    <t>A) Combat training, B) Religious rituals, C) Entertainment, D) Social bonding</t>
  </si>
  <si>
    <t>Who played a crucial role in the preservation of Mukna wrestling during colonial rule?</t>
  </si>
  <si>
    <t>Which Manipuri king is credited with formalizing the rules of Mukna wrestling?</t>
  </si>
  <si>
    <t>What historical impact did the British colonial administration have on traditional sports like Mukna?</t>
  </si>
  <si>
    <t>A) Decline of traditional practices, B) Promotion of sports, C) Introduction of new techniques, D) Preservation of customs</t>
  </si>
  <si>
    <t>A) Decline of traditional practices</t>
  </si>
  <si>
    <t>Which traditional Manipuri practice is closely associated with Mukna wrestling?</t>
  </si>
  <si>
    <t>A) Ritualistic combat training, B) Artistic performances, C) Religious ceremonies, D) Social gatherings</t>
  </si>
  <si>
    <t>A) Ritualistic combat training</t>
  </si>
  <si>
    <t>Which ancient Manipuri text provides a comprehensive history of Mukna wrestling?</t>
  </si>
  <si>
    <t>Which festival in Manipur historically saw significant Mukna wrestling events?</t>
  </si>
  <si>
    <t>What was a major reason for the decline in popularity of Mukna wrestling during the 19th century?</t>
  </si>
  <si>
    <t>A) Colonial interference, B) Economic hardship, C) Social changes, D) Technological advancements</t>
  </si>
  <si>
    <t>A) Colonial interference</t>
  </si>
  <si>
    <t>What role did Mukna wrestling play in the training of Manipuri soldiers historically?</t>
  </si>
  <si>
    <t>A) Combat skills development, B) Physical endurance, C) Social bonding, D) Ritual practices</t>
  </si>
  <si>
    <t>A) Combat skills development</t>
  </si>
  <si>
    <t>Which king is associated with the revival of Mukna wrestling in modern times?</t>
  </si>
  <si>
    <t>What material was traditionally used for making Mukna wrestling mats?</t>
  </si>
  <si>
    <t>Which festival is known for its large-scale Mukna wrestling competitions?</t>
  </si>
  <si>
    <t>A) Combat preparation, B) Ritualistic training, C) Social skill development, D) Entertainment</t>
  </si>
  <si>
    <t>Which historical figure is most associated with promoting Mukna wrestling?</t>
  </si>
  <si>
    <t>What was a key feature of Mukna wrestling attire in historical Manipur?</t>
  </si>
  <si>
    <t>Which document from the British era provides information about the decline of Mukna wrestling?</t>
  </si>
  <si>
    <t>What role did Mukna wrestling play in historical Manipuri society?</t>
  </si>
  <si>
    <t>A) Combat training, B) Entertainment, C) Religious observances, D) Social bonding</t>
  </si>
  <si>
    <t>Which king is credited with modernizing Mukna wrestling techniques?</t>
  </si>
  <si>
    <t>What was a traditional feature of Mukna wrestling mats in historical times?</t>
  </si>
  <si>
    <t>Which Manipuri text is known for its detailed description of Mukna wrestling?</t>
  </si>
  <si>
    <t>What was the primary function of Mukna wrestling in traditional Manipuri society?</t>
  </si>
  <si>
    <t>A) Combat training, B) Social entertainment, C) Religious rites, D) Political display</t>
  </si>
  <si>
    <t>Which British-era writings are essential for understanding the decline of Mukna wrestling?</t>
  </si>
  <si>
    <t>What traditional aspect of Mukna wrestling was highlighted in historical accounts?</t>
  </si>
  <si>
    <t>A) Combat readiness, B) Physical strength, C) Ritualistic practices, D) Social status</t>
  </si>
  <si>
    <t>Which festival in Manipur historically featured Mukna wrestling as a key event?</t>
  </si>
  <si>
    <t>What material was used for traditional Mukna wrestling mats in historical Manipur?</t>
  </si>
  <si>
    <t>Which Manipuri king is noted for significant contributions to the revival of Mukna wrestling?</t>
  </si>
  <si>
    <t>What role did Mukna wrestling play in traditional Manipuri society during the colonial period?</t>
  </si>
  <si>
    <t>A) Combat training, B) Social entertainment, C) Ritualistic practices, D) Political propaganda</t>
  </si>
  <si>
    <t>Which text provides a comprehensive historical account of Mukna wrestling techniques?</t>
  </si>
  <si>
    <t>What was a traditional aspect of Mukna wrestling attire in historical Manipur?</t>
  </si>
  <si>
    <t>Which British-era writings detail the decline of traditional sports like Mukna wrestling?</t>
  </si>
  <si>
    <t>Which king is credited with the formalization of Mukna wrestling rules and techniques?</t>
  </si>
  <si>
    <t>What was a key feature of Mukna wrestling mats in traditional times?</t>
  </si>
  <si>
    <t>Which Manipuri text is crucial for understanding Mukna wrestling techniques and history?</t>
  </si>
  <si>
    <t>What was the primary role of Mukna wrestling in historical Manipuri society?</t>
  </si>
  <si>
    <t>What was a traditional characteristic of Mukna wrestling training?</t>
  </si>
  <si>
    <t>A) Combat readiness, B) Physical strength, C) Ritualistic practices, D) Social bonding</t>
  </si>
  <si>
    <t>Which festival historically featured Mukna wrestling as a prominent event?</t>
  </si>
  <si>
    <t>What material was traditionally used for Mukna wrestling mats in Manipur?</t>
  </si>
  <si>
    <t>Which king played a significant role in the revival of Mukna wrestling in the 20th century?</t>
  </si>
  <si>
    <t>What was the primary purpose of Mukna wrestling in traditional Manipuri society during colonial times?</t>
  </si>
  <si>
    <t>A) Combat training, B) Social entertainment, C) Ritualistic practices, D) Political display</t>
  </si>
  <si>
    <t>Which text provides an essential historical account of Mukna wrestling techniques?</t>
  </si>
  <si>
    <t>What was a traditional feature of Mukna wrestling attire in historical Manipur?</t>
  </si>
  <si>
    <t>Which British-era document details the decline of Mukna wrestling?</t>
  </si>
  <si>
    <t>What was the historical significance of Mukna wrestling in Manipuri military training?</t>
  </si>
  <si>
    <t>A) Combat preparation, B) Physical endurance, C) Ritualistic practices, D) Social skills</t>
  </si>
  <si>
    <t>Which Manipuri king is associated with the modernization of Mukna wrestling rules?</t>
  </si>
  <si>
    <t>What was a key aspect of Mukna wrestling mats historically in Manipur?</t>
  </si>
  <si>
    <t>Which historical text is crucial for understanding Mukna wrestling techniques?</t>
  </si>
  <si>
    <t>A) Combat training, B) Social entertainment, C) Religious rites, D) Political demonstrations</t>
  </si>
  <si>
    <t>What was a traditional aspect of Mukna wrestling training?</t>
  </si>
  <si>
    <t>Which Manipuri festival historically featured Mukna wrestling as a significant event?</t>
  </si>
  <si>
    <t>Which Manipuri king is known for their efforts in reviving Mukna wrestling?</t>
  </si>
  <si>
    <t>What role did Mukna wrestling play in traditional Manipuri military training during the colonial era?</t>
  </si>
  <si>
    <t>A) Combat skills, B) Physical endurance, C) Social skills, D) Ritualistic practices</t>
  </si>
  <si>
    <t>A) Combat skills</t>
  </si>
  <si>
    <t>Which text provides detailed historical accounts of Mukna wrestling?</t>
  </si>
  <si>
    <t>What was the primary role of Mukna wrestling in traditional Manipuri society during the colonial period?</t>
  </si>
  <si>
    <t>Which king is known for their contributions to Mukna wrestling in modern Manipur?</t>
  </si>
  <si>
    <t>What was the material traditionally used for Mukna wrestling mats?</t>
  </si>
  <si>
    <t>Which historical text offers an in-depth look at Mukna wrestling techniques and history?</t>
  </si>
  <si>
    <t>What was a key feature of Mukna wrestling attire in traditional times?</t>
  </si>
  <si>
    <t>Which British-era document provides valuable information on the decline of Mukna wrestling?</t>
  </si>
  <si>
    <t>What was the main purpose of Mukna wrestling in traditional Manipuri society?</t>
  </si>
  <si>
    <t>Which Manipuri king played a significant role in the modernization of Mukna wrestling?</t>
  </si>
  <si>
    <t>Which Manipuri festival is historically associated with Mukna wrestling?</t>
  </si>
  <si>
    <t>Which king is credited with the revival of Mukna wrestling in the modern era?</t>
  </si>
  <si>
    <t>What was the historical impact of Mukna wrestling on Manipuri military training?</t>
  </si>
  <si>
    <t>Which text offers a comprehensive account of Mukna wrestling history and techniques?</t>
  </si>
  <si>
    <t>What was a traditional characteristic of Mukna wrestling attire in historical Manipur?</t>
  </si>
  <si>
    <t>Which British-era writings detail the decline of Mukna wrestling?</t>
  </si>
  <si>
    <t>What was the primary role of Mukna wrestling in historical Manipuri society during the colonial period?</t>
  </si>
  <si>
    <t>Which king is associated with the modernization and promotion of Mukna wrestling?</t>
  </si>
  <si>
    <t>What material was traditionally used for Mukna wrestling mats in historical Manipur?</t>
  </si>
  <si>
    <t>Which text provides essential details on Mukna wrestling techniques and history?</t>
  </si>
  <si>
    <t>What was the primary purpose of Mukna wrestling in traditional Manipuri society during the colonial period?</t>
  </si>
  <si>
    <t>Which king played a significant role in the revival and modernization of Mukna wrestling?</t>
  </si>
  <si>
    <t>What was the material traditionally used for Mukna wrestling mats in historical Manipur?</t>
  </si>
  <si>
    <t>Which historical text offers a comprehensive account of Mukna wrestling techniques and practices?</t>
  </si>
  <si>
    <t>Which British-era writings provide detailed insights into the decline of Mukna wrestling?</t>
  </si>
  <si>
    <t>Which historical figure is often credited with popularizing Mukna wrestling during the early 20th century?</t>
  </si>
  <si>
    <t>What was the traditional significance of Mukna wrestling in Manipuri royalty?</t>
  </si>
  <si>
    <t>A) Demonstration of strength, B) Ritualistic practice, C) Entertainment, D) Political power</t>
  </si>
  <si>
    <t>Which Manipuri festival was known for its association with Mukna wrestling?</t>
  </si>
  <si>
    <t>In historical Manipur, what was the primary purpose of Mukna wrestling?</t>
  </si>
  <si>
    <t>A) Training for warfare, B) Social bonding, C) Entertainment, D) Religious rituals</t>
  </si>
  <si>
    <t>A) Training for warfare</t>
  </si>
  <si>
    <t>What role did Mukna wrestling play in the military training of Manipuri soldiers?</t>
  </si>
  <si>
    <t>A) Combat readiness, B) Physical fitness, C) Mental toughness, D) Tactical strategies</t>
  </si>
  <si>
    <t>Which colonial-era document provides information on Mukna wrestling's decline in popularity?</t>
  </si>
  <si>
    <t>What was a typical feature of Mukna wrestling attire in historical times?</t>
  </si>
  <si>
    <t>Which Manipuri ruler is known for their efforts to revive traditional Mukna wrestling practices?</t>
  </si>
  <si>
    <t>Which text is considered an important source for understanding the history of Mukna wrestling?</t>
  </si>
  <si>
    <t>How did British colonial rule affect the practice of Mukna wrestling?</t>
  </si>
  <si>
    <t>A) Increased popularity, B) Decline in traditional practice, C) Institutionalization, D) Cultural revival</t>
  </si>
  <si>
    <t>B) Decline in traditional practice</t>
  </si>
  <si>
    <t>What was the primary reason for the decline of Mukna wrestling during the early 20th century?</t>
  </si>
  <si>
    <t>A) Colonial suppression, B) Shift in cultural practices, C) Economic downturn, D) Political instability</t>
  </si>
  <si>
    <t>Which Manipuri king is credited with documenting Mukna wrestling practices in the 19th century?</t>
  </si>
  <si>
    <t>What was a common feature of Mukna wrestling bouts in historical Manipur?</t>
  </si>
  <si>
    <t>A) Traditional music, B) Ritualistic offerings, C) Audience participation, D) Strict rules</t>
  </si>
  <si>
    <t>A) Traditional music</t>
  </si>
  <si>
    <t>What aspect of Mukna wrestling was emphasized in traditional Manipuri training?</t>
  </si>
  <si>
    <t>A) Combat techniques, B) Physical endurance, C) Tactical skills, D) Mental discipline</t>
  </si>
  <si>
    <t>Which Manipuri festival is most closely associated with Mukna wrestling competitions?</t>
  </si>
  <si>
    <t>How did Mukna wrestling contribute to Manipuri social life in the 19th century?</t>
  </si>
  <si>
    <t>A) Social gatherings, B) Military training, C) Entertainment, D) Religious rites</t>
  </si>
  <si>
    <t>A) Social gatherings</t>
  </si>
  <si>
    <t>What was a key function of Mukna wrestling in historical Manipuri society?</t>
  </si>
  <si>
    <t>A) Combat practice, B) Entertainment, C) Social cohesion, D) Political demonstration</t>
  </si>
  <si>
    <t>A) Combat practice</t>
  </si>
  <si>
    <t>Which king's reign saw significant changes in Mukna wrestling practices in the 20th century?</t>
  </si>
  <si>
    <t>What was the traditional practice associated with Mukna wrestling during festivals?</t>
  </si>
  <si>
    <t>A) Ritualistic dances, B) Community feasts, C) Public demonstrations, D) Martial arts exhibitions</t>
  </si>
  <si>
    <t>C) Public demonstrations</t>
  </si>
  <si>
    <t>Which text provides insights into the techniques and history of Mukna wrestling?</t>
  </si>
  <si>
    <t>What was the primary focus of Mukna wrestling training in traditional Manipur?</t>
  </si>
  <si>
    <t>A) Combat skills, B) Physical strength, C) Ritual practices, D) Social interactions</t>
  </si>
  <si>
    <t>What material was used for Mukna wrestling mats in traditional Manipur?</t>
  </si>
  <si>
    <t>Which British-era writings discuss the cultural aspects of Mukna wrestling?</t>
  </si>
  <si>
    <t>Which Manipuri festival was historically significant for Mukna wrestling competitions?</t>
  </si>
  <si>
    <t>What was a major impact of colonial rule on Mukna wrestling practices?</t>
  </si>
  <si>
    <t>A) Decline in traditional practice, B) Increased recognition, C) Preservation efforts, D) Institutionalization</t>
  </si>
  <si>
    <t>A) Decline in traditional practice</t>
  </si>
  <si>
    <t>Which Manipuri ruler was instrumental in documenting Mukna wrestling in the 19th century?</t>
  </si>
  <si>
    <t>What was the traditional attire for Mukna wrestlers in historical times?</t>
  </si>
  <si>
    <t>Which text is a primary source for the history of Mukna wrestling?</t>
  </si>
  <si>
    <t>What was the primary function of Mukna wrestling in the 19th century Manipuri society?</t>
  </si>
  <si>
    <t>A) Combat training, B) Entertainment, C) Social bonding, D) Ritualistic practice</t>
  </si>
  <si>
    <t>Which Manipuri festival is known for Mukna wrestling competitions?</t>
  </si>
  <si>
    <t>What role did Mukna wrestling play in Manipuri military training historically?</t>
  </si>
  <si>
    <t>A) Combat readiness, B) Physical fitness, C) Mental toughness, D) Tactical skills</t>
  </si>
  <si>
    <t>Which Manipuri king made significant efforts to revive Mukna wrestling practices in the 20th century?</t>
  </si>
  <si>
    <t>Which historical text offers insights into Mukna wrestling techniques and practices?</t>
  </si>
  <si>
    <t>How did British colonial rule impact Mukna wrestling in Manipur?</t>
  </si>
  <si>
    <t>A) Decline in practice, B) Increased popularity, C) Institutionalization, D) Cultural revival</t>
  </si>
  <si>
    <t>A) Decline in practice</t>
  </si>
  <si>
    <t>Which king's reign saw the documentation of Mukna wrestling practices in the 19th century?</t>
  </si>
  <si>
    <t>A) Combat techniques, B) Physical endurance, C) Ritual practices, D) Social interactions</t>
  </si>
  <si>
    <t>What was a common feature of Mukna wrestling attire in historical times?</t>
  </si>
  <si>
    <t>Which Manipuri festival is historically associated with Mukna wrestling competitions?</t>
  </si>
  <si>
    <t>What impact did British colonialism have on the practice of Mukna wrestling?</t>
  </si>
  <si>
    <t>A) Decline in traditional practices, B) Increase in popularity, C) Preservation, D) Institutionalization</t>
  </si>
  <si>
    <t>A) Decline in traditional practices</t>
  </si>
  <si>
    <t>Which text is an essential source for understanding Mukna wrestling history?</t>
  </si>
  <si>
    <t>What was the traditional role of Mukna wrestling in Manipuri society during the colonial era?</t>
  </si>
  <si>
    <t>A) Combat readiness, B) Entertainment, C) Ritual practice, D) Social bonding</t>
  </si>
  <si>
    <t>Which Manipuri ruler is known for their contributions to documenting Mukna wrestling practices?</t>
  </si>
  <si>
    <t>Which Manipuri festival is significant for Mukna wrestling?</t>
  </si>
  <si>
    <t>What impact did colonial rule have on Mukna wrestling practices?</t>
  </si>
  <si>
    <t>A) Decline in practice, B) Increased recognition, C) Preservation efforts, D) Institutionalization</t>
  </si>
  <si>
    <t>Which king's reign saw significant changes in Mukna wrestling in the 20th century?</t>
  </si>
  <si>
    <t>What was a major function of Mukna wrestling during Manipuri festivals?</t>
  </si>
  <si>
    <t>A) Public demonstrations, B) Ritualistic offerings, C) Social gatherings, D) Martial arts exhibitions</t>
  </si>
  <si>
    <t>A) Public demonstrations</t>
  </si>
  <si>
    <t>Which historical text provides insights into Mukna wrestling techniques and history?</t>
  </si>
  <si>
    <t>How did British colonial rule affect Mukna wrestling in historical Manipur?</t>
  </si>
  <si>
    <t>Which Manipuri ruler documented Mukna wrestling practices in the 19th century?</t>
  </si>
  <si>
    <t>Which Manipuri festival is associated with Mukna wrestling competitions?</t>
  </si>
  <si>
    <t>What was the primary focus of Mukna wrestling training in historical Manipur?</t>
  </si>
  <si>
    <t>What material was traditionally used for Mukna wrestling mats?</t>
  </si>
  <si>
    <t>Which British-era writings are important for understanding the decline of Mukna wrestling?</t>
  </si>
  <si>
    <t>What was the primary role of Mukna wrestling in Manipuri society during the colonial period?</t>
  </si>
  <si>
    <t>Which historical document details the traditional rules and techniques of Mukna wrestling?</t>
  </si>
  <si>
    <t>A) Buranji, B) Manipuri Veda, C) Rajmala, D) Mahabharata</t>
  </si>
  <si>
    <t>In which century did Mukna wrestling start to gain prominence in Manipur?</t>
  </si>
  <si>
    <t>What was the primary use of Mukna wrestling in the training of Manipuri warriors?</t>
  </si>
  <si>
    <t>A) Combat practice, B) Physical endurance, C) Social bonding, D) Ritualistic preparation</t>
  </si>
  <si>
    <t>Which Manipuri king is known for his efforts to preserve traditional Mukna wrestling practices during colonial times?</t>
  </si>
  <si>
    <t>Which festival in Manipur historically featured Mukna wrestling as a major event?</t>
  </si>
  <si>
    <t>How did British colonial authorities view Mukna wrestling in Manipur?</t>
  </si>
  <si>
    <t>A) As a cultural asset, B) As a threat, C) As a recreational activity, D) As a symbol of resistance</t>
  </si>
  <si>
    <t>B) As a threat</t>
  </si>
  <si>
    <t>Which 19th-century Manipuri ruler documented Mukna wrestling in their writings?</t>
  </si>
  <si>
    <t>What was a common training practice for Mukna wrestlers in historical Manipur?</t>
  </si>
  <si>
    <t>A) Strength drills, B) Meditation, C) Weapon training, D) Endurance tests</t>
  </si>
  <si>
    <t>A) Strength drills</t>
  </si>
  <si>
    <t>Which traditional Manipuri text is crucial for understanding the history of Mukna wrestling?</t>
  </si>
  <si>
    <t>In which historical period did Mukna wrestling see a decline due to increased Western influence?</t>
  </si>
  <si>
    <t>A) Late 18th century, B) Early 19th century, C) Late 19th century, D) Early 20th century</t>
  </si>
  <si>
    <t>D) Early 20th century</t>
  </si>
  <si>
    <t>A) Combat readiness, B) Physical fitness, C) Social entertainment, D) Religious practice</t>
  </si>
  <si>
    <t>Which Manipuri king is credited with efforts to revive traditional Mukna wrestling practices in the 20th century?</t>
  </si>
  <si>
    <t>What was a significant factor in the decline of Mukna wrestling during the colonial period?</t>
  </si>
  <si>
    <t>A) Colonial policies, B) Economic downturn, C) Cultural shifts, D) Technological advancements</t>
  </si>
  <si>
    <t>Which Manipuri festival saw Mukna wrestling as a traditional event before the colonial era?</t>
  </si>
  <si>
    <t>What was a traditional material used for Mukna wrestling mats in historical Manipur?</t>
  </si>
  <si>
    <t>Which historical figure played a role in documenting Mukna wrestling practices in the 19th century?</t>
  </si>
  <si>
    <t>Which document provides detailed information about Mukna wrestling techniques and rules?</t>
  </si>
  <si>
    <t>How did British colonial rule affect Mukna wrestling in Manipur?</t>
  </si>
  <si>
    <t>A) Decline in practice, B) Increased recognition, C) Preservation, D) Institutionalization</t>
  </si>
  <si>
    <t>Which festival historically featured Mukna wrestling competitions in Manipur?</t>
  </si>
  <si>
    <t>Which 19th-century Manipuri king is known for documenting Mukna wrestling?</t>
  </si>
  <si>
    <t>What was the traditional material used for Mukna wrestling mats in historical Manipur?</t>
  </si>
  <si>
    <t>What was the primary role of Mukna wrestling in Manipuri festivals before colonial influence?</t>
  </si>
  <si>
    <t>A) Public demonstrations, B) Ritualistic offerings, C) Community feasts, D) Martial arts exhibitions</t>
  </si>
  <si>
    <t>Which historical text provides insights into Mukna wrestling techniques and practices?</t>
  </si>
  <si>
    <t>A) Decline in traditional practices, B) Increase in popularity, C) Preservation efforts, D) Institutionalization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</si>
</sst>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3" numFmtId="0" xfId="0" applyAlignment="1" applyFont="1">
      <alignment horizontal="left" readingOrder="0"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0">
    <tableStyle count="4" pivot="0" name="Kabaddi-style">
      <tableStyleElement dxfId="1" type="headerRow"/>
      <tableStyleElement dxfId="2" type="firstRowStripe"/>
      <tableStyleElement dxfId="3" type="secondRowStripe"/>
      <tableStyleElement dxfId="4" size="0" type="wholeTable"/>
    </tableStyle>
    <tableStyle count="4" pivot="0" name="Kabaddi-style 2">
      <tableStyleElement dxfId="1" type="headerRow"/>
      <tableStyleElement dxfId="2" type="firstRowStripe"/>
      <tableStyleElement dxfId="3" type="secondRowStripe"/>
      <tableStyleElement dxfId="4" size="0" type="wholeTable"/>
    </tableStyle>
    <tableStyle count="4" pivot="0" name="Chess-style">
      <tableStyleElement dxfId="1" type="headerRow"/>
      <tableStyleElement dxfId="2" type="firstRowStripe"/>
      <tableStyleElement dxfId="3" type="secondRowStripe"/>
      <tableStyleElement dxfId="4" size="0" type="wholeTable"/>
    </tableStyle>
    <tableStyle count="4" pivot="0" name="Chess-style 2">
      <tableStyleElement dxfId="1" type="headerRow"/>
      <tableStyleElement dxfId="2" type="firstRowStripe"/>
      <tableStyleElement dxfId="3" type="secondRowStripe"/>
      <tableStyleElement dxfId="4" size="0" type="wholeTable"/>
    </tableStyle>
    <tableStyle count="4" pivot="0" name="Kho kho-style">
      <tableStyleElement dxfId="1" type="headerRow"/>
      <tableStyleElement dxfId="2" type="firstRowStripe"/>
      <tableStyleElement dxfId="3" type="secondRowStripe"/>
      <tableStyleElement dxfId="4" size="0" type="wholeTable"/>
    </tableStyle>
    <tableStyle count="4" pivot="0" name="Kho kho-style 2">
      <tableStyleElement dxfId="1" type="headerRow"/>
      <tableStyleElement dxfId="2" type="firstRowStripe"/>
      <tableStyleElement dxfId="3" type="secondRowStripe"/>
      <tableStyleElement dxfId="4" size="0" type="wholeTable"/>
    </tableStyle>
    <tableStyle count="4" pivot="0" name="Musti Yuddha-style">
      <tableStyleElement dxfId="1" type="headerRow"/>
      <tableStyleElement dxfId="2" type="firstRowStripe"/>
      <tableStyleElement dxfId="3" type="secondRowStripe"/>
      <tableStyleElement dxfId="4" size="0" type="wholeTable"/>
    </tableStyle>
    <tableStyle count="4" pivot="0" name="Musti Yuddha-style 2">
      <tableStyleElement dxfId="1" type="headerRow"/>
      <tableStyleElement dxfId="2" type="firstRowStripe"/>
      <tableStyleElement dxfId="3" type="secondRowStripe"/>
      <tableStyleElement dxfId="4" size="0" type="wholeTable"/>
    </tableStyle>
    <tableStyle count="4" pivot="0" name="Lagori-style">
      <tableStyleElement dxfId="1" type="headerRow"/>
      <tableStyleElement dxfId="2" type="firstRowStripe"/>
      <tableStyleElement dxfId="3" type="secondRowStripe"/>
      <tableStyleElement dxfId="4" size="0" type="wholeTable"/>
    </tableStyle>
    <tableStyle count="4" pivot="0" name="Lagori-style 2">
      <tableStyleElement dxfId="1" type="headerRow"/>
      <tableStyleElement dxfId="2" type="firstRowStripe"/>
      <tableStyleElement dxfId="3" type="secondRowStripe"/>
      <tableStyleElement dxfId="4" size="0" type="wholeTable"/>
    </tableStyle>
    <tableStyle count="4" pivot="0" name="Pambaram-style">
      <tableStyleElement dxfId="1" type="headerRow"/>
      <tableStyleElement dxfId="2" type="firstRowStripe"/>
      <tableStyleElement dxfId="3" type="secondRowStripe"/>
      <tableStyleElement dxfId="4" size="0" type="wholeTable"/>
    </tableStyle>
    <tableStyle count="4" pivot="0" name="Pambaram-style 2">
      <tableStyleElement dxfId="1" type="headerRow"/>
      <tableStyleElement dxfId="2" type="firstRowStripe"/>
      <tableStyleElement dxfId="3" type="secondRowStripe"/>
      <tableStyleElement dxfId="4" size="0" type="wholeTable"/>
    </tableStyle>
    <tableStyle count="4" pivot="0" name="Dhop Khel-style">
      <tableStyleElement dxfId="1" type="headerRow"/>
      <tableStyleElement dxfId="2" type="firstRowStripe"/>
      <tableStyleElement dxfId="3" type="secondRowStripe"/>
      <tableStyleElement dxfId="4" size="0" type="wholeTable"/>
    </tableStyle>
    <tableStyle count="4" pivot="0" name="Dhop Khel-style 2">
      <tableStyleElement dxfId="1" type="headerRow"/>
      <tableStyleElement dxfId="2" type="firstRowStripe"/>
      <tableStyleElement dxfId="3" type="secondRowStripe"/>
      <tableStyleElement dxfId="4" size="0" type="wholeTable"/>
    </tableStyle>
    <tableStyle count="4" pivot="0" name="Kanche-style">
      <tableStyleElement dxfId="1" type="headerRow"/>
      <tableStyleElement dxfId="2" type="firstRowStripe"/>
      <tableStyleElement dxfId="3" type="secondRowStripe"/>
      <tableStyleElement dxfId="4" size="0" type="wholeTable"/>
    </tableStyle>
    <tableStyle count="4" pivot="0" name="Kanche-style 2">
      <tableStyleElement dxfId="1" type="headerRow"/>
      <tableStyleElement dxfId="2" type="firstRowStripe"/>
      <tableStyleElement dxfId="3" type="secondRowStripe"/>
      <tableStyleElement dxfId="4" size="0" type="wholeTable"/>
    </tableStyle>
    <tableStyle count="4" pivot="0" name="Carrom-style">
      <tableStyleElement dxfId="1" type="headerRow"/>
      <tableStyleElement dxfId="2" type="firstRowStripe"/>
      <tableStyleElement dxfId="3" type="secondRowStripe"/>
      <tableStyleElement dxfId="4" size="0" type="wholeTable"/>
    </tableStyle>
    <tableStyle count="4" pivot="0" name="Carrom-style 2">
      <tableStyleElement dxfId="1" type="headerRow"/>
      <tableStyleElement dxfId="2" type="firstRowStripe"/>
      <tableStyleElement dxfId="3" type="secondRowStripe"/>
      <tableStyleElement dxfId="4" size="0" type="wholeTable"/>
    </tableStyle>
    <tableStyle count="4" pivot="0" name="Kalaripayattu-style">
      <tableStyleElement dxfId="1" type="headerRow"/>
      <tableStyleElement dxfId="2" type="firstRowStripe"/>
      <tableStyleElement dxfId="3" type="secondRowStripe"/>
      <tableStyleElement dxfId="4" size="0" type="wholeTable"/>
    </tableStyle>
    <tableStyle count="4" pivot="0" name="Kalaripayattu-style 2">
      <tableStyleElement dxfId="1" type="headerRow"/>
      <tableStyleElement dxfId="2" type="firstRowStripe"/>
      <tableStyleElement dxfId="3" type="secondRowStripe"/>
      <tableStyleElement dxfId="4" size="0" type="wholeTable"/>
    </tableStyle>
    <tableStyle count="4" pivot="0" name="Silambam-style">
      <tableStyleElement dxfId="1" type="headerRow"/>
      <tableStyleElement dxfId="2" type="firstRowStripe"/>
      <tableStyleElement dxfId="3" type="secondRowStripe"/>
      <tableStyleElement dxfId="4" size="0" type="wholeTable"/>
    </tableStyle>
    <tableStyle count="4" pivot="0" name="Silambam-style 2">
      <tableStyleElement dxfId="1" type="headerRow"/>
      <tableStyleElement dxfId="2" type="firstRowStripe"/>
      <tableStyleElement dxfId="3" type="secondRowStripe"/>
      <tableStyleElement dxfId="4" size="0" type="wholeTable"/>
    </tableStyle>
    <tableStyle count="4" pivot="0" name="Malakhamb-style">
      <tableStyleElement dxfId="1" type="headerRow"/>
      <tableStyleElement dxfId="2" type="firstRowStripe"/>
      <tableStyleElement dxfId="3" type="secondRowStripe"/>
      <tableStyleElement dxfId="4" size="0" type="wholeTable"/>
    </tableStyle>
    <tableStyle count="4" pivot="0" name="Malakhamb-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hang Ta-style">
      <tableStyleElement dxfId="1" type="headerRow"/>
      <tableStyleElement dxfId="2" type="firstRowStripe"/>
      <tableStyleElement dxfId="3" type="secondRowStripe"/>
      <tableStyleElement dxfId="4" size="0" type="wholeTable"/>
    </tableStyle>
    <tableStyle count="4" pivot="0" name="Thang Ta-style 2">
      <tableStyleElement dxfId="1" type="headerRow"/>
      <tableStyleElement dxfId="2" type="firstRowStripe"/>
      <tableStyleElement dxfId="3" type="secondRowStripe"/>
      <tableStyleElement dxfId="4" size="0" type="wholeTable"/>
    </tableStyle>
    <tableStyle count="4" pivot="0" name="Mukna-style">
      <tableStyleElement dxfId="1" type="headerRow"/>
      <tableStyleElement dxfId="2" type="firstRowStripe"/>
      <tableStyleElement dxfId="3" type="secondRowStripe"/>
      <tableStyleElement dxfId="4" size="0" type="wholeTable"/>
    </tableStyle>
    <tableStyle count="4" pivot="0" name="Mukn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485" displayName="Table1" name="Table1" id="1">
  <tableColumns count="4">
    <tableColumn name="Question No." id="1"/>
    <tableColumn name="Question" id="2"/>
    <tableColumn name="Options" id="3"/>
    <tableColumn name="Answer" id="4"/>
  </tableColumns>
  <tableStyleInfo name="Kabaddi-style" showColumnStripes="0" showFirstColumn="1" showLastColumn="1" showRowStripes="1"/>
</table>
</file>

<file path=xl/tables/table2.xml><?xml version="1.0" encoding="utf-8"?>
<table xmlns="http://schemas.openxmlformats.org/spreadsheetml/2006/main" ref="F1:I485" displayName="Table2" name="Table2" id="2">
  <tableColumns count="4">
    <tableColumn name="प्रश्न सं." id="1"/>
    <tableColumn name="सवाल" id="2"/>
    <tableColumn name="विकल्प" id="3"/>
    <tableColumn name="उत्तर" id="4"/>
  </tableColumns>
  <tableStyleInfo name="Kabaddi-style 2" showColumnStripes="0" showFirstColumn="1" showLastColumn="1" showRowStripes="1"/>
</table>
</file>

<file path=xl/tables/table3.xml><?xml version="1.0" encoding="utf-8"?>
<table xmlns="http://schemas.openxmlformats.org/spreadsheetml/2006/main" ref="A1:D508" displayName="Table3" name="Table3" id="3">
  <tableColumns count="4">
    <tableColumn name="Question No." id="1"/>
    <tableColumn name="Question" id="2"/>
    <tableColumn name="Options" id="3"/>
    <tableColumn name="Answer" id="4"/>
  </tableColumns>
  <tableStyleInfo name="Chess-style" showColumnStripes="0" showFirstColumn="1" showLastColumn="1" showRowStripes="1"/>
</table>
</file>

<file path=xl/tables/table4.xml><?xml version="1.0" encoding="utf-8"?>
<table xmlns="http://schemas.openxmlformats.org/spreadsheetml/2006/main" ref="F1:I508" displayName="Table4" name="Table4" id="4">
  <tableColumns count="4">
    <tableColumn name="प्रश्न सं." id="1"/>
    <tableColumn name="सवाल" id="2"/>
    <tableColumn name="विकल्प" id="3"/>
    <tableColumn name="उत्तर" id="4"/>
  </tableColumns>
  <tableStyleInfo name="Chess-style 2" showColumnStripes="0" showFirstColumn="1" showLastColumn="1" showRowStripes="1"/>
</table>
</file>

<file path=xl/tables/table5.xml><?xml version="1.0" encoding="utf-8"?>
<table xmlns="http://schemas.openxmlformats.org/spreadsheetml/2006/main" ref="A1:D487" displayName="Table5" name="Table5" id="5">
  <tableColumns count="4">
    <tableColumn name="Question No." id="1"/>
    <tableColumn name="Question" id="2"/>
    <tableColumn name="Options" id="3"/>
    <tableColumn name="Answer" id="4"/>
  </tableColumns>
  <tableStyleInfo name="Kho kho-style" showColumnStripes="0" showFirstColumn="1" showLastColumn="1" showRowStripes="1"/>
</table>
</file>

<file path=xl/tables/table6.xml><?xml version="1.0" encoding="utf-8"?>
<table xmlns="http://schemas.openxmlformats.org/spreadsheetml/2006/main" ref="F1:I487" displayName="Table6" name="Table6" id="6">
  <tableColumns count="4">
    <tableColumn name="प्रश्न सं." id="1"/>
    <tableColumn name="सवाल" id="2"/>
    <tableColumn name="विकल्प" id="3"/>
    <tableColumn name="उत्तर" id="4"/>
  </tableColumns>
  <tableStyleInfo name="Kho kho-style 2" showColumnStripes="0" showFirstColumn="1" showLastColumn="1" showRowStripes="1"/>
</table>
</file>

<file path=xl/tables/table7.xml><?xml version="1.0" encoding="utf-8"?>
<table xmlns="http://schemas.openxmlformats.org/spreadsheetml/2006/main" ref="A1:D486" displayName="Table7" name="Table7" id="7">
  <tableColumns count="4">
    <tableColumn name="Question No." id="1"/>
    <tableColumn name="Question" id="2"/>
    <tableColumn name="Options" id="3"/>
    <tableColumn name="Answer" id="4"/>
  </tableColumns>
  <tableStyleInfo name="Musti Yuddha-style" showColumnStripes="0" showFirstColumn="1" showLastColumn="1" showRowStripes="1"/>
</table>
</file>

<file path=xl/tables/table8.xml><?xml version="1.0" encoding="utf-8"?>
<table xmlns="http://schemas.openxmlformats.org/spreadsheetml/2006/main" ref="F1:I486" displayName="Table8" name="Table8" id="8">
  <tableColumns count="4">
    <tableColumn name="प्रश्न सं." id="1"/>
    <tableColumn name="सवाल" id="2"/>
    <tableColumn name="विकल्प" id="3"/>
    <tableColumn name="उत्तर" id="4"/>
  </tableColumns>
  <tableStyleInfo name="Musti Yuddha-style 2" showColumnStripes="0" showFirstColumn="1" showLastColumn="1" showRowStripes="1"/>
</table>
</file>

<file path=xl/tables/table9.xml><?xml version="1.0" encoding="utf-8"?>
<table xmlns="http://schemas.openxmlformats.org/spreadsheetml/2006/main" ref="A1:D544" displayName="Table9" name="Table9" id="9">
  <tableColumns count="4">
    <tableColumn name="Question No." id="1"/>
    <tableColumn name="Question" id="2"/>
    <tableColumn name="Options" id="3"/>
    <tableColumn name="Answer" id="4"/>
  </tableColumns>
  <tableStyleInfo name="Lagori-style" showColumnStripes="0" showFirstColumn="1" showLastColumn="1" showRowStripes="1"/>
</table>
</file>

<file path=xl/tables/table10.xml><?xml version="1.0" encoding="utf-8"?>
<table xmlns="http://schemas.openxmlformats.org/spreadsheetml/2006/main" ref="F1:I544" displayName="Table10" name="Table10" id="10">
  <tableColumns count="4">
    <tableColumn name="प्रश्न सं." id="1"/>
    <tableColumn name="सवाल" id="2"/>
    <tableColumn name="विकल्प" id="3"/>
    <tableColumn name="उत्तर" id="4"/>
  </tableColumns>
  <tableStyleInfo name="Lagori-style 2" showColumnStripes="0" showFirstColumn="1" showLastColumn="1" showRowStripes="1"/>
</table>
</file>

<file path=xl/tables/table11.xml><?xml version="1.0" encoding="utf-8"?>
<table xmlns="http://schemas.openxmlformats.org/spreadsheetml/2006/main" ref="A1:D410" displayName="Table11" name="Table11" id="11">
  <tableColumns count="4">
    <tableColumn name="Question No." id="1"/>
    <tableColumn name="Question" id="2"/>
    <tableColumn name="Options" id="3"/>
    <tableColumn name="Answer" id="4"/>
  </tableColumns>
  <tableStyleInfo name="Pambaram-style" showColumnStripes="0" showFirstColumn="1" showLastColumn="1" showRowStripes="1"/>
</table>
</file>

<file path=xl/tables/table12.xml><?xml version="1.0" encoding="utf-8"?>
<table xmlns="http://schemas.openxmlformats.org/spreadsheetml/2006/main" ref="F1:I410" displayName="Table12" name="Table12" id="12">
  <tableColumns count="4">
    <tableColumn name="प्रश्न सं." id="1"/>
    <tableColumn name="सवाल" id="2"/>
    <tableColumn name="विकल्प" id="3"/>
    <tableColumn name="उत्तर" id="4"/>
  </tableColumns>
  <tableStyleInfo name="Pambaram-style 2" showColumnStripes="0" showFirstColumn="1" showLastColumn="1" showRowStripes="1"/>
</table>
</file>

<file path=xl/tables/table13.xml><?xml version="1.0" encoding="utf-8"?>
<table xmlns="http://schemas.openxmlformats.org/spreadsheetml/2006/main" ref="A1:D402" displayName="Table13" name="Table13" id="13">
  <tableColumns count="4">
    <tableColumn name="Question No." id="1"/>
    <tableColumn name="Question" id="2"/>
    <tableColumn name="Options" id="3"/>
    <tableColumn name="Answer" id="4"/>
  </tableColumns>
  <tableStyleInfo name="Dhop Khel-style" showColumnStripes="0" showFirstColumn="1" showLastColumn="1" showRowStripes="1"/>
</table>
</file>

<file path=xl/tables/table14.xml><?xml version="1.0" encoding="utf-8"?>
<table xmlns="http://schemas.openxmlformats.org/spreadsheetml/2006/main" ref="F1:I402" displayName="Table14" name="Table14" id="14">
  <tableColumns count="4">
    <tableColumn name="प्रश्न सं." id="1"/>
    <tableColumn name="सवाल" id="2"/>
    <tableColumn name="विकल्प" id="3"/>
    <tableColumn name="उत्तर" id="4"/>
  </tableColumns>
  <tableStyleInfo name="Dhop Khel-style 2" showColumnStripes="0" showFirstColumn="1" showLastColumn="1" showRowStripes="1"/>
</table>
</file>

<file path=xl/tables/table15.xml><?xml version="1.0" encoding="utf-8"?>
<table xmlns="http://schemas.openxmlformats.org/spreadsheetml/2006/main" ref="A1:D499" displayName="Table15" name="Table15" id="15">
  <tableColumns count="4">
    <tableColumn name="Question No." id="1"/>
    <tableColumn name="Question" id="2"/>
    <tableColumn name="Options" id="3"/>
    <tableColumn name="Answer" id="4"/>
  </tableColumns>
  <tableStyleInfo name="Kanche-style" showColumnStripes="0" showFirstColumn="1" showLastColumn="1" showRowStripes="1"/>
</table>
</file>

<file path=xl/tables/table16.xml><?xml version="1.0" encoding="utf-8"?>
<table xmlns="http://schemas.openxmlformats.org/spreadsheetml/2006/main" ref="F1:I499" displayName="Table16" name="Table16" id="16">
  <tableColumns count="4">
    <tableColumn name="प्रश्न सं." id="1"/>
    <tableColumn name="सवाल" id="2"/>
    <tableColumn name="विकल्प" id="3"/>
    <tableColumn name="उत्तर" id="4"/>
  </tableColumns>
  <tableStyleInfo name="Kanche-style 2" showColumnStripes="0" showFirstColumn="1" showLastColumn="1" showRowStripes="1"/>
</table>
</file>

<file path=xl/tables/table17.xml><?xml version="1.0" encoding="utf-8"?>
<table xmlns="http://schemas.openxmlformats.org/spreadsheetml/2006/main" ref="A1:D543" displayName="Table17" name="Table17" id="17">
  <tableColumns count="4">
    <tableColumn name="Question No." id="1"/>
    <tableColumn name="Question" id="2"/>
    <tableColumn name="Options" id="3"/>
    <tableColumn name="Answer" id="4"/>
  </tableColumns>
  <tableStyleInfo name="Carrom-style" showColumnStripes="0" showFirstColumn="1" showLastColumn="1" showRowStripes="1"/>
</table>
</file>

<file path=xl/tables/table18.xml><?xml version="1.0" encoding="utf-8"?>
<table xmlns="http://schemas.openxmlformats.org/spreadsheetml/2006/main" ref="F1:I543" displayName="Table18" name="Table18" id="18">
  <tableColumns count="4">
    <tableColumn name="प्रश्न सं." id="1"/>
    <tableColumn name="सवाल" id="2"/>
    <tableColumn name="विकल्प" id="3"/>
    <tableColumn name="उत्तर" id="4"/>
  </tableColumns>
  <tableStyleInfo name="Carrom-style 2" showColumnStripes="0" showFirstColumn="1" showLastColumn="1" showRowStripes="1"/>
</table>
</file>

<file path=xl/tables/table19.xml><?xml version="1.0" encoding="utf-8"?>
<table xmlns="http://schemas.openxmlformats.org/spreadsheetml/2006/main" ref="A1:D461" displayName="Kalaripayattu_Quiz_Data" name="Kalaripayattu_Quiz_Data" id="19">
  <tableColumns count="4">
    <tableColumn name="Question No." id="1"/>
    <tableColumn name="Question" id="2"/>
    <tableColumn name="Options" id="3"/>
    <tableColumn name="Answer" id="4"/>
  </tableColumns>
  <tableStyleInfo name="Kalaripayattu-style" showColumnStripes="0" showFirstColumn="1" showLastColumn="1" showRowStripes="1"/>
</table>
</file>

<file path=xl/tables/table20.xml><?xml version="1.0" encoding="utf-8"?>
<table xmlns="http://schemas.openxmlformats.org/spreadsheetml/2006/main" ref="F1:I461" displayName="Table19" name="Table19" id="20">
  <tableColumns count="4">
    <tableColumn name="प्रश्न सं." id="1"/>
    <tableColumn name="सवाल" id="2"/>
    <tableColumn name="विकल्प" id="3"/>
    <tableColumn name="उत्तर" id="4"/>
  </tableColumns>
  <tableStyleInfo name="Kalaripayattu-style 2" showColumnStripes="0" showFirstColumn="1" showLastColumn="1" showRowStripes="1"/>
</table>
</file>

<file path=xl/tables/table21.xml><?xml version="1.0" encoding="utf-8"?>
<table xmlns="http://schemas.openxmlformats.org/spreadsheetml/2006/main" ref="A1:D514" displayName="Table20" name="Table20" id="21">
  <tableColumns count="4">
    <tableColumn name="Question No." id="1"/>
    <tableColumn name="Question" id="2"/>
    <tableColumn name="Options" id="3"/>
    <tableColumn name="Answer" id="4"/>
  </tableColumns>
  <tableStyleInfo name="Silambam-style" showColumnStripes="0" showFirstColumn="1" showLastColumn="1" showRowStripes="1"/>
</table>
</file>

<file path=xl/tables/table22.xml><?xml version="1.0" encoding="utf-8"?>
<table xmlns="http://schemas.openxmlformats.org/spreadsheetml/2006/main" ref="F1:I514" displayName="Table21" name="Table21" id="22">
  <tableColumns count="4">
    <tableColumn name="प्रश्न सं." id="1"/>
    <tableColumn name="सवाल" id="2"/>
    <tableColumn name="विकल्प" id="3"/>
    <tableColumn name="उत्तर" id="4"/>
  </tableColumns>
  <tableStyleInfo name="Silambam-style 2" showColumnStripes="0" showFirstColumn="1" showLastColumn="1" showRowStripes="1"/>
</table>
</file>

<file path=xl/tables/table23.xml><?xml version="1.0" encoding="utf-8"?>
<table xmlns="http://schemas.openxmlformats.org/spreadsheetml/2006/main" ref="A1:D442" displayName="Malkhamb_Quiz_Questions" name="Malkhamb_Quiz_Questions" id="23">
  <tableColumns count="4">
    <tableColumn name="Question No." id="1"/>
    <tableColumn name="Question" id="2"/>
    <tableColumn name="Options" id="3"/>
    <tableColumn name="Answer" id="4"/>
  </tableColumns>
  <tableStyleInfo name="Malakhamb-style" showColumnStripes="0" showFirstColumn="1" showLastColumn="1" showRowStripes="1"/>
</table>
</file>

<file path=xl/tables/table24.xml><?xml version="1.0" encoding="utf-8"?>
<table xmlns="http://schemas.openxmlformats.org/spreadsheetml/2006/main" ref="F1:I442" displayName="Table23" name="Table23" id="24">
  <tableColumns count="4">
    <tableColumn name="प्रश्न सं." id="1"/>
    <tableColumn name="सवाल" id="2"/>
    <tableColumn name="विकल्प" id="3"/>
    <tableColumn name="उत्तर" id="4"/>
  </tableColumns>
  <tableStyleInfo name="Malakhamb-style 2" showColumnStripes="0" showFirstColumn="1" showLastColumn="1" showRowStripes="1"/>
</table>
</file>

<file path=xl/tables/table25.xml><?xml version="1.0" encoding="utf-8"?>
<table xmlns="http://schemas.openxmlformats.org/spreadsheetml/2006/main" ref="A1:D435" displayName="Table22" name="Table22" id="25">
  <tableColumns count="4">
    <tableColumn name="Question No." id="1"/>
    <tableColumn name="Question" id="2"/>
    <tableColumn name="Options" id="3"/>
    <tableColumn name="Answer" id="4"/>
  </tableColumns>
  <tableStyleInfo name="Gilli Danda-style" showColumnStripes="0" showFirstColumn="1" showLastColumn="1" showRowStripes="1"/>
</table>
</file>

<file path=xl/tables/table26.xml><?xml version="1.0" encoding="utf-8"?>
<table xmlns="http://schemas.openxmlformats.org/spreadsheetml/2006/main" ref="F1:I435" displayName="Table24" name="Table24" id="26">
  <tableColumns count="4">
    <tableColumn name="प्रश्न सं." id="1"/>
    <tableColumn name="सवाल" id="2"/>
    <tableColumn name="विकल्प" id="3"/>
    <tableColumn name="उत्तर" id="4"/>
  </tableColumns>
  <tableStyleInfo name="Gilli Danda-style 2" showColumnStripes="0" showFirstColumn="1" showLastColumn="1" showRowStripes="1"/>
</table>
</file>

<file path=xl/tables/table27.xml><?xml version="1.0" encoding="utf-8"?>
<table xmlns="http://schemas.openxmlformats.org/spreadsheetml/2006/main" ref="A1:D533" displayName="Table25" name="Table25" id="27">
  <tableColumns count="4">
    <tableColumn name="Question No." id="1"/>
    <tableColumn name="Question" id="2"/>
    <tableColumn name="Options" id="3"/>
    <tableColumn name="Answer" id="4"/>
  </tableColumns>
  <tableStyleInfo name="Thang Ta-style" showColumnStripes="0" showFirstColumn="1" showLastColumn="1" showRowStripes="1"/>
</table>
</file>

<file path=xl/tables/table28.xml><?xml version="1.0" encoding="utf-8"?>
<table xmlns="http://schemas.openxmlformats.org/spreadsheetml/2006/main" ref="F1:I533" displayName="Table26" name="Table26" id="28">
  <tableColumns count="4">
    <tableColumn name="प्रश्न सं." id="1"/>
    <tableColumn name="सवाल" id="2"/>
    <tableColumn name="विकल्प" id="3"/>
    <tableColumn name="उत्तर" id="4"/>
  </tableColumns>
  <tableStyleInfo name="Thang Ta-style 2" showColumnStripes="0" showFirstColumn="1" showLastColumn="1" showRowStripes="1"/>
</table>
</file>

<file path=xl/tables/table29.xml><?xml version="1.0" encoding="utf-8"?>
<table xmlns="http://schemas.openxmlformats.org/spreadsheetml/2006/main" ref="A1:D649" displayName="Table27" name="Table27" id="29">
  <tableColumns count="4">
    <tableColumn name="Question No." id="1"/>
    <tableColumn name="Question" id="2"/>
    <tableColumn name="Options" id="3"/>
    <tableColumn name="Answer" id="4"/>
  </tableColumns>
  <tableStyleInfo name="Mukna-style" showColumnStripes="0" showFirstColumn="1" showLastColumn="1" showRowStripes="1"/>
</table>
</file>

<file path=xl/tables/table30.xml><?xml version="1.0" encoding="utf-8"?>
<table xmlns="http://schemas.openxmlformats.org/spreadsheetml/2006/main" ref="F1:I649" displayName="Table28" name="Table28" id="30">
  <tableColumns count="4">
    <tableColumn name="प्रश्न सं." id="1"/>
    <tableColumn name="सवाल" id="2"/>
    <tableColumn name="विकल्प" id="3"/>
    <tableColumn name="उत्तर" id="4"/>
  </tableColumns>
  <tableStyleInfo name="Mukn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1.xml"/><Relationship Id="rId5"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3.xml"/><Relationship Id="rId5"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5.xml"/><Relationship Id="rId5"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7.xml"/><Relationship Id="rId5"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9.xml"/><Relationship Id="rId5"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6.13"/>
    <col customWidth="1" min="7" max="8" width="37.63"/>
    <col customWidth="1" min="9" max="9" width="23.88"/>
  </cols>
  <sheetData>
    <row r="1" ht="22.5" customHeight="1">
      <c r="A1" s="1" t="s">
        <v>0</v>
      </c>
      <c r="B1" s="1" t="s">
        <v>1</v>
      </c>
      <c r="C1" s="1" t="s">
        <v>2</v>
      </c>
      <c r="D1" s="1" t="s">
        <v>3</v>
      </c>
      <c r="F1" s="2" t="s">
        <v>4</v>
      </c>
      <c r="G1" s="2" t="s">
        <v>5</v>
      </c>
      <c r="H1" s="2" t="s">
        <v>6</v>
      </c>
      <c r="I1" s="2" t="s">
        <v>7</v>
      </c>
    </row>
    <row r="2" ht="22.5" customHeight="1">
      <c r="A2" s="3">
        <v>1.0</v>
      </c>
      <c r="B2" s="4" t="s">
        <v>8</v>
      </c>
      <c r="C2" s="4" t="s">
        <v>9</v>
      </c>
      <c r="D2" s="4" t="s">
        <v>10</v>
      </c>
      <c r="F2" s="5" t="str">
        <f>IFERROR(__xludf.DUMMYFUNCTION("GOOGLETRANSLATE(A2, ""en"", ""hi"")"),"1")</f>
        <v>1</v>
      </c>
      <c r="G2" s="5" t="str">
        <f>IFERROR(__xludf.DUMMYFUNCTION("GOOGLETRANSLATE(B2, ""en"", ""hi"")"),"आधुनिक कबड्डी का जनक किसे माना जाता है?")</f>
        <v>आधुनिक कबड्डी का जनक किसे माना जाता है?</v>
      </c>
      <c r="H2" s="5" t="str">
        <f>IFERROR(__xludf.DUMMYFUNCTION("GOOGLETRANSLATE(C2, ""en"", ""hi"")"),"ए) गुलाम मोहम्मद, बी) हरिश्चंद्र भिड़े, सी) किशोर कुमार, डी) रमेश शर्मा")</f>
        <v>ए) गुलाम मोहम्मद, बी) हरिश्चंद्र भिड़े, सी) किशोर कुमार, डी) रमेश शर्मा</v>
      </c>
      <c r="I2" s="5" t="str">
        <f>IFERROR(__xludf.DUMMYFUNCTION("GOOGLETRANSLATE(D2, ""en"", ""hi"")"),"B) हरिश्चंद्र भिड़े")</f>
        <v>B) हरिश्चंद्र भिड़े</v>
      </c>
    </row>
    <row r="3" ht="22.5" customHeight="1">
      <c r="A3" s="3">
        <v>2.0</v>
      </c>
      <c r="B3" s="4" t="s">
        <v>11</v>
      </c>
      <c r="C3" s="4" t="s">
        <v>12</v>
      </c>
      <c r="D3" s="4" t="s">
        <v>13</v>
      </c>
      <c r="F3" s="5" t="str">
        <f>IFERROR(__xludf.DUMMYFUNCTION("GOOGLETRANSLATE(A3, ""en"", ""hi"")"),"2")</f>
        <v>2</v>
      </c>
      <c r="G3" s="5" t="str">
        <f>IFERROR(__xludf.DUMMYFUNCTION("GOOGLETRANSLATE(B3, ""en"", ""hi"")"),"कबड्डी के नियमों को औपचारिक रूप देने का श्रेय किस भारतीय राज्य को दिया जाता है?")</f>
        <v>कबड्डी के नियमों को औपचारिक रूप देने का श्रेय किस भारतीय राज्य को दिया जाता है?</v>
      </c>
      <c r="H3" s="5" t="str">
        <f>IFERROR(__xludf.DUMMYFUNCTION("GOOGLETRANSLATE(C3, ""en"", ""hi"")"),"A) आंध्र प्रदेश, B) पंजाब, C) तमिलनाडु, D) महाराष्ट्र")</f>
        <v>A) आंध्र प्रदेश, B) पंजाब, C) तमिलनाडु, D) महाराष्ट्र</v>
      </c>
      <c r="I3" s="5" t="str">
        <f>IFERROR(__xludf.DUMMYFUNCTION("GOOGLETRANSLATE(D3, ""en"", ""hi"")"),"D) महाराष्ट्र")</f>
        <v>D) महाराष्ट्र</v>
      </c>
    </row>
    <row r="4" ht="22.5" customHeight="1">
      <c r="A4" s="3">
        <v>3.0</v>
      </c>
      <c r="B4" s="4" t="s">
        <v>14</v>
      </c>
      <c r="C4" s="4" t="s">
        <v>15</v>
      </c>
      <c r="D4" s="4" t="s">
        <v>16</v>
      </c>
      <c r="F4" s="5" t="str">
        <f>IFERROR(__xludf.DUMMYFUNCTION("GOOGLETRANSLATE(A4, ""en"", ""hi"")"),"3")</f>
        <v>3</v>
      </c>
      <c r="G4" s="5" t="str">
        <f>IFERROR(__xludf.DUMMYFUNCTION("GOOGLETRANSLATE(B4, ""en"", ""hi"")"),"कबड्डी को पहली बार एशियाई खेलों में किस वर्ष शामिल किया गया था?")</f>
        <v>कबड्डी को पहली बार एशियाई खेलों में किस वर्ष शामिल किया गया था?</v>
      </c>
      <c r="H4" s="5" t="str">
        <f>IFERROR(__xludf.DUMMYFUNCTION("GOOGLETRANSLATE(C4, ""en"", ""hi"")"),"ए) 1958, बी) 1962, सी) 1966, डी) 1970")</f>
        <v>ए) 1958, बी) 1962, सी) 1966, डी) 1970</v>
      </c>
      <c r="I4" s="5" t="str">
        <f>IFERROR(__xludf.DUMMYFUNCTION("GOOGLETRANSLATE(D4, ""en"", ""hi"")"),"बी) 1962")</f>
        <v>बी) 1962</v>
      </c>
    </row>
    <row r="5" ht="22.5" customHeight="1">
      <c r="A5" s="3">
        <v>4.0</v>
      </c>
      <c r="B5" s="4" t="s">
        <v>17</v>
      </c>
      <c r="C5" s="4" t="s">
        <v>18</v>
      </c>
      <c r="D5" s="4" t="s">
        <v>19</v>
      </c>
      <c r="F5" s="5" t="str">
        <f>IFERROR(__xludf.DUMMYFUNCTION("GOOGLETRANSLATE(A5, ""en"", ""hi"")"),"4")</f>
        <v>4</v>
      </c>
      <c r="G5" s="5" t="str">
        <f>IFERROR(__xludf.DUMMYFUNCTION("GOOGLETRANSLATE(B5, ""en"", ""hi"")"),"पद्म भूषण से सम्मानित होने वाले पहले कबड्डी खिलाड़ी कौन थे?")</f>
        <v>पद्म भूषण से सम्मानित होने वाले पहले कबड्डी खिलाड़ी कौन थे?</v>
      </c>
      <c r="H5" s="5" t="str">
        <f>IFERROR(__xludf.DUMMYFUNCTION("GOOGLETRANSLATE(C5, ""en"", ""hi"")"),"ए) बाबू घोष, बी) रामेश्वर सिंह, सी) के.बी. चन्द्रशेखर, डी) डी.पी. यादव")</f>
        <v>ए) बाबू घोष, बी) रामेश्वर सिंह, सी) के.बी. चन्द्रशेखर, डी) डी.पी. यादव</v>
      </c>
      <c r="I5" s="5" t="str">
        <f>IFERROR(__xludf.DUMMYFUNCTION("GOOGLETRANSLATE(D5, ""en"", ""hi"")"),"C) के.बी. चंद्रशेखर")</f>
        <v>C) के.बी. चंद्रशेखर</v>
      </c>
    </row>
    <row r="6" ht="22.5" customHeight="1">
      <c r="A6" s="3">
        <v>5.0</v>
      </c>
      <c r="B6" s="4" t="s">
        <v>20</v>
      </c>
      <c r="C6" s="4" t="s">
        <v>21</v>
      </c>
      <c r="D6" s="4" t="s">
        <v>22</v>
      </c>
      <c r="F6" s="5" t="str">
        <f>IFERROR(__xludf.DUMMYFUNCTION("GOOGLETRANSLATE(A6, ""en"", ""hi"")"),"5")</f>
        <v>5</v>
      </c>
      <c r="G6" s="5" t="str">
        <f>IFERROR(__xludf.DUMMYFUNCTION("GOOGLETRANSLATE(B6, ""en"", ""hi"")"),"भारत में कौन सा कबड्डी टूर्नामेंट सबसे पुराना माना जाता है?")</f>
        <v>भारत में कौन सा कबड्डी टूर्नामेंट सबसे पुराना माना जाता है?</v>
      </c>
      <c r="H6" s="5" t="str">
        <f>IFERROR(__xludf.DUMMYFUNCTION("GOOGLETRANSLATE(C6, ""en"", ""hi"")"),"A) अखिल भारतीय कबड्डी टूर्नामेंट, B) महाराष्ट्र राज्य कबड्डी टूर्नामेंट, C) पंजाब कबड्डी लीग, D) दक्षिणी भारत कबड्डी चैम्पियनशिप")</f>
        <v>A) अखिल भारतीय कबड्डी टूर्नामेंट, B) महाराष्ट्र राज्य कबड्डी टूर्नामेंट, C) पंजाब कबड्डी लीग, D) दक्षिणी भारत कबड्डी चैम्पियनशिप</v>
      </c>
      <c r="I6" s="5" t="str">
        <f>IFERROR(__xludf.DUMMYFUNCTION("GOOGLETRANSLATE(D6, ""en"", ""hi"")"),"A) अखिल भारतीय कबड्डी टूर्नामेंट")</f>
        <v>A) अखिल भारतीय कबड्डी टूर्नामेंट</v>
      </c>
    </row>
    <row r="7" ht="22.5" customHeight="1">
      <c r="A7" s="3">
        <v>6.0</v>
      </c>
      <c r="B7" s="4" t="s">
        <v>23</v>
      </c>
      <c r="C7" s="4" t="s">
        <v>24</v>
      </c>
      <c r="D7" s="4" t="s">
        <v>25</v>
      </c>
      <c r="F7" s="5" t="str">
        <f>IFERROR(__xludf.DUMMYFUNCTION("GOOGLETRANSLATE(A7, ""en"", ""hi"")"),"6")</f>
        <v>6</v>
      </c>
      <c r="G7" s="5" t="str">
        <f>IFERROR(__xludf.DUMMYFUNCTION("GOOGLETRANSLATE(B7, ""en"", ""hi"")"),"पहली अंतर्राष्ट्रीय कबड्डी चैंपियनशिप किस वर्ष आयोजित की गई थी?")</f>
        <v>पहली अंतर्राष्ट्रीय कबड्डी चैंपियनशिप किस वर्ष आयोजित की गई थी?</v>
      </c>
      <c r="H7" s="5" t="str">
        <f>IFERROR(__xludf.DUMMYFUNCTION("GOOGLETRANSLATE(C7, ""en"", ""hi"")"),"ए) 1980, बी) 1985, सी) 1990, डी) 1995")</f>
        <v>ए) 1980, बी) 1985, सी) 1990, डी) 1995</v>
      </c>
      <c r="I7" s="5" t="str">
        <f>IFERROR(__xludf.DUMMYFUNCTION("GOOGLETRANSLATE(D7, ""en"", ""hi"")"),"बी) 1985")</f>
        <v>बी) 1985</v>
      </c>
    </row>
    <row r="8" ht="22.5" customHeight="1">
      <c r="A8" s="3">
        <v>7.0</v>
      </c>
      <c r="B8" s="4" t="s">
        <v>26</v>
      </c>
      <c r="C8" s="4" t="s">
        <v>27</v>
      </c>
      <c r="D8" s="4" t="s">
        <v>28</v>
      </c>
      <c r="F8" s="5" t="str">
        <f>IFERROR(__xludf.DUMMYFUNCTION("GOOGLETRANSLATE(A8, ""en"", ""hi"")"),"7")</f>
        <v>7</v>
      </c>
      <c r="G8" s="5" t="str">
        <f>IFERROR(__xludf.DUMMYFUNCTION("GOOGLETRANSLATE(B8, ""en"", ""hi"")"),"भारत के बाहर सबसे पहले किस देश का कबड्डी संघ स्थापित हुआ था?")</f>
        <v>भारत के बाहर सबसे पहले किस देश का कबड्डी संघ स्थापित हुआ था?</v>
      </c>
      <c r="H8" s="5" t="str">
        <f>IFERROR(__xludf.DUMMYFUNCTION("GOOGLETRANSLATE(C8, ""en"", ""hi"")"),"A) नेपाल, B) पाकिस्तान, C) बांग्लादेश, D) श्रीलंका")</f>
        <v>A) नेपाल, B) पाकिस्तान, C) बांग्लादेश, D) श्रीलंका</v>
      </c>
      <c r="I8" s="5" t="str">
        <f>IFERROR(__xludf.DUMMYFUNCTION("GOOGLETRANSLATE(D8, ""en"", ""hi"")"),"बी) पाकिस्तान")</f>
        <v>बी) पाकिस्तान</v>
      </c>
    </row>
    <row r="9" ht="22.5" customHeight="1">
      <c r="A9" s="3">
        <v>8.0</v>
      </c>
      <c r="B9" s="4" t="s">
        <v>29</v>
      </c>
      <c r="C9" s="4" t="s">
        <v>30</v>
      </c>
      <c r="D9" s="4" t="s">
        <v>31</v>
      </c>
      <c r="F9" s="5" t="str">
        <f>IFERROR(__xludf.DUMMYFUNCTION("GOOGLETRANSLATE(A9, ""en"", ""hi"")"),"8")</f>
        <v>8</v>
      </c>
      <c r="G9" s="5" t="str">
        <f>IFERROR(__xludf.DUMMYFUNCTION("GOOGLETRANSLATE(B9, ""en"", ""hi"")"),"20वीं शताब्दी के दौरान ग्रामीण भारत में कबड्डी को लोकप्रिय बनाने में किस प्रमुख व्यक्ति ने महत्वपूर्ण भूमिका निभाई?")</f>
        <v>20वीं शताब्दी के दौरान ग्रामीण भारत में कबड्डी को लोकप्रिय बनाने में किस प्रमुख व्यक्ति ने महत्वपूर्ण भूमिका निभाई?</v>
      </c>
      <c r="H9" s="5" t="str">
        <f>IFERROR(__xludf.DUMMYFUNCTION("GOOGLETRANSLATE(C9, ""en"", ""hi"")"),"A) शंकर पाटिल, B) राज कुमार, C) के.के. शर्मा, D) जी.के. सिन्हा")</f>
        <v>A) शंकर पाटिल, B) राज कुमार, C) के.के. शर्मा, D) जी.के. सिन्हा</v>
      </c>
      <c r="I9" s="5" t="str">
        <f>IFERROR(__xludf.DUMMYFUNCTION("GOOGLETRANSLATE(D9, ""en"", ""hi"")"),"A) शंकर पाटिल")</f>
        <v>A) शंकर पाटिल</v>
      </c>
    </row>
    <row r="10" ht="22.5" customHeight="1">
      <c r="A10" s="3">
        <v>9.0</v>
      </c>
      <c r="B10" s="4" t="s">
        <v>32</v>
      </c>
      <c r="C10" s="4" t="s">
        <v>33</v>
      </c>
      <c r="D10" s="4" t="s">
        <v>34</v>
      </c>
      <c r="F10" s="5" t="str">
        <f>IFERROR(__xludf.DUMMYFUNCTION("GOOGLETRANSLATE(A10, ""en"", ""hi"")"),"9")</f>
        <v>9</v>
      </c>
      <c r="G10" s="5" t="str">
        <f>IFERROR(__xludf.DUMMYFUNCTION("GOOGLETRANSLATE(B10, ""en"", ""hi"")"),"किस भारतीय राज्य में कबड्डी का पारंपरिक रूप 'सतोलिया' के नाम से जाना जाता है?")</f>
        <v>किस भारतीय राज्य में कबड्डी का पारंपरिक रूप 'सतोलिया' के नाम से जाना जाता है?</v>
      </c>
      <c r="H10" s="5" t="str">
        <f>IFERROR(__xludf.DUMMYFUNCTION("GOOGLETRANSLATE(C10, ""en"", ""hi"")"),"ए) गुजरात, बी) राजस्थान, सी) हरियाणा, डी) उत्तराखंड")</f>
        <v>ए) गुजरात, बी) राजस्थान, सी) हरियाणा, डी) उत्तराखंड</v>
      </c>
      <c r="I10" s="5" t="str">
        <f>IFERROR(__xludf.DUMMYFUNCTION("GOOGLETRANSLATE(D10, ""en"", ""hi"")"),"D) उत्तराखंड")</f>
        <v>D) उत्तराखंड</v>
      </c>
    </row>
    <row r="11" ht="22.5" customHeight="1">
      <c r="A11" s="3">
        <v>10.0</v>
      </c>
      <c r="B11" s="4" t="s">
        <v>35</v>
      </c>
      <c r="C11" s="4" t="s">
        <v>36</v>
      </c>
      <c r="D11" s="4" t="s">
        <v>37</v>
      </c>
      <c r="F11" s="5" t="str">
        <f>IFERROR(__xludf.DUMMYFUNCTION("GOOGLETRANSLATE(A11, ""en"", ""hi"")"),"10")</f>
        <v>10</v>
      </c>
      <c r="G11" s="5" t="str">
        <f>IFERROR(__xludf.DUMMYFUNCTION("GOOGLETRANSLATE(B11, ""en"", ""hi"")"),"2004 में आयोजित पहला कबड्डी विश्व कप किसने जीता?")</f>
        <v>2004 में आयोजित पहला कबड्डी विश्व कप किसने जीता?</v>
      </c>
      <c r="H11" s="5" t="str">
        <f>IFERROR(__xludf.DUMMYFUNCTION("GOOGLETRANSLATE(C11, ""en"", ""hi"")"),"A) भारत, B) पाकिस्तान, C) बांग्लादेश, D) नेपाल")</f>
        <v>A) भारत, B) पाकिस्तान, C) बांग्लादेश, D) नेपाल</v>
      </c>
      <c r="I11" s="5" t="str">
        <f>IFERROR(__xludf.DUMMYFUNCTION("GOOGLETRANSLATE(D11, ""en"", ""hi"")"),"ए) भारत")</f>
        <v>ए) भारत</v>
      </c>
    </row>
    <row r="12" ht="22.5" customHeight="1">
      <c r="A12" s="3">
        <v>11.0</v>
      </c>
      <c r="B12" s="4" t="s">
        <v>38</v>
      </c>
      <c r="C12" s="4" t="s">
        <v>39</v>
      </c>
      <c r="D12" s="4" t="s">
        <v>40</v>
      </c>
      <c r="F12" s="5" t="str">
        <f>IFERROR(__xludf.DUMMYFUNCTION("GOOGLETRANSLATE(A12, ""en"", ""hi"")"),"11")</f>
        <v>11</v>
      </c>
      <c r="G12" s="5" t="str">
        <f>IFERROR(__xludf.DUMMYFUNCTION("GOOGLETRANSLATE(B12, ""en"", ""hi"")"),"किस भारतीय प्रधानमंत्री को अपने कार्यकाल के दौरान कबड्डी को बढ़ावा देने के लिए जाना जाता है?")</f>
        <v>किस भारतीय प्रधानमंत्री को अपने कार्यकाल के दौरान कबड्डी को बढ़ावा देने के लिए जाना जाता है?</v>
      </c>
      <c r="H12" s="5" t="str">
        <f>IFERROR(__xludf.DUMMYFUNCTION("GOOGLETRANSLATE(C12, ""en"", ""hi"")"),"ए) जवाहरलाल नेहरू, बी) इंदिरा गांधी, सी) राजीव गांधी, डी) अटल बिहारी वाजपेयी")</f>
        <v>ए) जवाहरलाल नेहरू, बी) इंदिरा गांधी, सी) राजीव गांधी, डी) अटल बिहारी वाजपेयी</v>
      </c>
      <c r="I12" s="5" t="str">
        <f>IFERROR(__xludf.DUMMYFUNCTION("GOOGLETRANSLATE(D12, ""en"", ""hi"")"),"C) राजीव गांधी")</f>
        <v>C) राजीव गांधी</v>
      </c>
    </row>
    <row r="13" ht="22.5" customHeight="1">
      <c r="A13" s="3">
        <v>12.0</v>
      </c>
      <c r="B13" s="4" t="s">
        <v>41</v>
      </c>
      <c r="C13" s="4" t="s">
        <v>42</v>
      </c>
      <c r="D13" s="4" t="s">
        <v>43</v>
      </c>
      <c r="F13" s="5" t="str">
        <f>IFERROR(__xludf.DUMMYFUNCTION("GOOGLETRANSLATE(A13, ""en"", ""hi"")"),"12")</f>
        <v>12</v>
      </c>
      <c r="G13" s="5" t="str">
        <f>IFERROR(__xludf.DUMMYFUNCTION("GOOGLETRANSLATE(B13, ""en"", ""hi"")"),"20वीं सदी के अंत में कबड्डी के नियमों और प्रशिक्षण विधियों के विकास में अपने योगदान के लिए कौन से कबड्डी दिग्गज जाने जाते हैं?")</f>
        <v>20वीं सदी के अंत में कबड्डी के नियमों और प्रशिक्षण विधियों के विकास में अपने योगदान के लिए कौन से कबड्डी दिग्गज जाने जाते हैं?</v>
      </c>
      <c r="H13" s="5" t="str">
        <f>IFERROR(__xludf.DUMMYFUNCTION("GOOGLETRANSLATE(C13, ""en"", ""hi"")"),"ए) वी.के. राव, बी) सुरजीत सिंह, सी) प्रकाश के शर्मा, डी) एल गोपाल")</f>
        <v>ए) वी.के. राव, बी) सुरजीत सिंह, सी) प्रकाश के शर्मा, डी) एल गोपाल</v>
      </c>
      <c r="I13" s="5" t="str">
        <f>IFERROR(__xludf.DUMMYFUNCTION("GOOGLETRANSLATE(D13, ""en"", ""hi"")"),"B) सुरजीत सिंह")</f>
        <v>B) सुरजीत सिंह</v>
      </c>
    </row>
    <row r="14" ht="22.5" customHeight="1">
      <c r="A14" s="3">
        <v>13.0</v>
      </c>
      <c r="B14" s="4" t="s">
        <v>44</v>
      </c>
      <c r="C14" s="4" t="s">
        <v>45</v>
      </c>
      <c r="D14" s="4" t="s">
        <v>46</v>
      </c>
      <c r="F14" s="5" t="str">
        <f>IFERROR(__xludf.DUMMYFUNCTION("GOOGLETRANSLATE(A14, ""en"", ""hi"")"),"13")</f>
        <v>13</v>
      </c>
      <c r="G14" s="5" t="str">
        <f>IFERROR(__xludf.DUMMYFUNCTION("GOOGLETRANSLATE(B14, ""en"", ""hi"")"),"दक्षिण एशियाई खेलों में कबड्डी की शुरुआत किस वर्ष हुई?")</f>
        <v>दक्षिण एशियाई खेलों में कबड्डी की शुरुआत किस वर्ष हुई?</v>
      </c>
      <c r="H14" s="5" t="str">
        <f>IFERROR(__xludf.DUMMYFUNCTION("GOOGLETRANSLATE(C14, ""en"", ""hi"")"),"ए) 1984, बी) 1985, सी) 1986, डी) 1990")</f>
        <v>ए) 1984, बी) 1985, सी) 1986, डी) 1990</v>
      </c>
      <c r="I14" s="5" t="str">
        <f>IFERROR(__xludf.DUMMYFUNCTION("GOOGLETRANSLATE(D14, ""en"", ""hi"")"),"सी) 1986")</f>
        <v>सी) 1986</v>
      </c>
    </row>
    <row r="15" ht="22.5" customHeight="1">
      <c r="A15" s="3">
        <v>14.0</v>
      </c>
      <c r="B15" s="4" t="s">
        <v>47</v>
      </c>
      <c r="C15" s="4" t="s">
        <v>48</v>
      </c>
      <c r="D15" s="4" t="s">
        <v>49</v>
      </c>
      <c r="F15" s="5" t="str">
        <f>IFERROR(__xludf.DUMMYFUNCTION("GOOGLETRANSLATE(A15, ""en"", ""hi"")"),"14")</f>
        <v>14</v>
      </c>
      <c r="G15" s="5" t="str">
        <f>IFERROR(__xludf.DUMMYFUNCTION("GOOGLETRANSLATE(B15, ""en"", ""hi"")"),"कौन सा भारतीय राज्य 'गुजरात कबड्डी' नामक कबड्डी की अनूठी शैली के लिए जाना जाता है?")</f>
        <v>कौन सा भारतीय राज्य 'गुजरात कबड्डी' नामक कबड्डी की अनूठी शैली के लिए जाना जाता है?</v>
      </c>
      <c r="H15" s="5" t="str">
        <f>IFERROR(__xludf.DUMMYFUNCTION("GOOGLETRANSLATE(C15, ""en"", ""hi"")"),"ए) गुजरात, बी) महाराष्ट्र, सी) राजस्थान, डी) उत्तर प्रदेश")</f>
        <v>ए) गुजरात, बी) महाराष्ट्र, सी) राजस्थान, डी) उत्तर प्रदेश</v>
      </c>
      <c r="I15" s="5" t="str">
        <f>IFERROR(__xludf.DUMMYFUNCTION("GOOGLETRANSLATE(D15, ""en"", ""hi"")"),"A) गुजरात")</f>
        <v>A) गुजरात</v>
      </c>
    </row>
    <row r="16" ht="22.5" customHeight="1">
      <c r="A16" s="3">
        <v>15.0</v>
      </c>
      <c r="B16" s="4" t="s">
        <v>50</v>
      </c>
      <c r="C16" s="4" t="s">
        <v>51</v>
      </c>
      <c r="D16" s="4" t="s">
        <v>52</v>
      </c>
      <c r="F16" s="5" t="str">
        <f>IFERROR(__xludf.DUMMYFUNCTION("GOOGLETRANSLATE(A16, ""en"", ""hi"")"),"15")</f>
        <v>15</v>
      </c>
      <c r="G16" s="5" t="str">
        <f>IFERROR(__xludf.DUMMYFUNCTION("GOOGLETRANSLATE(B16, ""en"", ""hi"")"),"1980 के दशक में कौन सा प्रमुख भारतीय कबड्डी खिलाड़ी अपने असाधारण रेडिंग कौशल के लिए जाना जाता था?")</f>
        <v>1980 के दशक में कौन सा प्रमुख भारतीय कबड्डी खिलाड़ी अपने असाधारण रेडिंग कौशल के लिए जाना जाता था?</v>
      </c>
      <c r="H16" s="5" t="str">
        <f>IFERROR(__xludf.DUMMYFUNCTION("GOOGLETRANSLATE(C16, ""en"", ""hi"")"),"A) के.के. शर्मा, B) पी.के. सिन्हा, C) जगत सिंह, D) मंजीत सिंह")</f>
        <v>A) के.के. शर्मा, B) पी.के. सिन्हा, C) जगत सिंह, D) मंजीत सिंह</v>
      </c>
      <c r="I16" s="5" t="str">
        <f>IFERROR(__xludf.DUMMYFUNCTION("GOOGLETRANSLATE(D16, ""en"", ""hi"")"),"C) जगत सिंह")</f>
        <v>C) जगत सिंह</v>
      </c>
    </row>
    <row r="17" ht="22.5" customHeight="1">
      <c r="A17" s="3">
        <v>16.0</v>
      </c>
      <c r="B17" s="4" t="s">
        <v>53</v>
      </c>
      <c r="C17" s="4" t="s">
        <v>54</v>
      </c>
      <c r="D17" s="4" t="s">
        <v>55</v>
      </c>
      <c r="F17" s="5" t="str">
        <f>IFERROR(__xludf.DUMMYFUNCTION("GOOGLETRANSLATE(A17, ""en"", ""hi"")"),"16")</f>
        <v>16</v>
      </c>
      <c r="G17" s="5" t="str">
        <f>IFERROR(__xludf.DUMMYFUNCTION("GOOGLETRANSLATE(B17, ""en"", ""hi"")"),"किस दशक में कबड्डी ने महत्वपूर्ण अंतर्राष्ट्रीय विकास और विस्तार देखा?")</f>
        <v>किस दशक में कबड्डी ने महत्वपूर्ण अंतर्राष्ट्रीय विकास और विस्तार देखा?</v>
      </c>
      <c r="H17" s="5" t="str">
        <f>IFERROR(__xludf.DUMMYFUNCTION("GOOGLETRANSLATE(C17, ""en"", ""hi"")"),"ए) 1970 का दशक, बी) 1980 का दशक, सी) 1990 का दशक, डी) 2000 का दशक")</f>
        <v>ए) 1970 का दशक, बी) 1980 का दशक, सी) 1990 का दशक, डी) 2000 का दशक</v>
      </c>
      <c r="I17" s="5" t="str">
        <f>IFERROR(__xludf.DUMMYFUNCTION("GOOGLETRANSLATE(D17, ""en"", ""hi"")"),"सी) 1990 के दशक")</f>
        <v>सी) 1990 के दशक</v>
      </c>
    </row>
    <row r="18" ht="22.5" customHeight="1">
      <c r="A18" s="3">
        <v>17.0</v>
      </c>
      <c r="B18" s="4" t="s">
        <v>56</v>
      </c>
      <c r="C18" s="4" t="s">
        <v>57</v>
      </c>
      <c r="D18" s="4" t="s">
        <v>58</v>
      </c>
      <c r="F18" s="5" t="str">
        <f>IFERROR(__xludf.DUMMYFUNCTION("GOOGLETRANSLATE(A18, ""en"", ""hi"")"),"17")</f>
        <v>17</v>
      </c>
      <c r="G18" s="5" t="str">
        <f>IFERROR(__xludf.DUMMYFUNCTION("GOOGLETRANSLATE(B18, ""en"", ""hi"")"),"कौन सा कबड्डी टूर्नामेंट भारतीय कबड्डी कैलेंडर में एक प्रमुख आयोजन माना जाता है, जो देश भर से टीमों को आकर्षित करता है?")</f>
        <v>कौन सा कबड्डी टूर्नामेंट भारतीय कबड्डी कैलेंडर में एक प्रमुख आयोजन माना जाता है, जो देश भर से टीमों को आकर्षित करता है?</v>
      </c>
      <c r="H18" s="5" t="str">
        <f>IFERROR(__xludf.DUMMYFUNCTION("GOOGLETRANSLATE(C18, ""en"", ""hi"")"),"A) राष्ट्रीय कबड्डी चैम्पियनशिप, B) अखिल भारतीय कबड्डी टूर्नामेंट, C) अंतर-राज्यीय कबड्डी चैम्पियनशिप, D) भारतीय कबड्डी लीग")</f>
        <v>A) राष्ट्रीय कबड्डी चैम्पियनशिप, B) अखिल भारतीय कबड्डी टूर्नामेंट, C) अंतर-राज्यीय कबड्डी चैम्पियनशिप, D) भारतीय कबड्डी लीग</v>
      </c>
      <c r="I18" s="5" t="str">
        <f>IFERROR(__xludf.DUMMYFUNCTION("GOOGLETRANSLATE(D18, ""en"", ""hi"")"),"बी) अखिल भारतीय कबड्डी टूर्नामेंट")</f>
        <v>बी) अखिल भारतीय कबड्डी टूर्नामेंट</v>
      </c>
    </row>
    <row r="19" ht="22.5" customHeight="1">
      <c r="A19" s="3">
        <v>18.0</v>
      </c>
      <c r="B19" s="4" t="s">
        <v>59</v>
      </c>
      <c r="C19" s="4" t="s">
        <v>60</v>
      </c>
      <c r="D19" s="4" t="s">
        <v>37</v>
      </c>
      <c r="F19" s="5" t="str">
        <f>IFERROR(__xludf.DUMMYFUNCTION("GOOGLETRANSLATE(A19, ""en"", ""hi"")"),"18")</f>
        <v>18</v>
      </c>
      <c r="G19" s="5" t="str">
        <f>IFERROR(__xludf.DUMMYFUNCTION("GOOGLETRANSLATE(B19, ""en"", ""hi"")"),"2010 एशियाई खेलों में कबड्डी में किस देश ने स्वर्ण पदक जीता?")</f>
        <v>2010 एशियाई खेलों में कबड्डी में किस देश ने स्वर्ण पदक जीता?</v>
      </c>
      <c r="H19" s="5" t="str">
        <f>IFERROR(__xludf.DUMMYFUNCTION("GOOGLETRANSLATE(C19, ""en"", ""hi"")"),"A) भारत, B) पाकिस्तान, C) बांग्लादेश, D) श्रीलंका")</f>
        <v>A) भारत, B) पाकिस्तान, C) बांग्लादेश, D) श्रीलंका</v>
      </c>
      <c r="I19" s="5" t="str">
        <f>IFERROR(__xludf.DUMMYFUNCTION("GOOGLETRANSLATE(D19, ""en"", ""hi"")"),"ए) भारत")</f>
        <v>ए) भारत</v>
      </c>
    </row>
    <row r="20" ht="22.5" customHeight="1">
      <c r="A20" s="3">
        <v>19.0</v>
      </c>
      <c r="B20" s="4" t="s">
        <v>61</v>
      </c>
      <c r="C20" s="4" t="s">
        <v>62</v>
      </c>
      <c r="D20" s="4" t="s">
        <v>63</v>
      </c>
      <c r="F20" s="5" t="str">
        <f>IFERROR(__xludf.DUMMYFUNCTION("GOOGLETRANSLATE(A20, ""en"", ""hi"")"),"19")</f>
        <v>19</v>
      </c>
      <c r="G20" s="5" t="str">
        <f>IFERROR(__xludf.DUMMYFUNCTION("GOOGLETRANSLATE(B20, ""en"", ""hi"")"),"किस कबड्डी खिलाड़ी को खेल में उत्कृष्टता के लिए अर्जुन पुरस्कार प्राप्त करने वाला पहला खिलाड़ी था?")</f>
        <v>किस कबड्डी खिलाड़ी को खेल में उत्कृष्टता के लिए अर्जुन पुरस्कार प्राप्त करने वाला पहला खिलाड़ी था?</v>
      </c>
      <c r="H20" s="5" t="str">
        <f>IFERROR(__xludf.DUMMYFUNCTION("GOOGLETRANSLATE(C20, ""en"", ""hi"")"),"ए) के.के. शर्मा, बी) रामेश्वर सिंह, सी) गुलाम मोहम्मद, डी) डी.पी. यादव")</f>
        <v>ए) के.के. शर्मा, बी) रामेश्वर सिंह, सी) गुलाम मोहम्मद, डी) डी.पी. यादव</v>
      </c>
      <c r="I20" s="5" t="str">
        <f>IFERROR(__xludf.DUMMYFUNCTION("GOOGLETRANSLATE(D20, ""en"", ""hi"")"),"बी) रामेश्वर सिंह")</f>
        <v>बी) रामेश्वर सिंह</v>
      </c>
    </row>
    <row r="21" ht="22.5" customHeight="1">
      <c r="A21" s="3">
        <v>20.0</v>
      </c>
      <c r="B21" s="4" t="s">
        <v>64</v>
      </c>
      <c r="C21" s="4" t="s">
        <v>65</v>
      </c>
      <c r="D21" s="4" t="s">
        <v>66</v>
      </c>
      <c r="F21" s="5" t="str">
        <f>IFERROR(__xludf.DUMMYFUNCTION("GOOGLETRANSLATE(A21, ""en"", ""hi"")"),"20")</f>
        <v>20</v>
      </c>
      <c r="G21" s="5" t="str">
        <f>IFERROR(__xludf.DUMMYFUNCTION("GOOGLETRANSLATE(B21, ""en"", ""hi"")"),"कौन सा भारतीय राज्य 'साहिबजादा कबड्डी' नामक पारंपरिक कबड्डी शैली के लिए जाना जाता है?")</f>
        <v>कौन सा भारतीय राज्य 'साहिबजादा कबड्डी' नामक पारंपरिक कबड्डी शैली के लिए जाना जाता है?</v>
      </c>
      <c r="H21" s="5" t="str">
        <f>IFERROR(__xludf.DUMMYFUNCTION("GOOGLETRANSLATE(C21, ""en"", ""hi"")"),"A) पंजाब, B) हरियाणा, C) उत्तर प्रदेश, D) हिमाचल प्रदेश")</f>
        <v>A) पंजाब, B) हरियाणा, C) उत्तर प्रदेश, D) हिमाचल प्रदेश</v>
      </c>
      <c r="I21" s="5" t="str">
        <f>IFERROR(__xludf.DUMMYFUNCTION("GOOGLETRANSLATE(D21, ""en"", ""hi"")"),"A) पंजाब")</f>
        <v>A) पंजाब</v>
      </c>
    </row>
    <row r="22" ht="22.5" customHeight="1">
      <c r="A22" s="3">
        <v>21.0</v>
      </c>
      <c r="B22" s="4" t="s">
        <v>67</v>
      </c>
      <c r="C22" s="4" t="s">
        <v>68</v>
      </c>
      <c r="D22" s="4" t="s">
        <v>43</v>
      </c>
      <c r="F22" s="5" t="str">
        <f>IFERROR(__xludf.DUMMYFUNCTION("GOOGLETRANSLATE(A22, ""en"", ""hi"")"),"21")</f>
        <v>21</v>
      </c>
      <c r="G22" s="5" t="str">
        <f>IFERROR(__xludf.DUMMYFUNCTION("GOOGLETRANSLATE(B22, ""en"", ""hi"")"),"2000 के दशक के दौरान भारतीय कबड्डी टीम को कोचिंग देने में किस प्रसिद्ध कबड्डी कोच की महत्वपूर्ण भूमिका थी?")</f>
        <v>2000 के दशक के दौरान भारतीय कबड्डी टीम को कोचिंग देने में किस प्रसिद्ध कबड्डी कोच की महत्वपूर्ण भूमिका थी?</v>
      </c>
      <c r="H22" s="5" t="str">
        <f>IFERROR(__xludf.DUMMYFUNCTION("GOOGLETRANSLATE(C22, ""en"", ""hi"")"),"ए) के.बी. चन्द्रशेखर, बी) सुरजीत सिंह, सी) जगत सिंह, डी) रमेश कुमार")</f>
        <v>ए) के.बी. चन्द्रशेखर, बी) सुरजीत सिंह, सी) जगत सिंह, डी) रमेश कुमार</v>
      </c>
      <c r="I22" s="5" t="str">
        <f>IFERROR(__xludf.DUMMYFUNCTION("GOOGLETRANSLATE(D22, ""en"", ""hi"")"),"B) सुरजीत सिंह")</f>
        <v>B) सुरजीत सिंह</v>
      </c>
    </row>
    <row r="23" ht="22.5" customHeight="1">
      <c r="A23" s="3">
        <v>22.0</v>
      </c>
      <c r="B23" s="4" t="s">
        <v>69</v>
      </c>
      <c r="C23" s="4" t="s">
        <v>70</v>
      </c>
      <c r="D23" s="4" t="s">
        <v>71</v>
      </c>
      <c r="F23" s="5" t="str">
        <f>IFERROR(__xludf.DUMMYFUNCTION("GOOGLETRANSLATE(A23, ""en"", ""hi"")"),"22")</f>
        <v>22</v>
      </c>
      <c r="G23" s="5" t="str">
        <f>IFERROR(__xludf.DUMMYFUNCTION("GOOGLETRANSLATE(B23, ""en"", ""hi"")"),"कबड्डी ने लीग खेल के रूप में इंडियन प्रीमियर लीग (आईपीएल) प्रारूप में अपनी शुरुआत किस वर्ष की?")</f>
        <v>कबड्डी ने लीग खेल के रूप में इंडियन प्रीमियर लीग (आईपीएल) प्रारूप में अपनी शुरुआत किस वर्ष की?</v>
      </c>
      <c r="H23" s="5" t="str">
        <f>IFERROR(__xludf.DUMMYFUNCTION("GOOGLETRANSLATE(C23, ""en"", ""hi"")"),"ए) 2008, बी) 2010, सी) 2012, डी) 2014")</f>
        <v>ए) 2008, बी) 2010, सी) 2012, डी) 2014</v>
      </c>
      <c r="I23" s="5" t="str">
        <f>IFERROR(__xludf.DUMMYFUNCTION("GOOGLETRANSLATE(D23, ""en"", ""hi"")"),"बी) 2010")</f>
        <v>बी) 2010</v>
      </c>
    </row>
    <row r="24" ht="22.5" customHeight="1">
      <c r="A24" s="3">
        <v>23.0</v>
      </c>
      <c r="B24" s="4" t="s">
        <v>72</v>
      </c>
      <c r="C24" s="4" t="s">
        <v>73</v>
      </c>
      <c r="D24" s="4" t="s">
        <v>74</v>
      </c>
      <c r="F24" s="5" t="str">
        <f>IFERROR(__xludf.DUMMYFUNCTION("GOOGLETRANSLATE(A24, ""en"", ""hi"")"),"23")</f>
        <v>23</v>
      </c>
      <c r="G24" s="5" t="str">
        <f>IFERROR(__xludf.DUMMYFUNCTION("GOOGLETRANSLATE(B24, ""en"", ""hi"")"),"कौन सी कबड्डी प्रतियोगिता प्रतिवर्ष आयोजित की जाती है और इसमें अंतर्राष्ट्रीय टीमें मैचों की श्रृंखला में प्रतिस्पर्धा करती हैं?")</f>
        <v>कौन सी कबड्डी प्रतियोगिता प्रतिवर्ष आयोजित की जाती है और इसमें अंतर्राष्ट्रीय टीमें मैचों की श्रृंखला में प्रतिस्पर्धा करती हैं?</v>
      </c>
      <c r="H24" s="5" t="str">
        <f>IFERROR(__xludf.DUMMYFUNCTION("GOOGLETRANSLATE(C24, ""en"", ""hi"")"),"A) कबड्डी विश्व कप, B) कबड्डी चैम्पियनशिप लीग, C) अंतर्राष्ट्रीय कबड्डी टूर्नामेंट, D) विश्व कबड्डी श्रृंखला")</f>
        <v>A) कबड्डी विश्व कप, B) कबड्डी चैम्पियनशिप लीग, C) अंतर्राष्ट्रीय कबड्डी टूर्नामेंट, D) विश्व कबड्डी श्रृंखला</v>
      </c>
      <c r="I24" s="5" t="str">
        <f>IFERROR(__xludf.DUMMYFUNCTION("GOOGLETRANSLATE(D24, ""en"", ""hi"")"),"A) कबड्डी विश्व कप")</f>
        <v>A) कबड्डी विश्व कप</v>
      </c>
    </row>
    <row r="25" ht="22.5" customHeight="1">
      <c r="A25" s="3">
        <v>24.0</v>
      </c>
      <c r="B25" s="4" t="s">
        <v>75</v>
      </c>
      <c r="C25" s="4" t="s">
        <v>76</v>
      </c>
      <c r="D25" s="4" t="s">
        <v>77</v>
      </c>
      <c r="F25" s="5" t="str">
        <f>IFERROR(__xludf.DUMMYFUNCTION("GOOGLETRANSLATE(A25, ""en"", ""hi"")"),"24")</f>
        <v>24</v>
      </c>
      <c r="G25" s="5" t="str">
        <f>IFERROR(__xludf.DUMMYFUNCTION("GOOGLETRANSLATE(B25, ""en"", ""hi"")"),"पहली राष्ट्रीय कबड्डी चैंपियनशिप किस भारतीय शहर में आयोजित की गई थी?")</f>
        <v>पहली राष्ट्रीय कबड्डी चैंपियनशिप किस भारतीय शहर में आयोजित की गई थी?</v>
      </c>
      <c r="H25" s="5" t="str">
        <f>IFERROR(__xludf.DUMMYFUNCTION("GOOGLETRANSLATE(C25, ""en"", ""hi"")"),"ए) दिल्ली, बी) मुंबई, सी) चेन्नई, डी) कोलकाता")</f>
        <v>ए) दिल्ली, बी) मुंबई, सी) चेन्नई, डी) कोलकाता</v>
      </c>
      <c r="I25" s="5" t="str">
        <f>IFERROR(__xludf.DUMMYFUNCTION("GOOGLETRANSLATE(D25, ""en"", ""hi"")"),"बी) मुंबई")</f>
        <v>बी) मुंबई</v>
      </c>
    </row>
    <row r="26" ht="22.5" customHeight="1">
      <c r="A26" s="3">
        <v>25.0</v>
      </c>
      <c r="B26" s="4" t="s">
        <v>78</v>
      </c>
      <c r="C26" s="4" t="s">
        <v>79</v>
      </c>
      <c r="D26" s="4" t="s">
        <v>80</v>
      </c>
      <c r="F26" s="5" t="str">
        <f>IFERROR(__xludf.DUMMYFUNCTION("GOOGLETRANSLATE(A26, ""en"", ""hi"")"),"25")</f>
        <v>25</v>
      </c>
      <c r="G26" s="5" t="str">
        <f>IFERROR(__xludf.DUMMYFUNCTION("GOOGLETRANSLATE(B26, ""en"", ""hi"")"),"प्राचीन भारत में कबड्डी के प्रारंभिक विकास में उनके योगदान के लिए कौन सा ऐतिहासिक व्यक्ति जाना जाता है?")</f>
        <v>प्राचीन भारत में कबड्डी के प्रारंभिक विकास में उनके योगदान के लिए कौन सा ऐतिहासिक व्यक्ति जाना जाता है?</v>
      </c>
      <c r="H26" s="5" t="str">
        <f>IFERROR(__xludf.DUMMYFUNCTION("GOOGLETRANSLATE(C26, ""en"", ""hi"")"),"A) महाराजा रणजीत सिंह, B) अशोक महान, C) चंद्रगुप्त मौर्य, D) अकबर महान")</f>
        <v>A) महाराजा रणजीत सिंह, B) अशोक महान, C) चंद्रगुप्त मौर्य, D) अकबर महान</v>
      </c>
      <c r="I26" s="5" t="str">
        <f>IFERROR(__xludf.DUMMYFUNCTION("GOOGLETRANSLATE(D26, ""en"", ""hi"")"),"B) अशोक महान")</f>
        <v>B) अशोक महान</v>
      </c>
    </row>
    <row r="27" ht="22.5" customHeight="1">
      <c r="A27" s="3">
        <v>26.0</v>
      </c>
      <c r="B27" s="4" t="s">
        <v>81</v>
      </c>
      <c r="C27" s="4" t="s">
        <v>82</v>
      </c>
      <c r="D27" s="4" t="s">
        <v>83</v>
      </c>
      <c r="F27" s="5" t="str">
        <f>IFERROR(__xludf.DUMMYFUNCTION("GOOGLETRANSLATE(A27, ""en"", ""hi"")"),"26")</f>
        <v>26</v>
      </c>
      <c r="G27" s="5" t="str">
        <f>IFERROR(__xludf.DUMMYFUNCTION("GOOGLETRANSLATE(B27, ""en"", ""hi"")"),"किस भारतीय राज्य में कबड्डी का एक प्रकार 'छत्तीसगढ़ी कबड्डी' के नाम से जाना जाता है?")</f>
        <v>किस भारतीय राज्य में कबड्डी का एक प्रकार 'छत्तीसगढ़ी कबड्डी' के नाम से जाना जाता है?</v>
      </c>
      <c r="H27" s="5" t="str">
        <f>IFERROR(__xludf.DUMMYFUNCTION("GOOGLETRANSLATE(C27, ""en"", ""hi"")"),"ए) छत्तीसगढ़, बी) ओडिशा, सी) झारखंड, डी) मध्य प्रदेश")</f>
        <v>ए) छत्तीसगढ़, बी) ओडिशा, सी) झारखंड, डी) मध्य प्रदेश</v>
      </c>
      <c r="I27" s="5" t="str">
        <f>IFERROR(__xludf.DUMMYFUNCTION("GOOGLETRANSLATE(D27, ""en"", ""hi"")"),"A) छत्तीसगढ़")</f>
        <v>A) छत्तीसगढ़</v>
      </c>
    </row>
    <row r="28" ht="22.5" customHeight="1">
      <c r="A28" s="3">
        <v>27.0</v>
      </c>
      <c r="B28" s="4" t="s">
        <v>84</v>
      </c>
      <c r="C28" s="4" t="s">
        <v>85</v>
      </c>
      <c r="D28" s="4" t="s">
        <v>86</v>
      </c>
      <c r="F28" s="5" t="str">
        <f>IFERROR(__xludf.DUMMYFUNCTION("GOOGLETRANSLATE(A28, ""en"", ""hi"")"),"27")</f>
        <v>27</v>
      </c>
      <c r="G28" s="5" t="str">
        <f>IFERROR(__xludf.DUMMYFUNCTION("GOOGLETRANSLATE(B28, ""en"", ""hi"")"),"कौन सा कबड्डी खिलाड़ी अपने रक्षात्मक कौशल के लिए प्रसिद्ध है और कई अंतरराष्ट्रीय टूर्नामेंटों में प्रमुख खिलाड़ी रहा है?")</f>
        <v>कौन सा कबड्डी खिलाड़ी अपने रक्षात्मक कौशल के लिए प्रसिद्ध है और कई अंतरराष्ट्रीय टूर्नामेंटों में प्रमुख खिलाड़ी रहा है?</v>
      </c>
      <c r="H28" s="5" t="str">
        <f>IFERROR(__xludf.DUMMYFUNCTION("GOOGLETRANSLATE(C28, ""en"", ""hi"")"),"ए) प्रदीप नरवाल, बी) अनुप कुमार, सी) मंजीत छिल्लर, डी) दीपक निवास हुडा")</f>
        <v>ए) प्रदीप नरवाल, बी) अनुप कुमार, सी) मंजीत छिल्लर, डी) दीपक निवास हुडा</v>
      </c>
      <c r="I28" s="5" t="str">
        <f>IFERROR(__xludf.DUMMYFUNCTION("GOOGLETRANSLATE(D28, ""en"", ""hi"")"),"C) मंजीत छिल्लर")</f>
        <v>C) मंजीत छिल्लर</v>
      </c>
    </row>
    <row r="29" ht="22.5" customHeight="1">
      <c r="A29" s="3">
        <v>28.0</v>
      </c>
      <c r="B29" s="4" t="s">
        <v>87</v>
      </c>
      <c r="C29" s="4" t="s">
        <v>88</v>
      </c>
      <c r="D29" s="4" t="s">
        <v>89</v>
      </c>
      <c r="F29" s="5" t="str">
        <f>IFERROR(__xludf.DUMMYFUNCTION("GOOGLETRANSLATE(A29, ""en"", ""hi"")"),"28")</f>
        <v>28</v>
      </c>
      <c r="G29" s="5" t="str">
        <f>IFERROR(__xludf.DUMMYFUNCTION("GOOGLETRANSLATE(B29, ""en"", ""hi"")"),"पहला प्रो कबड्डी लीग (पीकेएल) सीज़न किस वर्ष आयोजित किया गया था?")</f>
        <v>पहला प्रो कबड्डी लीग (पीकेएल) सीज़न किस वर्ष आयोजित किया गया था?</v>
      </c>
      <c r="H29" s="5" t="str">
        <f>IFERROR(__xludf.DUMMYFUNCTION("GOOGLETRANSLATE(C29, ""en"", ""hi"")"),"ए) 2012, बी) 2013, सी) 2014, डी) 2015")</f>
        <v>ए) 2012, बी) 2013, सी) 2014, डी) 2015</v>
      </c>
      <c r="I29" s="5" t="str">
        <f>IFERROR(__xludf.DUMMYFUNCTION("GOOGLETRANSLATE(D29, ""en"", ""hi"")"),"सी) 2014")</f>
        <v>सी) 2014</v>
      </c>
    </row>
    <row r="30" ht="22.5" customHeight="1">
      <c r="A30" s="3">
        <v>29.0</v>
      </c>
      <c r="B30" s="4" t="s">
        <v>90</v>
      </c>
      <c r="C30" s="4" t="s">
        <v>91</v>
      </c>
      <c r="D30" s="4" t="s">
        <v>92</v>
      </c>
      <c r="F30" s="5" t="str">
        <f>IFERROR(__xludf.DUMMYFUNCTION("GOOGLETRANSLATE(A30, ""en"", ""hi"")"),"29")</f>
        <v>29</v>
      </c>
      <c r="G30" s="5" t="str">
        <f>IFERROR(__xludf.DUMMYFUNCTION("GOOGLETRANSLATE(B30, ""en"", ""hi"")"),"कौन सा भारतीय राज्य अपने पारंपरिक कबड्डी टूर्नामेंट 'आदिवासी कबड्डी टूर्नामेंट' के लिए जाना जाता है?")</f>
        <v>कौन सा भारतीय राज्य अपने पारंपरिक कबड्डी टूर्नामेंट 'आदिवासी कबड्डी टूर्नामेंट' के लिए जाना जाता है?</v>
      </c>
      <c r="H30" s="5" t="str">
        <f>IFERROR(__xludf.DUMMYFUNCTION("GOOGLETRANSLATE(C30, ""en"", ""hi"")"),"ए) गुजरात, बी) मध्य प्रदेश, सी) झारखंड, डी) बिहार")</f>
        <v>ए) गुजरात, बी) मध्य प्रदेश, सी) झारखंड, डी) बिहार</v>
      </c>
      <c r="I30" s="5" t="str">
        <f>IFERROR(__xludf.DUMMYFUNCTION("GOOGLETRANSLATE(D30, ""en"", ""hi"")"),"C) झारखंड")</f>
        <v>C) झारखंड</v>
      </c>
    </row>
    <row r="31" ht="22.5" customHeight="1">
      <c r="A31" s="3">
        <v>30.0</v>
      </c>
      <c r="B31" s="4" t="s">
        <v>93</v>
      </c>
      <c r="C31" s="4" t="s">
        <v>94</v>
      </c>
      <c r="D31" s="4" t="s">
        <v>95</v>
      </c>
      <c r="F31" s="5" t="str">
        <f>IFERROR(__xludf.DUMMYFUNCTION("GOOGLETRANSLATE(A31, ""en"", ""hi"")"),"30")</f>
        <v>30</v>
      </c>
      <c r="G31" s="5" t="str">
        <f>IFERROR(__xludf.DUMMYFUNCTION("GOOGLETRANSLATE(B31, ""en"", ""hi"")"),"प्रो कबड्डी लीग के एक ही सत्र में 300 अंक बनाने वाला पहला कबड्डी खिलाड़ी कौन बना?")</f>
        <v>प्रो कबड्डी लीग के एक ही सत्र में 300 अंक बनाने वाला पहला कबड्डी खिलाड़ी कौन बना?</v>
      </c>
      <c r="H31" s="5" t="str">
        <f>IFERROR(__xludf.DUMMYFUNCTION("GOOGLETRANSLATE(C31, ""en"", ""hi"")"),"ए) प्रदीप नरवाल, बी) राहुल चौधरी, सी) रिशांक देवाडिगा, डी) अजय ठाकुर")</f>
        <v>ए) प्रदीप नरवाल, बी) राहुल चौधरी, सी) रिशांक देवाडिगा, डी) अजय ठाकुर</v>
      </c>
      <c r="I31" s="5" t="str">
        <f>IFERROR(__xludf.DUMMYFUNCTION("GOOGLETRANSLATE(D31, ""en"", ""hi"")"),"A) प्रदीप नरवाल")</f>
        <v>A) प्रदीप नरवाल</v>
      </c>
    </row>
    <row r="32" ht="22.5" customHeight="1">
      <c r="A32" s="3">
        <v>31.0</v>
      </c>
      <c r="B32" s="4" t="s">
        <v>96</v>
      </c>
      <c r="C32" s="4" t="s">
        <v>97</v>
      </c>
      <c r="D32" s="4" t="s">
        <v>98</v>
      </c>
      <c r="F32" s="5" t="str">
        <f>IFERROR(__xludf.DUMMYFUNCTION("GOOGLETRANSLATE(A32, ""en"", ""hi"")"),"31")</f>
        <v>31</v>
      </c>
      <c r="G32" s="5" t="str">
        <f>IFERROR(__xludf.DUMMYFUNCTION("GOOGLETRANSLATE(B32, ""en"", ""hi"")"),"कौन सा भारतीय राज्य अपने स्कूल खेल पाठ्यक्रम के एक भाग के रूप में कबड्डी को शामिल करने वाला पहला राज्य था?")</f>
        <v>कौन सा भारतीय राज्य अपने स्कूल खेल पाठ्यक्रम के एक भाग के रूप में कबड्डी को शामिल करने वाला पहला राज्य था?</v>
      </c>
      <c r="H32" s="5" t="str">
        <f>IFERROR(__xludf.DUMMYFUNCTION("GOOGLETRANSLATE(C32, ""en"", ""hi"")"),"ए) पंजाब, बी) महाराष्ट्र, सी) कर्नाटक, डी) हरियाणा")</f>
        <v>ए) पंजाब, बी) महाराष्ट्र, सी) कर्नाटक, डी) हरियाणा</v>
      </c>
      <c r="I32" s="5" t="str">
        <f>IFERROR(__xludf.DUMMYFUNCTION("GOOGLETRANSLATE(D32, ""en"", ""hi"")"),"बी) महाराष्ट्र")</f>
        <v>बी) महाराष्ट्र</v>
      </c>
    </row>
    <row r="33" ht="22.5" customHeight="1">
      <c r="A33" s="3">
        <v>32.0</v>
      </c>
      <c r="B33" s="4" t="s">
        <v>99</v>
      </c>
      <c r="C33" s="4" t="s">
        <v>100</v>
      </c>
      <c r="D33" s="4" t="s">
        <v>101</v>
      </c>
      <c r="F33" s="5" t="str">
        <f>IFERROR(__xludf.DUMMYFUNCTION("GOOGLETRANSLATE(A33, ""en"", ""hi"")"),"32")</f>
        <v>32</v>
      </c>
      <c r="G33" s="5" t="str">
        <f>IFERROR(__xludf.DUMMYFUNCTION("GOOGLETRANSLATE(B33, ""en"", ""hi"")"),"कौन सा अंतर्राष्ट्रीय कबड्डी खिलाड़ी 2016 कबड्डी विश्व कप में अपने उत्कृष्ट प्रदर्शन के लिए जाना जाता है?")</f>
        <v>कौन सा अंतर्राष्ट्रीय कबड्डी खिलाड़ी 2016 कबड्डी विश्व कप में अपने उत्कृष्ट प्रदर्शन के लिए जाना जाता है?</v>
      </c>
      <c r="H33" s="5" t="str">
        <f>IFERROR(__xludf.DUMMYFUNCTION("GOOGLETRANSLATE(C33, ""en"", ""hi"")"),"ए) जंग कुन ली, बी) संदीप नरवाल, सी) अजय ठाकुर, डी) प्रदीप नरवाल")</f>
        <v>ए) जंग कुन ली, बी) संदीप नरवाल, सी) अजय ठाकुर, डी) प्रदीप नरवाल</v>
      </c>
      <c r="I33" s="5" t="str">
        <f>IFERROR(__xludf.DUMMYFUNCTION("GOOGLETRANSLATE(D33, ""en"", ""hi"")"),"A) जंग कुन ली")</f>
        <v>A) जंग कुन ली</v>
      </c>
    </row>
    <row r="34" ht="22.5" customHeight="1">
      <c r="A34" s="3">
        <v>33.0</v>
      </c>
      <c r="B34" s="4" t="s">
        <v>102</v>
      </c>
      <c r="C34" s="4" t="s">
        <v>103</v>
      </c>
      <c r="D34" s="4" t="s">
        <v>104</v>
      </c>
      <c r="F34" s="5" t="str">
        <f>IFERROR(__xludf.DUMMYFUNCTION("GOOGLETRANSLATE(A34, ""en"", ""hi"")"),"33")</f>
        <v>33</v>
      </c>
      <c r="G34" s="5" t="str">
        <f>IFERROR(__xludf.DUMMYFUNCTION("GOOGLETRANSLATE(B34, ""en"", ""hi"")"),"कौन सा कबड्डी टूर्नामेंट पहला ऐसा टूर्नामेंट था जिसने पेशेवर प्रारूप अपनाया और फ्रेंचाइजी को शामिल किया?")</f>
        <v>कौन सा कबड्डी टूर्नामेंट पहला ऐसा टूर्नामेंट था जिसने पेशेवर प्रारूप अपनाया और फ्रेंचाइजी को शामिल किया?</v>
      </c>
      <c r="H34" s="5" t="str">
        <f>IFERROR(__xludf.DUMMYFUNCTION("GOOGLETRANSLATE(C34, ""en"", ""hi"")"),"A) प्रो कबड्डी लीग, B) वर्ल्ड कबड्डी लीग, C) कबड्डी मास्टर्स, D) इंडियन कबड्डी लीग")</f>
        <v>A) प्रो कबड्डी लीग, B) वर्ल्ड कबड्डी लीग, C) कबड्डी मास्टर्स, D) इंडियन कबड्डी लीग</v>
      </c>
      <c r="I34" s="5" t="str">
        <f>IFERROR(__xludf.DUMMYFUNCTION("GOOGLETRANSLATE(D34, ""en"", ""hi"")"),"A) प्रो कबड्डी लीग")</f>
        <v>A) प्रो कबड्डी लीग</v>
      </c>
    </row>
    <row r="35" ht="22.5" customHeight="1">
      <c r="A35" s="3">
        <v>34.0</v>
      </c>
      <c r="B35" s="4" t="s">
        <v>105</v>
      </c>
      <c r="C35" s="4" t="s">
        <v>106</v>
      </c>
      <c r="D35" s="4" t="s">
        <v>107</v>
      </c>
      <c r="F35" s="5" t="str">
        <f>IFERROR(__xludf.DUMMYFUNCTION("GOOGLETRANSLATE(A35, ""en"", ""hi"")"),"34")</f>
        <v>34</v>
      </c>
      <c r="G35" s="5" t="str">
        <f>IFERROR(__xludf.DUMMYFUNCTION("GOOGLETRANSLATE(B35, ""en"", ""hi"")"),"कौन सा भारतीय कबड्डी खिलाड़ी 2018 कबड्डी विश्व कप में अपने असाधारण प्रदर्शन के लिए जाना जाता है?")</f>
        <v>कौन सा भारतीय कबड्डी खिलाड़ी 2018 कबड्डी विश्व कप में अपने असाधारण प्रदर्शन के लिए जाना जाता है?</v>
      </c>
      <c r="H35" s="5" t="str">
        <f>IFERROR(__xludf.DUMMYFUNCTION("GOOGLETRANSLATE(C35, ""en"", ""hi"")"),"ए) मंजीत छिल्लर, बी) नितिन तोमर, सी) दीपक निवास हुडा, डी) राहुल चौधरी")</f>
        <v>ए) मंजीत छिल्लर, बी) नितिन तोमर, सी) दीपक निवास हुडा, डी) राहुल चौधरी</v>
      </c>
      <c r="I35" s="5" t="str">
        <f>IFERROR(__xludf.DUMMYFUNCTION("GOOGLETRANSLATE(D35, ""en"", ""hi"")"),"C) दीपक निवास हुड्डा")</f>
        <v>C) दीपक निवास हुड्डा</v>
      </c>
    </row>
    <row r="36" ht="22.5" customHeight="1">
      <c r="A36" s="3">
        <v>35.0</v>
      </c>
      <c r="B36" s="4" t="s">
        <v>108</v>
      </c>
      <c r="C36" s="4" t="s">
        <v>109</v>
      </c>
      <c r="D36" s="4" t="s">
        <v>110</v>
      </c>
      <c r="F36" s="5" t="str">
        <f>IFERROR(__xludf.DUMMYFUNCTION("GOOGLETRANSLATE(A36, ""en"", ""hi"")"),"35")</f>
        <v>35</v>
      </c>
      <c r="G36" s="5" t="str">
        <f>IFERROR(__xludf.DUMMYFUNCTION("GOOGLETRANSLATE(B36, ""en"", ""hi"")"),"भारत का कौन सा राज्य 'उत्तर प्रदेश कबड्डी' नामक कबड्डी के लिए जाना जाता है?")</f>
        <v>भारत का कौन सा राज्य 'उत्तर प्रदेश कबड्डी' नामक कबड्डी के लिए जाना जाता है?</v>
      </c>
      <c r="H36" s="5" t="str">
        <f>IFERROR(__xludf.DUMMYFUNCTION("GOOGLETRANSLATE(C36, ""en"", ""hi"")"),"A) उत्तर प्रदेश, B) बिहार, C) पश्चिम बंगाल, D) असम")</f>
        <v>A) उत्तर प्रदेश, B) बिहार, C) पश्चिम बंगाल, D) असम</v>
      </c>
      <c r="I36" s="5" t="str">
        <f>IFERROR(__xludf.DUMMYFUNCTION("GOOGLETRANSLATE(D36, ""en"", ""hi"")"),"A) उत्तर प्रदेश")</f>
        <v>A) उत्तर प्रदेश</v>
      </c>
    </row>
    <row r="37" ht="22.5" customHeight="1">
      <c r="A37" s="3">
        <v>36.0</v>
      </c>
      <c r="B37" s="4" t="s">
        <v>111</v>
      </c>
      <c r="C37" s="4" t="s">
        <v>112</v>
      </c>
      <c r="D37" s="4" t="s">
        <v>113</v>
      </c>
      <c r="F37" s="5" t="str">
        <f>IFERROR(__xludf.DUMMYFUNCTION("GOOGLETRANSLATE(A37, ""en"", ""hi"")"),"36")</f>
        <v>36</v>
      </c>
      <c r="G37" s="5" t="str">
        <f>IFERROR(__xludf.DUMMYFUNCTION("GOOGLETRANSLATE(B37, ""en"", ""hi"")"),"कौन सा कबड्डी खिलाड़ी अपने नेतृत्व के लिए प्रसिद्ध है और 2014 एशियाई खेलों के दौरान भारतीय कबड्डी टीम का कप्तान था?")</f>
        <v>कौन सा कबड्डी खिलाड़ी अपने नेतृत्व के लिए प्रसिद्ध है और 2014 एशियाई खेलों के दौरान भारतीय कबड्डी टीम का कप्तान था?</v>
      </c>
      <c r="H37" s="5" t="str">
        <f>IFERROR(__xludf.DUMMYFUNCTION("GOOGLETRANSLATE(C37, ""en"", ""hi"")"),"ए) अनुप कुमार, बी) प्रदीप नरवाल, सी) अजय ठाकुर, डी) मंजीत छिल्लर")</f>
        <v>ए) अनुप कुमार, बी) प्रदीप नरवाल, सी) अजय ठाकुर, डी) मंजीत छिल्लर</v>
      </c>
      <c r="I37" s="5" t="str">
        <f>IFERROR(__xludf.DUMMYFUNCTION("GOOGLETRANSLATE(D37, ""en"", ""hi"")"),"A) अनूप कुमार")</f>
        <v>A) अनूप कुमार</v>
      </c>
    </row>
    <row r="38" ht="22.5" customHeight="1">
      <c r="A38" s="3">
        <v>37.0</v>
      </c>
      <c r="B38" s="4" t="s">
        <v>114</v>
      </c>
      <c r="C38" s="4" t="s">
        <v>115</v>
      </c>
      <c r="D38" s="4" t="s">
        <v>116</v>
      </c>
      <c r="F38" s="5" t="str">
        <f>IFERROR(__xludf.DUMMYFUNCTION("GOOGLETRANSLATE(A38, ""en"", ""hi"")"),"37")</f>
        <v>37</v>
      </c>
      <c r="G38" s="5" t="str">
        <f>IFERROR(__xludf.DUMMYFUNCTION("GOOGLETRANSLATE(B38, ""en"", ""hi"")"),"किस भारतीय राज्य में कबड्डी का एक प्रकार 'कर्नाटक कबड्डी' के नाम से जाना जाता है?")</f>
        <v>किस भारतीय राज्य में कबड्डी का एक प्रकार 'कर्नाटक कबड्डी' के नाम से जाना जाता है?</v>
      </c>
      <c r="H38" s="5" t="str">
        <f>IFERROR(__xludf.DUMMYFUNCTION("GOOGLETRANSLATE(C38, ""en"", ""hi"")"),"A) कर्नाटक, B) केरल, C) आंध्र प्रदेश, D) तेलंगाना")</f>
        <v>A) कर्नाटक, B) केरल, C) आंध्र प्रदेश, D) तेलंगाना</v>
      </c>
      <c r="I38" s="5" t="str">
        <f>IFERROR(__xludf.DUMMYFUNCTION("GOOGLETRANSLATE(D38, ""en"", ""hi"")"),"A) कर्नाटक")</f>
        <v>A) कर्नाटक</v>
      </c>
    </row>
    <row r="39" ht="22.5" customHeight="1">
      <c r="A39" s="3">
        <v>38.0</v>
      </c>
      <c r="B39" s="4" t="s">
        <v>117</v>
      </c>
      <c r="C39" s="4" t="s">
        <v>118</v>
      </c>
      <c r="D39" s="4" t="s">
        <v>119</v>
      </c>
      <c r="F39" s="5" t="str">
        <f>IFERROR(__xludf.DUMMYFUNCTION("GOOGLETRANSLATE(A39, ""en"", ""hi"")"),"38")</f>
        <v>38</v>
      </c>
      <c r="G39" s="5" t="str">
        <f>IFERROR(__xludf.DUMMYFUNCTION("GOOGLETRANSLATE(B39, ""en"", ""hi"")"),"कौन सा अंतर्राष्ट्रीय कबड्डी टूर्नामेंट पारंपरिक और गैर-पारंपरिक दोनों कबड्डी देशों की टीमों की विशेषता के लिए जाना जाता है?")</f>
        <v>कौन सा अंतर्राष्ट्रीय कबड्डी टूर्नामेंट पारंपरिक और गैर-पारंपरिक दोनों कबड्डी देशों की टीमों की विशेषता के लिए जाना जाता है?</v>
      </c>
      <c r="H39" s="5" t="str">
        <f>IFERROR(__xludf.DUMMYFUNCTION("GOOGLETRANSLATE(C39, ""en"", ""hi"")"),"A) कबड्डी मास्टर्स, B) विश्व कबड्डी लीग, C) अंतर्राष्ट्रीय कबड्डी चैम्पियनशिप, D) कबड्डी विश्व कप")</f>
        <v>A) कबड्डी मास्टर्स, B) विश्व कबड्डी लीग, C) अंतर्राष्ट्रीय कबड्डी चैम्पियनशिप, D) कबड्डी विश्व कप</v>
      </c>
      <c r="I39" s="5" t="str">
        <f>IFERROR(__xludf.DUMMYFUNCTION("GOOGLETRANSLATE(D39, ""en"", ""hi"")"),"बी) विश्व कबड्डी लीग")</f>
        <v>बी) विश्व कबड्डी लीग</v>
      </c>
    </row>
    <row r="40" ht="22.5" customHeight="1">
      <c r="A40" s="3">
        <v>39.0</v>
      </c>
      <c r="B40" s="4" t="s">
        <v>120</v>
      </c>
      <c r="C40" s="4" t="s">
        <v>121</v>
      </c>
      <c r="D40" s="4" t="s">
        <v>122</v>
      </c>
      <c r="F40" s="5" t="str">
        <f>IFERROR(__xludf.DUMMYFUNCTION("GOOGLETRANSLATE(A40, ""en"", ""hi"")"),"39")</f>
        <v>39</v>
      </c>
      <c r="G40" s="5" t="str">
        <f>IFERROR(__xludf.DUMMYFUNCTION("GOOGLETRANSLATE(B40, ""en"", ""hi"")"),"प्रो कबड्डी लीग के उद्घाटन सत्र में शीर्ष स्कोरर के रूप में कौन सा कबड्डी खिलाड़ी जाना जाता है?")</f>
        <v>प्रो कबड्डी लीग के उद्घाटन सत्र में शीर्ष स्कोरर के रूप में कौन सा कबड्डी खिलाड़ी जाना जाता है?</v>
      </c>
      <c r="H40" s="5" t="str">
        <f>IFERROR(__xludf.DUMMYFUNCTION("GOOGLETRANSLATE(C40, ""en"", ""hi"")"),"ए) राहुल चौधरी, बी) प्रदीप नरवाल, सी) रिशांक देवाडिगा, डी) अजय ठाकुर")</f>
        <v>ए) राहुल चौधरी, बी) प्रदीप नरवाल, सी) रिशांक देवाडिगा, डी) अजय ठाकुर</v>
      </c>
      <c r="I40" s="5" t="str">
        <f>IFERROR(__xludf.DUMMYFUNCTION("GOOGLETRANSLATE(D40, ""en"", ""hi"")"),"A) राहुल चौधरी")</f>
        <v>A) राहुल चौधरी</v>
      </c>
    </row>
    <row r="41" ht="22.5" customHeight="1">
      <c r="A41" s="3">
        <v>40.0</v>
      </c>
      <c r="B41" s="4" t="s">
        <v>123</v>
      </c>
      <c r="C41" s="4" t="s">
        <v>124</v>
      </c>
      <c r="D41" s="4" t="s">
        <v>125</v>
      </c>
      <c r="F41" s="5" t="str">
        <f>IFERROR(__xludf.DUMMYFUNCTION("GOOGLETRANSLATE(A41, ""en"", ""hi"")"),"40")</f>
        <v>40</v>
      </c>
      <c r="G41" s="5" t="str">
        <f>IFERROR(__xludf.DUMMYFUNCTION("GOOGLETRANSLATE(B41, ""en"", ""hi"")"),"भारत के किस राज्य में एक अनोखी कबड्डी शैली है जिसे 'राजस्थान कबड्डी' के नाम से जाना जाता है?")</f>
        <v>भारत के किस राज्य में एक अनोखी कबड्डी शैली है जिसे 'राजस्थान कबड्डी' के नाम से जाना जाता है?</v>
      </c>
      <c r="H41" s="5" t="str">
        <f>IFERROR(__xludf.DUMMYFUNCTION("GOOGLETRANSLATE(C41, ""en"", ""hi"")"),"ए) राजस्थान, बी) हरियाणा, सी) पंजाब, डी) उत्तर प्रदेश")</f>
        <v>ए) राजस्थान, बी) हरियाणा, सी) पंजाब, डी) उत्तर प्रदेश</v>
      </c>
      <c r="I41" s="5" t="str">
        <f>IFERROR(__xludf.DUMMYFUNCTION("GOOGLETRANSLATE(D41, ""en"", ""hi"")"),"A) राजस्थान")</f>
        <v>A) राजस्थान</v>
      </c>
    </row>
    <row r="42" ht="22.5" customHeight="1">
      <c r="A42" s="3">
        <v>41.0</v>
      </c>
      <c r="B42" s="4" t="s">
        <v>126</v>
      </c>
      <c r="C42" s="4" t="s">
        <v>127</v>
      </c>
      <c r="D42" s="4" t="s">
        <v>128</v>
      </c>
      <c r="F42" s="5" t="str">
        <f>IFERROR(__xludf.DUMMYFUNCTION("GOOGLETRANSLATE(A42, ""en"", ""hi"")"),"41")</f>
        <v>41</v>
      </c>
      <c r="G42" s="5" t="str">
        <f>IFERROR(__xludf.DUMMYFUNCTION("GOOGLETRANSLATE(B42, ""en"", ""hi"")"),"2016 कबड्डी विश्व कप की मेजबानी किस भारतीय शहर ने की?")</f>
        <v>2016 कबड्डी विश्व कप की मेजबानी किस भारतीय शहर ने की?</v>
      </c>
      <c r="H42" s="5" t="str">
        <f>IFERROR(__xludf.DUMMYFUNCTION("GOOGLETRANSLATE(C42, ""en"", ""hi"")"),"A) मुंबई, B) अहमदाबाद, C) दिल्ली, D) कोलकाता")</f>
        <v>A) मुंबई, B) अहमदाबाद, C) दिल्ली, D) कोलकाता</v>
      </c>
      <c r="I42" s="5" t="str">
        <f>IFERROR(__xludf.DUMMYFUNCTION("GOOGLETRANSLATE(D42, ""en"", ""hi"")"),"बी) अहमदाबाद")</f>
        <v>बी) अहमदाबाद</v>
      </c>
    </row>
    <row r="43" ht="22.5" customHeight="1">
      <c r="A43" s="3">
        <v>42.0</v>
      </c>
      <c r="B43" s="4" t="s">
        <v>129</v>
      </c>
      <c r="C43" s="4" t="s">
        <v>130</v>
      </c>
      <c r="D43" s="4" t="s">
        <v>131</v>
      </c>
      <c r="F43" s="5" t="str">
        <f>IFERROR(__xludf.DUMMYFUNCTION("GOOGLETRANSLATE(A43, ""en"", ""hi"")"),"42")</f>
        <v>42</v>
      </c>
      <c r="G43" s="5" t="str">
        <f>IFERROR(__xludf.DUMMYFUNCTION("GOOGLETRANSLATE(B43, ""en"", ""hi"")"),"कौन सा कबड्डी खिलाड़ी 2012 कबड्डी विश्व कप में अपने असाधारण प्रदर्शन और स्कोरिंग क्षमताओं के लिए जाना जाता है?")</f>
        <v>कौन सा कबड्डी खिलाड़ी 2012 कबड्डी विश्व कप में अपने असाधारण प्रदर्शन और स्कोरिंग क्षमताओं के लिए जाना जाता है?</v>
      </c>
      <c r="H43" s="5" t="str">
        <f>IFERROR(__xludf.DUMMYFUNCTION("GOOGLETRANSLATE(C43, ""en"", ""hi"")"),"ए) मंजीत छिल्लर, बी) अनुप कुमार, सी) प्रदीप नरवाल, डी) दीपक निवास हुडा")</f>
        <v>ए) मंजीत छिल्लर, बी) अनुप कुमार, सी) प्रदीप नरवाल, डी) दीपक निवास हुडा</v>
      </c>
      <c r="I43" s="5" t="str">
        <f>IFERROR(__xludf.DUMMYFUNCTION("GOOGLETRANSLATE(D43, ""en"", ""hi"")"),"बी) अनूप कुमार")</f>
        <v>बी) अनूप कुमार</v>
      </c>
    </row>
    <row r="44" ht="22.5" customHeight="1">
      <c r="A44" s="3">
        <v>43.0</v>
      </c>
      <c r="B44" s="4" t="s">
        <v>132</v>
      </c>
      <c r="C44" s="4" t="s">
        <v>133</v>
      </c>
      <c r="D44" s="4" t="s">
        <v>134</v>
      </c>
      <c r="F44" s="5" t="str">
        <f>IFERROR(__xludf.DUMMYFUNCTION("GOOGLETRANSLATE(A44, ""en"", ""hi"")"),"43")</f>
        <v>43</v>
      </c>
      <c r="G44" s="5" t="str">
        <f>IFERROR(__xludf.DUMMYFUNCTION("GOOGLETRANSLATE(B44, ""en"", ""hi"")"),"कौन सा देश कबड्डी मास्टर्स टूर्नामेंट की मेजबानी के लिए जाना जाता है जिसमें विभिन्न देशों की टीमें भाग लेती हैं?")</f>
        <v>कौन सा देश कबड्डी मास्टर्स टूर्नामेंट की मेजबानी के लिए जाना जाता है जिसमें विभिन्न देशों की टीमें भाग लेती हैं?</v>
      </c>
      <c r="H44" s="5" t="str">
        <f>IFERROR(__xludf.DUMMYFUNCTION("GOOGLETRANSLATE(C44, ""en"", ""hi"")"),"A) भारत, B) पाकिस्तान, C) यूएई, D) बांग्लादेश")</f>
        <v>A) भारत, B) पाकिस्तान, C) यूएई, D) बांग्लादेश</v>
      </c>
      <c r="I44" s="5" t="str">
        <f>IFERROR(__xludf.DUMMYFUNCTION("GOOGLETRANSLATE(D44, ""en"", ""hi"")"),"C) यूएई")</f>
        <v>C) यूएई</v>
      </c>
    </row>
    <row r="45" ht="22.5" customHeight="1">
      <c r="A45" s="3">
        <v>44.0</v>
      </c>
      <c r="B45" s="4" t="s">
        <v>135</v>
      </c>
      <c r="C45" s="4" t="s">
        <v>136</v>
      </c>
      <c r="D45" s="4" t="s">
        <v>49</v>
      </c>
      <c r="F45" s="5" t="str">
        <f>IFERROR(__xludf.DUMMYFUNCTION("GOOGLETRANSLATE(A45, ""en"", ""hi"")"),"44")</f>
        <v>44</v>
      </c>
      <c r="G45" s="5" t="str">
        <f>IFERROR(__xludf.DUMMYFUNCTION("GOOGLETRANSLATE(B45, ""en"", ""hi"")"),"कौन सा भारतीय राज्य 'गुजरात कबड्डी' नामक एक अनोखे कबड्डी संस्करण के लिए जाना जाता है?")</f>
        <v>कौन सा भारतीय राज्य 'गुजरात कबड्डी' नामक एक अनोखे कबड्डी संस्करण के लिए जाना जाता है?</v>
      </c>
      <c r="H45" s="5" t="str">
        <f>IFERROR(__xludf.DUMMYFUNCTION("GOOGLETRANSLATE(C45, ""en"", ""hi"")"),"ए) गुजरात, बी) महाराष्ट्र, सी) तमिलनाडु, डी) कर्नाटक")</f>
        <v>ए) गुजरात, बी) महाराष्ट्र, सी) तमिलनाडु, डी) कर्नाटक</v>
      </c>
      <c r="I45" s="5" t="str">
        <f>IFERROR(__xludf.DUMMYFUNCTION("GOOGLETRANSLATE(D45, ""en"", ""hi"")"),"A) गुजरात")</f>
        <v>A) गुजरात</v>
      </c>
    </row>
    <row r="46" ht="22.5" customHeight="1">
      <c r="A46" s="3">
        <v>45.0</v>
      </c>
      <c r="B46" s="4" t="s">
        <v>137</v>
      </c>
      <c r="C46" s="4" t="s">
        <v>138</v>
      </c>
      <c r="D46" s="4" t="s">
        <v>139</v>
      </c>
      <c r="F46" s="5" t="str">
        <f>IFERROR(__xludf.DUMMYFUNCTION("GOOGLETRANSLATE(A46, ""en"", ""hi"")"),"45")</f>
        <v>45</v>
      </c>
      <c r="G46" s="5" t="str">
        <f>IFERROR(__xludf.DUMMYFUNCTION("GOOGLETRANSLATE(B46, ""en"", ""hi"")"),"प्रो कबड्डी लीग के हॉल ऑफ फेम में शामिल होने वाला पहला कबड्डी खिलाड़ी कौन था?")</f>
        <v>प्रो कबड्डी लीग के हॉल ऑफ फेम में शामिल होने वाला पहला कबड्डी खिलाड़ी कौन था?</v>
      </c>
      <c r="H46" s="5" t="str">
        <f>IFERROR(__xludf.DUMMYFUNCTION("GOOGLETRANSLATE(C46, ""en"", ""hi"")"),"ए) अनुप कुमार, बी) मंजीत छिल्लर, सी) प्रदीप नरवाल, डी) राहुल चौधरी")</f>
        <v>ए) अनुप कुमार, बी) मंजीत छिल्लर, सी) प्रदीप नरवाल, डी) राहुल चौधरी</v>
      </c>
      <c r="I46" s="5" t="str">
        <f>IFERROR(__xludf.DUMMYFUNCTION("GOOGLETRANSLATE(D46, ""en"", ""hi"")"),"B) मंजीत छिल्लर")</f>
        <v>B) मंजीत छिल्लर</v>
      </c>
    </row>
    <row r="47" ht="22.5" customHeight="1">
      <c r="A47" s="3">
        <v>46.0</v>
      </c>
      <c r="B47" s="4" t="s">
        <v>140</v>
      </c>
      <c r="C47" s="4" t="s">
        <v>141</v>
      </c>
      <c r="D47" s="4" t="s">
        <v>142</v>
      </c>
      <c r="F47" s="5" t="str">
        <f>IFERROR(__xludf.DUMMYFUNCTION("GOOGLETRANSLATE(A47, ""en"", ""hi"")"),"46")</f>
        <v>46</v>
      </c>
      <c r="G47" s="5" t="str">
        <f>IFERROR(__xludf.DUMMYFUNCTION("GOOGLETRANSLATE(B47, ""en"", ""hi"")"),"किस कबड्डी खिलाड़ी को एक प्रो कबड्डी लीग सीज़न में सबसे अधिक टैकल पॉइंट्स का रिकॉर्ड स्थापित करने के लिए जाना जाता है?")</f>
        <v>किस कबड्डी खिलाड़ी को एक प्रो कबड्डी लीग सीज़न में सबसे अधिक टैकल पॉइंट्स का रिकॉर्ड स्थापित करने के लिए जाना जाता है?</v>
      </c>
      <c r="H47" s="5" t="str">
        <f>IFERROR(__xludf.DUMMYFUNCTION("GOOGLETRANSLATE(C47, ""en"", ""hi"")"),"ए) संदीप नरवाल, बी) दीपक निवास हुडा, सी) मंजीत छिल्लर, डी) नितिन तोमर")</f>
        <v>ए) संदीप नरवाल, बी) दीपक निवास हुडा, सी) मंजीत छिल्लर, डी) नितिन तोमर</v>
      </c>
      <c r="I47" s="5" t="str">
        <f>IFERROR(__xludf.DUMMYFUNCTION("GOOGLETRANSLATE(D47, ""en"", ""hi"")"),"A) संदीप नरवाल")</f>
        <v>A) संदीप नरवाल</v>
      </c>
    </row>
    <row r="48" ht="22.5" customHeight="1">
      <c r="A48" s="3">
        <v>47.0</v>
      </c>
      <c r="B48" s="4" t="s">
        <v>143</v>
      </c>
      <c r="C48" s="4" t="s">
        <v>144</v>
      </c>
      <c r="D48" s="4" t="s">
        <v>145</v>
      </c>
      <c r="F48" s="5" t="str">
        <f>IFERROR(__xludf.DUMMYFUNCTION("GOOGLETRANSLATE(A48, ""en"", ""hi"")"),"47")</f>
        <v>47</v>
      </c>
      <c r="G48" s="5" t="str">
        <f>IFERROR(__xludf.DUMMYFUNCTION("GOOGLETRANSLATE(B48, ""en"", ""hi"")"),"प्रो कबड्डी लीग का उद्घाटन सत्र किस कबड्डी टीम ने जीता?")</f>
        <v>प्रो कबड्डी लीग का उद्घाटन सत्र किस कबड्डी टीम ने जीता?</v>
      </c>
      <c r="H48" s="5" t="str">
        <f>IFERROR(__xludf.DUMMYFUNCTION("GOOGLETRANSLATE(C48, ""en"", ""hi"")"),"A) जयपुर पिंक पैंथर्स, B) यू मुंबा, C) बेंगलुरु बुल्स, D) पटना पाइरेट्स")</f>
        <v>A) जयपुर पिंक पैंथर्स, B) यू मुंबा, C) बेंगलुरु बुल्स, D) पटना पाइरेट्स</v>
      </c>
      <c r="I48" s="5" t="str">
        <f>IFERROR(__xludf.DUMMYFUNCTION("GOOGLETRANSLATE(D48, ""en"", ""hi"")"),"A) जयपुर पिंक पैंथर्स")</f>
        <v>A) जयपुर पिंक पैंथर्स</v>
      </c>
    </row>
    <row r="49" ht="22.5" customHeight="1">
      <c r="A49" s="3">
        <v>48.0</v>
      </c>
      <c r="B49" s="4" t="s">
        <v>146</v>
      </c>
      <c r="C49" s="4" t="s">
        <v>147</v>
      </c>
      <c r="D49" s="4" t="s">
        <v>116</v>
      </c>
      <c r="F49" s="5" t="str">
        <f>IFERROR(__xludf.DUMMYFUNCTION("GOOGLETRANSLATE(A49, ""en"", ""hi"")"),"48")</f>
        <v>48</v>
      </c>
      <c r="G49" s="5" t="str">
        <f>IFERROR(__xludf.DUMMYFUNCTION("GOOGLETRANSLATE(B49, ""en"", ""hi"")"),"कौन सा भारतीय राज्य 'कर्नाटक कबड्डी' नामक पारंपरिक कबड्डी शैली के लिए जाना जाता है?")</f>
        <v>कौन सा भारतीय राज्य 'कर्नाटक कबड्डी' नामक पारंपरिक कबड्डी शैली के लिए जाना जाता है?</v>
      </c>
      <c r="H49" s="5" t="str">
        <f>IFERROR(__xludf.DUMMYFUNCTION("GOOGLETRANSLATE(C49, ""en"", ""hi"")"),"A) कर्नाटक, B) आंध्र प्रदेश, C) तमिलनाडु, D) केरल")</f>
        <v>A) कर्नाटक, B) आंध्र प्रदेश, C) तमिलनाडु, D) केरल</v>
      </c>
      <c r="I49" s="5" t="str">
        <f>IFERROR(__xludf.DUMMYFUNCTION("GOOGLETRANSLATE(D49, ""en"", ""hi"")"),"A) कर्नाटक")</f>
        <v>A) कर्नाटक</v>
      </c>
    </row>
    <row r="50" ht="22.5" customHeight="1">
      <c r="A50" s="3">
        <v>49.0</v>
      </c>
      <c r="B50" s="4" t="s">
        <v>148</v>
      </c>
      <c r="C50" s="4" t="s">
        <v>149</v>
      </c>
      <c r="D50" s="4" t="s">
        <v>150</v>
      </c>
      <c r="F50" s="5" t="str">
        <f>IFERROR(__xludf.DUMMYFUNCTION("GOOGLETRANSLATE(A50, ""en"", ""hi"")"),"49")</f>
        <v>49</v>
      </c>
      <c r="G50" s="5" t="str">
        <f>IFERROR(__xludf.DUMMYFUNCTION("GOOGLETRANSLATE(B50, ""en"", ""hi"")"),"किस भारतीय राज्य में 'हरियाणा कबड्डी' नामक कबड्डी शैली है?")</f>
        <v>किस भारतीय राज्य में 'हरियाणा कबड्डी' नामक कबड्डी शैली है?</v>
      </c>
      <c r="H50" s="5" t="str">
        <f>IFERROR(__xludf.DUMMYFUNCTION("GOOGLETRANSLATE(C50, ""en"", ""hi"")"),"A) हरियाणा, B) पंजाब, C) उत्तर प्रदेश, D) हिमाचल प्रदेश")</f>
        <v>A) हरियाणा, B) पंजाब, C) उत्तर प्रदेश, D) हिमाचल प्रदेश</v>
      </c>
      <c r="I50" s="5" t="str">
        <f>IFERROR(__xludf.DUMMYFUNCTION("GOOGLETRANSLATE(D50, ""en"", ""hi"")"),"A) हरियाणा")</f>
        <v>A) हरियाणा</v>
      </c>
    </row>
    <row r="51" ht="22.5" customHeight="1">
      <c r="A51" s="3">
        <v>50.0</v>
      </c>
      <c r="B51" s="4" t="s">
        <v>151</v>
      </c>
      <c r="C51" s="4" t="s">
        <v>152</v>
      </c>
      <c r="D51" s="4" t="s">
        <v>95</v>
      </c>
      <c r="F51" s="5" t="str">
        <f>IFERROR(__xludf.DUMMYFUNCTION("GOOGLETRANSLATE(A51, ""en"", ""hi"")"),"50")</f>
        <v>50</v>
      </c>
      <c r="G51" s="5" t="str">
        <f>IFERROR(__xludf.DUMMYFUNCTION("GOOGLETRANSLATE(B51, ""en"", ""hi"")"),"प्रो कबड्डी लीग के इतिहास में 500 रेड अंक हासिल करने वाला पहला कबड्डी खिलाड़ी कौन बना?")</f>
        <v>प्रो कबड्डी लीग के इतिहास में 500 रेड अंक हासिल करने वाला पहला कबड्डी खिलाड़ी कौन बना?</v>
      </c>
      <c r="H51" s="5" t="str">
        <f>IFERROR(__xludf.DUMMYFUNCTION("GOOGLETRANSLATE(C51, ""en"", ""hi"")"),"ए) प्रदीप नरवाल, बी) राहुल चौधरी, सी) दीपक निवास हुडा, डी) नितिन तोमर")</f>
        <v>ए) प्रदीप नरवाल, बी) राहुल चौधरी, सी) दीपक निवास हुडा, डी) नितिन तोमर</v>
      </c>
      <c r="I51" s="5" t="str">
        <f>IFERROR(__xludf.DUMMYFUNCTION("GOOGLETRANSLATE(D51, ""en"", ""hi"")"),"A) प्रदीप नरवाल")</f>
        <v>A) प्रदीप नरवाल</v>
      </c>
    </row>
    <row r="52" ht="22.5" customHeight="1">
      <c r="A52" s="3">
        <v>51.0</v>
      </c>
      <c r="B52" s="4" t="s">
        <v>153</v>
      </c>
      <c r="C52" s="4" t="s">
        <v>154</v>
      </c>
      <c r="D52" s="4" t="s">
        <v>155</v>
      </c>
      <c r="F52" s="5" t="str">
        <f>IFERROR(__xludf.DUMMYFUNCTION("GOOGLETRANSLATE(A52, ""en"", ""hi"")"),"51")</f>
        <v>51</v>
      </c>
      <c r="G52" s="5" t="str">
        <f>IFERROR(__xludf.DUMMYFUNCTION("GOOGLETRANSLATE(B52, ""en"", ""hi"")"),"कौन सा कबड्डी खिलाड़ी अपने उत्कृष्ट रक्षात्मक कौशल के लिए प्रसिद्ध है और 2018 कबड्डी विश्व कप में भारतीय टीम की सफलता में एक प्रमुख खिलाड़ी था?")</f>
        <v>कौन सा कबड्डी खिलाड़ी अपने उत्कृष्ट रक्षात्मक कौशल के लिए प्रसिद्ध है और 2018 कबड्डी विश्व कप में भारतीय टीम की सफलता में एक प्रमुख खिलाड़ी था?</v>
      </c>
      <c r="H52" s="5" t="str">
        <f>IFERROR(__xludf.DUMMYFUNCTION("GOOGLETRANSLATE(C52, ""en"", ""hi"")"),"ए) मंजीत छिल्लर, बी) संदीप नरवाल, सी) दीपक निवास हुडा, डी) राहुल चौधरी")</f>
        <v>ए) मंजीत छिल्लर, बी) संदीप नरवाल, सी) दीपक निवास हुडा, डी) राहुल चौधरी</v>
      </c>
      <c r="I52" s="5" t="str">
        <f>IFERROR(__xludf.DUMMYFUNCTION("GOOGLETRANSLATE(D52, ""en"", ""hi"")"),"B) संदीप नरवाल")</f>
        <v>B) संदीप नरवाल</v>
      </c>
    </row>
    <row r="53" ht="22.5" customHeight="1">
      <c r="A53" s="3">
        <v>52.0</v>
      </c>
      <c r="B53" s="4" t="s">
        <v>156</v>
      </c>
      <c r="C53" s="4" t="s">
        <v>157</v>
      </c>
      <c r="D53" s="4" t="s">
        <v>158</v>
      </c>
      <c r="F53" s="5" t="str">
        <f>IFERROR(__xludf.DUMMYFUNCTION("GOOGLETRANSLATE(A53, ""en"", ""hi"")"),"52")</f>
        <v>52</v>
      </c>
      <c r="G53" s="5" t="str">
        <f>IFERROR(__xludf.DUMMYFUNCTION("GOOGLETRANSLATE(B53, ""en"", ""hi"")"),"भारत के किस राज्य में पारंपरिक कबड्डी टूर्नामेंट होता है जिसे 'महाराष्ट्र कबड्डी चैम्पियनशिप' के नाम से जाना जाता है?")</f>
        <v>भारत के किस राज्य में पारंपरिक कबड्डी टूर्नामेंट होता है जिसे 'महाराष्ट्र कबड्डी चैम्पियनशिप' के नाम से जाना जाता है?</v>
      </c>
      <c r="H53" s="5" t="str">
        <f>IFERROR(__xludf.DUMMYFUNCTION("GOOGLETRANSLATE(C53, ""en"", ""hi"")"),"ए) महाराष्ट्र, बी) गुजरात, सी) कर्नाटक, डी) तमिलनाडु")</f>
        <v>ए) महाराष्ट्र, बी) गुजरात, सी) कर्नाटक, डी) तमिलनाडु</v>
      </c>
      <c r="I53" s="5" t="str">
        <f>IFERROR(__xludf.DUMMYFUNCTION("GOOGLETRANSLATE(D53, ""en"", ""hi"")"),"A) महाराष्ट्र")</f>
        <v>A) महाराष्ट्र</v>
      </c>
    </row>
    <row r="54" ht="22.5" customHeight="1">
      <c r="A54" s="3">
        <v>53.0</v>
      </c>
      <c r="B54" s="4" t="s">
        <v>159</v>
      </c>
      <c r="C54" s="4" t="s">
        <v>160</v>
      </c>
      <c r="D54" s="4" t="s">
        <v>77</v>
      </c>
      <c r="F54" s="5" t="str">
        <f>IFERROR(__xludf.DUMMYFUNCTION("GOOGLETRANSLATE(A54, ""en"", ""hi"")"),"53")</f>
        <v>53</v>
      </c>
      <c r="G54" s="5" t="str">
        <f>IFERROR(__xludf.DUMMYFUNCTION("GOOGLETRANSLATE(B54, ""en"", ""hi"")"),"कौन सा भारतीय शहर वार्षिक कबड्डी चैम्पियनशिप लीग की मेजबानी के लिए जाना जाता है?")</f>
        <v>कौन सा भारतीय शहर वार्षिक कबड्डी चैम्पियनशिप लीग की मेजबानी के लिए जाना जाता है?</v>
      </c>
      <c r="H54" s="5" t="str">
        <f>IFERROR(__xludf.DUMMYFUNCTION("GOOGLETRANSLATE(C54, ""en"", ""hi"")"),"A) दिल्ली, B) मुंबई, C) चेन्नई, D) बैंगलोर")</f>
        <v>A) दिल्ली, B) मुंबई, C) चेन्नई, D) बैंगलोर</v>
      </c>
      <c r="I54" s="5" t="str">
        <f>IFERROR(__xludf.DUMMYFUNCTION("GOOGLETRANSLATE(D54, ""en"", ""hi"")"),"बी) मुंबई")</f>
        <v>बी) मुंबई</v>
      </c>
    </row>
    <row r="55" ht="22.5" customHeight="1">
      <c r="A55" s="3">
        <v>54.0</v>
      </c>
      <c r="B55" s="4" t="s">
        <v>161</v>
      </c>
      <c r="C55" s="4" t="s">
        <v>162</v>
      </c>
      <c r="D55" s="4" t="s">
        <v>163</v>
      </c>
      <c r="F55" s="5" t="str">
        <f>IFERROR(__xludf.DUMMYFUNCTION("GOOGLETRANSLATE(A55, ""en"", ""hi"")"),"54")</f>
        <v>54</v>
      </c>
      <c r="G55" s="5" t="str">
        <f>IFERROR(__xludf.DUMMYFUNCTION("GOOGLETRANSLATE(B55, ""en"", ""hi"")"),"कौन सा कबड्डी खिलाड़ी अपने नेतृत्व के लिए जाना जाता है और 2016 कबड्डी विश्व कप में भारतीय टीम का कप्तान था?")</f>
        <v>कौन सा कबड्डी खिलाड़ी अपने नेतृत्व के लिए जाना जाता है और 2016 कबड्डी विश्व कप में भारतीय टीम का कप्तान था?</v>
      </c>
      <c r="H55" s="5" t="str">
        <f>IFERROR(__xludf.DUMMYFUNCTION("GOOGLETRANSLATE(C55, ""en"", ""hi"")"),"ए) अनुप कुमार, बी) प्रदीप नरवाल, सी) अजय ठाकुर, डी) दीपक निवास हुडा")</f>
        <v>ए) अनुप कुमार, बी) प्रदीप नरवाल, सी) अजय ठाकुर, डी) दीपक निवास हुडा</v>
      </c>
      <c r="I55" s="5" t="str">
        <f>IFERROR(__xludf.DUMMYFUNCTION("GOOGLETRANSLATE(D55, ""en"", ""hi"")"),"C) अजय ठाकुर")</f>
        <v>C) अजय ठाकुर</v>
      </c>
    </row>
    <row r="56" ht="22.5" customHeight="1">
      <c r="A56" s="3">
        <v>55.0</v>
      </c>
      <c r="B56" s="4" t="s">
        <v>164</v>
      </c>
      <c r="C56" s="4" t="s">
        <v>36</v>
      </c>
      <c r="D56" s="4" t="s">
        <v>37</v>
      </c>
      <c r="F56" s="5" t="str">
        <f>IFERROR(__xludf.DUMMYFUNCTION("GOOGLETRANSLATE(A56, ""en"", ""hi"")"),"55")</f>
        <v>55</v>
      </c>
      <c r="G56" s="5" t="str">
        <f>IFERROR(__xludf.DUMMYFUNCTION("GOOGLETRANSLATE(B56, ""en"", ""hi"")"),"कौन सा देश कबड्डी में अपनी मजबूत उपस्थिति के लिए जाना जाता है और उसने कई कबड्डी विश्व कप जीते हैं?")</f>
        <v>कौन सा देश कबड्डी में अपनी मजबूत उपस्थिति के लिए जाना जाता है और उसने कई कबड्डी विश्व कप जीते हैं?</v>
      </c>
      <c r="H56" s="5" t="str">
        <f>IFERROR(__xludf.DUMMYFUNCTION("GOOGLETRANSLATE(C56, ""en"", ""hi"")"),"A) भारत, B) पाकिस्तान, C) बांग्लादेश, D) नेपाल")</f>
        <v>A) भारत, B) पाकिस्तान, C) बांग्लादेश, D) नेपाल</v>
      </c>
      <c r="I56" s="5" t="str">
        <f>IFERROR(__xludf.DUMMYFUNCTION("GOOGLETRANSLATE(D56, ""en"", ""hi"")"),"ए) भारत")</f>
        <v>ए) भारत</v>
      </c>
    </row>
    <row r="57" ht="22.5" customHeight="1">
      <c r="A57" s="3">
        <v>56.0</v>
      </c>
      <c r="B57" s="4" t="s">
        <v>165</v>
      </c>
      <c r="C57" s="4" t="s">
        <v>166</v>
      </c>
      <c r="D57" s="4" t="s">
        <v>95</v>
      </c>
      <c r="F57" s="5" t="str">
        <f>IFERROR(__xludf.DUMMYFUNCTION("GOOGLETRANSLATE(A57, ""en"", ""hi"")"),"56")</f>
        <v>56</v>
      </c>
      <c r="G57" s="5" t="str">
        <f>IFERROR(__xludf.DUMMYFUNCTION("GOOGLETRANSLATE(B57, ""en"", ""hi"")"),"किस कबड्डी खिलाड़ी ने प्रो कबड्डी लीग के एक मैच में सर्वाधिक अंक हासिल करने का रिकॉर्ड बनाया?")</f>
        <v>किस कबड्डी खिलाड़ी ने प्रो कबड्डी लीग के एक मैच में सर्वाधिक अंक हासिल करने का रिकॉर्ड बनाया?</v>
      </c>
      <c r="H57" s="5" t="str">
        <f>IFERROR(__xludf.DUMMYFUNCTION("GOOGLETRANSLATE(C57, ""en"", ""hi"")"),"ए) प्रदीप नरवाल, बी) राहुल चौधरी, सी) रिशांक देवाडिगा, डी) दीपक निवास हुडा")</f>
        <v>ए) प्रदीप नरवाल, बी) राहुल चौधरी, सी) रिशांक देवाडिगा, डी) दीपक निवास हुडा</v>
      </c>
      <c r="I57" s="5" t="str">
        <f>IFERROR(__xludf.DUMMYFUNCTION("GOOGLETRANSLATE(D57, ""en"", ""hi"")"),"A) प्रदीप नरवाल")</f>
        <v>A) प्रदीप नरवाल</v>
      </c>
    </row>
    <row r="58" ht="22.5" customHeight="1">
      <c r="A58" s="3">
        <v>57.0</v>
      </c>
      <c r="B58" s="4" t="s">
        <v>167</v>
      </c>
      <c r="C58" s="4" t="s">
        <v>168</v>
      </c>
      <c r="D58" s="4" t="s">
        <v>169</v>
      </c>
      <c r="F58" s="5" t="str">
        <f>IFERROR(__xludf.DUMMYFUNCTION("GOOGLETRANSLATE(A58, ""en"", ""hi"")"),"57")</f>
        <v>57</v>
      </c>
      <c r="G58" s="5" t="str">
        <f>IFERROR(__xludf.DUMMYFUNCTION("GOOGLETRANSLATE(B58, ""en"", ""hi"")"),"कौन सी कबड्डी प्रतियोगिता में विभिन्न देशों की टीमें भाग लेती हैं और यह अपने उच्च स्तर की प्रतिस्पर्धा के लिए जानी जाती है?")</f>
        <v>कौन सी कबड्डी प्रतियोगिता में विभिन्न देशों की टीमें भाग लेती हैं और यह अपने उच्च स्तर की प्रतिस्पर्धा के लिए जानी जाती है?</v>
      </c>
      <c r="H58" s="5" t="str">
        <f>IFERROR(__xludf.DUMMYFUNCTION("GOOGLETRANSLATE(C58, ""en"", ""hi"")"),"A) कबड्डी विश्व कप, B) विश्व कबड्डी लीग, C) कबड्डी मास्टर्स, D) एशियाई कबड्डी चैम्पियनशिप")</f>
        <v>A) कबड्डी विश्व कप, B) विश्व कबड्डी लीग, C) कबड्डी मास्टर्स, D) एशियाई कबड्डी चैम्पियनशिप</v>
      </c>
      <c r="I58" s="5" t="str">
        <f>IFERROR(__xludf.DUMMYFUNCTION("GOOGLETRANSLATE(D58, ""en"", ""hi"")"),"C) कबड्डी मास्टर्स")</f>
        <v>C) कबड्डी मास्टर्स</v>
      </c>
    </row>
    <row r="59" ht="22.5" customHeight="1">
      <c r="A59" s="3">
        <v>58.0</v>
      </c>
      <c r="B59" s="4" t="s">
        <v>170</v>
      </c>
      <c r="C59" s="4" t="s">
        <v>171</v>
      </c>
      <c r="D59" s="4" t="s">
        <v>172</v>
      </c>
      <c r="F59" s="5" t="str">
        <f>IFERROR(__xludf.DUMMYFUNCTION("GOOGLETRANSLATE(A59, ""en"", ""hi"")"),"58")</f>
        <v>58</v>
      </c>
      <c r="G59" s="5" t="str">
        <f>IFERROR(__xludf.DUMMYFUNCTION("GOOGLETRANSLATE(B59, ""en"", ""hi"")"),"कौन सा भारतीय राज्य अपनी अनूठी कबड्डी शैली 'केरल कबड्डी' के लिए जाना जाता है?")</f>
        <v>कौन सा भारतीय राज्य अपनी अनूठी कबड्डी शैली 'केरल कबड्डी' के लिए जाना जाता है?</v>
      </c>
      <c r="H59" s="5" t="str">
        <f>IFERROR(__xludf.DUMMYFUNCTION("GOOGLETRANSLATE(C59, ""en"", ""hi"")"),"A) केरल, B) तमिलनाडु, C) कर्नाटक, D) आंध्र प्रदेश")</f>
        <v>A) केरल, B) तमिलनाडु, C) कर्नाटक, D) आंध्र प्रदेश</v>
      </c>
      <c r="I59" s="5" t="str">
        <f>IFERROR(__xludf.DUMMYFUNCTION("GOOGLETRANSLATE(D59, ""en"", ""hi"")"),"A) केरल")</f>
        <v>A) केरल</v>
      </c>
    </row>
    <row r="60" ht="22.5" customHeight="1">
      <c r="A60" s="3">
        <v>59.0</v>
      </c>
      <c r="B60" s="4" t="s">
        <v>173</v>
      </c>
      <c r="C60" s="4" t="s">
        <v>174</v>
      </c>
      <c r="D60" s="4" t="s">
        <v>113</v>
      </c>
      <c r="F60" s="5" t="str">
        <f>IFERROR(__xludf.DUMMYFUNCTION("GOOGLETRANSLATE(A60, ""en"", ""hi"")"),"59")</f>
        <v>59</v>
      </c>
      <c r="G60" s="5" t="str">
        <f>IFERROR(__xludf.DUMMYFUNCTION("GOOGLETRANSLATE(B60, ""en"", ""hi"")"),"प्रो कबड्डी लीग में सबसे मूल्यवान खिलाड़ी (एमवीपी) का खिताब पाने वाला पहला कबड्डी खिलाड़ी कौन था?")</f>
        <v>प्रो कबड्डी लीग में सबसे मूल्यवान खिलाड़ी (एमवीपी) का खिताब पाने वाला पहला कबड्डी खिलाड़ी कौन था?</v>
      </c>
      <c r="H60" s="5" t="str">
        <f>IFERROR(__xludf.DUMMYFUNCTION("GOOGLETRANSLATE(C60, ""en"", ""hi"")"),"ए) अनुप कुमार, बी) प्रदीप नरवाल, सी) मंजीत छिल्लर, डी) राहुल चौधरी")</f>
        <v>ए) अनुप कुमार, बी) प्रदीप नरवाल, सी) मंजीत छिल्लर, डी) राहुल चौधरी</v>
      </c>
      <c r="I60" s="5" t="str">
        <f>IFERROR(__xludf.DUMMYFUNCTION("GOOGLETRANSLATE(D60, ""en"", ""hi"")"),"A) अनूप कुमार")</f>
        <v>A) अनूप कुमार</v>
      </c>
    </row>
    <row r="61" ht="22.5" customHeight="1">
      <c r="A61" s="3">
        <v>60.0</v>
      </c>
      <c r="B61" s="4" t="s">
        <v>175</v>
      </c>
      <c r="C61" s="4" t="s">
        <v>176</v>
      </c>
      <c r="D61" s="4" t="s">
        <v>95</v>
      </c>
      <c r="F61" s="5" t="str">
        <f>IFERROR(__xludf.DUMMYFUNCTION("GOOGLETRANSLATE(A61, ""en"", ""hi"")"),"60")</f>
        <v>60</v>
      </c>
      <c r="G61" s="5" t="str">
        <f>IFERROR(__xludf.DUMMYFUNCTION("GOOGLETRANSLATE(B61, ""en"", ""hi"")"),"कौन सा कबड्डी खिलाड़ी अपने रेडिंग कौशल के लिए प्रसिद्ध है और प्रो कबड्डी लीग में एक प्रमुख खिलाड़ी रहा है?")</f>
        <v>कौन सा कबड्डी खिलाड़ी अपने रेडिंग कौशल के लिए प्रसिद्ध है और प्रो कबड्डी लीग में एक प्रमुख खिलाड़ी रहा है?</v>
      </c>
      <c r="H61" s="5" t="str">
        <f>IFERROR(__xludf.DUMMYFUNCTION("GOOGLETRANSLATE(C61, ""en"", ""hi"")"),"ए) प्रदीप नरवाल, बी) अजय ठाकुर, सी) राहुल चौधरी, डी) रिशांक देवाडिगा")</f>
        <v>ए) प्रदीप नरवाल, बी) अजय ठाकुर, सी) राहुल चौधरी, डी) रिशांक देवाडिगा</v>
      </c>
      <c r="I61" s="5" t="str">
        <f>IFERROR(__xludf.DUMMYFUNCTION("GOOGLETRANSLATE(D61, ""en"", ""hi"")"),"A) प्रदीप नरवाल")</f>
        <v>A) प्रदीप नरवाल</v>
      </c>
    </row>
    <row r="62" ht="22.5" customHeight="1">
      <c r="A62" s="3">
        <v>61.0</v>
      </c>
      <c r="B62" s="4" t="s">
        <v>177</v>
      </c>
      <c r="C62" s="4" t="s">
        <v>178</v>
      </c>
      <c r="D62" s="4" t="s">
        <v>179</v>
      </c>
      <c r="F62" s="5" t="str">
        <f>IFERROR(__xludf.DUMMYFUNCTION("GOOGLETRANSLATE(A62, ""en"", ""hi"")"),"61")</f>
        <v>61</v>
      </c>
      <c r="G62" s="5" t="str">
        <f>IFERROR(__xludf.DUMMYFUNCTION("GOOGLETRANSLATE(B62, ""en"", ""hi"")"),"किस भारतीय राज्य में कबड्डी का एक प्रकार 'पश्चिम बंगाल कबड्डी' के नाम से जाना जाता है?")</f>
        <v>किस भारतीय राज्य में कबड्डी का एक प्रकार 'पश्चिम बंगाल कबड्डी' के नाम से जाना जाता है?</v>
      </c>
      <c r="H62" s="5" t="str">
        <f>IFERROR(__xludf.DUMMYFUNCTION("GOOGLETRANSLATE(C62, ""en"", ""hi"")"),"A) पश्चिम बंगाल, B) ओडिशा, C) झारखंड, D) असम")</f>
        <v>A) पश्चिम बंगाल, B) ओडिशा, C) झारखंड, D) असम</v>
      </c>
      <c r="I62" s="5" t="str">
        <f>IFERROR(__xludf.DUMMYFUNCTION("GOOGLETRANSLATE(D62, ""en"", ""hi"")"),"ए) पश्चिम बंगाल")</f>
        <v>ए) पश्चिम बंगाल</v>
      </c>
    </row>
    <row r="63" ht="22.5" customHeight="1">
      <c r="A63" s="3">
        <v>62.0</v>
      </c>
      <c r="B63" s="4" t="s">
        <v>180</v>
      </c>
      <c r="C63" s="4" t="s">
        <v>181</v>
      </c>
      <c r="D63" s="4" t="s">
        <v>142</v>
      </c>
      <c r="F63" s="5" t="str">
        <f>IFERROR(__xludf.DUMMYFUNCTION("GOOGLETRANSLATE(A63, ""en"", ""hi"")"),"62")</f>
        <v>62</v>
      </c>
      <c r="G63" s="5" t="str">
        <f>IFERROR(__xludf.DUMMYFUNCTION("GOOGLETRANSLATE(B63, ""en"", ""hi"")"),"प्रो कबड्डी लीग के एक सत्र में किस कबड्डी खिलाड़ी ने सबसे अधिक टैकल अंक हासिल किए?")</f>
        <v>प्रो कबड्डी लीग के एक सत्र में किस कबड्डी खिलाड़ी ने सबसे अधिक टैकल अंक हासिल किए?</v>
      </c>
      <c r="H63" s="5" t="str">
        <f>IFERROR(__xludf.DUMMYFUNCTION("GOOGLETRANSLATE(C63, ""en"", ""hi"")"),"ए) संदीप नरवाल, बी) मंजीत छिल्लर, सी) दीपक निवास हुडा, डी) नितिन तोमर")</f>
        <v>ए) संदीप नरवाल, बी) मंजीत छिल्लर, सी) दीपक निवास हुडा, डी) नितिन तोमर</v>
      </c>
      <c r="I63" s="5" t="str">
        <f>IFERROR(__xludf.DUMMYFUNCTION("GOOGLETRANSLATE(D63, ""en"", ""hi"")"),"A) संदीप नरवाल")</f>
        <v>A) संदीप नरवाल</v>
      </c>
    </row>
    <row r="64" ht="22.5" customHeight="1">
      <c r="A64" s="3">
        <v>63.0</v>
      </c>
      <c r="B64" s="4" t="s">
        <v>182</v>
      </c>
      <c r="C64" s="4" t="s">
        <v>183</v>
      </c>
      <c r="D64" s="4" t="s">
        <v>184</v>
      </c>
      <c r="F64" s="5" t="str">
        <f>IFERROR(__xludf.DUMMYFUNCTION("GOOGLETRANSLATE(A64, ""en"", ""hi"")"),"63")</f>
        <v>63</v>
      </c>
      <c r="G64" s="5" t="str">
        <f>IFERROR(__xludf.DUMMYFUNCTION("GOOGLETRANSLATE(B64, ""en"", ""hi"")"),"कौन सा कबड्डी टूर्नामेंट पारंपरिक कबड्डी देशों के साथ-साथ गैर-पारंपरिक देशों की टीमों की विशेषता के लिए जाना जाता है?")</f>
        <v>कौन सा कबड्डी टूर्नामेंट पारंपरिक कबड्डी देशों के साथ-साथ गैर-पारंपरिक देशों की टीमों की विशेषता के लिए जाना जाता है?</v>
      </c>
      <c r="H64" s="5" t="str">
        <f>IFERROR(__xludf.DUMMYFUNCTION("GOOGLETRANSLATE(C64, ""en"", ""hi"")"),"A) विश्व कबड्डी लीग, B) कबड्डी मास्टर्स, C) कबड्डी विश्व कप, D) अंतर्राष्ट्रीय कबड्डी चैम्पियनशिप")</f>
        <v>A) विश्व कबड्डी लीग, B) कबड्डी मास्टर्स, C) कबड्डी विश्व कप, D) अंतर्राष्ट्रीय कबड्डी चैम्पियनशिप</v>
      </c>
      <c r="I64" s="5" t="str">
        <f>IFERROR(__xludf.DUMMYFUNCTION("GOOGLETRANSLATE(D64, ""en"", ""hi"")"),"A) विश्व कबड्डी लीग")</f>
        <v>A) विश्व कबड्डी लीग</v>
      </c>
    </row>
    <row r="65" ht="22.5" customHeight="1">
      <c r="A65" s="3">
        <v>64.0</v>
      </c>
      <c r="B65" s="4" t="s">
        <v>185</v>
      </c>
      <c r="C65" s="4" t="s">
        <v>186</v>
      </c>
      <c r="D65" s="4" t="s">
        <v>187</v>
      </c>
      <c r="F65" s="5" t="str">
        <f>IFERROR(__xludf.DUMMYFUNCTION("GOOGLETRANSLATE(A65, ""en"", ""hi"")"),"64")</f>
        <v>64</v>
      </c>
      <c r="G65" s="5" t="str">
        <f>IFERROR(__xludf.DUMMYFUNCTION("GOOGLETRANSLATE(B65, ""en"", ""hi"")"),"कौन सा भारतीय राज्य 'बिहार कबड्डी चैम्पियनशिप' नामक अपने पारंपरिक कबड्डी टूर्नामेंट के लिए प्रसिद्ध है?")</f>
        <v>कौन सा भारतीय राज्य 'बिहार कबड्डी चैम्पियनशिप' नामक अपने पारंपरिक कबड्डी टूर्नामेंट के लिए प्रसिद्ध है?</v>
      </c>
      <c r="H65" s="5" t="str">
        <f>IFERROR(__xludf.DUMMYFUNCTION("GOOGLETRANSLATE(C65, ""en"", ""hi"")"),"ए) बिहार, बी) झारखंड, सी) उत्तर प्रदेश, डी) मध्य प्रदेश")</f>
        <v>ए) बिहार, बी) झारखंड, सी) उत्तर प्रदेश, डी) मध्य प्रदेश</v>
      </c>
      <c r="I65" s="5" t="str">
        <f>IFERROR(__xludf.DUMMYFUNCTION("GOOGLETRANSLATE(D65, ""en"", ""hi"")"),"A) बिहार")</f>
        <v>A) बिहार</v>
      </c>
    </row>
    <row r="66" ht="22.5" customHeight="1">
      <c r="A66" s="3">
        <v>65.0</v>
      </c>
      <c r="B66" s="4" t="s">
        <v>188</v>
      </c>
      <c r="C66" s="4" t="s">
        <v>189</v>
      </c>
      <c r="D66" s="4" t="s">
        <v>95</v>
      </c>
      <c r="F66" s="5" t="str">
        <f>IFERROR(__xludf.DUMMYFUNCTION("GOOGLETRANSLATE(A66, ""en"", ""hi"")"),"65")</f>
        <v>65</v>
      </c>
      <c r="G66" s="5" t="str">
        <f>IFERROR(__xludf.DUMMYFUNCTION("GOOGLETRANSLATE(B66, ""en"", ""hi"")"),"प्रो कबड्डी लीग में एक मैच में सर्वाधिक अंक बनाने का रिकॉर्ड किस कबड्डी खिलाड़ी ने बनाया?")</f>
        <v>प्रो कबड्डी लीग में एक मैच में सर्वाधिक अंक बनाने का रिकॉर्ड किस कबड्डी खिलाड़ी ने बनाया?</v>
      </c>
      <c r="H66" s="5" t="str">
        <f>IFERROR(__xludf.DUMMYFUNCTION("GOOGLETRANSLATE(C66, ""en"", ""hi"")"),"ए) प्रदीप नरवाल, बी) राहुल चौधरी, सी) दीपक निवास हुडा, डी) अजय ठाकुर")</f>
        <v>ए) प्रदीप नरवाल, बी) राहुल चौधरी, सी) दीपक निवास हुडा, डी) अजय ठाकुर</v>
      </c>
      <c r="I66" s="5" t="str">
        <f>IFERROR(__xludf.DUMMYFUNCTION("GOOGLETRANSLATE(D66, ""en"", ""hi"")"),"A) प्रदीप नरवाल")</f>
        <v>A) प्रदीप नरवाल</v>
      </c>
    </row>
    <row r="67" ht="22.5" customHeight="1">
      <c r="A67" s="3">
        <v>66.0</v>
      </c>
      <c r="B67" s="4" t="s">
        <v>190</v>
      </c>
      <c r="C67" s="4" t="s">
        <v>191</v>
      </c>
      <c r="D67" s="4" t="s">
        <v>192</v>
      </c>
      <c r="F67" s="5" t="str">
        <f>IFERROR(__xludf.DUMMYFUNCTION("GOOGLETRANSLATE(A67, ""en"", ""hi"")"),"66")</f>
        <v>66</v>
      </c>
      <c r="G67" s="5" t="str">
        <f>IFERROR(__xludf.DUMMYFUNCTION("GOOGLETRANSLATE(B67, ""en"", ""hi"")"),"कौन सा भारतीय शहर वार्षिक कबड्डी विश्व कप की मेजबानी के लिए जाना जाता है?")</f>
        <v>कौन सा भारतीय शहर वार्षिक कबड्डी विश्व कप की मेजबानी के लिए जाना जाता है?</v>
      </c>
      <c r="H67" s="5" t="str">
        <f>IFERROR(__xludf.DUMMYFUNCTION("GOOGLETRANSLATE(C67, ""en"", ""hi"")"),"A) दिल्ली, B) मुंबई, C) अहमदाबाद, D) कोलकाता")</f>
        <v>A) दिल्ली, B) मुंबई, C) अहमदाबाद, D) कोलकाता</v>
      </c>
      <c r="I67" s="5" t="str">
        <f>IFERROR(__xludf.DUMMYFUNCTION("GOOGLETRANSLATE(D67, ""en"", ""hi"")"),"C) अहमदाबाद")</f>
        <v>C) अहमदाबाद</v>
      </c>
    </row>
    <row r="68" ht="22.5" customHeight="1">
      <c r="A68" s="3">
        <v>67.0</v>
      </c>
      <c r="B68" s="4" t="s">
        <v>193</v>
      </c>
      <c r="C68" s="4" t="s">
        <v>194</v>
      </c>
      <c r="D68" s="4" t="s">
        <v>195</v>
      </c>
      <c r="F68" s="5" t="str">
        <f>IFERROR(__xludf.DUMMYFUNCTION("GOOGLETRANSLATE(A68, ""en"", ""hi"")"),"67")</f>
        <v>67</v>
      </c>
      <c r="G68" s="5" t="str">
        <f>IFERROR(__xludf.DUMMYFUNCTION("GOOGLETRANSLATE(B68, ""en"", ""hi"")"),"2014 कबड्डी विश्व कप में अपने असाधारण प्रदर्शन के लिए कौन सा कबड्डी खिलाड़ी प्रसिद्ध है?")</f>
        <v>2014 कबड्डी विश्व कप में अपने असाधारण प्रदर्शन के लिए कौन सा कबड्डी खिलाड़ी प्रसिद्ध है?</v>
      </c>
      <c r="H68" s="5" t="str">
        <f>IFERROR(__xludf.DUMMYFUNCTION("GOOGLETRANSLATE(C68, ""en"", ""hi"")"),"ए) मंजीत छिल्लर, बी) प्रदीप नरवाल, सी) राहुल चौधरी, डी) दीपक निवास हुडा")</f>
        <v>ए) मंजीत छिल्लर, बी) प्रदीप नरवाल, सी) राहुल चौधरी, डी) दीपक निवास हुडा</v>
      </c>
      <c r="I68" s="5" t="str">
        <f>IFERROR(__xludf.DUMMYFUNCTION("GOOGLETRANSLATE(D68, ""en"", ""hi"")"),"A) मंजीत छिल्लर")</f>
        <v>A) मंजीत छिल्लर</v>
      </c>
    </row>
    <row r="69" ht="22.5" customHeight="1">
      <c r="A69" s="3">
        <v>68.0</v>
      </c>
      <c r="B69" s="4" t="s">
        <v>196</v>
      </c>
      <c r="C69" s="4" t="s">
        <v>197</v>
      </c>
      <c r="D69" s="4" t="s">
        <v>158</v>
      </c>
      <c r="F69" s="5" t="str">
        <f>IFERROR(__xludf.DUMMYFUNCTION("GOOGLETRANSLATE(A69, ""en"", ""hi"")"),"68")</f>
        <v>68</v>
      </c>
      <c r="G69" s="5" t="str">
        <f>IFERROR(__xludf.DUMMYFUNCTION("GOOGLETRANSLATE(B69, ""en"", ""hi"")"),"भारत के किस राज्य में पारंपरिक कबड्डी शैली को 'महाराष्ट्र कबड्डी' के नाम से जाना जाता है?")</f>
        <v>भारत के किस राज्य में पारंपरिक कबड्डी शैली को 'महाराष्ट्र कबड्डी' के नाम से जाना जाता है?</v>
      </c>
      <c r="H69" s="5" t="str">
        <f>IFERROR(__xludf.DUMMYFUNCTION("GOOGLETRANSLATE(C69, ""en"", ""hi"")"),"ए) महाराष्ट्र, बी) गुजरात, सी) कर्नाटक, डी) आंध्र प्रदेश")</f>
        <v>ए) महाराष्ट्र, बी) गुजरात, सी) कर्नाटक, डी) आंध्र प्रदेश</v>
      </c>
      <c r="I69" s="5" t="str">
        <f>IFERROR(__xludf.DUMMYFUNCTION("GOOGLETRANSLATE(D69, ""en"", ""hi"")"),"A) महाराष्ट्र")</f>
        <v>A) महाराष्ट्र</v>
      </c>
    </row>
    <row r="70" ht="22.5" customHeight="1">
      <c r="A70" s="3">
        <v>69.0</v>
      </c>
      <c r="B70" s="4" t="s">
        <v>198</v>
      </c>
      <c r="C70" s="4" t="s">
        <v>94</v>
      </c>
      <c r="D70" s="4" t="s">
        <v>95</v>
      </c>
      <c r="F70" s="5" t="str">
        <f>IFERROR(__xludf.DUMMYFUNCTION("GOOGLETRANSLATE(A70, ""en"", ""hi"")"),"69")</f>
        <v>69</v>
      </c>
      <c r="G70" s="5" t="str">
        <f>IFERROR(__xludf.DUMMYFUNCTION("GOOGLETRANSLATE(B70, ""en"", ""hi"")"),"प्रो कबड्डी लीग के इतिहास में 400 अंक बनाने वाला पहला कबड्डी खिलाड़ी कौन बना?")</f>
        <v>प्रो कबड्डी लीग के इतिहास में 400 अंक बनाने वाला पहला कबड्डी खिलाड़ी कौन बना?</v>
      </c>
      <c r="H70" s="5" t="str">
        <f>IFERROR(__xludf.DUMMYFUNCTION("GOOGLETRANSLATE(C70, ""en"", ""hi"")"),"ए) प्रदीप नरवाल, बी) राहुल चौधरी, सी) रिशांक देवाडिगा, डी) अजय ठाकुर")</f>
        <v>ए) प्रदीप नरवाल, बी) राहुल चौधरी, सी) रिशांक देवाडिगा, डी) अजय ठाकुर</v>
      </c>
      <c r="I70" s="5" t="str">
        <f>IFERROR(__xludf.DUMMYFUNCTION("GOOGLETRANSLATE(D70, ""en"", ""hi"")"),"A) प्रदीप नरवाल")</f>
        <v>A) प्रदीप नरवाल</v>
      </c>
    </row>
    <row r="71" ht="22.5" customHeight="1">
      <c r="A71" s="3">
        <v>70.0</v>
      </c>
      <c r="B71" s="4" t="s">
        <v>199</v>
      </c>
      <c r="C71" s="4" t="s">
        <v>200</v>
      </c>
      <c r="D71" s="4" t="s">
        <v>95</v>
      </c>
      <c r="F71" s="5" t="str">
        <f>IFERROR(__xludf.DUMMYFUNCTION("GOOGLETRANSLATE(A71, ""en"", ""hi"")"),"70")</f>
        <v>70</v>
      </c>
      <c r="G71" s="5" t="str">
        <f>IFERROR(__xludf.DUMMYFUNCTION("GOOGLETRANSLATE(B71, ""en"", ""hi"")"),"कौन सा कबड्डी खिलाड़ी अपनी असाधारण रेडिंग क्षमताओं के लिए जाना जाता है और कई प्रो कबड्डी लीग सीज़न में शीर्ष स्कोरर रहा है?")</f>
        <v>कौन सा कबड्डी खिलाड़ी अपनी असाधारण रेडिंग क्षमताओं के लिए जाना जाता है और कई प्रो कबड्डी लीग सीज़न में शीर्ष स्कोरर रहा है?</v>
      </c>
      <c r="H71" s="5" t="str">
        <f>IFERROR(__xludf.DUMMYFUNCTION("GOOGLETRANSLATE(C71, ""en"", ""hi"")"),"ए) प्रदीप नरवाल, बी) राहुल चौधरी, सी) नितिन तोमर, डी) दीपक निवास हुडा")</f>
        <v>ए) प्रदीप नरवाल, बी) राहुल चौधरी, सी) नितिन तोमर, डी) दीपक निवास हुडा</v>
      </c>
      <c r="I71" s="5" t="str">
        <f>IFERROR(__xludf.DUMMYFUNCTION("GOOGLETRANSLATE(D71, ""en"", ""hi"")"),"A) प्रदीप नरवाल")</f>
        <v>A) प्रदीप नरवाल</v>
      </c>
    </row>
    <row r="72" ht="22.5" customHeight="1">
      <c r="A72" s="3">
        <v>71.0</v>
      </c>
      <c r="B72" s="4" t="s">
        <v>201</v>
      </c>
      <c r="C72" s="4" t="s">
        <v>36</v>
      </c>
      <c r="D72" s="4" t="s">
        <v>37</v>
      </c>
      <c r="F72" s="5" t="str">
        <f>IFERROR(__xludf.DUMMYFUNCTION("GOOGLETRANSLATE(A72, ""en"", ""hi"")"),"71")</f>
        <v>71</v>
      </c>
      <c r="G72" s="5" t="str">
        <f>IFERROR(__xludf.DUMMYFUNCTION("GOOGLETRANSLATE(B72, ""en"", ""hi"")"),"कौन सा देश अपनी मजबूत कबड्डी उपस्थिति के लिए जाना जाता है और उसने कई अंतरराष्ट्रीय कबड्डी प्रतियोगिताओं की मेजबानी की है?")</f>
        <v>कौन सा देश अपनी मजबूत कबड्डी उपस्थिति के लिए जाना जाता है और उसने कई अंतरराष्ट्रीय कबड्डी प्रतियोगिताओं की मेजबानी की है?</v>
      </c>
      <c r="H72" s="5" t="str">
        <f>IFERROR(__xludf.DUMMYFUNCTION("GOOGLETRANSLATE(C72, ""en"", ""hi"")"),"A) भारत, B) पाकिस्तान, C) बांग्लादेश, D) नेपाल")</f>
        <v>A) भारत, B) पाकिस्तान, C) बांग्लादेश, D) नेपाल</v>
      </c>
      <c r="I72" s="5" t="str">
        <f>IFERROR(__xludf.DUMMYFUNCTION("GOOGLETRANSLATE(D72, ""en"", ""hi"")"),"ए) भारत")</f>
        <v>ए) भारत</v>
      </c>
    </row>
    <row r="73" ht="22.5" customHeight="1">
      <c r="A73" s="3">
        <v>72.0</v>
      </c>
      <c r="B73" s="4" t="s">
        <v>202</v>
      </c>
      <c r="C73" s="4" t="s">
        <v>152</v>
      </c>
      <c r="D73" s="4" t="s">
        <v>95</v>
      </c>
      <c r="F73" s="5" t="str">
        <f>IFERROR(__xludf.DUMMYFUNCTION("GOOGLETRANSLATE(A73, ""en"", ""hi"")"),"72")</f>
        <v>72</v>
      </c>
      <c r="G73" s="5" t="str">
        <f>IFERROR(__xludf.DUMMYFUNCTION("GOOGLETRANSLATE(B73, ""en"", ""hi"")"),"2018 प्रो कबड्डी लीग सीज़न में किस कबड्डी खिलाड़ी को सर्वश्रेष्ठ रेडर का खिताब दिया गया?")</f>
        <v>2018 प्रो कबड्डी लीग सीज़न में किस कबड्डी खिलाड़ी को सर्वश्रेष्ठ रेडर का खिताब दिया गया?</v>
      </c>
      <c r="H73" s="5" t="str">
        <f>IFERROR(__xludf.DUMMYFUNCTION("GOOGLETRANSLATE(C73, ""en"", ""hi"")"),"ए) प्रदीप नरवाल, बी) राहुल चौधरी, सी) दीपक निवास हुडा, डी) नितिन तोमर")</f>
        <v>ए) प्रदीप नरवाल, बी) राहुल चौधरी, सी) दीपक निवास हुडा, डी) नितिन तोमर</v>
      </c>
      <c r="I73" s="5" t="str">
        <f>IFERROR(__xludf.DUMMYFUNCTION("GOOGLETRANSLATE(D73, ""en"", ""hi"")"),"A) प्रदीप नरवाल")</f>
        <v>A) प्रदीप नरवाल</v>
      </c>
    </row>
    <row r="74" ht="22.5" customHeight="1">
      <c r="A74" s="3">
        <v>73.0</v>
      </c>
      <c r="B74" s="4" t="s">
        <v>203</v>
      </c>
      <c r="C74" s="4" t="s">
        <v>204</v>
      </c>
      <c r="D74" s="4" t="s">
        <v>205</v>
      </c>
      <c r="F74" s="5" t="str">
        <f>IFERROR(__xludf.DUMMYFUNCTION("GOOGLETRANSLATE(A74, ""en"", ""hi"")"),"73")</f>
        <v>73</v>
      </c>
      <c r="G74" s="5" t="str">
        <f>IFERROR(__xludf.DUMMYFUNCTION("GOOGLETRANSLATE(B74, ""en"", ""hi"")"),"किस भारतीय राज्य में कबड्डी का एक प्रकार 'तमिलनाडु कबड्डी' के नाम से जाना जाता है?")</f>
        <v>किस भारतीय राज्य में कबड्डी का एक प्रकार 'तमिलनाडु कबड्डी' के नाम से जाना जाता है?</v>
      </c>
      <c r="H74" s="5" t="str">
        <f>IFERROR(__xludf.DUMMYFUNCTION("GOOGLETRANSLATE(C74, ""en"", ""hi"")"),"A) तमिलनाडु, B) कर्नाटक, C) आंध्र प्रदेश, D) केरल")</f>
        <v>A) तमिलनाडु, B) कर्नाटक, C) आंध्र प्रदेश, D) केरल</v>
      </c>
      <c r="I74" s="5" t="str">
        <f>IFERROR(__xludf.DUMMYFUNCTION("GOOGLETRANSLATE(D74, ""en"", ""hi"")"),"A) तमिलनाडु")</f>
        <v>A) तमिलनाडु</v>
      </c>
    </row>
    <row r="75" ht="22.5" customHeight="1">
      <c r="A75" s="3">
        <v>74.0</v>
      </c>
      <c r="B75" s="4" t="s">
        <v>206</v>
      </c>
      <c r="C75" s="4" t="s">
        <v>152</v>
      </c>
      <c r="D75" s="4" t="s">
        <v>95</v>
      </c>
      <c r="F75" s="5" t="str">
        <f>IFERROR(__xludf.DUMMYFUNCTION("GOOGLETRANSLATE(A75, ""en"", ""hi"")"),"74")</f>
        <v>74</v>
      </c>
      <c r="G75" s="5" t="str">
        <f>IFERROR(__xludf.DUMMYFUNCTION("GOOGLETRANSLATE(B75, ""en"", ""hi"")"),"2019 प्रो कबड्डी लीग सीज़न में किस कबड्डी खिलाड़ी ने सबसे अधिक रेड अंक हासिल किए?")</f>
        <v>2019 प्रो कबड्डी लीग सीज़न में किस कबड्डी खिलाड़ी ने सबसे अधिक रेड अंक हासिल किए?</v>
      </c>
      <c r="H75" s="5" t="str">
        <f>IFERROR(__xludf.DUMMYFUNCTION("GOOGLETRANSLATE(C75, ""en"", ""hi"")"),"ए) प्रदीप नरवाल, बी) राहुल चौधरी, सी) दीपक निवास हुडा, डी) नितिन तोमर")</f>
        <v>ए) प्रदीप नरवाल, बी) राहुल चौधरी, सी) दीपक निवास हुडा, डी) नितिन तोमर</v>
      </c>
      <c r="I75" s="5" t="str">
        <f>IFERROR(__xludf.DUMMYFUNCTION("GOOGLETRANSLATE(D75, ""en"", ""hi"")"),"A) प्रदीप नरवाल")</f>
        <v>A) प्रदीप नरवाल</v>
      </c>
    </row>
    <row r="76" ht="22.5" customHeight="1">
      <c r="A76" s="3">
        <v>75.0</v>
      </c>
      <c r="B76" s="4" t="s">
        <v>207</v>
      </c>
      <c r="C76" s="4" t="s">
        <v>208</v>
      </c>
      <c r="D76" s="4" t="s">
        <v>169</v>
      </c>
      <c r="F76" s="5" t="str">
        <f>IFERROR(__xludf.DUMMYFUNCTION("GOOGLETRANSLATE(A76, ""en"", ""hi"")"),"75")</f>
        <v>75</v>
      </c>
      <c r="G76" s="5" t="str">
        <f>IFERROR(__xludf.DUMMYFUNCTION("GOOGLETRANSLATE(B76, ""en"", ""hi"")"),"कौन सा कबड्डी टूर्नामेंट विभिन्न देशों की टीमों को शामिल करता है और अपनी उच्च स्तरीय प्रतिस्पर्धा के लिए जाना जाता है?")</f>
        <v>कौन सा कबड्डी टूर्नामेंट विभिन्न देशों की टीमों को शामिल करता है और अपनी उच्च स्तरीय प्रतिस्पर्धा के लिए जाना जाता है?</v>
      </c>
      <c r="H76" s="5" t="str">
        <f>IFERROR(__xludf.DUMMYFUNCTION("GOOGLETRANSLATE(C76, ""en"", ""hi"")"),"A) कबड्डी विश्व कप, B) विश्व कबड्डी लीग, C) कबड्डी मास्टर्स, D) अंतर्राष्ट्रीय कबड्डी चैम्पियनशिप")</f>
        <v>A) कबड्डी विश्व कप, B) विश्व कबड्डी लीग, C) कबड्डी मास्टर्स, D) अंतर्राष्ट्रीय कबड्डी चैम्पियनशिप</v>
      </c>
      <c r="I76" s="5" t="str">
        <f>IFERROR(__xludf.DUMMYFUNCTION("GOOGLETRANSLATE(D76, ""en"", ""hi"")"),"C) कबड्डी मास्टर्स")</f>
        <v>C) कबड्डी मास्टर्स</v>
      </c>
    </row>
    <row r="77" ht="22.5" customHeight="1">
      <c r="A77" s="3">
        <v>76.0</v>
      </c>
      <c r="B77" s="4" t="s">
        <v>190</v>
      </c>
      <c r="C77" s="4" t="s">
        <v>209</v>
      </c>
      <c r="D77" s="4" t="s">
        <v>210</v>
      </c>
      <c r="F77" s="5" t="str">
        <f>IFERROR(__xludf.DUMMYFUNCTION("GOOGLETRANSLATE(A77, ""en"", ""hi"")"),"76")</f>
        <v>76</v>
      </c>
      <c r="G77" s="5" t="str">
        <f>IFERROR(__xludf.DUMMYFUNCTION("GOOGLETRANSLATE(B77, ""en"", ""hi"")"),"कौन सा भारतीय शहर वार्षिक कबड्डी विश्व कप की मेजबानी के लिए जाना जाता है?")</f>
        <v>कौन सा भारतीय शहर वार्षिक कबड्डी विश्व कप की मेजबानी के लिए जाना जाता है?</v>
      </c>
      <c r="H77" s="5" t="str">
        <f>IFERROR(__xludf.DUMMYFUNCTION("GOOGLETRANSLATE(C77, ""en"", ""hi"")"),"A) अहमदाबाद, B) मुंबई, C) दिल्ली, D) कोलकाता")</f>
        <v>A) अहमदाबाद, B) मुंबई, C) दिल्ली, D) कोलकाता</v>
      </c>
      <c r="I77" s="5" t="str">
        <f>IFERROR(__xludf.DUMMYFUNCTION("GOOGLETRANSLATE(D77, ""en"", ""hi"")"),"ए) अहमदाबाद")</f>
        <v>ए) अहमदाबाद</v>
      </c>
    </row>
    <row r="78" ht="22.5" customHeight="1">
      <c r="A78" s="3">
        <v>77.0</v>
      </c>
      <c r="B78" s="4" t="s">
        <v>211</v>
      </c>
      <c r="C78" s="4" t="s">
        <v>152</v>
      </c>
      <c r="D78" s="4" t="s">
        <v>95</v>
      </c>
      <c r="F78" s="5" t="str">
        <f>IFERROR(__xludf.DUMMYFUNCTION("GOOGLETRANSLATE(A78, ""en"", ""hi"")"),"77")</f>
        <v>77</v>
      </c>
      <c r="G78" s="5" t="str">
        <f>IFERROR(__xludf.DUMMYFUNCTION("GOOGLETRANSLATE(B78, ""en"", ""hi"")"),"किस कबड्डी खिलाड़ी ने प्रो कबड्डी लीग के एक मैच में सर्वाधिक रेड अंक हासिल करने का रिकॉर्ड बनाया?")</f>
        <v>किस कबड्डी खिलाड़ी ने प्रो कबड्डी लीग के एक मैच में सर्वाधिक रेड अंक हासिल करने का रिकॉर्ड बनाया?</v>
      </c>
      <c r="H78" s="5" t="str">
        <f>IFERROR(__xludf.DUMMYFUNCTION("GOOGLETRANSLATE(C78, ""en"", ""hi"")"),"ए) प्रदीप नरवाल, बी) राहुल चौधरी, सी) दीपक निवास हुडा, डी) नितिन तोमर")</f>
        <v>ए) प्रदीप नरवाल, बी) राहुल चौधरी, सी) दीपक निवास हुडा, डी) नितिन तोमर</v>
      </c>
      <c r="I78" s="5" t="str">
        <f>IFERROR(__xludf.DUMMYFUNCTION("GOOGLETRANSLATE(D78, ""en"", ""hi"")"),"A) प्रदीप नरवाल")</f>
        <v>A) प्रदीप नरवाल</v>
      </c>
    </row>
    <row r="79" ht="22.5" customHeight="1">
      <c r="A79" s="3">
        <v>78.0</v>
      </c>
      <c r="B79" s="4" t="s">
        <v>212</v>
      </c>
      <c r="C79" s="4" t="s">
        <v>213</v>
      </c>
      <c r="D79" s="4" t="s">
        <v>214</v>
      </c>
      <c r="F79" s="5" t="str">
        <f>IFERROR(__xludf.DUMMYFUNCTION("GOOGLETRANSLATE(A79, ""en"", ""hi"")"),"78")</f>
        <v>78</v>
      </c>
      <c r="G79" s="5" t="str">
        <f>IFERROR(__xludf.DUMMYFUNCTION("GOOGLETRANSLATE(B79, ""en"", ""hi"")"),"कौन सा कबड्डी खिलाड़ी अपने नेतृत्व के लिए जाना जाता है और 2018 कबड्डी विश्व कप में भारतीय टीम का कप्तान था?")</f>
        <v>कौन सा कबड्डी खिलाड़ी अपने नेतृत्व के लिए जाना जाता है और 2018 कबड्डी विश्व कप में भारतीय टीम का कप्तान था?</v>
      </c>
      <c r="H79" s="5" t="str">
        <f>IFERROR(__xludf.DUMMYFUNCTION("GOOGLETRANSLATE(C79, ""en"", ""hi"")"),"ए) अजय ठाकुर, बी) अनुप कुमार, सी) दीपक निवास हुडा, डी) मंजीत छिल्लर")</f>
        <v>ए) अजय ठाकुर, बी) अनुप कुमार, सी) दीपक निवास हुडा, डी) मंजीत छिल्लर</v>
      </c>
      <c r="I79" s="5" t="str">
        <f>IFERROR(__xludf.DUMMYFUNCTION("GOOGLETRANSLATE(D79, ""en"", ""hi"")"),"A) अजय ठाकुर")</f>
        <v>A) अजय ठाकुर</v>
      </c>
    </row>
    <row r="80" ht="22.5" customHeight="1">
      <c r="A80" s="3">
        <v>79.0</v>
      </c>
      <c r="B80" s="4" t="s">
        <v>215</v>
      </c>
      <c r="C80" s="4" t="s">
        <v>186</v>
      </c>
      <c r="D80" s="4" t="s">
        <v>187</v>
      </c>
      <c r="F80" s="5" t="str">
        <f>IFERROR(__xludf.DUMMYFUNCTION("GOOGLETRANSLATE(A80, ""en"", ""hi"")"),"79")</f>
        <v>79</v>
      </c>
      <c r="G80" s="5" t="str">
        <f>IFERROR(__xludf.DUMMYFUNCTION("GOOGLETRANSLATE(B80, ""en"", ""hi"")"),"कौन सा भारतीय राज्य 'बिहार कबड्डी चैम्पियनशिप' नामक पारंपरिक कबड्डी टूर्नामेंट के लिए जाना जाता है?")</f>
        <v>कौन सा भारतीय राज्य 'बिहार कबड्डी चैम्पियनशिप' नामक पारंपरिक कबड्डी टूर्नामेंट के लिए जाना जाता है?</v>
      </c>
      <c r="H80" s="5" t="str">
        <f>IFERROR(__xludf.DUMMYFUNCTION("GOOGLETRANSLATE(C80, ""en"", ""hi"")"),"ए) बिहार, बी) झारखंड, सी) उत्तर प्रदेश, डी) मध्य प्रदेश")</f>
        <v>ए) बिहार, बी) झारखंड, सी) उत्तर प्रदेश, डी) मध्य प्रदेश</v>
      </c>
      <c r="I80" s="5" t="str">
        <f>IFERROR(__xludf.DUMMYFUNCTION("GOOGLETRANSLATE(D80, ""en"", ""hi"")"),"A) बिहार")</f>
        <v>A) बिहार</v>
      </c>
    </row>
    <row r="81" ht="22.5" customHeight="1">
      <c r="A81" s="3">
        <v>80.0</v>
      </c>
      <c r="B81" s="4" t="s">
        <v>216</v>
      </c>
      <c r="C81" s="4" t="s">
        <v>181</v>
      </c>
      <c r="D81" s="4" t="s">
        <v>142</v>
      </c>
      <c r="F81" s="5" t="str">
        <f>IFERROR(__xludf.DUMMYFUNCTION("GOOGLETRANSLATE(A81, ""en"", ""hi"")"),"80")</f>
        <v>80</v>
      </c>
      <c r="G81" s="5" t="str">
        <f>IFERROR(__xludf.DUMMYFUNCTION("GOOGLETRANSLATE(B81, ""en"", ""hi"")"),"किस कबड्डी खिलाड़ी ने एक प्रो कबड्डी लीग सीज़न में सबसे अधिक टैकल अंक हासिल किए?")</f>
        <v>किस कबड्डी खिलाड़ी ने एक प्रो कबड्डी लीग सीज़न में सबसे अधिक टैकल अंक हासिल किए?</v>
      </c>
      <c r="H81" s="5" t="str">
        <f>IFERROR(__xludf.DUMMYFUNCTION("GOOGLETRANSLATE(C81, ""en"", ""hi"")"),"ए) संदीप नरवाल, बी) मंजीत छिल्लर, सी) दीपक निवास हुडा, डी) नितिन तोमर")</f>
        <v>ए) संदीप नरवाल, बी) मंजीत छिल्लर, सी) दीपक निवास हुडा, डी) नितिन तोमर</v>
      </c>
      <c r="I81" s="5" t="str">
        <f>IFERROR(__xludf.DUMMYFUNCTION("GOOGLETRANSLATE(D81, ""en"", ""hi"")"),"A) संदीप नरवाल")</f>
        <v>A) संदीप नरवाल</v>
      </c>
    </row>
    <row r="82" ht="22.5" customHeight="1">
      <c r="A82" s="3">
        <v>81.0</v>
      </c>
      <c r="B82" s="4" t="s">
        <v>217</v>
      </c>
      <c r="C82" s="4" t="s">
        <v>183</v>
      </c>
      <c r="D82" s="4" t="s">
        <v>218</v>
      </c>
      <c r="F82" s="5" t="str">
        <f>IFERROR(__xludf.DUMMYFUNCTION("GOOGLETRANSLATE(A82, ""en"", ""hi"")"),"81")</f>
        <v>81</v>
      </c>
      <c r="G82" s="5" t="str">
        <f>IFERROR(__xludf.DUMMYFUNCTION("GOOGLETRANSLATE(B82, ""en"", ""hi"")"),"कौन सी कबड्डी प्रतियोगिता में पारंपरिक कबड्डी देशों के साथ-साथ गैर-पारंपरिक देशों की टीमें भी भाग लेती हैं?")</f>
        <v>कौन सी कबड्डी प्रतियोगिता में पारंपरिक कबड्डी देशों के साथ-साथ गैर-पारंपरिक देशों की टीमें भी भाग लेती हैं?</v>
      </c>
      <c r="H82" s="5" t="str">
        <f>IFERROR(__xludf.DUMMYFUNCTION("GOOGLETRANSLATE(C82, ""en"", ""hi"")"),"A) विश्व कबड्डी लीग, B) कबड्डी मास्टर्स, C) कबड्डी विश्व कप, D) अंतर्राष्ट्रीय कबड्डी चैम्पियनशिप")</f>
        <v>A) विश्व कबड्डी लीग, B) कबड्डी मास्टर्स, C) कबड्डी विश्व कप, D) अंतर्राष्ट्रीय कबड्डी चैम्पियनशिप</v>
      </c>
      <c r="I82" s="5" t="str">
        <f>IFERROR(__xludf.DUMMYFUNCTION("GOOGLETRANSLATE(D82, ""en"", ""hi"")"),"बी) कबड्डी मास्टर्स")</f>
        <v>बी) कबड्डी मास्टर्स</v>
      </c>
    </row>
    <row r="83" ht="22.5" customHeight="1">
      <c r="A83" s="3">
        <v>82.0</v>
      </c>
      <c r="B83" s="4" t="s">
        <v>190</v>
      </c>
      <c r="C83" s="4" t="s">
        <v>209</v>
      </c>
      <c r="D83" s="4" t="s">
        <v>210</v>
      </c>
      <c r="F83" s="5" t="str">
        <f>IFERROR(__xludf.DUMMYFUNCTION("GOOGLETRANSLATE(A83, ""en"", ""hi"")"),"82")</f>
        <v>82</v>
      </c>
      <c r="G83" s="5" t="str">
        <f>IFERROR(__xludf.DUMMYFUNCTION("GOOGLETRANSLATE(B83, ""en"", ""hi"")"),"कौन सा भारतीय शहर वार्षिक कबड्डी विश्व कप की मेजबानी के लिए जाना जाता है?")</f>
        <v>कौन सा भारतीय शहर वार्षिक कबड्डी विश्व कप की मेजबानी के लिए जाना जाता है?</v>
      </c>
      <c r="H83" s="5" t="str">
        <f>IFERROR(__xludf.DUMMYFUNCTION("GOOGLETRANSLATE(C83, ""en"", ""hi"")"),"A) अहमदाबाद, B) मुंबई, C) दिल्ली, D) कोलकाता")</f>
        <v>A) अहमदाबाद, B) मुंबई, C) दिल्ली, D) कोलकाता</v>
      </c>
      <c r="I83" s="5" t="str">
        <f>IFERROR(__xludf.DUMMYFUNCTION("GOOGLETRANSLATE(D83, ""en"", ""hi"")"),"ए) अहमदाबाद")</f>
        <v>ए) अहमदाबाद</v>
      </c>
    </row>
    <row r="84" ht="22.5" customHeight="1">
      <c r="A84" s="3">
        <v>83.0</v>
      </c>
      <c r="B84" s="4" t="s">
        <v>193</v>
      </c>
      <c r="C84" s="4" t="s">
        <v>194</v>
      </c>
      <c r="D84" s="4" t="s">
        <v>195</v>
      </c>
      <c r="F84" s="5" t="str">
        <f>IFERROR(__xludf.DUMMYFUNCTION("GOOGLETRANSLATE(A84, ""en"", ""hi"")"),"83")</f>
        <v>83</v>
      </c>
      <c r="G84" s="5" t="str">
        <f>IFERROR(__xludf.DUMMYFUNCTION("GOOGLETRANSLATE(B84, ""en"", ""hi"")"),"2014 कबड्डी विश्व कप में अपने असाधारण प्रदर्शन के लिए कौन सा कबड्डी खिलाड़ी प्रसिद्ध है?")</f>
        <v>2014 कबड्डी विश्व कप में अपने असाधारण प्रदर्शन के लिए कौन सा कबड्डी खिलाड़ी प्रसिद्ध है?</v>
      </c>
      <c r="H84" s="5" t="str">
        <f>IFERROR(__xludf.DUMMYFUNCTION("GOOGLETRANSLATE(C84, ""en"", ""hi"")"),"ए) मंजीत छिल्लर, बी) प्रदीप नरवाल, सी) राहुल चौधरी, डी) दीपक निवास हुडा")</f>
        <v>ए) मंजीत छिल्लर, बी) प्रदीप नरवाल, सी) राहुल चौधरी, डी) दीपक निवास हुडा</v>
      </c>
      <c r="I84" s="5" t="str">
        <f>IFERROR(__xludf.DUMMYFUNCTION("GOOGLETRANSLATE(D84, ""en"", ""hi"")"),"A) मंजीत छिल्लर")</f>
        <v>A) मंजीत छिल्लर</v>
      </c>
    </row>
    <row r="85" ht="22.5" customHeight="1">
      <c r="A85" s="3">
        <v>84.0</v>
      </c>
      <c r="B85" s="4" t="s">
        <v>219</v>
      </c>
      <c r="C85" s="4" t="s">
        <v>197</v>
      </c>
      <c r="D85" s="4" t="s">
        <v>158</v>
      </c>
      <c r="F85" s="5" t="str">
        <f>IFERROR(__xludf.DUMMYFUNCTION("GOOGLETRANSLATE(A85, ""en"", ""hi"")"),"84")</f>
        <v>84</v>
      </c>
      <c r="G85" s="5" t="str">
        <f>IFERROR(__xludf.DUMMYFUNCTION("GOOGLETRANSLATE(B85, ""en"", ""hi"")"),"किस भारतीय राज्य में कबड्डी का एक प्रकार 'महाराष्ट्र कबड्डी' के नाम से जाना जाता है?")</f>
        <v>किस भारतीय राज्य में कबड्डी का एक प्रकार 'महाराष्ट्र कबड्डी' के नाम से जाना जाता है?</v>
      </c>
      <c r="H85" s="5" t="str">
        <f>IFERROR(__xludf.DUMMYFUNCTION("GOOGLETRANSLATE(C85, ""en"", ""hi"")"),"ए) महाराष्ट्र, बी) गुजरात, सी) कर्नाटक, डी) आंध्र प्रदेश")</f>
        <v>ए) महाराष्ट्र, बी) गुजरात, सी) कर्नाटक, डी) आंध्र प्रदेश</v>
      </c>
      <c r="I85" s="5" t="str">
        <f>IFERROR(__xludf.DUMMYFUNCTION("GOOGLETRANSLATE(D85, ""en"", ""hi"")"),"A) महाराष्ट्र")</f>
        <v>A) महाराष्ट्र</v>
      </c>
    </row>
    <row r="86" ht="22.5" customHeight="1">
      <c r="A86" s="3">
        <v>85.0</v>
      </c>
      <c r="B86" s="4" t="s">
        <v>198</v>
      </c>
      <c r="C86" s="4" t="s">
        <v>94</v>
      </c>
      <c r="D86" s="4" t="s">
        <v>95</v>
      </c>
      <c r="F86" s="5" t="str">
        <f>IFERROR(__xludf.DUMMYFUNCTION("GOOGLETRANSLATE(A86, ""en"", ""hi"")"),"85")</f>
        <v>85</v>
      </c>
      <c r="G86" s="5" t="str">
        <f>IFERROR(__xludf.DUMMYFUNCTION("GOOGLETRANSLATE(B86, ""en"", ""hi"")"),"प्रो कबड्डी लीग के इतिहास में 400 अंक बनाने वाला पहला कबड्डी खिलाड़ी कौन बना?")</f>
        <v>प्रो कबड्डी लीग के इतिहास में 400 अंक बनाने वाला पहला कबड्डी खिलाड़ी कौन बना?</v>
      </c>
      <c r="H86" s="5" t="str">
        <f>IFERROR(__xludf.DUMMYFUNCTION("GOOGLETRANSLATE(C86, ""en"", ""hi"")"),"ए) प्रदीप नरवाल, बी) राहुल चौधरी, सी) रिशांक देवाडिगा, डी) अजय ठाकुर")</f>
        <v>ए) प्रदीप नरवाल, बी) राहुल चौधरी, सी) रिशांक देवाडिगा, डी) अजय ठाकुर</v>
      </c>
      <c r="I86" s="5" t="str">
        <f>IFERROR(__xludf.DUMMYFUNCTION("GOOGLETRANSLATE(D86, ""en"", ""hi"")"),"A) प्रदीप नरवाल")</f>
        <v>A) प्रदीप नरवाल</v>
      </c>
    </row>
    <row r="87" ht="22.5" customHeight="1">
      <c r="A87" s="3">
        <v>86.0</v>
      </c>
      <c r="B87" s="4" t="s">
        <v>199</v>
      </c>
      <c r="C87" s="4" t="s">
        <v>200</v>
      </c>
      <c r="D87" s="4" t="s">
        <v>95</v>
      </c>
      <c r="F87" s="5" t="str">
        <f>IFERROR(__xludf.DUMMYFUNCTION("GOOGLETRANSLATE(A87, ""en"", ""hi"")"),"86")</f>
        <v>86</v>
      </c>
      <c r="G87" s="5" t="str">
        <f>IFERROR(__xludf.DUMMYFUNCTION("GOOGLETRANSLATE(B87, ""en"", ""hi"")"),"कौन सा कबड्डी खिलाड़ी अपनी असाधारण रेडिंग क्षमताओं के लिए जाना जाता है और कई प्रो कबड्डी लीग सीज़न में शीर्ष स्कोरर रहा है?")</f>
        <v>कौन सा कबड्डी खिलाड़ी अपनी असाधारण रेडिंग क्षमताओं के लिए जाना जाता है और कई प्रो कबड्डी लीग सीज़न में शीर्ष स्कोरर रहा है?</v>
      </c>
      <c r="H87" s="5" t="str">
        <f>IFERROR(__xludf.DUMMYFUNCTION("GOOGLETRANSLATE(C87, ""en"", ""hi"")"),"ए) प्रदीप नरवाल, बी) राहुल चौधरी, सी) नितिन तोमर, डी) दीपक निवास हुडा")</f>
        <v>ए) प्रदीप नरवाल, बी) राहुल चौधरी, सी) नितिन तोमर, डी) दीपक निवास हुडा</v>
      </c>
      <c r="I87" s="5" t="str">
        <f>IFERROR(__xludf.DUMMYFUNCTION("GOOGLETRANSLATE(D87, ""en"", ""hi"")"),"A) प्रदीप नरवाल")</f>
        <v>A) प्रदीप नरवाल</v>
      </c>
    </row>
    <row r="88" ht="22.5" customHeight="1">
      <c r="A88" s="3">
        <v>87.0</v>
      </c>
      <c r="B88" s="4" t="s">
        <v>201</v>
      </c>
      <c r="C88" s="4" t="s">
        <v>36</v>
      </c>
      <c r="D88" s="4" t="s">
        <v>37</v>
      </c>
      <c r="F88" s="5" t="str">
        <f>IFERROR(__xludf.DUMMYFUNCTION("GOOGLETRANSLATE(A88, ""en"", ""hi"")"),"87")</f>
        <v>87</v>
      </c>
      <c r="G88" s="5" t="str">
        <f>IFERROR(__xludf.DUMMYFUNCTION("GOOGLETRANSLATE(B88, ""en"", ""hi"")"),"कौन सा देश अपनी मजबूत कबड्डी उपस्थिति के लिए जाना जाता है और उसने कई अंतरराष्ट्रीय कबड्डी प्रतियोगिताओं की मेजबानी की है?")</f>
        <v>कौन सा देश अपनी मजबूत कबड्डी उपस्थिति के लिए जाना जाता है और उसने कई अंतरराष्ट्रीय कबड्डी प्रतियोगिताओं की मेजबानी की है?</v>
      </c>
      <c r="H88" s="5" t="str">
        <f>IFERROR(__xludf.DUMMYFUNCTION("GOOGLETRANSLATE(C88, ""en"", ""hi"")"),"A) भारत, B) पाकिस्तान, C) बांग्लादेश, D) नेपाल")</f>
        <v>A) भारत, B) पाकिस्तान, C) बांग्लादेश, D) नेपाल</v>
      </c>
      <c r="I88" s="5" t="str">
        <f>IFERROR(__xludf.DUMMYFUNCTION("GOOGLETRANSLATE(D88, ""en"", ""hi"")"),"ए) भारत")</f>
        <v>ए) भारत</v>
      </c>
    </row>
    <row r="89" ht="22.5" customHeight="1">
      <c r="A89" s="3">
        <v>88.0</v>
      </c>
      <c r="B89" s="4" t="s">
        <v>202</v>
      </c>
      <c r="C89" s="4" t="s">
        <v>152</v>
      </c>
      <c r="D89" s="4" t="s">
        <v>95</v>
      </c>
      <c r="F89" s="5" t="str">
        <f>IFERROR(__xludf.DUMMYFUNCTION("GOOGLETRANSLATE(A89, ""en"", ""hi"")"),"88")</f>
        <v>88</v>
      </c>
      <c r="G89" s="5" t="str">
        <f>IFERROR(__xludf.DUMMYFUNCTION("GOOGLETRANSLATE(B89, ""en"", ""hi"")"),"2018 प्रो कबड्डी लीग सीज़न में किस कबड्डी खिलाड़ी को सर्वश्रेष्ठ रेडर का खिताब दिया गया?")</f>
        <v>2018 प्रो कबड्डी लीग सीज़न में किस कबड्डी खिलाड़ी को सर्वश्रेष्ठ रेडर का खिताब दिया गया?</v>
      </c>
      <c r="H89" s="5" t="str">
        <f>IFERROR(__xludf.DUMMYFUNCTION("GOOGLETRANSLATE(C89, ""en"", ""hi"")"),"ए) प्रदीप नरवाल, बी) राहुल चौधरी, सी) दीपक निवास हुडा, डी) नितिन तोमर")</f>
        <v>ए) प्रदीप नरवाल, बी) राहुल चौधरी, सी) दीपक निवास हुडा, डी) नितिन तोमर</v>
      </c>
      <c r="I89" s="5" t="str">
        <f>IFERROR(__xludf.DUMMYFUNCTION("GOOGLETRANSLATE(D89, ""en"", ""hi"")"),"A) प्रदीप नरवाल")</f>
        <v>A) प्रदीप नरवाल</v>
      </c>
    </row>
    <row r="90" ht="22.5" customHeight="1">
      <c r="A90" s="3">
        <v>89.0</v>
      </c>
      <c r="B90" s="4" t="s">
        <v>203</v>
      </c>
      <c r="C90" s="4" t="s">
        <v>204</v>
      </c>
      <c r="D90" s="4" t="s">
        <v>205</v>
      </c>
      <c r="F90" s="5" t="str">
        <f>IFERROR(__xludf.DUMMYFUNCTION("GOOGLETRANSLATE(A90, ""en"", ""hi"")"),"89")</f>
        <v>89</v>
      </c>
      <c r="G90" s="5" t="str">
        <f>IFERROR(__xludf.DUMMYFUNCTION("GOOGLETRANSLATE(B90, ""en"", ""hi"")"),"किस भारतीय राज्य में कबड्डी का एक प्रकार 'तमिलनाडु कबड्डी' के नाम से जाना जाता है?")</f>
        <v>किस भारतीय राज्य में कबड्डी का एक प्रकार 'तमिलनाडु कबड्डी' के नाम से जाना जाता है?</v>
      </c>
      <c r="H90" s="5" t="str">
        <f>IFERROR(__xludf.DUMMYFUNCTION("GOOGLETRANSLATE(C90, ""en"", ""hi"")"),"A) तमिलनाडु, B) कर्नाटक, C) आंध्र प्रदेश, D) केरल")</f>
        <v>A) तमिलनाडु, B) कर्नाटक, C) आंध्र प्रदेश, D) केरल</v>
      </c>
      <c r="I90" s="5" t="str">
        <f>IFERROR(__xludf.DUMMYFUNCTION("GOOGLETRANSLATE(D90, ""en"", ""hi"")"),"A) तमिलनाडु")</f>
        <v>A) तमिलनाडु</v>
      </c>
    </row>
    <row r="91" ht="22.5" customHeight="1">
      <c r="A91" s="3">
        <v>90.0</v>
      </c>
      <c r="B91" s="4" t="s">
        <v>220</v>
      </c>
      <c r="C91" s="4" t="s">
        <v>221</v>
      </c>
      <c r="D91" s="4" t="s">
        <v>222</v>
      </c>
      <c r="F91" s="5" t="str">
        <f>IFERROR(__xludf.DUMMYFUNCTION("GOOGLETRANSLATE(A91, ""en"", ""hi"")"),"90")</f>
        <v>90</v>
      </c>
      <c r="G91" s="5" t="str">
        <f>IFERROR(__xludf.DUMMYFUNCTION("GOOGLETRANSLATE(B91, ""en"", ""hi"")"),"किस प्राचीन भारतीय ग्रंथ में कबड्डी जैसे खेल का उल्लेख है?")</f>
        <v>किस प्राचीन भारतीय ग्रंथ में कबड्डी जैसे खेल का उल्लेख है?</v>
      </c>
      <c r="H91" s="5" t="str">
        <f>IFERROR(__xludf.DUMMYFUNCTION("GOOGLETRANSLATE(C91, ""en"", ""hi"")"),"ए) महाभारत, बी) रामायण, सी) वेद, डी) पुराण")</f>
        <v>ए) महाभारत, बी) रामायण, सी) वेद, डी) पुराण</v>
      </c>
      <c r="I91" s="5" t="str">
        <f>IFERROR(__xludf.DUMMYFUNCTION("GOOGLETRANSLATE(D91, ""en"", ""hi"")"),"A) महाभारत")</f>
        <v>A) महाभारत</v>
      </c>
    </row>
    <row r="92" ht="22.5" customHeight="1">
      <c r="A92" s="3">
        <v>91.0</v>
      </c>
      <c r="B92" s="4" t="s">
        <v>223</v>
      </c>
      <c r="C92" s="4" t="s">
        <v>224</v>
      </c>
      <c r="D92" s="4" t="s">
        <v>225</v>
      </c>
      <c r="F92" s="5" t="str">
        <f>IFERROR(__xludf.DUMMYFUNCTION("GOOGLETRANSLATE(A92, ""en"", ""hi"")"),"91")</f>
        <v>91</v>
      </c>
      <c r="G92" s="5" t="str">
        <f>IFERROR(__xludf.DUMMYFUNCTION("GOOGLETRANSLATE(B92, ""en"", ""hi"")"),"पहला आधिकारिक कबड्डी विश्व कप किस वर्ष आयोजित हुआ था?")</f>
        <v>पहला आधिकारिक कबड्डी विश्व कप किस वर्ष आयोजित हुआ था?</v>
      </c>
      <c r="H92" s="5" t="str">
        <f>IFERROR(__xludf.DUMMYFUNCTION("GOOGLETRANSLATE(C92, ""en"", ""hi"")"),"ए) 2004, बी) 2007, सी) 2010, डी) 2012")</f>
        <v>ए) 2004, बी) 2007, सी) 2010, डी) 2012</v>
      </c>
      <c r="I92" s="5" t="str">
        <f>IFERROR(__xludf.DUMMYFUNCTION("GOOGLETRANSLATE(D92, ""en"", ""hi"")"),"बी) 2007")</f>
        <v>बी) 2007</v>
      </c>
    </row>
    <row r="93" ht="22.5" customHeight="1">
      <c r="A93" s="3">
        <v>92.0</v>
      </c>
      <c r="B93" s="4" t="s">
        <v>226</v>
      </c>
      <c r="C93" s="4" t="s">
        <v>227</v>
      </c>
      <c r="D93" s="4" t="s">
        <v>228</v>
      </c>
      <c r="F93" s="5" t="str">
        <f>IFERROR(__xludf.DUMMYFUNCTION("GOOGLETRANSLATE(A93, ""en"", ""hi"")"),"92")</f>
        <v>92</v>
      </c>
      <c r="G93" s="5" t="str">
        <f>IFERROR(__xludf.DUMMYFUNCTION("GOOGLETRANSLATE(B93, ""en"", ""hi"")"),"कौन सा भारतीय कबड्डी खिलाड़ी 2004 के कबड्डी विश्व कप में टीम को जीत दिलाने के लिए जाना जाता है?")</f>
        <v>कौन सा भारतीय कबड्डी खिलाड़ी 2004 के कबड्डी विश्व कप में टीम को जीत दिलाने के लिए जाना जाता है?</v>
      </c>
      <c r="H93" s="5" t="str">
        <f>IFERROR(__xludf.DUMMYFUNCTION("GOOGLETRANSLATE(C93, ""en"", ""hi"")"),"ए) अनुप कुमार, बी) राजेश नरवाल, सी) राकेश कुमार, डी) प्रदीप नरवाल")</f>
        <v>ए) अनुप कुमार, बी) राजेश नरवाल, सी) राकेश कुमार, डी) प्रदीप नरवाल</v>
      </c>
      <c r="I93" s="5" t="str">
        <f>IFERROR(__xludf.DUMMYFUNCTION("GOOGLETRANSLATE(D93, ""en"", ""hi"")"),"C) राकेश कुमार")</f>
        <v>C) राकेश कुमार</v>
      </c>
    </row>
    <row r="94" ht="22.5" customHeight="1">
      <c r="A94" s="3">
        <v>93.0</v>
      </c>
      <c r="B94" s="4" t="s">
        <v>229</v>
      </c>
      <c r="C94" s="4" t="s">
        <v>230</v>
      </c>
      <c r="D94" s="4" t="s">
        <v>104</v>
      </c>
      <c r="F94" s="5" t="str">
        <f>IFERROR(__xludf.DUMMYFUNCTION("GOOGLETRANSLATE(A94, ""en"", ""hi"")"),"93")</f>
        <v>93</v>
      </c>
      <c r="G94" s="5" t="str">
        <f>IFERROR(__xludf.DUMMYFUNCTION("GOOGLETRANSLATE(B94, ""en"", ""hi"")"),"2014 में किस कबड्डी लीग की स्थापना हुई और जिसने खेल के पेशेवर परिदृश्य में क्रांति ला दी?")</f>
        <v>2014 में किस कबड्डी लीग की स्थापना हुई और जिसने खेल के पेशेवर परिदृश्य में क्रांति ला दी?</v>
      </c>
      <c r="H94" s="5" t="str">
        <f>IFERROR(__xludf.DUMMYFUNCTION("GOOGLETRANSLATE(C94, ""en"", ""hi"")"),"A) प्रो कबड्डी लीग, B) कबड्डी वर्ल्ड लीग, C) सुपर कबड्डी लीग, D) कबड्डी चैंपियंस लीग")</f>
        <v>A) प्रो कबड्डी लीग, B) कबड्डी वर्ल्ड लीग, C) सुपर कबड्डी लीग, D) कबड्डी चैंपियंस लीग</v>
      </c>
      <c r="I94" s="5" t="str">
        <f>IFERROR(__xludf.DUMMYFUNCTION("GOOGLETRANSLATE(D94, ""en"", ""hi"")"),"A) प्रो कबड्डी लीग")</f>
        <v>A) प्रो कबड्डी लीग</v>
      </c>
    </row>
    <row r="95" ht="22.5" customHeight="1">
      <c r="A95" s="3">
        <v>94.0</v>
      </c>
      <c r="B95" s="4" t="s">
        <v>231</v>
      </c>
      <c r="C95" s="4" t="s">
        <v>232</v>
      </c>
      <c r="D95" s="4" t="s">
        <v>233</v>
      </c>
      <c r="F95" s="5" t="str">
        <f>IFERROR(__xludf.DUMMYFUNCTION("GOOGLETRANSLATE(A95, ""en"", ""hi"")"),"94")</f>
        <v>94</v>
      </c>
      <c r="G95" s="5" t="str">
        <f>IFERROR(__xludf.DUMMYFUNCTION("GOOGLETRANSLATE(B95, ""en"", ""hi"")"),"2010 एशियाई खेलों में स्वर्ण पदक जीतने वाली भारतीय कबड्डी टीम के कोच कौन थे?")</f>
        <v>2010 एशियाई खेलों में स्वर्ण पदक जीतने वाली भारतीय कबड्डी टीम के कोच कौन थे?</v>
      </c>
      <c r="H95" s="5" t="str">
        <f>IFERROR(__xludf.DUMMYFUNCTION("GOOGLETRANSLATE(C95, ""en"", ""hi"")"),"ए) ओम प्रकाश, बी) बलवान सिंह, सी) छत्र सिंह, डी) महेंद्र सिंह")</f>
        <v>ए) ओम प्रकाश, बी) बलवान सिंह, सी) छत्र सिंह, डी) महेंद्र सिंह</v>
      </c>
      <c r="I95" s="5" t="str">
        <f>IFERROR(__xludf.DUMMYFUNCTION("GOOGLETRANSLATE(D95, ""en"", ""hi"")"),"बी) बलवान सिंह")</f>
        <v>बी) बलवान सिंह</v>
      </c>
    </row>
    <row r="96" ht="22.5" customHeight="1">
      <c r="A96" s="3">
        <v>95.0</v>
      </c>
      <c r="B96" s="4" t="s">
        <v>234</v>
      </c>
      <c r="C96" s="4" t="s">
        <v>235</v>
      </c>
      <c r="D96" s="4" t="s">
        <v>236</v>
      </c>
      <c r="F96" s="5" t="str">
        <f>IFERROR(__xludf.DUMMYFUNCTION("GOOGLETRANSLATE(A96, ""en"", ""hi"")"),"95")</f>
        <v>95</v>
      </c>
      <c r="G96" s="5" t="str">
        <f>IFERROR(__xludf.DUMMYFUNCTION("GOOGLETRANSLATE(B96, ""en"", ""hi"")"),"किस भारतीय शहर ने 2007 में पुरुषों के लिए पहली बार कबड्डी विश्व कप की मेजबानी की थी?")</f>
        <v>किस भारतीय शहर ने 2007 में पुरुषों के लिए पहली बार कबड्डी विश्व कप की मेजबानी की थी?</v>
      </c>
      <c r="H96" s="5" t="str">
        <f>IFERROR(__xludf.DUMMYFUNCTION("GOOGLETRANSLATE(C96, ""en"", ""hi"")"),"ए) चेन्नई, बी) दिल्ली, सी) मुंबई, डी) अमृतसर")</f>
        <v>ए) चेन्नई, बी) दिल्ली, सी) मुंबई, डी) अमृतसर</v>
      </c>
      <c r="I96" s="5" t="str">
        <f>IFERROR(__xludf.DUMMYFUNCTION("GOOGLETRANSLATE(D96, ""en"", ""hi"")"),"बी) दिल्ली")</f>
        <v>बी) दिल्ली</v>
      </c>
    </row>
    <row r="97" ht="22.5" customHeight="1">
      <c r="A97" s="3">
        <v>96.0</v>
      </c>
      <c r="B97" s="4" t="s">
        <v>237</v>
      </c>
      <c r="C97" s="4" t="s">
        <v>238</v>
      </c>
      <c r="D97" s="4" t="s">
        <v>95</v>
      </c>
      <c r="F97" s="5" t="str">
        <f>IFERROR(__xludf.DUMMYFUNCTION("GOOGLETRANSLATE(A97, ""en"", ""hi"")"),"96")</f>
        <v>96</v>
      </c>
      <c r="G97" s="5" t="str">
        <f>IFERROR(__xludf.DUMMYFUNCTION("GOOGLETRANSLATE(B97, ""en"", ""hi"")"),"2016 कबड्डी विश्व कप के दौरान रेडिंग विभाग में किस कबड्डी खिलाड़ी को उनके प्रभुत्व के लिए जाना जाता था?")</f>
        <v>2016 कबड्डी विश्व कप के दौरान रेडिंग विभाग में किस कबड्डी खिलाड़ी को उनके प्रभुत्व के लिए जाना जाता था?</v>
      </c>
      <c r="H97" s="5" t="str">
        <f>IFERROR(__xludf.DUMMYFUNCTION("GOOGLETRANSLATE(C97, ""en"", ""hi"")"),"ए) प्रदीप नरवाल, बी) राहुल चौधरी, सी) अजय ठाकुर, डी) मंजीत छिल्लर")</f>
        <v>ए) प्रदीप नरवाल, बी) राहुल चौधरी, सी) अजय ठाकुर, डी) मंजीत छिल्लर</v>
      </c>
      <c r="I97" s="5" t="str">
        <f>IFERROR(__xludf.DUMMYFUNCTION("GOOGLETRANSLATE(D97, ""en"", ""hi"")"),"A) प्रदीप नरवाल")</f>
        <v>A) प्रदीप नरवाल</v>
      </c>
    </row>
    <row r="98" ht="22.5" customHeight="1">
      <c r="A98" s="3">
        <v>97.0</v>
      </c>
      <c r="B98" s="4" t="s">
        <v>239</v>
      </c>
      <c r="C98" s="4" t="s">
        <v>36</v>
      </c>
      <c r="D98" s="4" t="s">
        <v>37</v>
      </c>
      <c r="F98" s="5" t="str">
        <f>IFERROR(__xludf.DUMMYFUNCTION("GOOGLETRANSLATE(A98, ""en"", ""hi"")"),"97")</f>
        <v>97</v>
      </c>
      <c r="G98" s="5" t="str">
        <f>IFERROR(__xludf.DUMMYFUNCTION("GOOGLETRANSLATE(B98, ""en"", ""hi"")"),"2007 में पहली बार कबड्डी विश्व कप किस देश ने जीता?")</f>
        <v>2007 में पहली बार कबड्डी विश्व कप किस देश ने जीता?</v>
      </c>
      <c r="H98" s="5" t="str">
        <f>IFERROR(__xludf.DUMMYFUNCTION("GOOGLETRANSLATE(C98, ""en"", ""hi"")"),"A) भारत, B) पाकिस्तान, C) बांग्लादेश, D) नेपाल")</f>
        <v>A) भारत, B) पाकिस्तान, C) बांग्लादेश, D) नेपाल</v>
      </c>
      <c r="I98" s="5" t="str">
        <f>IFERROR(__xludf.DUMMYFUNCTION("GOOGLETRANSLATE(D98, ""en"", ""hi"")"),"ए) भारत")</f>
        <v>ए) भारत</v>
      </c>
    </row>
    <row r="99" ht="22.5" customHeight="1">
      <c r="A99" s="3">
        <v>98.0</v>
      </c>
      <c r="B99" s="4" t="s">
        <v>240</v>
      </c>
      <c r="C99" s="4" t="s">
        <v>144</v>
      </c>
      <c r="D99" s="4" t="s">
        <v>145</v>
      </c>
      <c r="F99" s="5" t="str">
        <f>IFERROR(__xludf.DUMMYFUNCTION("GOOGLETRANSLATE(A99, ""en"", ""hi"")"),"98")</f>
        <v>98</v>
      </c>
      <c r="G99" s="5" t="str">
        <f>IFERROR(__xludf.DUMMYFUNCTION("GOOGLETRANSLATE(B99, ""en"", ""hi"")"),"प्रो कबड्डी लीग के उद्घाटन सत्र में किस कबड्डी टीम ने सबसे अधिक खिताब जीते?")</f>
        <v>प्रो कबड्डी लीग के उद्घाटन सत्र में किस कबड्डी टीम ने सबसे अधिक खिताब जीते?</v>
      </c>
      <c r="H99" s="5" t="str">
        <f>IFERROR(__xludf.DUMMYFUNCTION("GOOGLETRANSLATE(C99, ""en"", ""hi"")"),"A) जयपुर पिंक पैंथर्स, B) यू मुंबा, C) बेंगलुरु बुल्स, D) पटना पाइरेट्स")</f>
        <v>A) जयपुर पिंक पैंथर्स, B) यू मुंबा, C) बेंगलुरु बुल्स, D) पटना पाइरेट्स</v>
      </c>
      <c r="I99" s="5" t="str">
        <f>IFERROR(__xludf.DUMMYFUNCTION("GOOGLETRANSLATE(D99, ""en"", ""hi"")"),"A) जयपुर पिंक पैंथर्स")</f>
        <v>A) जयपुर पिंक पैंथर्स</v>
      </c>
    </row>
    <row r="100" ht="22.5" customHeight="1">
      <c r="A100" s="3">
        <v>99.0</v>
      </c>
      <c r="B100" s="4" t="s">
        <v>241</v>
      </c>
      <c r="C100" s="4" t="s">
        <v>242</v>
      </c>
      <c r="D100" s="4" t="s">
        <v>95</v>
      </c>
      <c r="F100" s="5" t="str">
        <f>IFERROR(__xludf.DUMMYFUNCTION("GOOGLETRANSLATE(A100, ""en"", ""hi"")"),"99")</f>
        <v>99</v>
      </c>
      <c r="G100" s="5" t="str">
        <f>IFERROR(__xludf.DUMMYFUNCTION("GOOGLETRANSLATE(B100, ""en"", ""hi"")"),"कौन सा कबड्डी खिलाड़ी एक प्रो कबड्डी लीग सीज़न में सबसे अधिक सफल रेड करने के लिए जाना जाता है?")</f>
        <v>कौन सा कबड्डी खिलाड़ी एक प्रो कबड्डी लीग सीज़न में सबसे अधिक सफल रेड करने के लिए जाना जाता है?</v>
      </c>
      <c r="H100" s="5" t="str">
        <f>IFERROR(__xludf.DUMMYFUNCTION("GOOGLETRANSLATE(C100, ""en"", ""hi"")"),"ए) प्रदीप नरवाल, बी) राहुल चौधरी, सी) दीपक निवास हुडा, डी) रिशांक देवाडिगा")</f>
        <v>ए) प्रदीप नरवाल, बी) राहुल चौधरी, सी) दीपक निवास हुडा, डी) रिशांक देवाडिगा</v>
      </c>
      <c r="I100" s="5" t="str">
        <f>IFERROR(__xludf.DUMMYFUNCTION("GOOGLETRANSLATE(D100, ""en"", ""hi"")"),"A) प्रदीप नरवाल")</f>
        <v>A) प्रदीप नरवाल</v>
      </c>
    </row>
    <row r="101" ht="22.5" customHeight="1">
      <c r="A101" s="3">
        <v>100.0</v>
      </c>
      <c r="B101" s="4" t="s">
        <v>243</v>
      </c>
      <c r="C101" s="4" t="s">
        <v>244</v>
      </c>
      <c r="D101" s="4" t="s">
        <v>184</v>
      </c>
      <c r="F101" s="5" t="str">
        <f>IFERROR(__xludf.DUMMYFUNCTION("GOOGLETRANSLATE(A101, ""en"", ""hi"")"),"100")</f>
        <v>100</v>
      </c>
      <c r="G101" s="5" t="str">
        <f>IFERROR(__xludf.DUMMYFUNCTION("GOOGLETRANSLATE(B101, ""en"", ""hi"")"),"कौन सी कबड्डी लीग पहली थी जिसमें अंतर्राष्ट्रीय टीमें शामिल हुईं और जिसने भारत के बाहर महत्वपूर्ण लोकप्रियता हासिल की?")</f>
        <v>कौन सी कबड्डी लीग पहली थी जिसमें अंतर्राष्ट्रीय टीमें शामिल हुईं और जिसने भारत के बाहर महत्वपूर्ण लोकप्रियता हासिल की?</v>
      </c>
      <c r="H101" s="5" t="str">
        <f>IFERROR(__xludf.DUMMYFUNCTION("GOOGLETRANSLATE(C101, ""en"", ""hi"")"),"A) विश्व कबड्डी लीग, B) कबड्डी मास्टर्स, C) प्रो कबड्डी लीग, D) कबड्डी चैंपियंस लीग")</f>
        <v>A) विश्व कबड्डी लीग, B) कबड्डी मास्टर्स, C) प्रो कबड्डी लीग, D) कबड्डी चैंपियंस लीग</v>
      </c>
      <c r="I101" s="5" t="str">
        <f>IFERROR(__xludf.DUMMYFUNCTION("GOOGLETRANSLATE(D101, ""en"", ""hi"")"),"A) विश्व कबड्डी लीग")</f>
        <v>A) विश्व कबड्डी लीग</v>
      </c>
    </row>
    <row r="102" ht="22.5" customHeight="1">
      <c r="A102" s="3">
        <v>101.0</v>
      </c>
      <c r="B102" s="4" t="s">
        <v>245</v>
      </c>
      <c r="C102" s="4" t="s">
        <v>246</v>
      </c>
      <c r="D102" s="4" t="s">
        <v>247</v>
      </c>
      <c r="F102" s="5" t="str">
        <f>IFERROR(__xludf.DUMMYFUNCTION("GOOGLETRANSLATE(A102, ""en"", ""hi"")"),"101")</f>
        <v>101</v>
      </c>
      <c r="G102" s="5" t="str">
        <f>IFERROR(__xludf.DUMMYFUNCTION("GOOGLETRANSLATE(B102, ""en"", ""hi"")"),"2000 के दशक के प्रारंभ में दक्षिण कोरिया और जापान में कबड्डी को लोकप्रिय बनाने का श्रेय किसे दिया जाता है?")</f>
        <v>2000 के दशक के प्रारंभ में दक्षिण कोरिया और जापान में कबड्डी को लोकप्रिय बनाने का श्रेय किसे दिया जाता है?</v>
      </c>
      <c r="H102" s="5" t="str">
        <f>IFERROR(__xludf.DUMMYFUNCTION("GOOGLETRANSLATE(C102, ""en"", ""hi"")"),"ए) अनुप कुमार, बी) प्रदीप नरवाल, सी) अजय ठाकुर, डी) जंग कुन ली")</f>
        <v>ए) अनुप कुमार, बी) प्रदीप नरवाल, सी) अजय ठाकुर, डी) जंग कुन ली</v>
      </c>
      <c r="I102" s="5" t="str">
        <f>IFERROR(__xludf.DUMMYFUNCTION("GOOGLETRANSLATE(D102, ""en"", ""hi"")"),"D) जंग कुन ली")</f>
        <v>D) जंग कुन ली</v>
      </c>
    </row>
    <row r="103" ht="22.5" customHeight="1">
      <c r="A103" s="3">
        <v>102.0</v>
      </c>
      <c r="B103" s="4" t="s">
        <v>248</v>
      </c>
      <c r="C103" s="4" t="s">
        <v>249</v>
      </c>
      <c r="D103" s="4" t="s">
        <v>150</v>
      </c>
      <c r="F103" s="5" t="str">
        <f>IFERROR(__xludf.DUMMYFUNCTION("GOOGLETRANSLATE(A103, ""en"", ""hi"")"),"102")</f>
        <v>102</v>
      </c>
      <c r="G103" s="5" t="str">
        <f>IFERROR(__xludf.DUMMYFUNCTION("GOOGLETRANSLATE(B103, ""en"", ""hi"")"),"कौन सा भारतीय राज्य कबड्डी गुरु छत्र सिंह जैसे महान कबड्डी खिलाड़ियों को पैदा करने के लिए जाना जाता है?")</f>
        <v>कौन सा भारतीय राज्य कबड्डी गुरु छत्र सिंह जैसे महान कबड्डी खिलाड़ियों को पैदा करने के लिए जाना जाता है?</v>
      </c>
      <c r="H103" s="5" t="str">
        <f>IFERROR(__xludf.DUMMYFUNCTION("GOOGLETRANSLATE(C103, ""en"", ""hi"")"),"ए) हरियाणा, बी) पंजाब, सी) महाराष्ट्र, डी) उत्तर प्रदेश")</f>
        <v>ए) हरियाणा, बी) पंजाब, सी) महाराष्ट्र, डी) उत्तर प्रदेश</v>
      </c>
      <c r="I103" s="5" t="str">
        <f>IFERROR(__xludf.DUMMYFUNCTION("GOOGLETRANSLATE(D103, ""en"", ""hi"")"),"A) हरियाणा")</f>
        <v>A) हरियाणा</v>
      </c>
    </row>
    <row r="104" ht="22.5" customHeight="1">
      <c r="A104" s="3">
        <v>103.0</v>
      </c>
      <c r="B104" s="4" t="s">
        <v>250</v>
      </c>
      <c r="C104" s="4" t="s">
        <v>251</v>
      </c>
      <c r="D104" s="4" t="s">
        <v>252</v>
      </c>
      <c r="F104" s="5" t="str">
        <f>IFERROR(__xludf.DUMMYFUNCTION("GOOGLETRANSLATE(A104, ""en"", ""hi"")"),"103")</f>
        <v>103</v>
      </c>
      <c r="G104" s="5" t="str">
        <f>IFERROR(__xludf.DUMMYFUNCTION("GOOGLETRANSLATE(B104, ""en"", ""hi"")"),"कबड्डी मास्टर्स टूर्नामेंट पहली बार दुबई में किस वर्ष आयोजित किया गया था?")</f>
        <v>कबड्डी मास्टर्स टूर्नामेंट पहली बार दुबई में किस वर्ष आयोजित किया गया था?</v>
      </c>
      <c r="H104" s="5" t="str">
        <f>IFERROR(__xludf.DUMMYFUNCTION("GOOGLETRANSLATE(C104, ""en"", ""hi"")"),"ए) 2016, बी) 2017, सी) 2018, डी) 2019")</f>
        <v>ए) 2016, बी) 2017, सी) 2018, डी) 2019</v>
      </c>
      <c r="I104" s="5" t="str">
        <f>IFERROR(__xludf.DUMMYFUNCTION("GOOGLETRANSLATE(D104, ""en"", ""hi"")"),"ए) 2016")</f>
        <v>ए) 2016</v>
      </c>
    </row>
    <row r="105" ht="22.5" customHeight="1">
      <c r="A105" s="3">
        <v>104.0</v>
      </c>
      <c r="B105" s="4" t="s">
        <v>253</v>
      </c>
      <c r="C105" s="4" t="s">
        <v>254</v>
      </c>
      <c r="D105" s="4" t="s">
        <v>255</v>
      </c>
      <c r="F105" s="5" t="str">
        <f>IFERROR(__xludf.DUMMYFUNCTION("GOOGLETRANSLATE(A105, ""en"", ""hi"")"),"104")</f>
        <v>104</v>
      </c>
      <c r="G105" s="5" t="str">
        <f>IFERROR(__xludf.DUMMYFUNCTION("GOOGLETRANSLATE(B105, ""en"", ""hi"")"),"प्रो कबड्डी लीग के उद्घाटन सत्र में कौन सी कबड्डी टीम उपविजेता रही?")</f>
        <v>प्रो कबड्डी लीग के उद्घाटन सत्र में कौन सी कबड्डी टीम उपविजेता रही?</v>
      </c>
      <c r="H105" s="5" t="str">
        <f>IFERROR(__xludf.DUMMYFUNCTION("GOOGLETRANSLATE(C105, ""en"", ""hi"")"),"A) यू मुंबा, B) जयपुर पिंक पैंथर्स, C) पटना पाइरेट्स, D) बेंगलुरु बुल्स")</f>
        <v>A) यू मुंबा, B) जयपुर पिंक पैंथर्स, C) पटना पाइरेट्स, D) बेंगलुरु बुल्स</v>
      </c>
      <c r="I105" s="5" t="str">
        <f>IFERROR(__xludf.DUMMYFUNCTION("GOOGLETRANSLATE(D105, ""en"", ""hi"")"),"ए) यू मुंबई")</f>
        <v>ए) यू मुंबई</v>
      </c>
    </row>
    <row r="106" ht="22.5" customHeight="1">
      <c r="A106" s="3">
        <v>105.0</v>
      </c>
      <c r="B106" s="4" t="s">
        <v>256</v>
      </c>
      <c r="C106" s="4" t="s">
        <v>242</v>
      </c>
      <c r="D106" s="4" t="s">
        <v>95</v>
      </c>
      <c r="F106" s="5" t="str">
        <f>IFERROR(__xludf.DUMMYFUNCTION("GOOGLETRANSLATE(A106, ""en"", ""hi"")"),"105")</f>
        <v>105</v>
      </c>
      <c r="G106" s="5" t="str">
        <f>IFERROR(__xludf.DUMMYFUNCTION("GOOGLETRANSLATE(B106, ""en"", ""hi"")"),"प्रो कबड्डी लीग में एमवीपी पुरस्कार जीतने वाला सबसे कम उम्र का खिलाड़ी कौन सा है?")</f>
        <v>प्रो कबड्डी लीग में एमवीपी पुरस्कार जीतने वाला सबसे कम उम्र का खिलाड़ी कौन सा है?</v>
      </c>
      <c r="H106" s="5" t="str">
        <f>IFERROR(__xludf.DUMMYFUNCTION("GOOGLETRANSLATE(C106, ""en"", ""hi"")"),"ए) प्रदीप नरवाल, बी) राहुल चौधरी, सी) दीपक निवास हुडा, डी) रिशांक देवाडिगा")</f>
        <v>ए) प्रदीप नरवाल, बी) राहुल चौधरी, सी) दीपक निवास हुडा, डी) रिशांक देवाडिगा</v>
      </c>
      <c r="I106" s="5" t="str">
        <f>IFERROR(__xludf.DUMMYFUNCTION("GOOGLETRANSLATE(D106, ""en"", ""hi"")"),"A) प्रदीप नरवाल")</f>
        <v>A) प्रदीप नरवाल</v>
      </c>
    </row>
    <row r="107" ht="22.5" customHeight="1">
      <c r="A107" s="3">
        <v>106.0</v>
      </c>
      <c r="B107" s="4" t="s">
        <v>257</v>
      </c>
      <c r="C107" s="4" t="s">
        <v>258</v>
      </c>
      <c r="D107" s="4" t="s">
        <v>49</v>
      </c>
      <c r="F107" s="5" t="str">
        <f>IFERROR(__xludf.DUMMYFUNCTION("GOOGLETRANSLATE(A107, ""en"", ""hi"")"),"106")</f>
        <v>106</v>
      </c>
      <c r="G107" s="5" t="str">
        <f>IFERROR(__xludf.DUMMYFUNCTION("GOOGLETRANSLATE(B107, ""en"", ""hi"")"),"कौन सा भारतीय राज्य अपनी कबड्डी परंपरा के लिए प्रसिद्ध है और 2016 कबड्डी विश्व कप की मेजबानी की थी?")</f>
        <v>कौन सा भारतीय राज्य अपनी कबड्डी परंपरा के लिए प्रसिद्ध है और 2016 कबड्डी विश्व कप की मेजबानी की थी?</v>
      </c>
      <c r="H107" s="5" t="str">
        <f>IFERROR(__xludf.DUMMYFUNCTION("GOOGLETRANSLATE(C107, ""en"", ""hi"")"),"A) गुजरात, B) महाराष्ट्र, C) पंजाब, D) हरियाणा")</f>
        <v>A) गुजरात, B) महाराष्ट्र, C) पंजाब, D) हरियाणा</v>
      </c>
      <c r="I107" s="5" t="str">
        <f>IFERROR(__xludf.DUMMYFUNCTION("GOOGLETRANSLATE(D107, ""en"", ""hi"")"),"A) गुजरात")</f>
        <v>A) गुजरात</v>
      </c>
    </row>
    <row r="108" ht="22.5" customHeight="1">
      <c r="A108" s="3">
        <v>107.0</v>
      </c>
      <c r="B108" s="4" t="s">
        <v>259</v>
      </c>
      <c r="C108" s="4" t="s">
        <v>260</v>
      </c>
      <c r="D108" s="4" t="s">
        <v>155</v>
      </c>
      <c r="F108" s="5" t="str">
        <f>IFERROR(__xludf.DUMMYFUNCTION("GOOGLETRANSLATE(A108, ""en"", ""hi"")"),"107")</f>
        <v>107</v>
      </c>
      <c r="G108" s="5" t="str">
        <f>IFERROR(__xludf.DUMMYFUNCTION("GOOGLETRANSLATE(B108, ""en"", ""hi"")"),"कौन सा कबड्डी खिलाड़ी अपनी सर्वांगीण क्षमताओं के लिए जाना जाता है और 2016 कबड्डी विश्व कप में महत्वपूर्ण योगदानकर्ता था?")</f>
        <v>कौन सा कबड्डी खिलाड़ी अपनी सर्वांगीण क्षमताओं के लिए जाना जाता है और 2016 कबड्डी विश्व कप में महत्वपूर्ण योगदानकर्ता था?</v>
      </c>
      <c r="H108" s="5" t="str">
        <f>IFERROR(__xludf.DUMMYFUNCTION("GOOGLETRANSLATE(C108, ""en"", ""hi"")"),"ए) मंजीत छिल्लर, बी) संदीप नरवाल, सी) अजय ठाकुर, डी) प्रदीप नरवाल")</f>
        <v>ए) मंजीत छिल्लर, बी) संदीप नरवाल, सी) अजय ठाकुर, डी) प्रदीप नरवाल</v>
      </c>
      <c r="I108" s="5" t="str">
        <f>IFERROR(__xludf.DUMMYFUNCTION("GOOGLETRANSLATE(D108, ""en"", ""hi"")"),"B) संदीप नरवाल")</f>
        <v>B) संदीप नरवाल</v>
      </c>
    </row>
    <row r="109" ht="22.5" customHeight="1">
      <c r="A109" s="3">
        <v>108.0</v>
      </c>
      <c r="B109" s="4" t="s">
        <v>261</v>
      </c>
      <c r="C109" s="4" t="s">
        <v>262</v>
      </c>
      <c r="D109" s="4" t="s">
        <v>263</v>
      </c>
      <c r="F109" s="5" t="str">
        <f>IFERROR(__xludf.DUMMYFUNCTION("GOOGLETRANSLATE(A109, ""en"", ""hi"")"),"108")</f>
        <v>108</v>
      </c>
      <c r="G109" s="5" t="str">
        <f>IFERROR(__xludf.DUMMYFUNCTION("GOOGLETRANSLATE(B109, ""en"", ""hi"")"),"भारत में आयोजित 2010 कबड्डी विश्व कप में अपने प्रभावशाली प्रदर्शन के लिए कौन सा कबड्डी खिलाड़ी जाना जाता है?")</f>
        <v>भारत में आयोजित 2010 कबड्डी विश्व कप में अपने प्रभावशाली प्रदर्शन के लिए कौन सा कबड्डी खिलाड़ी जाना जाता है?</v>
      </c>
      <c r="H109" s="5" t="str">
        <f>IFERROR(__xludf.DUMMYFUNCTION("GOOGLETRANSLATE(C109, ""en"", ""hi"")"),"ए) अनुप कुमार, बी) राकेश कुमार, सी) प्रदीप नरवाल, डी) दीपक निवास हुडा")</f>
        <v>ए) अनुप कुमार, बी) राकेश कुमार, सी) प्रदीप नरवाल, डी) दीपक निवास हुडा</v>
      </c>
      <c r="I109" s="5" t="str">
        <f>IFERROR(__xludf.DUMMYFUNCTION("GOOGLETRANSLATE(D109, ""en"", ""hi"")"),"बी) राकेश कुमार")</f>
        <v>बी) राकेश कुमार</v>
      </c>
    </row>
    <row r="110" ht="22.5" customHeight="1">
      <c r="A110" s="3">
        <v>109.0</v>
      </c>
      <c r="B110" s="4" t="s">
        <v>264</v>
      </c>
      <c r="C110" s="4" t="s">
        <v>265</v>
      </c>
      <c r="D110" s="4" t="s">
        <v>95</v>
      </c>
      <c r="F110" s="5" t="str">
        <f>IFERROR(__xludf.DUMMYFUNCTION("GOOGLETRANSLATE(A110, ""en"", ""hi"")"),"109")</f>
        <v>109</v>
      </c>
      <c r="G110" s="5" t="str">
        <f>IFERROR(__xludf.DUMMYFUNCTION("GOOGLETRANSLATE(B110, ""en"", ""hi"")"),"किस कबड्डी खिलाड़ी ने प्रो कबड्डी लीग के एक मैच में सर्वाधिक अंक हासिल करने का रिकॉर्ड बनाया?")</f>
        <v>किस कबड्डी खिलाड़ी ने प्रो कबड्डी लीग के एक मैच में सर्वाधिक अंक हासिल करने का रिकॉर्ड बनाया?</v>
      </c>
      <c r="H110" s="5" t="str">
        <f>IFERROR(__xludf.DUMMYFUNCTION("GOOGLETRANSLATE(C110, ""en"", ""hi"")"),"ए) प्रदीप नरवाल, बी) राहुल चौधरी, सी) रिशांक देवाडिगा, डी) नितिन तोमर")</f>
        <v>ए) प्रदीप नरवाल, बी) राहुल चौधरी, सी) रिशांक देवाडिगा, डी) नितिन तोमर</v>
      </c>
      <c r="I110" s="5" t="str">
        <f>IFERROR(__xludf.DUMMYFUNCTION("GOOGLETRANSLATE(D110, ""en"", ""hi"")"),"A) प्रदीप नरवाल")</f>
        <v>A) प्रदीप नरवाल</v>
      </c>
    </row>
    <row r="111" ht="22.5" customHeight="1">
      <c r="A111" s="3">
        <v>110.0</v>
      </c>
      <c r="B111" s="4" t="s">
        <v>266</v>
      </c>
      <c r="C111" s="4" t="s">
        <v>267</v>
      </c>
      <c r="D111" s="4" t="s">
        <v>210</v>
      </c>
      <c r="F111" s="5" t="str">
        <f>IFERROR(__xludf.DUMMYFUNCTION("GOOGLETRANSLATE(A111, ""en"", ""hi"")"),"110")</f>
        <v>110</v>
      </c>
      <c r="G111" s="5" t="str">
        <f>IFERROR(__xludf.DUMMYFUNCTION("GOOGLETRANSLATE(B111, ""en"", ""hi"")"),"कौन सा भारतीय शहर पुरुष और महिला दोनों के लिए वार्षिक कबड्डी विश्व कप की मेजबानी के लिए जाना जाता है?")</f>
        <v>कौन सा भारतीय शहर पुरुष और महिला दोनों के लिए वार्षिक कबड्डी विश्व कप की मेजबानी के लिए जाना जाता है?</v>
      </c>
      <c r="H111" s="5" t="str">
        <f>IFERROR(__xludf.DUMMYFUNCTION("GOOGLETRANSLATE(C111, ""en"", ""hi"")"),"A) अहमदाबाद, B) मुंबई, C) दिल्ली, D) चेन्नई")</f>
        <v>A) अहमदाबाद, B) मुंबई, C) दिल्ली, D) चेन्नई</v>
      </c>
      <c r="I111" s="5" t="str">
        <f>IFERROR(__xludf.DUMMYFUNCTION("GOOGLETRANSLATE(D111, ""en"", ""hi"")"),"ए) अहमदाबाद")</f>
        <v>ए) अहमदाबाद</v>
      </c>
    </row>
    <row r="112" ht="22.5" customHeight="1">
      <c r="A112" s="3">
        <v>111.0</v>
      </c>
      <c r="B112" s="4" t="s">
        <v>268</v>
      </c>
      <c r="C112" s="4" t="s">
        <v>269</v>
      </c>
      <c r="D112" s="4" t="s">
        <v>218</v>
      </c>
      <c r="F112" s="5" t="str">
        <f>IFERROR(__xludf.DUMMYFUNCTION("GOOGLETRANSLATE(A112, ""en"", ""hi"")"),"111")</f>
        <v>111</v>
      </c>
      <c r="G112" s="5" t="str">
        <f>IFERROR(__xludf.DUMMYFUNCTION("GOOGLETRANSLATE(B112, ""en"", ""hi"")"),"कौन सा कबड्डी टूर्नामेंट प्रतिवर्ष आयोजित किया जाता है और इसमें दक्षिण एशिया और अन्य क्षेत्रों की टीमें भाग लेती हैं?")</f>
        <v>कौन सा कबड्डी टूर्नामेंट प्रतिवर्ष आयोजित किया जाता है और इसमें दक्षिण एशिया और अन्य क्षेत्रों की टीमें भाग लेती हैं?</v>
      </c>
      <c r="H112" s="5" t="str">
        <f>IFERROR(__xludf.DUMMYFUNCTION("GOOGLETRANSLATE(C112, ""en"", ""hi"")"),"A) कबड्डी विश्व कप, B) कबड्डी मास्टर्स, C) विश्व कबड्डी लीग, D) कबड्डी चैम्पियनशिप")</f>
        <v>A) कबड्डी विश्व कप, B) कबड्डी मास्टर्स, C) विश्व कबड्डी लीग, D) कबड्डी चैम्पियनशिप</v>
      </c>
      <c r="I112" s="5" t="str">
        <f>IFERROR(__xludf.DUMMYFUNCTION("GOOGLETRANSLATE(D112, ""en"", ""hi"")"),"बी) कबड्डी मास्टर्स")</f>
        <v>बी) कबड्डी मास्टर्स</v>
      </c>
    </row>
    <row r="113" ht="22.5" customHeight="1">
      <c r="A113" s="3">
        <v>112.0</v>
      </c>
      <c r="B113" s="4" t="s">
        <v>270</v>
      </c>
      <c r="C113" s="4" t="s">
        <v>271</v>
      </c>
      <c r="D113" s="4" t="s">
        <v>66</v>
      </c>
      <c r="F113" s="5" t="str">
        <f>IFERROR(__xludf.DUMMYFUNCTION("GOOGLETRANSLATE(A113, ""en"", ""hi"")"),"112")</f>
        <v>112</v>
      </c>
      <c r="G113" s="5" t="str">
        <f>IFERROR(__xludf.DUMMYFUNCTION("GOOGLETRANSLATE(B113, ""en"", ""hi"")"),"कौन सा भारतीय राज्य 'संगरूर कबड्डी टूर्नामेंट' के रूप में जाना जाने वाला पारंपरिक कबड्डी टूर्नामेंट की मेजबानी के लिए प्रसिद्ध है?")</f>
        <v>कौन सा भारतीय राज्य 'संगरूर कबड्डी टूर्नामेंट' के रूप में जाना जाने वाला पारंपरिक कबड्डी टूर्नामेंट की मेजबानी के लिए प्रसिद्ध है?</v>
      </c>
      <c r="H113" s="5" t="str">
        <f>IFERROR(__xludf.DUMMYFUNCTION("GOOGLETRANSLATE(C113, ""en"", ""hi"")"),"ए) पंजाब, बी) हरियाणा, सी) महाराष्ट्र, डी) उत्तर प्रदेश")</f>
        <v>ए) पंजाब, बी) हरियाणा, सी) महाराष्ट्र, डी) उत्तर प्रदेश</v>
      </c>
      <c r="I113" s="5" t="str">
        <f>IFERROR(__xludf.DUMMYFUNCTION("GOOGLETRANSLATE(D113, ""en"", ""hi"")"),"A) पंजाब")</f>
        <v>A) पंजाब</v>
      </c>
    </row>
    <row r="114" ht="22.5" customHeight="1">
      <c r="A114" s="3">
        <v>113.0</v>
      </c>
      <c r="B114" s="4" t="s">
        <v>272</v>
      </c>
      <c r="C114" s="4" t="s">
        <v>189</v>
      </c>
      <c r="D114" s="4" t="s">
        <v>95</v>
      </c>
      <c r="F114" s="5" t="str">
        <f>IFERROR(__xludf.DUMMYFUNCTION("GOOGLETRANSLATE(A114, ""en"", ""hi"")"),"113")</f>
        <v>113</v>
      </c>
      <c r="G114" s="5" t="str">
        <f>IFERROR(__xludf.DUMMYFUNCTION("GOOGLETRANSLATE(B114, ""en"", ""hi"")"),"प्रो कबड्डी लीग के इतिहास में 1000 अंक हासिल करने वाला पहला कबड्डी खिलाड़ी कौन बना?")</f>
        <v>प्रो कबड्डी लीग के इतिहास में 1000 अंक हासिल करने वाला पहला कबड्डी खिलाड़ी कौन बना?</v>
      </c>
      <c r="H114" s="5" t="str">
        <f>IFERROR(__xludf.DUMMYFUNCTION("GOOGLETRANSLATE(C114, ""en"", ""hi"")"),"ए) प्रदीप नरवाल, बी) राहुल चौधरी, सी) दीपक निवास हुडा, डी) अजय ठाकुर")</f>
        <v>ए) प्रदीप नरवाल, बी) राहुल चौधरी, सी) दीपक निवास हुडा, डी) अजय ठाकुर</v>
      </c>
      <c r="I114" s="5" t="str">
        <f>IFERROR(__xludf.DUMMYFUNCTION("GOOGLETRANSLATE(D114, ""en"", ""hi"")"),"A) प्रदीप नरवाल")</f>
        <v>A) प्रदीप नरवाल</v>
      </c>
    </row>
    <row r="115" ht="22.5" customHeight="1">
      <c r="A115" s="3">
        <v>114.0</v>
      </c>
      <c r="B115" s="4" t="s">
        <v>273</v>
      </c>
      <c r="C115" s="4" t="s">
        <v>274</v>
      </c>
      <c r="D115" s="4" t="s">
        <v>195</v>
      </c>
      <c r="F115" s="5" t="str">
        <f>IFERROR(__xludf.DUMMYFUNCTION("GOOGLETRANSLATE(A115, ""en"", ""hi"")"),"114")</f>
        <v>114</v>
      </c>
      <c r="G115" s="5" t="str">
        <f>IFERROR(__xludf.DUMMYFUNCTION("GOOGLETRANSLATE(B115, ""en"", ""hi"")"),"कौन सा कबड्डी खिलाड़ी अपने असाधारण रक्षात्मक कौशल के लिए जाना जाता है और 2012 कबड्डी विश्व कप में एक प्रमुख खिलाड़ी था?")</f>
        <v>कौन सा कबड्डी खिलाड़ी अपने असाधारण रक्षात्मक कौशल के लिए जाना जाता है और 2012 कबड्डी विश्व कप में एक प्रमुख खिलाड़ी था?</v>
      </c>
      <c r="H115" s="5" t="str">
        <f>IFERROR(__xludf.DUMMYFUNCTION("GOOGLETRANSLATE(C115, ""en"", ""hi"")"),"ए) मंजीत छिल्लर, बी) संदीप नरवाल, सी) अनुप कुमार, डी) प्रदीप नरवाल")</f>
        <v>ए) मंजीत छिल्लर, बी) संदीप नरवाल, सी) अनुप कुमार, डी) प्रदीप नरवाल</v>
      </c>
      <c r="I115" s="5" t="str">
        <f>IFERROR(__xludf.DUMMYFUNCTION("GOOGLETRANSLATE(D115, ""en"", ""hi"")"),"A) मंजीत छिल्लर")</f>
        <v>A) मंजीत छिल्लर</v>
      </c>
    </row>
    <row r="116" ht="22.5" customHeight="1">
      <c r="A116" s="3">
        <v>115.0</v>
      </c>
      <c r="B116" s="4" t="s">
        <v>275</v>
      </c>
      <c r="C116" s="4" t="s">
        <v>133</v>
      </c>
      <c r="D116" s="4" t="s">
        <v>134</v>
      </c>
      <c r="F116" s="5" t="str">
        <f>IFERROR(__xludf.DUMMYFUNCTION("GOOGLETRANSLATE(A116, ""en"", ""hi"")"),"115")</f>
        <v>115</v>
      </c>
      <c r="G116" s="5" t="str">
        <f>IFERROR(__xludf.DUMMYFUNCTION("GOOGLETRANSLATE(B116, ""en"", ""hi"")"),"2018 में कबड्डी मास्टर्स टूर्नामेंट की मेजबानी किस देश ने की?")</f>
        <v>2018 में कबड्डी मास्टर्स टूर्नामेंट की मेजबानी किस देश ने की?</v>
      </c>
      <c r="H116" s="5" t="str">
        <f>IFERROR(__xludf.DUMMYFUNCTION("GOOGLETRANSLATE(C116, ""en"", ""hi"")"),"A) भारत, B) पाकिस्तान, C) यूएई, D) बांग्लादेश")</f>
        <v>A) भारत, B) पाकिस्तान, C) यूएई, D) बांग्लादेश</v>
      </c>
      <c r="I116" s="5" t="str">
        <f>IFERROR(__xludf.DUMMYFUNCTION("GOOGLETRANSLATE(D116, ""en"", ""hi"")"),"C) यूएई")</f>
        <v>C) यूएई</v>
      </c>
    </row>
    <row r="117" ht="22.5" customHeight="1">
      <c r="A117" s="3">
        <v>116.0</v>
      </c>
      <c r="B117" s="4" t="s">
        <v>212</v>
      </c>
      <c r="C117" s="4" t="s">
        <v>213</v>
      </c>
      <c r="D117" s="4" t="s">
        <v>214</v>
      </c>
      <c r="F117" s="5" t="str">
        <f>IFERROR(__xludf.DUMMYFUNCTION("GOOGLETRANSLATE(A117, ""en"", ""hi"")"),"116")</f>
        <v>116</v>
      </c>
      <c r="G117" s="5" t="str">
        <f>IFERROR(__xludf.DUMMYFUNCTION("GOOGLETRANSLATE(B117, ""en"", ""hi"")"),"कौन सा कबड्डी खिलाड़ी अपने नेतृत्व के लिए जाना जाता है और 2018 कबड्डी विश्व कप में भारतीय टीम का कप्तान था?")</f>
        <v>कौन सा कबड्डी खिलाड़ी अपने नेतृत्व के लिए जाना जाता है और 2018 कबड्डी विश्व कप में भारतीय टीम का कप्तान था?</v>
      </c>
      <c r="H117" s="5" t="str">
        <f>IFERROR(__xludf.DUMMYFUNCTION("GOOGLETRANSLATE(C117, ""en"", ""hi"")"),"ए) अजय ठाकुर, बी) अनुप कुमार, सी) दीपक निवास हुडा, डी) मंजीत छिल्लर")</f>
        <v>ए) अजय ठाकुर, बी) अनुप कुमार, सी) दीपक निवास हुडा, डी) मंजीत छिल्लर</v>
      </c>
      <c r="I117" s="5" t="str">
        <f>IFERROR(__xludf.DUMMYFUNCTION("GOOGLETRANSLATE(D117, ""en"", ""hi"")"),"A) अजय ठाकुर")</f>
        <v>A) अजय ठाकुर</v>
      </c>
    </row>
    <row r="118" ht="22.5" customHeight="1">
      <c r="A118" s="3">
        <v>117.0</v>
      </c>
      <c r="B118" s="4" t="s">
        <v>276</v>
      </c>
      <c r="C118" s="4" t="s">
        <v>109</v>
      </c>
      <c r="D118" s="4" t="s">
        <v>110</v>
      </c>
      <c r="F118" s="5" t="str">
        <f>IFERROR(__xludf.DUMMYFUNCTION("GOOGLETRANSLATE(A118, ""en"", ""hi"")"),"117")</f>
        <v>117</v>
      </c>
      <c r="G118" s="5" t="str">
        <f>IFERROR(__xludf.DUMMYFUNCTION("GOOGLETRANSLATE(B118, ""en"", ""hi"")"),"कौन सा भारतीय राज्य अपनी अनूठी कबड्डी शैली 'उत्तर प्रदेश कबड्डी' के लिए जाना जाता है?")</f>
        <v>कौन सा भारतीय राज्य अपनी अनूठी कबड्डी शैली 'उत्तर प्रदेश कबड्डी' के लिए जाना जाता है?</v>
      </c>
      <c r="H118" s="5" t="str">
        <f>IFERROR(__xludf.DUMMYFUNCTION("GOOGLETRANSLATE(C118, ""en"", ""hi"")"),"A) उत्तर प्रदेश, B) बिहार, C) पश्चिम बंगाल, D) असम")</f>
        <v>A) उत्तर प्रदेश, B) बिहार, C) पश्चिम बंगाल, D) असम</v>
      </c>
      <c r="I118" s="5" t="str">
        <f>IFERROR(__xludf.DUMMYFUNCTION("GOOGLETRANSLATE(D118, ""en"", ""hi"")"),"A) उत्तर प्रदेश")</f>
        <v>A) उत्तर प्रदेश</v>
      </c>
    </row>
    <row r="119" ht="22.5" customHeight="1">
      <c r="A119" s="3">
        <v>118.0</v>
      </c>
      <c r="B119" s="4" t="s">
        <v>277</v>
      </c>
      <c r="C119" s="4" t="s">
        <v>278</v>
      </c>
      <c r="D119" s="4" t="s">
        <v>218</v>
      </c>
      <c r="F119" s="5" t="str">
        <f>IFERROR(__xludf.DUMMYFUNCTION("GOOGLETRANSLATE(A119, ""en"", ""hi"")"),"118")</f>
        <v>118</v>
      </c>
      <c r="G119" s="5" t="str">
        <f>IFERROR(__xludf.DUMMYFUNCTION("GOOGLETRANSLATE(B119, ""en"", ""hi"")"),"कौन सी कबड्डी लीग पारंपरिक और गैर-पारंपरिक दोनों कबड्डी देशों की टीमों की विशेषता के लिए जानी जाती है?")</f>
        <v>कौन सी कबड्डी लीग पारंपरिक और गैर-पारंपरिक दोनों कबड्डी देशों की टीमों की विशेषता के लिए जानी जाती है?</v>
      </c>
      <c r="H119" s="5" t="str">
        <f>IFERROR(__xludf.DUMMYFUNCTION("GOOGLETRANSLATE(C119, ""en"", ""hi"")"),"A) विश्व कबड्डी लीग, B) कबड्डी मास्टर्स, C) प्रो कबड्डी लीग, D) कबड्डी चैम्पियनशिप")</f>
        <v>A) विश्व कबड्डी लीग, B) कबड्डी मास्टर्स, C) प्रो कबड्डी लीग, D) कबड्डी चैम्पियनशिप</v>
      </c>
      <c r="I119" s="5" t="str">
        <f>IFERROR(__xludf.DUMMYFUNCTION("GOOGLETRANSLATE(D119, ""en"", ""hi"")"),"बी) कबड्डी मास्टर्स")</f>
        <v>बी) कबड्डी मास्टर्स</v>
      </c>
    </row>
    <row r="120" ht="22.5" customHeight="1">
      <c r="A120" s="3">
        <v>119.0</v>
      </c>
      <c r="B120" s="4" t="s">
        <v>279</v>
      </c>
      <c r="C120" s="4" t="s">
        <v>152</v>
      </c>
      <c r="D120" s="4" t="s">
        <v>95</v>
      </c>
      <c r="F120" s="5" t="str">
        <f>IFERROR(__xludf.DUMMYFUNCTION("GOOGLETRANSLATE(A120, ""en"", ""hi"")"),"119")</f>
        <v>119</v>
      </c>
      <c r="G120" s="5" t="str">
        <f>IFERROR(__xludf.DUMMYFUNCTION("GOOGLETRANSLATE(B120, ""en"", ""hi"")"),"2017 प्रो कबड्डी लीग में किस कबड्डी खिलाड़ी को उनके उत्कृष्ट रेडिंग प्रदर्शन के लिए सम्मानित किया गया है?")</f>
        <v>2017 प्रो कबड्डी लीग में किस कबड्डी खिलाड़ी को उनके उत्कृष्ट रेडिंग प्रदर्शन के लिए सम्मानित किया गया है?</v>
      </c>
      <c r="H120" s="5" t="str">
        <f>IFERROR(__xludf.DUMMYFUNCTION("GOOGLETRANSLATE(C120, ""en"", ""hi"")"),"ए) प्रदीप नरवाल, बी) राहुल चौधरी, सी) दीपक निवास हुडा, डी) नितिन तोमर")</f>
        <v>ए) प्रदीप नरवाल, बी) राहुल चौधरी, सी) दीपक निवास हुडा, डी) नितिन तोमर</v>
      </c>
      <c r="I120" s="5" t="str">
        <f>IFERROR(__xludf.DUMMYFUNCTION("GOOGLETRANSLATE(D120, ""en"", ""hi"")"),"A) प्रदीप नरवाल")</f>
        <v>A) प्रदीप नरवाल</v>
      </c>
    </row>
    <row r="121" ht="22.5" customHeight="1">
      <c r="A121" s="3">
        <v>120.0</v>
      </c>
      <c r="B121" s="4" t="s">
        <v>280</v>
      </c>
      <c r="C121" s="4" t="s">
        <v>189</v>
      </c>
      <c r="D121" s="4" t="s">
        <v>95</v>
      </c>
      <c r="F121" s="5" t="str">
        <f>IFERROR(__xludf.DUMMYFUNCTION("GOOGLETRANSLATE(A121, ""en"", ""hi"")"),"120")</f>
        <v>120</v>
      </c>
      <c r="G121" s="5" t="str">
        <f>IFERROR(__xludf.DUMMYFUNCTION("GOOGLETRANSLATE(B121, ""en"", ""hi"")"),"प्रो कबड्डी लीग के इतिहास में सबसे अधिक अंक बनाने वाला खिलाड़ी कौन सा कबड्डी खिलाड़ी बना?")</f>
        <v>प्रो कबड्डी लीग के इतिहास में सबसे अधिक अंक बनाने वाला खिलाड़ी कौन सा कबड्डी खिलाड़ी बना?</v>
      </c>
      <c r="H121" s="5" t="str">
        <f>IFERROR(__xludf.DUMMYFUNCTION("GOOGLETRANSLATE(C121, ""en"", ""hi"")"),"ए) प्रदीप नरवाल, बी) राहुल चौधरी, सी) दीपक निवास हुडा, डी) अजय ठाकुर")</f>
        <v>ए) प्रदीप नरवाल, बी) राहुल चौधरी, सी) दीपक निवास हुडा, डी) अजय ठाकुर</v>
      </c>
      <c r="I121" s="5" t="str">
        <f>IFERROR(__xludf.DUMMYFUNCTION("GOOGLETRANSLATE(D121, ""en"", ""hi"")"),"A) प्रदीप नरवाल")</f>
        <v>A) प्रदीप नरवाल</v>
      </c>
    </row>
    <row r="122" ht="22.5" customHeight="1">
      <c r="A122" s="3">
        <v>121.0</v>
      </c>
      <c r="B122" s="4" t="s">
        <v>281</v>
      </c>
      <c r="C122" s="4" t="s">
        <v>282</v>
      </c>
      <c r="D122" s="4" t="s">
        <v>150</v>
      </c>
      <c r="F122" s="5" t="str">
        <f>IFERROR(__xludf.DUMMYFUNCTION("GOOGLETRANSLATE(A122, ""en"", ""hi"")"),"121")</f>
        <v>121</v>
      </c>
      <c r="G122" s="5" t="str">
        <f>IFERROR(__xludf.DUMMYFUNCTION("GOOGLETRANSLATE(B122, ""en"", ""hi"")"),"कौन सा भारतीय राज्य आधुनिक कबड्डी तकनीकों और रणनीतियों के विकास में अपने योगदान के लिए जाना जाता है?")</f>
        <v>कौन सा भारतीय राज्य आधुनिक कबड्डी तकनीकों और रणनीतियों के विकास में अपने योगदान के लिए जाना जाता है?</v>
      </c>
      <c r="H122" s="5" t="str">
        <f>IFERROR(__xludf.DUMMYFUNCTION("GOOGLETRANSLATE(C122, ""en"", ""hi"")"),"A) हरियाणा, B) पंजाब, C) महाराष्ट्र, D) गुजरात")</f>
        <v>A) हरियाणा, B) पंजाब, C) महाराष्ट्र, D) गुजरात</v>
      </c>
      <c r="I122" s="5" t="str">
        <f>IFERROR(__xludf.DUMMYFUNCTION("GOOGLETRANSLATE(D122, ""en"", ""hi"")"),"A) हरियाणा")</f>
        <v>A) हरियाणा</v>
      </c>
    </row>
    <row r="123" ht="22.5" customHeight="1">
      <c r="A123" s="3">
        <v>122.0</v>
      </c>
      <c r="B123" s="4" t="s">
        <v>283</v>
      </c>
      <c r="C123" s="4" t="s">
        <v>284</v>
      </c>
      <c r="D123" s="4" t="s">
        <v>285</v>
      </c>
      <c r="F123" s="5" t="str">
        <f>IFERROR(__xludf.DUMMYFUNCTION("GOOGLETRANSLATE(A123, ""en"", ""hi"")"),"122")</f>
        <v>122</v>
      </c>
      <c r="G123" s="5" t="str">
        <f>IFERROR(__xludf.DUMMYFUNCTION("GOOGLETRANSLATE(B123, ""en"", ""hi"")"),"2019 प्रो कबड्डी लीग सीज़न में किस कबड्डी टीम ने खिताब जीता?")</f>
        <v>2019 प्रो कबड्डी लीग सीज़न में किस कबड्डी टीम ने खिताब जीता?</v>
      </c>
      <c r="H123" s="5" t="str">
        <f>IFERROR(__xludf.DUMMYFUNCTION("GOOGLETRANSLATE(C123, ""en"", ""hi"")"),"ए) बेंगलुरु बुल्स, बी) पटना पाइरेट्स, सी) दबंग दिल्ली, डी) यू मुंबा")</f>
        <v>ए) बेंगलुरु बुल्स, बी) पटना पाइरेट्स, सी) दबंग दिल्ली, डी) यू मुंबा</v>
      </c>
      <c r="I123" s="5" t="str">
        <f>IFERROR(__xludf.DUMMYFUNCTION("GOOGLETRANSLATE(D123, ""en"", ""hi"")"),"ए) बेंगलुरु बुल्स")</f>
        <v>ए) बेंगलुरु बुल्स</v>
      </c>
    </row>
    <row r="124" ht="22.5" customHeight="1">
      <c r="A124" s="3">
        <v>123.0</v>
      </c>
      <c r="B124" s="4" t="s">
        <v>286</v>
      </c>
      <c r="C124" s="4" t="s">
        <v>287</v>
      </c>
      <c r="D124" s="4" t="s">
        <v>142</v>
      </c>
      <c r="F124" s="5" t="str">
        <f>IFERROR(__xludf.DUMMYFUNCTION("GOOGLETRANSLATE(A124, ""en"", ""hi"")"),"123")</f>
        <v>123</v>
      </c>
      <c r="G124" s="5" t="str">
        <f>IFERROR(__xludf.DUMMYFUNCTION("GOOGLETRANSLATE(B124, ""en"", ""hi"")"),"2018 प्रो कबड्डी लीग सीज़न में किस कबड्डी खिलाड़ी को 'सर्वश्रेष्ठ रक्षात्मक खिलाड़ी' पुरस्कार से सम्मानित किया गया?")</f>
        <v>2018 प्रो कबड्डी लीग सीज़न में किस कबड्डी खिलाड़ी को 'सर्वश्रेष्ठ रक्षात्मक खिलाड़ी' पुरस्कार से सम्मानित किया गया?</v>
      </c>
      <c r="H124" s="5" t="str">
        <f>IFERROR(__xludf.DUMMYFUNCTION("GOOGLETRANSLATE(C124, ""en"", ""hi"")"),"ए) संदीप नरवाल, बी) मंजीत छिल्लर, सी) नितिन तोमर, डी) अजय ठाकुर")</f>
        <v>ए) संदीप नरवाल, बी) मंजीत छिल्लर, सी) नितिन तोमर, डी) अजय ठाकुर</v>
      </c>
      <c r="I124" s="5" t="str">
        <f>IFERROR(__xludf.DUMMYFUNCTION("GOOGLETRANSLATE(D124, ""en"", ""hi"")"),"A) संदीप नरवाल")</f>
        <v>A) संदीप नरवाल</v>
      </c>
    </row>
    <row r="125" ht="22.5" customHeight="1">
      <c r="A125" s="3">
        <v>124.0</v>
      </c>
      <c r="B125" s="4" t="s">
        <v>288</v>
      </c>
      <c r="C125" s="4" t="s">
        <v>289</v>
      </c>
      <c r="D125" s="4" t="s">
        <v>290</v>
      </c>
      <c r="F125" s="5" t="str">
        <f>IFERROR(__xludf.DUMMYFUNCTION("GOOGLETRANSLATE(A125, ""en"", ""hi"")"),"124")</f>
        <v>124</v>
      </c>
      <c r="G125" s="5" t="str">
        <f>IFERROR(__xludf.DUMMYFUNCTION("GOOGLETRANSLATE(B125, ""en"", ""hi"")"),"कौन सा कबड्डी टूर्नामेंट अपने प्रतिस्पर्धी मैचों के लिए जाना जाता है और इसमें विभिन्न देशों की टीमें भाग लेती हैं?")</f>
        <v>कौन सा कबड्डी टूर्नामेंट अपने प्रतिस्पर्धी मैचों के लिए जाना जाता है और इसमें विभिन्न देशों की टीमें भाग लेती हैं?</v>
      </c>
      <c r="H125" s="5" t="str">
        <f>IFERROR(__xludf.DUMMYFUNCTION("GOOGLETRANSLATE(C125, ""en"", ""hi"")"),"A) कबड्डी मास्टर्स, B) कबड्डी विश्व कप, C) विश्व कबड्डी लीग, D) कबड्डी चैम्पियनशिप")</f>
        <v>A) कबड्डी मास्टर्स, B) कबड्डी विश्व कप, C) विश्व कबड्डी लीग, D) कबड्डी चैम्पियनशिप</v>
      </c>
      <c r="I125" s="5" t="str">
        <f>IFERROR(__xludf.DUMMYFUNCTION("GOOGLETRANSLATE(D125, ""en"", ""hi"")"),"बी) कबड्डी विश्व कप")</f>
        <v>बी) कबड्डी विश्व कप</v>
      </c>
    </row>
    <row r="126" ht="22.5" customHeight="1">
      <c r="A126" s="3">
        <v>125.0</v>
      </c>
      <c r="B126" s="4" t="s">
        <v>291</v>
      </c>
      <c r="C126" s="4" t="s">
        <v>292</v>
      </c>
      <c r="D126" s="4" t="s">
        <v>122</v>
      </c>
      <c r="F126" s="5" t="str">
        <f>IFERROR(__xludf.DUMMYFUNCTION("GOOGLETRANSLATE(A126, ""en"", ""hi"")"),"125")</f>
        <v>125</v>
      </c>
      <c r="G126" s="5" t="str">
        <f>IFERROR(__xludf.DUMMYFUNCTION("GOOGLETRANSLATE(B126, ""en"", ""hi"")"),"2015 प्रो कबड्डी लीग सीज़न में किस कबड्डी खिलाड़ी ने सबसे अधिक रेड अंक हासिल किए?")</f>
        <v>2015 प्रो कबड्डी लीग सीज़न में किस कबड्डी खिलाड़ी ने सबसे अधिक रेड अंक हासिल किए?</v>
      </c>
      <c r="H126" s="5" t="str">
        <f>IFERROR(__xludf.DUMMYFUNCTION("GOOGLETRANSLATE(C126, ""en"", ""hi"")"),"ए) राहुल चौधरी, बी) प्रदीप नरवाल, सी) दीपक निवास हुडा, डी) रिशांक देवाडिगा")</f>
        <v>ए) राहुल चौधरी, बी) प्रदीप नरवाल, सी) दीपक निवास हुडा, डी) रिशांक देवाडिगा</v>
      </c>
      <c r="I126" s="5" t="str">
        <f>IFERROR(__xludf.DUMMYFUNCTION("GOOGLETRANSLATE(D126, ""en"", ""hi"")"),"A) राहुल चौधरी")</f>
        <v>A) राहुल चौधरी</v>
      </c>
    </row>
    <row r="127" ht="22.5" customHeight="1">
      <c r="A127" s="3">
        <v>126.0</v>
      </c>
      <c r="B127" s="4" t="s">
        <v>293</v>
      </c>
      <c r="C127" s="4" t="s">
        <v>294</v>
      </c>
      <c r="D127" s="4" t="s">
        <v>104</v>
      </c>
      <c r="F127" s="5" t="str">
        <f>IFERROR(__xludf.DUMMYFUNCTION("GOOGLETRANSLATE(A127, ""en"", ""hi"")"),"126")</f>
        <v>126</v>
      </c>
      <c r="G127" s="5" t="str">
        <f>IFERROR(__xludf.DUMMYFUNCTION("GOOGLETRANSLATE(B127, ""en"", ""hi"")"),"कौन सी कबड्डी लीग ने खिलाड़ी चयन के लिए ड्राफ्ट प्रणाली शुरू की थी?")</f>
        <v>कौन सी कबड्डी लीग ने खिलाड़ी चयन के लिए ड्राफ्ट प्रणाली शुरू की थी?</v>
      </c>
      <c r="H127" s="5" t="str">
        <f>IFERROR(__xludf.DUMMYFUNCTION("GOOGLETRANSLATE(C127, ""en"", ""hi"")"),"A) प्रो कबड्डी लीग, B) कबड्डी वर्ल्ड लीग, C) सुपर कबड्डी लीग, D) वर्ल्ड कबड्डी लीग")</f>
        <v>A) प्रो कबड्डी लीग, B) कबड्डी वर्ल्ड लीग, C) सुपर कबड्डी लीग, D) वर्ल्ड कबड्डी लीग</v>
      </c>
      <c r="I127" s="5" t="str">
        <f>IFERROR(__xludf.DUMMYFUNCTION("GOOGLETRANSLATE(D127, ""en"", ""hi"")"),"A) प्रो कबड्डी लीग")</f>
        <v>A) प्रो कबड्डी लीग</v>
      </c>
    </row>
    <row r="128" ht="22.5" customHeight="1">
      <c r="A128" s="3">
        <v>127.0</v>
      </c>
      <c r="B128" s="4" t="s">
        <v>295</v>
      </c>
      <c r="C128" s="4" t="s">
        <v>296</v>
      </c>
      <c r="D128" s="4" t="s">
        <v>297</v>
      </c>
      <c r="F128" s="5" t="str">
        <f>IFERROR(__xludf.DUMMYFUNCTION("GOOGLETRANSLATE(A128, ""en"", ""hi"")"),"127")</f>
        <v>127</v>
      </c>
      <c r="G128" s="5" t="str">
        <f>IFERROR(__xludf.DUMMYFUNCTION("GOOGLETRANSLATE(B128, ""en"", ""hi"")"),"कौन सा भारतीय शहर अपने ऐतिहासिक कबड्डी टूर्नामेंट के लिए प्रसिद्ध है और इसे भारत की कबड्डी राजधानी के रूप में जाना जाता है?")</f>
        <v>कौन सा भारतीय शहर अपने ऐतिहासिक कबड्डी टूर्नामेंट के लिए प्रसिद्ध है और इसे भारत की कबड्डी राजधानी के रूप में जाना जाता है?</v>
      </c>
      <c r="H128" s="5" t="str">
        <f>IFERROR(__xludf.DUMMYFUNCTION("GOOGLETRANSLATE(C128, ""en"", ""hi"")"),"A) पानीपत, B) दिल्ली, C) चेन्नई, D) अहमदाबाद")</f>
        <v>A) पानीपत, B) दिल्ली, C) चेन्नई, D) अहमदाबाद</v>
      </c>
      <c r="I128" s="5" t="str">
        <f>IFERROR(__xludf.DUMMYFUNCTION("GOOGLETRANSLATE(D128, ""en"", ""hi"")"),"A) पानीपत")</f>
        <v>A) पानीपत</v>
      </c>
    </row>
    <row r="129" ht="22.5" customHeight="1">
      <c r="A129" s="3">
        <v>128.0</v>
      </c>
      <c r="B129" s="4" t="s">
        <v>298</v>
      </c>
      <c r="C129" s="4" t="s">
        <v>242</v>
      </c>
      <c r="D129" s="4" t="s">
        <v>95</v>
      </c>
      <c r="F129" s="5" t="str">
        <f>IFERROR(__xludf.DUMMYFUNCTION("GOOGLETRANSLATE(A129, ""en"", ""hi"")"),"128")</f>
        <v>128</v>
      </c>
      <c r="G129" s="5" t="str">
        <f>IFERROR(__xludf.DUMMYFUNCTION("GOOGLETRANSLATE(B129, ""en"", ""hi"")"),"2019 कबड्डी विश्व कप में किस कबड्डी खिलाड़ी को 'सर्वश्रेष्ठ रेडर' के रूप में मान्यता दी गई?")</f>
        <v>2019 कबड्डी विश्व कप में किस कबड्डी खिलाड़ी को 'सर्वश्रेष्ठ रेडर' के रूप में मान्यता दी गई?</v>
      </c>
      <c r="H129" s="5" t="str">
        <f>IFERROR(__xludf.DUMMYFUNCTION("GOOGLETRANSLATE(C129, ""en"", ""hi"")"),"ए) प्रदीप नरवाल, बी) राहुल चौधरी, सी) दीपक निवास हुडा, डी) रिशांक देवाडिगा")</f>
        <v>ए) प्रदीप नरवाल, बी) राहुल चौधरी, सी) दीपक निवास हुडा, डी) रिशांक देवाडिगा</v>
      </c>
      <c r="I129" s="5" t="str">
        <f>IFERROR(__xludf.DUMMYFUNCTION("GOOGLETRANSLATE(D129, ""en"", ""hi"")"),"A) प्रदीप नरवाल")</f>
        <v>A) प्रदीप नरवाल</v>
      </c>
    </row>
    <row r="130" ht="22.5" customHeight="1">
      <c r="A130" s="3">
        <v>129.0</v>
      </c>
      <c r="B130" s="4" t="s">
        <v>299</v>
      </c>
      <c r="C130" s="4" t="s">
        <v>300</v>
      </c>
      <c r="D130" s="4" t="s">
        <v>110</v>
      </c>
      <c r="F130" s="5" t="str">
        <f>IFERROR(__xludf.DUMMYFUNCTION("GOOGLETRANSLATE(A130, ""en"", ""hi"")"),"129")</f>
        <v>129</v>
      </c>
      <c r="G130" s="5" t="str">
        <f>IFERROR(__xludf.DUMMYFUNCTION("GOOGLETRANSLATE(B130, ""en"", ""hi"")"),"कौन सा भारतीय राज्य वार्षिक 'कुंभ मेला कबड्डी टूर्नामेंट' की मेजबानी के लिए जाना जाता है?")</f>
        <v>कौन सा भारतीय राज्य वार्षिक 'कुंभ मेला कबड्डी टूर्नामेंट' की मेजबानी के लिए जाना जाता है?</v>
      </c>
      <c r="H130" s="5" t="str">
        <f>IFERROR(__xludf.DUMMYFUNCTION("GOOGLETRANSLATE(C130, ""en"", ""hi"")"),"ए) उत्तर प्रदेश, बी) पंजाब, सी) हरियाणा, डी) महाराष्ट्र")</f>
        <v>ए) उत्तर प्रदेश, बी) पंजाब, सी) हरियाणा, डी) महाराष्ट्र</v>
      </c>
      <c r="I130" s="5" t="str">
        <f>IFERROR(__xludf.DUMMYFUNCTION("GOOGLETRANSLATE(D130, ""en"", ""hi"")"),"A) उत्तर प्रदेश")</f>
        <v>A) उत्तर प्रदेश</v>
      </c>
    </row>
    <row r="131" ht="22.5" customHeight="1">
      <c r="A131" s="3">
        <v>130.0</v>
      </c>
      <c r="B131" s="4" t="s">
        <v>301</v>
      </c>
      <c r="C131" s="4" t="s">
        <v>294</v>
      </c>
      <c r="D131" s="4" t="s">
        <v>104</v>
      </c>
      <c r="F131" s="5" t="str">
        <f>IFERROR(__xludf.DUMMYFUNCTION("GOOGLETRANSLATE(A131, ""en"", ""hi"")"),"130")</f>
        <v>130</v>
      </c>
      <c r="G131" s="5" t="str">
        <f>IFERROR(__xludf.DUMMYFUNCTION("GOOGLETRANSLATE(B131, ""en"", ""hi"")"),"किस कबड्डी लीग ने 'होम-एंड-अवे' मैचों की अवधारणा शुरू की?")</f>
        <v>किस कबड्डी लीग ने 'होम-एंड-अवे' मैचों की अवधारणा शुरू की?</v>
      </c>
      <c r="H131" s="5" t="str">
        <f>IFERROR(__xludf.DUMMYFUNCTION("GOOGLETRANSLATE(C131, ""en"", ""hi"")"),"A) प्रो कबड्डी लीग, B) कबड्डी वर्ल्ड लीग, C) सुपर कबड्डी लीग, D) वर्ल्ड कबड्डी लीग")</f>
        <v>A) प्रो कबड्डी लीग, B) कबड्डी वर्ल्ड लीग, C) सुपर कबड्डी लीग, D) वर्ल्ड कबड्डी लीग</v>
      </c>
      <c r="I131" s="5" t="str">
        <f>IFERROR(__xludf.DUMMYFUNCTION("GOOGLETRANSLATE(D131, ""en"", ""hi"")"),"A) प्रो कबड्डी लीग")</f>
        <v>A) प्रो कबड्डी लीग</v>
      </c>
    </row>
    <row r="132" ht="22.5" customHeight="1">
      <c r="A132" s="3">
        <v>131.0</v>
      </c>
      <c r="B132" s="4" t="s">
        <v>302</v>
      </c>
      <c r="C132" s="4" t="s">
        <v>303</v>
      </c>
      <c r="D132" s="4" t="s">
        <v>95</v>
      </c>
      <c r="F132" s="5" t="str">
        <f>IFERROR(__xludf.DUMMYFUNCTION("GOOGLETRANSLATE(A132, ""en"", ""hi"")"),"131")</f>
        <v>131</v>
      </c>
      <c r="G132" s="5" t="str">
        <f>IFERROR(__xludf.DUMMYFUNCTION("GOOGLETRANSLATE(B132, ""en"", ""hi"")"),"कौन सा कबड्डी खिलाड़ी 2018 कबड्डी विश्व कप में अपने रिकॉर्ड तोड़ प्रदर्शन के लिए जाना जाता है?")</f>
        <v>कौन सा कबड्डी खिलाड़ी 2018 कबड्डी विश्व कप में अपने रिकॉर्ड तोड़ प्रदर्शन के लिए जाना जाता है?</v>
      </c>
      <c r="H132" s="5" t="str">
        <f>IFERROR(__xludf.DUMMYFUNCTION("GOOGLETRANSLATE(C132, ""en"", ""hi"")"),"ए) प्रदीप नरवाल, बी) मंजीत छिल्लर, सी) राहुल चौधरी, डी) अजय ठाकुर")</f>
        <v>ए) प्रदीप नरवाल, बी) मंजीत छिल्लर, सी) राहुल चौधरी, डी) अजय ठाकुर</v>
      </c>
      <c r="I132" s="5" t="str">
        <f>IFERROR(__xludf.DUMMYFUNCTION("GOOGLETRANSLATE(D132, ""en"", ""hi"")"),"A) प्रदीप नरवाल")</f>
        <v>A) प्रदीप नरवाल</v>
      </c>
    </row>
    <row r="133" ht="22.5" customHeight="1">
      <c r="A133" s="3">
        <v>132.0</v>
      </c>
      <c r="B133" s="4" t="s">
        <v>304</v>
      </c>
      <c r="C133" s="4" t="s">
        <v>305</v>
      </c>
      <c r="D133" s="4" t="s">
        <v>49</v>
      </c>
      <c r="F133" s="5" t="str">
        <f>IFERROR(__xludf.DUMMYFUNCTION("GOOGLETRANSLATE(A133, ""en"", ""hi"")"),"132")</f>
        <v>132</v>
      </c>
      <c r="G133" s="5" t="str">
        <f>IFERROR(__xludf.DUMMYFUNCTION("GOOGLETRANSLATE(B133, ""en"", ""hi"")"),"कौन सा भारतीय राज्य अपने पारंपरिक कबड्डी टूर्नामेंट 'डांडिया कबड्डी' के लिए प्रसिद्ध है?")</f>
        <v>कौन सा भारतीय राज्य अपने पारंपरिक कबड्डी टूर्नामेंट 'डांडिया कबड्डी' के लिए प्रसिद्ध है?</v>
      </c>
      <c r="H133" s="5" t="str">
        <f>IFERROR(__xludf.DUMMYFUNCTION("GOOGLETRANSLATE(C133, ""en"", ""hi"")"),"ए) गुजरात, बी) महाराष्ट्र, सी) राजस्थान, डी) कर्नाटक")</f>
        <v>ए) गुजरात, बी) महाराष्ट्र, सी) राजस्थान, डी) कर्नाटक</v>
      </c>
      <c r="I133" s="5" t="str">
        <f>IFERROR(__xludf.DUMMYFUNCTION("GOOGLETRANSLATE(D133, ""en"", ""hi"")"),"A) गुजरात")</f>
        <v>A) गुजरात</v>
      </c>
    </row>
    <row r="134" ht="22.5" customHeight="1">
      <c r="A134" s="3">
        <v>133.0</v>
      </c>
      <c r="B134" s="4" t="s">
        <v>306</v>
      </c>
      <c r="C134" s="4" t="s">
        <v>307</v>
      </c>
      <c r="D134" s="4" t="s">
        <v>308</v>
      </c>
      <c r="F134" s="5" t="str">
        <f>IFERROR(__xludf.DUMMYFUNCTION("GOOGLETRANSLATE(A134, ""en"", ""hi"")"),"133")</f>
        <v>133</v>
      </c>
      <c r="G134" s="5" t="str">
        <f>IFERROR(__xludf.DUMMYFUNCTION("GOOGLETRANSLATE(B134, ""en"", ""hi"")"),"2020 प्रो कबड्डी लीग सीज़न में किस कबड्डी टीम ने खिताब जीता?")</f>
        <v>2020 प्रो कबड्डी लीग सीज़न में किस कबड्डी टीम ने खिताब जीता?</v>
      </c>
      <c r="H134" s="5" t="str">
        <f>IFERROR(__xludf.DUMMYFUNCTION("GOOGLETRANSLATE(C134, ""en"", ""hi"")"),"ए) पटना पाइरेट्स, बी) बेंगलुरु बुल्स, सी) यू मुंबा, डी) दबंग दिल्ली")</f>
        <v>ए) पटना पाइरेट्स, बी) बेंगलुरु बुल्स, सी) यू मुंबा, डी) दबंग दिल्ली</v>
      </c>
      <c r="I134" s="5" t="str">
        <f>IFERROR(__xludf.DUMMYFUNCTION("GOOGLETRANSLATE(D134, ""en"", ""hi"")"),"D) दबंग दिल्ली")</f>
        <v>D) दबंग दिल्ली</v>
      </c>
    </row>
    <row r="135" ht="22.5" customHeight="1">
      <c r="A135" s="3">
        <v>134.0</v>
      </c>
      <c r="B135" s="4" t="s">
        <v>309</v>
      </c>
      <c r="C135" s="4" t="s">
        <v>310</v>
      </c>
      <c r="D135" s="4" t="s">
        <v>95</v>
      </c>
      <c r="F135" s="5" t="str">
        <f>IFERROR(__xludf.DUMMYFUNCTION("GOOGLETRANSLATE(A135, ""en"", ""hi"")"),"134")</f>
        <v>134</v>
      </c>
      <c r="G135" s="5" t="str">
        <f>IFERROR(__xludf.DUMMYFUNCTION("GOOGLETRANSLATE(B135, ""en"", ""hi"")"),"कबड्डी विश्व कप के इतिहास में सर्वाधिक अंक प्राप्त करने का रिकार्ड किस कबड्डी खिलाड़ी ने बनाया?")</f>
        <v>कबड्डी विश्व कप के इतिहास में सर्वाधिक अंक प्राप्त करने का रिकार्ड किस कबड्डी खिलाड़ी ने बनाया?</v>
      </c>
      <c r="H135" s="5" t="str">
        <f>IFERROR(__xludf.DUMMYFUNCTION("GOOGLETRANSLATE(C135, ""en"", ""hi"")"),"ए) प्रदीप नरवाल, बी) राहुल चौधरी, सी) दीपक निवास हुडा, डी) मंजीत छिल्लर")</f>
        <v>ए) प्रदीप नरवाल, बी) राहुल चौधरी, सी) दीपक निवास हुडा, डी) मंजीत छिल्लर</v>
      </c>
      <c r="I135" s="5" t="str">
        <f>IFERROR(__xludf.DUMMYFUNCTION("GOOGLETRANSLATE(D135, ""en"", ""hi"")"),"A) प्रदीप नरवाल")</f>
        <v>A) प्रदीप नरवाल</v>
      </c>
    </row>
    <row r="136" ht="22.5" customHeight="1">
      <c r="A136" s="3">
        <v>135.0</v>
      </c>
      <c r="B136" s="4" t="s">
        <v>311</v>
      </c>
      <c r="C136" s="4" t="s">
        <v>312</v>
      </c>
      <c r="D136" s="4" t="s">
        <v>313</v>
      </c>
      <c r="F136" s="5" t="str">
        <f>IFERROR(__xludf.DUMMYFUNCTION("GOOGLETRANSLATE(A136, ""en"", ""hi"")"),"135")</f>
        <v>135</v>
      </c>
      <c r="G136" s="5" t="str">
        <f>IFERROR(__xludf.DUMMYFUNCTION("GOOGLETRANSLATE(B136, ""en"", ""hi"")"),"कौन सा कबड्डी टूर्नामेंट पेशेवर और शौकिया दोनों स्तरों की टीमों की विशेषता के लिए जाना जाता है?")</f>
        <v>कौन सा कबड्डी टूर्नामेंट पेशेवर और शौकिया दोनों स्तरों की टीमों की विशेषता के लिए जाना जाता है?</v>
      </c>
      <c r="H136" s="5" t="str">
        <f>IFERROR(__xludf.DUMMYFUNCTION("GOOGLETRANSLATE(C136, ""en"", ""hi"")"),"A) प्रो कबड्डी लीग, B) कबड्डी विश्व कप, C) विश्व कबड्डी लीग, D) कबड्डी चैम्पियनशिप")</f>
        <v>A) प्रो कबड्डी लीग, B) कबड्डी विश्व कप, C) विश्व कबड्डी लीग, D) कबड्डी चैम्पियनशिप</v>
      </c>
      <c r="I136" s="5" t="str">
        <f>IFERROR(__xludf.DUMMYFUNCTION("GOOGLETRANSLATE(D136, ""en"", ""hi"")"),"C) विश्व कबड्डी लीग")</f>
        <v>C) विश्व कबड्डी लीग</v>
      </c>
    </row>
    <row r="137" ht="22.5" customHeight="1">
      <c r="A137" s="3">
        <v>136.0</v>
      </c>
      <c r="B137" s="4" t="s">
        <v>314</v>
      </c>
      <c r="C137" s="4" t="s">
        <v>152</v>
      </c>
      <c r="D137" s="4" t="s">
        <v>95</v>
      </c>
      <c r="F137" s="5" t="str">
        <f>IFERROR(__xludf.DUMMYFUNCTION("GOOGLETRANSLATE(A137, ""en"", ""hi"")"),"136")</f>
        <v>136</v>
      </c>
      <c r="G137" s="5" t="str">
        <f>IFERROR(__xludf.DUMMYFUNCTION("GOOGLETRANSLATE(B137, ""en"", ""hi"")"),"कौन सा कबड्डी खिलाड़ी प्रो कबड्डी लीग में अपनी टीम का नेतृत्व करने वाला सबसे युवा कप्तान बन गया?")</f>
        <v>कौन सा कबड्डी खिलाड़ी प्रो कबड्डी लीग में अपनी टीम का नेतृत्व करने वाला सबसे युवा कप्तान बन गया?</v>
      </c>
      <c r="H137" s="5" t="str">
        <f>IFERROR(__xludf.DUMMYFUNCTION("GOOGLETRANSLATE(C137, ""en"", ""hi"")"),"ए) प्रदीप नरवाल, बी) राहुल चौधरी, सी) दीपक निवास हुडा, डी) नितिन तोमर")</f>
        <v>ए) प्रदीप नरवाल, बी) राहुल चौधरी, सी) दीपक निवास हुडा, डी) नितिन तोमर</v>
      </c>
      <c r="I137" s="5" t="str">
        <f>IFERROR(__xludf.DUMMYFUNCTION("GOOGLETRANSLATE(D137, ""en"", ""hi"")"),"A) प्रदीप नरवाल")</f>
        <v>A) प्रदीप नरवाल</v>
      </c>
    </row>
    <row r="138" ht="22.5" customHeight="1">
      <c r="A138" s="3">
        <v>137.0</v>
      </c>
      <c r="B138" s="4" t="s">
        <v>315</v>
      </c>
      <c r="C138" s="4" t="s">
        <v>287</v>
      </c>
      <c r="D138" s="4" t="s">
        <v>142</v>
      </c>
      <c r="F138" s="5" t="str">
        <f>IFERROR(__xludf.DUMMYFUNCTION("GOOGLETRANSLATE(A138, ""en"", ""hi"")"),"137")</f>
        <v>137</v>
      </c>
      <c r="G138" s="5" t="str">
        <f>IFERROR(__xludf.DUMMYFUNCTION("GOOGLETRANSLATE(B138, ""en"", ""hi"")"),"2017 प्रो कबड्डी लीग सीज़न में किस कबड्डी खिलाड़ी को 'बेस्ट डिफेंडर' का खिताब दिया गया?")</f>
        <v>2017 प्रो कबड्डी लीग सीज़न में किस कबड्डी खिलाड़ी को 'बेस्ट डिफेंडर' का खिताब दिया गया?</v>
      </c>
      <c r="H138" s="5" t="str">
        <f>IFERROR(__xludf.DUMMYFUNCTION("GOOGLETRANSLATE(C138, ""en"", ""hi"")"),"ए) संदीप नरवाल, बी) मंजीत छिल्लर, सी) नितिन तोमर, डी) अजय ठाकुर")</f>
        <v>ए) संदीप नरवाल, बी) मंजीत छिल्लर, सी) नितिन तोमर, डी) अजय ठाकुर</v>
      </c>
      <c r="I138" s="5" t="str">
        <f>IFERROR(__xludf.DUMMYFUNCTION("GOOGLETRANSLATE(D138, ""en"", ""hi"")"),"A) संदीप नरवाल")</f>
        <v>A) संदीप नरवाल</v>
      </c>
    </row>
    <row r="139" ht="22.5" customHeight="1">
      <c r="A139" s="3">
        <v>138.0</v>
      </c>
      <c r="B139" s="4" t="s">
        <v>277</v>
      </c>
      <c r="C139" s="4" t="s">
        <v>289</v>
      </c>
      <c r="D139" s="4" t="s">
        <v>316</v>
      </c>
      <c r="F139" s="5" t="str">
        <f>IFERROR(__xludf.DUMMYFUNCTION("GOOGLETRANSLATE(A139, ""en"", ""hi"")"),"138")</f>
        <v>138</v>
      </c>
      <c r="G139" s="5" t="str">
        <f>IFERROR(__xludf.DUMMYFUNCTION("GOOGLETRANSLATE(B139, ""en"", ""hi"")"),"कौन सी कबड्डी लीग पारंपरिक और गैर-पारंपरिक दोनों कबड्डी देशों की टीमों की विशेषता के लिए जानी जाती है?")</f>
        <v>कौन सी कबड्डी लीग पारंपरिक और गैर-पारंपरिक दोनों कबड्डी देशों की टीमों की विशेषता के लिए जानी जाती है?</v>
      </c>
      <c r="H139" s="5" t="str">
        <f>IFERROR(__xludf.DUMMYFUNCTION("GOOGLETRANSLATE(C139, ""en"", ""hi"")"),"A) कबड्डी मास्टर्स, B) कबड्डी विश्व कप, C) विश्व कबड्डी लीग, D) कबड्डी चैम्पियनशिप")</f>
        <v>A) कबड्डी मास्टर्स, B) कबड्डी विश्व कप, C) विश्व कबड्डी लीग, D) कबड्डी चैम्पियनशिप</v>
      </c>
      <c r="I139" s="5" t="str">
        <f>IFERROR(__xludf.DUMMYFUNCTION("GOOGLETRANSLATE(D139, ""en"", ""hi"")"),"A) कबड्डी मास्टर्स")</f>
        <v>A) कबड्डी मास्टर्स</v>
      </c>
    </row>
    <row r="140" ht="22.5" customHeight="1">
      <c r="A140" s="3">
        <v>139.0</v>
      </c>
      <c r="B140" s="4" t="s">
        <v>317</v>
      </c>
      <c r="C140" s="4" t="s">
        <v>318</v>
      </c>
      <c r="D140" s="4" t="s">
        <v>319</v>
      </c>
      <c r="F140" s="5" t="str">
        <f>IFERROR(__xludf.DUMMYFUNCTION("GOOGLETRANSLATE(A140, ""en"", ""hi"")"),"139")</f>
        <v>139</v>
      </c>
      <c r="G140" s="5" t="str">
        <f>IFERROR(__xludf.DUMMYFUNCTION("GOOGLETRANSLATE(B140, ""en"", ""hi"")"),"कौन सा कबड्डी टूर्नामेंट राउंड-रॉबिन और नॉकआउट चरणों के मिश्रण के साथ एक अद्वितीय प्रारूप पेश करता है?")</f>
        <v>कौन सा कबड्डी टूर्नामेंट राउंड-रॉबिन और नॉकआउट चरणों के मिश्रण के साथ एक अद्वितीय प्रारूप पेश करता है?</v>
      </c>
      <c r="H140" s="5" t="str">
        <f>IFERROR(__xludf.DUMMYFUNCTION("GOOGLETRANSLATE(C140, ""en"", ""hi"")"),"A) कबड्डी मास्टर्स, B) प्रो कबड्डी लीग, C) कबड्डी विश्व कप, D) विश्व कबड्डी लीग")</f>
        <v>A) कबड्डी मास्टर्स, B) प्रो कबड्डी लीग, C) कबड्डी विश्व कप, D) विश्व कबड्डी लीग</v>
      </c>
      <c r="I140" s="5" t="str">
        <f>IFERROR(__xludf.DUMMYFUNCTION("GOOGLETRANSLATE(D140, ""en"", ""hi"")"),"बी) प्रो कबड्डी लीग")</f>
        <v>बी) प्रो कबड्डी लीग</v>
      </c>
    </row>
    <row r="141" ht="22.5" customHeight="1">
      <c r="A141" s="3">
        <v>140.0</v>
      </c>
      <c r="B141" s="4" t="s">
        <v>320</v>
      </c>
      <c r="C141" s="4" t="s">
        <v>189</v>
      </c>
      <c r="D141" s="4" t="s">
        <v>95</v>
      </c>
      <c r="F141" s="5" t="str">
        <f>IFERROR(__xludf.DUMMYFUNCTION("GOOGLETRANSLATE(A141, ""en"", ""hi"")"),"140")</f>
        <v>140</v>
      </c>
      <c r="G141" s="5" t="str">
        <f>IFERROR(__xludf.DUMMYFUNCTION("GOOGLETRANSLATE(B141, ""en"", ""hi"")"),"प्रो कबड्डी लीग के इतिहास में 500 अंक हासिल करने वाला पहला कबड्डी खिलाड़ी कौन बना?")</f>
        <v>प्रो कबड्डी लीग के इतिहास में 500 अंक हासिल करने वाला पहला कबड्डी खिलाड़ी कौन बना?</v>
      </c>
      <c r="H141" s="5" t="str">
        <f>IFERROR(__xludf.DUMMYFUNCTION("GOOGLETRANSLATE(C141, ""en"", ""hi"")"),"ए) प्रदीप नरवाल, बी) राहुल चौधरी, सी) दीपक निवास हुडा, डी) अजय ठाकुर")</f>
        <v>ए) प्रदीप नरवाल, बी) राहुल चौधरी, सी) दीपक निवास हुडा, डी) अजय ठाकुर</v>
      </c>
      <c r="I141" s="5" t="str">
        <f>IFERROR(__xludf.DUMMYFUNCTION("GOOGLETRANSLATE(D141, ""en"", ""hi"")"),"A) प्रदीप नरवाल")</f>
        <v>A) प्रदीप नरवाल</v>
      </c>
    </row>
    <row r="142" ht="22.5" customHeight="1">
      <c r="A142" s="3">
        <v>141.0</v>
      </c>
      <c r="B142" s="4" t="s">
        <v>321</v>
      </c>
      <c r="C142" s="4" t="s">
        <v>322</v>
      </c>
      <c r="D142" s="4" t="s">
        <v>150</v>
      </c>
      <c r="F142" s="5" t="str">
        <f>IFERROR(__xludf.DUMMYFUNCTION("GOOGLETRANSLATE(A142, ""en"", ""hi"")"),"141")</f>
        <v>141</v>
      </c>
      <c r="G142" s="5" t="str">
        <f>IFERROR(__xludf.DUMMYFUNCTION("GOOGLETRANSLATE(B142, ""en"", ""hi"")"),"कौन सा भारतीय राज्य अपने पारंपरिक कबड्डी टूर्नामेंट के लिए प्रसिद्ध है और प्रसिद्ध 'गुड़गांव कबड्डी टूर्नामेंट' का घर था?")</f>
        <v>कौन सा भारतीय राज्य अपने पारंपरिक कबड्डी टूर्नामेंट के लिए प्रसिद्ध है और प्रसिद्ध 'गुड़गांव कबड्डी टूर्नामेंट' का घर था?</v>
      </c>
      <c r="H142" s="5" t="str">
        <f>IFERROR(__xludf.DUMMYFUNCTION("GOOGLETRANSLATE(C142, ""en"", ""hi"")"),"ए) हरियाणा, बी) पंजाब, सी) महाराष्ट्र, डी) राजस्थान")</f>
        <v>ए) हरियाणा, बी) पंजाब, सी) महाराष्ट्र, डी) राजस्थान</v>
      </c>
      <c r="I142" s="5" t="str">
        <f>IFERROR(__xludf.DUMMYFUNCTION("GOOGLETRANSLATE(D142, ""en"", ""hi"")"),"A) हरियाणा")</f>
        <v>A) हरियाणा</v>
      </c>
    </row>
    <row r="143" ht="22.5" customHeight="1">
      <c r="A143" s="3">
        <v>142.0</v>
      </c>
      <c r="B143" s="4" t="s">
        <v>323</v>
      </c>
      <c r="C143" s="4" t="s">
        <v>274</v>
      </c>
      <c r="D143" s="4" t="s">
        <v>155</v>
      </c>
      <c r="F143" s="5" t="str">
        <f>IFERROR(__xludf.DUMMYFUNCTION("GOOGLETRANSLATE(A143, ""en"", ""hi"")"),"142")</f>
        <v>142</v>
      </c>
      <c r="G143" s="5" t="str">
        <f>IFERROR(__xludf.DUMMYFUNCTION("GOOGLETRANSLATE(B143, ""en"", ""hi"")"),"कौन सा कबड्डी खिलाड़ी अपने रणनीतिक रक्षात्मक खेलों के लिए जाना जाता है और 2016 कबड्डी विश्व कप में एक प्रमुख खिलाड़ी था?")</f>
        <v>कौन सा कबड्डी खिलाड़ी अपने रणनीतिक रक्षात्मक खेलों के लिए जाना जाता है और 2016 कबड्डी विश्व कप में एक प्रमुख खिलाड़ी था?</v>
      </c>
      <c r="H143" s="5" t="str">
        <f>IFERROR(__xludf.DUMMYFUNCTION("GOOGLETRANSLATE(C143, ""en"", ""hi"")"),"ए) मंजीत छिल्लर, बी) संदीप नरवाल, सी) अनुप कुमार, डी) प्रदीप नरवाल")</f>
        <v>ए) मंजीत छिल्लर, बी) संदीप नरवाल, सी) अनुप कुमार, डी) प्रदीप नरवाल</v>
      </c>
      <c r="I143" s="5" t="str">
        <f>IFERROR(__xludf.DUMMYFUNCTION("GOOGLETRANSLATE(D143, ""en"", ""hi"")"),"B) संदीप नरवाल")</f>
        <v>B) संदीप नरवाल</v>
      </c>
    </row>
    <row r="144" ht="22.5" customHeight="1">
      <c r="A144" s="3">
        <v>143.0</v>
      </c>
      <c r="B144" s="4" t="s">
        <v>324</v>
      </c>
      <c r="C144" s="4" t="s">
        <v>242</v>
      </c>
      <c r="D144" s="4" t="s">
        <v>95</v>
      </c>
      <c r="F144" s="5" t="str">
        <f>IFERROR(__xludf.DUMMYFUNCTION("GOOGLETRANSLATE(A144, ""en"", ""hi"")"),"143")</f>
        <v>143</v>
      </c>
      <c r="G144" s="5" t="str">
        <f>IFERROR(__xludf.DUMMYFUNCTION("GOOGLETRANSLATE(B144, ""en"", ""hi"")"),"कौन सा कबड्डी खिलाड़ी अपने असाधारण रेडिंग कौशल के लिए जाना जाता है और कई प्रो कबड्डी लीग सीज़न में शीर्ष स्कोरर रहा है?")</f>
        <v>कौन सा कबड्डी खिलाड़ी अपने असाधारण रेडिंग कौशल के लिए जाना जाता है और कई प्रो कबड्डी लीग सीज़न में शीर्ष स्कोरर रहा है?</v>
      </c>
      <c r="H144" s="5" t="str">
        <f>IFERROR(__xludf.DUMMYFUNCTION("GOOGLETRANSLATE(C144, ""en"", ""hi"")"),"ए) प्रदीप नरवाल, बी) राहुल चौधरी, सी) दीपक निवास हुडा, डी) रिशांक देवाडिगा")</f>
        <v>ए) प्रदीप नरवाल, बी) राहुल चौधरी, सी) दीपक निवास हुडा, डी) रिशांक देवाडिगा</v>
      </c>
      <c r="I144" s="5" t="str">
        <f>IFERROR(__xludf.DUMMYFUNCTION("GOOGLETRANSLATE(D144, ""en"", ""hi"")"),"A) प्रदीप नरवाल")</f>
        <v>A) प्रदीप नरवाल</v>
      </c>
    </row>
    <row r="145" ht="22.5" customHeight="1">
      <c r="A145" s="3">
        <v>144.0</v>
      </c>
      <c r="B145" s="4" t="s">
        <v>325</v>
      </c>
      <c r="C145" s="4" t="s">
        <v>326</v>
      </c>
      <c r="D145" s="4" t="s">
        <v>327</v>
      </c>
      <c r="F145" s="5" t="str">
        <f>IFERROR(__xludf.DUMMYFUNCTION("GOOGLETRANSLATE(A145, ""en"", ""hi"")"),"144")</f>
        <v>144</v>
      </c>
      <c r="G145" s="5" t="str">
        <f>IFERROR(__xludf.DUMMYFUNCTION("GOOGLETRANSLATE(B145, ""en"", ""hi"")"),"किस देश में कबड्डी लीग को 'कोरियाई कबड्डी लीग' के नाम से जाना जाता है?")</f>
        <v>किस देश में कबड्डी लीग को 'कोरियाई कबड्डी लीग' के नाम से जाना जाता है?</v>
      </c>
      <c r="H145" s="5" t="str">
        <f>IFERROR(__xludf.DUMMYFUNCTION("GOOGLETRANSLATE(C145, ""en"", ""hi"")"),"A) दक्षिण कोरिया, B) जापान, C) थाईलैंड, D) मलेशिया")</f>
        <v>A) दक्षिण कोरिया, B) जापान, C) थाईलैंड, D) मलेशिया</v>
      </c>
      <c r="I145" s="5" t="str">
        <f>IFERROR(__xludf.DUMMYFUNCTION("GOOGLETRANSLATE(D145, ""en"", ""hi"")"),"A) दक्षिण कोरिया")</f>
        <v>A) दक्षिण कोरिया</v>
      </c>
    </row>
    <row r="146" ht="22.5" customHeight="1">
      <c r="A146" s="3">
        <v>145.0</v>
      </c>
      <c r="B146" s="4" t="s">
        <v>328</v>
      </c>
      <c r="C146" s="4" t="s">
        <v>329</v>
      </c>
      <c r="D146" s="4" t="s">
        <v>330</v>
      </c>
      <c r="F146" s="5" t="str">
        <f>IFERROR(__xludf.DUMMYFUNCTION("GOOGLETRANSLATE(A146, ""en"", ""hi"")"),"145")</f>
        <v>145</v>
      </c>
      <c r="G146" s="5" t="str">
        <f>IFERROR(__xludf.DUMMYFUNCTION("GOOGLETRANSLATE(B146, ""en"", ""hi"")"),"कौन सा भारतीय शहर वार्षिक 'कबड्डी मास्टर्स' टूर्नामेंट की मेजबानी के लिए जाना जाता है?")</f>
        <v>कौन सा भारतीय शहर वार्षिक 'कबड्डी मास्टर्स' टूर्नामेंट की मेजबानी के लिए जाना जाता है?</v>
      </c>
      <c r="H146" s="5" t="str">
        <f>IFERROR(__xludf.DUMMYFUNCTION("GOOGLETRANSLATE(C146, ""en"", ""hi"")"),"A) दुबई, B) मुंबई, C) दिल्ली, D) अहमदाबाद")</f>
        <v>A) दुबई, B) मुंबई, C) दिल्ली, D) अहमदाबाद</v>
      </c>
      <c r="I146" s="5" t="str">
        <f>IFERROR(__xludf.DUMMYFUNCTION("GOOGLETRANSLATE(D146, ""en"", ""hi"")"),"A) दुबई")</f>
        <v>A) दुबई</v>
      </c>
    </row>
    <row r="147" ht="22.5" customHeight="1">
      <c r="A147" s="3">
        <v>146.0</v>
      </c>
      <c r="B147" s="4" t="s">
        <v>331</v>
      </c>
      <c r="C147" s="4" t="s">
        <v>189</v>
      </c>
      <c r="D147" s="4" t="s">
        <v>95</v>
      </c>
      <c r="F147" s="5" t="str">
        <f>IFERROR(__xludf.DUMMYFUNCTION("GOOGLETRANSLATE(A147, ""en"", ""hi"")"),"146")</f>
        <v>146</v>
      </c>
      <c r="G147" s="5" t="str">
        <f>IFERROR(__xludf.DUMMYFUNCTION("GOOGLETRANSLATE(B147, ""en"", ""hi"")"),"किस कबड्डी खिलाड़ी ने एक कबड्डी विश्व कप मैच में सर्वाधिक अंक प्राप्त करने का रिकॉर्ड बनाया?")</f>
        <v>किस कबड्डी खिलाड़ी ने एक कबड्डी विश्व कप मैच में सर्वाधिक अंक प्राप्त करने का रिकॉर्ड बनाया?</v>
      </c>
      <c r="H147" s="5" t="str">
        <f>IFERROR(__xludf.DUMMYFUNCTION("GOOGLETRANSLATE(C147, ""en"", ""hi"")"),"ए) प्रदीप नरवाल, बी) राहुल चौधरी, सी) दीपक निवास हुडा, डी) अजय ठाकुर")</f>
        <v>ए) प्रदीप नरवाल, बी) राहुल चौधरी, सी) दीपक निवास हुडा, डी) अजय ठाकुर</v>
      </c>
      <c r="I147" s="5" t="str">
        <f>IFERROR(__xludf.DUMMYFUNCTION("GOOGLETRANSLATE(D147, ""en"", ""hi"")"),"A) प्रदीप नरवाल")</f>
        <v>A) प्रदीप नरवाल</v>
      </c>
    </row>
    <row r="148" ht="22.5" customHeight="1">
      <c r="A148" s="3">
        <v>147.0</v>
      </c>
      <c r="B148" s="4" t="s">
        <v>332</v>
      </c>
      <c r="C148" s="4" t="s">
        <v>333</v>
      </c>
      <c r="D148" s="4" t="s">
        <v>113</v>
      </c>
      <c r="F148" s="5" t="str">
        <f>IFERROR(__xludf.DUMMYFUNCTION("GOOGLETRANSLATE(A148, ""en"", ""hi"")"),"147")</f>
        <v>147</v>
      </c>
      <c r="G148" s="5" t="str">
        <f>IFERROR(__xludf.DUMMYFUNCTION("GOOGLETRANSLATE(B148, ""en"", ""hi"")"),"कौन सा कबड्डी खिलाड़ी अपने नेतृत्व के लिए जाना जाता है और 2014 कबड्डी विश्व कप में भारतीय टीम का कप्तान था?")</f>
        <v>कौन सा कबड्डी खिलाड़ी अपने नेतृत्व के लिए जाना जाता है और 2014 कबड्डी विश्व कप में भारतीय टीम का कप्तान था?</v>
      </c>
      <c r="H148" s="5" t="str">
        <f>IFERROR(__xludf.DUMMYFUNCTION("GOOGLETRANSLATE(C148, ""en"", ""hi"")"),"ए) अनुप कुमार, बी) अजय ठाकुर, सी) राकेश कुमार, डी) प्रदीप नरवाल")</f>
        <v>ए) अनुप कुमार, बी) अजय ठाकुर, सी) राकेश कुमार, डी) प्रदीप नरवाल</v>
      </c>
      <c r="I148" s="5" t="str">
        <f>IFERROR(__xludf.DUMMYFUNCTION("GOOGLETRANSLATE(D148, ""en"", ""hi"")"),"A) अनूप कुमार")</f>
        <v>A) अनूप कुमार</v>
      </c>
    </row>
    <row r="149" ht="22.5" customHeight="1">
      <c r="A149" s="3">
        <v>148.0</v>
      </c>
      <c r="B149" s="4" t="s">
        <v>334</v>
      </c>
      <c r="C149" s="4" t="s">
        <v>335</v>
      </c>
      <c r="D149" s="4" t="s">
        <v>336</v>
      </c>
      <c r="F149" s="5" t="str">
        <f>IFERROR(__xludf.DUMMYFUNCTION("GOOGLETRANSLATE(A149, ""en"", ""hi"")"),"148")</f>
        <v>148</v>
      </c>
      <c r="G149" s="5" t="str">
        <f>IFERROR(__xludf.DUMMYFUNCTION("GOOGLETRANSLATE(B149, ""en"", ""hi"")"),"प्रो कबड्डी लीग के पहले पांच सत्रों में किस कबड्डी टीम ने सबसे अधिक खिताब जीते?")</f>
        <v>प्रो कबड्डी लीग के पहले पांच सत्रों में किस कबड्डी टीम ने सबसे अधिक खिताब जीते?</v>
      </c>
      <c r="H149" s="5" t="str">
        <f>IFERROR(__xludf.DUMMYFUNCTION("GOOGLETRANSLATE(C149, ""en"", ""hi"")"),"A) पटना पाइरेट्स, B) जयपुर पिंक पैंथर्स, C) बेंगलुरु बुल्स, D) यू मुंबा")</f>
        <v>A) पटना पाइरेट्स, B) जयपुर पिंक पैंथर्स, C) बेंगलुरु बुल्स, D) यू मुंबा</v>
      </c>
      <c r="I149" s="5" t="str">
        <f>IFERROR(__xludf.DUMMYFUNCTION("GOOGLETRANSLATE(D149, ""en"", ""hi"")"),"A) पटना पाइरेट्स")</f>
        <v>A) पटना पाइरेट्स</v>
      </c>
    </row>
    <row r="150" ht="22.5" customHeight="1">
      <c r="A150" s="3">
        <v>149.0</v>
      </c>
      <c r="B150" s="4" t="s">
        <v>337</v>
      </c>
      <c r="C150" s="4" t="s">
        <v>338</v>
      </c>
      <c r="D150" s="4" t="s">
        <v>155</v>
      </c>
      <c r="F150" s="5" t="str">
        <f>IFERROR(__xludf.DUMMYFUNCTION("GOOGLETRANSLATE(A150, ""en"", ""hi"")"),"149")</f>
        <v>149</v>
      </c>
      <c r="G150" s="5" t="str">
        <f>IFERROR(__xludf.DUMMYFUNCTION("GOOGLETRANSLATE(B150, ""en"", ""hi"")"),"2019 प्रो कबड्डी लीग सीज़न में किस कबड्डी खिलाड़ी ने सबसे सफल टैकल हासिल किए?")</f>
        <v>2019 प्रो कबड्डी लीग सीज़न में किस कबड्डी खिलाड़ी ने सबसे सफल टैकल हासिल किए?</v>
      </c>
      <c r="H150" s="5" t="str">
        <f>IFERROR(__xludf.DUMMYFUNCTION("GOOGLETRANSLATE(C150, ""en"", ""hi"")"),"ए) मंजीत छिल्लर, बी) संदीप नरवाल, सी) नितिन तोमर, डी) अजय ठाकुर")</f>
        <v>ए) मंजीत छिल्लर, बी) संदीप नरवाल, सी) नितिन तोमर, डी) अजय ठाकुर</v>
      </c>
      <c r="I150" s="5" t="str">
        <f>IFERROR(__xludf.DUMMYFUNCTION("GOOGLETRANSLATE(D150, ""en"", ""hi"")"),"B) संदीप नरवाल")</f>
        <v>B) संदीप नरवाल</v>
      </c>
    </row>
    <row r="151" ht="22.5" customHeight="1">
      <c r="A151" s="3">
        <v>150.0</v>
      </c>
      <c r="B151" s="4" t="s">
        <v>339</v>
      </c>
      <c r="C151" s="4" t="s">
        <v>340</v>
      </c>
      <c r="D151" s="4" t="s">
        <v>104</v>
      </c>
      <c r="F151" s="5" t="str">
        <f>IFERROR(__xludf.DUMMYFUNCTION("GOOGLETRANSLATE(A151, ""en"", ""hi"")"),"150")</f>
        <v>150</v>
      </c>
      <c r="G151" s="5" t="str">
        <f>IFERROR(__xludf.DUMMYFUNCTION("GOOGLETRANSLATE(B151, ""en"", ""hi"")"),"कौन सा कबड्डी टूर्नामेंट पेशेवर और अर्ध-पेशेवर दोनों टीमों की विशेषता के लिए प्रसिद्ध है?")</f>
        <v>कौन सा कबड्डी टूर्नामेंट पेशेवर और अर्ध-पेशेवर दोनों टीमों की विशेषता के लिए प्रसिद्ध है?</v>
      </c>
      <c r="H151" s="5" t="str">
        <f>IFERROR(__xludf.DUMMYFUNCTION("GOOGLETRANSLATE(C151, ""en"", ""hi"")"),"A) प्रो कबड्डी लीग, B) कबड्डी विश्व कप, C) विश्व कबड्डी लीग, D) कबड्डी मास्टर्स")</f>
        <v>A) प्रो कबड्डी लीग, B) कबड्डी विश्व कप, C) विश्व कबड्डी लीग, D) कबड्डी मास्टर्स</v>
      </c>
      <c r="I151" s="5" t="str">
        <f>IFERROR(__xludf.DUMMYFUNCTION("GOOGLETRANSLATE(D151, ""en"", ""hi"")"),"A) प्रो कबड्डी लीग")</f>
        <v>A) प्रो कबड्डी लीग</v>
      </c>
    </row>
    <row r="152" ht="22.5" customHeight="1">
      <c r="A152" s="3">
        <v>151.0</v>
      </c>
      <c r="B152" s="4" t="s">
        <v>341</v>
      </c>
      <c r="C152" s="4" t="s">
        <v>249</v>
      </c>
      <c r="D152" s="4" t="s">
        <v>150</v>
      </c>
      <c r="F152" s="5" t="str">
        <f>IFERROR(__xludf.DUMMYFUNCTION("GOOGLETRANSLATE(A152, ""en"", ""hi"")"),"151")</f>
        <v>151</v>
      </c>
      <c r="G152" s="5" t="str">
        <f>IFERROR(__xludf.DUMMYFUNCTION("GOOGLETRANSLATE(B152, ""en"", ""hi"")"),"कौन सा भारतीय राज्य अपने पारंपरिक कबड्डी टूर्नामेंट 'बजरंग कबड्डी टूर्नामेंट' के लिए जाना जाता है?")</f>
        <v>कौन सा भारतीय राज्य अपने पारंपरिक कबड्डी टूर्नामेंट 'बजरंग कबड्डी टूर्नामेंट' के लिए जाना जाता है?</v>
      </c>
      <c r="H152" s="5" t="str">
        <f>IFERROR(__xludf.DUMMYFUNCTION("GOOGLETRANSLATE(C152, ""en"", ""hi"")"),"ए) हरियाणा, बी) पंजाब, सी) महाराष्ट्र, डी) उत्तर प्रदेश")</f>
        <v>ए) हरियाणा, बी) पंजाब, सी) महाराष्ट्र, डी) उत्तर प्रदेश</v>
      </c>
      <c r="I152" s="5" t="str">
        <f>IFERROR(__xludf.DUMMYFUNCTION("GOOGLETRANSLATE(D152, ""en"", ""hi"")"),"A) हरियाणा")</f>
        <v>A) हरियाणा</v>
      </c>
    </row>
    <row r="153" ht="22.5" customHeight="1">
      <c r="A153" s="3">
        <v>152.0</v>
      </c>
      <c r="B153" s="4" t="s">
        <v>342</v>
      </c>
      <c r="C153" s="4" t="s">
        <v>278</v>
      </c>
      <c r="D153" s="4" t="s">
        <v>184</v>
      </c>
      <c r="F153" s="5" t="str">
        <f>IFERROR(__xludf.DUMMYFUNCTION("GOOGLETRANSLATE(A153, ""en"", ""hi"")"),"152")</f>
        <v>152</v>
      </c>
      <c r="G153" s="5" t="str">
        <f>IFERROR(__xludf.DUMMYFUNCTION("GOOGLETRANSLATE(B153, ""en"", ""hi"")"),"कौन सी कबड्डी लीग पहली बार थी जिसमें कई देशों की टीमें शामिल थीं?")</f>
        <v>कौन सी कबड्डी लीग पहली बार थी जिसमें कई देशों की टीमें शामिल थीं?</v>
      </c>
      <c r="H153" s="5" t="str">
        <f>IFERROR(__xludf.DUMMYFUNCTION("GOOGLETRANSLATE(C153, ""en"", ""hi"")"),"A) विश्व कबड्डी लीग, B) कबड्डी मास्टर्स, C) प्रो कबड्डी लीग, D) कबड्डी चैम्पियनशिप")</f>
        <v>A) विश्व कबड्डी लीग, B) कबड्डी मास्टर्स, C) प्रो कबड्डी लीग, D) कबड्डी चैम्पियनशिप</v>
      </c>
      <c r="I153" s="5" t="str">
        <f>IFERROR(__xludf.DUMMYFUNCTION("GOOGLETRANSLATE(D153, ""en"", ""hi"")"),"A) विश्व कबड्डी लीग")</f>
        <v>A) विश्व कबड्डी लीग</v>
      </c>
    </row>
    <row r="154" ht="22.5" customHeight="1">
      <c r="A154" s="3">
        <v>153.0</v>
      </c>
      <c r="B154" s="4" t="s">
        <v>343</v>
      </c>
      <c r="C154" s="4" t="s">
        <v>242</v>
      </c>
      <c r="D154" s="4" t="s">
        <v>95</v>
      </c>
      <c r="F154" s="5" t="str">
        <f>IFERROR(__xludf.DUMMYFUNCTION("GOOGLETRANSLATE(A154, ""en"", ""hi"")"),"153")</f>
        <v>153</v>
      </c>
      <c r="G154" s="5" t="str">
        <f>IFERROR(__xludf.DUMMYFUNCTION("GOOGLETRANSLATE(B154, ""en"", ""hi"")"),"2015 कबड्डी विश्व कप में अपने रेडिंग प्रदर्शन के लिए किस कबड्डी खिलाड़ी को सम्मानित किया गया?")</f>
        <v>2015 कबड्डी विश्व कप में अपने रेडिंग प्रदर्शन के लिए किस कबड्डी खिलाड़ी को सम्मानित किया गया?</v>
      </c>
      <c r="H154" s="5" t="str">
        <f>IFERROR(__xludf.DUMMYFUNCTION("GOOGLETRANSLATE(C154, ""en"", ""hi"")"),"ए) प्रदीप नरवाल, बी) राहुल चौधरी, सी) दीपक निवास हुडा, डी) रिशांक देवाडिगा")</f>
        <v>ए) प्रदीप नरवाल, बी) राहुल चौधरी, सी) दीपक निवास हुडा, डी) रिशांक देवाडिगा</v>
      </c>
      <c r="I154" s="5" t="str">
        <f>IFERROR(__xludf.DUMMYFUNCTION("GOOGLETRANSLATE(D154, ""en"", ""hi"")"),"A) प्रदीप नरवाल")</f>
        <v>A) प्रदीप नरवाल</v>
      </c>
    </row>
    <row r="155" ht="22.5" customHeight="1">
      <c r="A155" s="3">
        <v>154.0</v>
      </c>
      <c r="B155" s="4" t="s">
        <v>344</v>
      </c>
      <c r="C155" s="4" t="s">
        <v>242</v>
      </c>
      <c r="D155" s="4" t="s">
        <v>95</v>
      </c>
      <c r="F155" s="5" t="str">
        <f>IFERROR(__xludf.DUMMYFUNCTION("GOOGLETRANSLATE(A155, ""en"", ""hi"")"),"154")</f>
        <v>154</v>
      </c>
      <c r="G155" s="5" t="str">
        <f>IFERROR(__xludf.DUMMYFUNCTION("GOOGLETRANSLATE(B155, ""en"", ""hi"")"),"2016 प्रो कबड्डी लीग सीज़न में किस कबड्डी खिलाड़ी को 'बेस्ट रेडर' का खिताब दिया गया?")</f>
        <v>2016 प्रो कबड्डी लीग सीज़न में किस कबड्डी खिलाड़ी को 'बेस्ट रेडर' का खिताब दिया गया?</v>
      </c>
      <c r="H155" s="5" t="str">
        <f>IFERROR(__xludf.DUMMYFUNCTION("GOOGLETRANSLATE(C155, ""en"", ""hi"")"),"ए) प्रदीप नरवाल, बी) राहुल चौधरी, सी) दीपक निवास हुडा, डी) रिशांक देवाडिगा")</f>
        <v>ए) प्रदीप नरवाल, बी) राहुल चौधरी, सी) दीपक निवास हुडा, डी) रिशांक देवाडिगा</v>
      </c>
      <c r="I155" s="5" t="str">
        <f>IFERROR(__xludf.DUMMYFUNCTION("GOOGLETRANSLATE(D155, ""en"", ""hi"")"),"A) प्रदीप नरवाल")</f>
        <v>A) प्रदीप नरवाल</v>
      </c>
    </row>
    <row r="156" ht="22.5" customHeight="1">
      <c r="A156" s="3">
        <v>155.0</v>
      </c>
      <c r="B156" s="4" t="s">
        <v>345</v>
      </c>
      <c r="C156" s="4" t="s">
        <v>346</v>
      </c>
      <c r="D156" s="4" t="s">
        <v>313</v>
      </c>
      <c r="F156" s="5" t="str">
        <f>IFERROR(__xludf.DUMMYFUNCTION("GOOGLETRANSLATE(A156, ""en"", ""hi"")"),"155")</f>
        <v>155</v>
      </c>
      <c r="G156" s="5" t="str">
        <f>IFERROR(__xludf.DUMMYFUNCTION("GOOGLETRANSLATE(B156, ""en"", ""hi"")"),"कौन सी कबड्डी लीग अपने अनूठे प्रारूप और अंतर्राष्ट्रीय टीमों के समावेश के लिए जानी जाती है?")</f>
        <v>कौन सी कबड्डी लीग अपने अनूठे प्रारूप और अंतर्राष्ट्रीय टीमों के समावेश के लिए जानी जाती है?</v>
      </c>
      <c r="H156" s="5" t="str">
        <f>IFERROR(__xludf.DUMMYFUNCTION("GOOGLETRANSLATE(C156, ""en"", ""hi"")"),"A) कबड्डी मास्टर्स, B) प्रो कबड्डी लीग, C) विश्व कबड्डी लीग, D) कबड्डी चैम्पियनशिप")</f>
        <v>A) कबड्डी मास्टर्स, B) प्रो कबड्डी लीग, C) विश्व कबड्डी लीग, D) कबड्डी चैम्पियनशिप</v>
      </c>
      <c r="I156" s="5" t="str">
        <f>IFERROR(__xludf.DUMMYFUNCTION("GOOGLETRANSLATE(D156, ""en"", ""hi"")"),"C) विश्व कबड्डी लीग")</f>
        <v>C) विश्व कबड्डी लीग</v>
      </c>
    </row>
    <row r="157" ht="22.5" customHeight="1">
      <c r="A157" s="3">
        <v>156.0</v>
      </c>
      <c r="B157" s="4" t="s">
        <v>347</v>
      </c>
      <c r="C157" s="4" t="s">
        <v>152</v>
      </c>
      <c r="D157" s="4" t="s">
        <v>95</v>
      </c>
      <c r="F157" s="5" t="str">
        <f>IFERROR(__xludf.DUMMYFUNCTION("GOOGLETRANSLATE(A157, ""en"", ""hi"")"),"156")</f>
        <v>156</v>
      </c>
      <c r="G157" s="5" t="str">
        <f>IFERROR(__xludf.DUMMYFUNCTION("GOOGLETRANSLATE(B157, ""en"", ""hi"")"),"कौन सा कबड्डी खिलाड़ी प्रो कबड्डी लीग के एक सत्र में 200 अंक हासिल करने वाला पहला खिलाड़ी बन गया?")</f>
        <v>कौन सा कबड्डी खिलाड़ी प्रो कबड्डी लीग के एक सत्र में 200 अंक हासिल करने वाला पहला खिलाड़ी बन गया?</v>
      </c>
      <c r="H157" s="5" t="str">
        <f>IFERROR(__xludf.DUMMYFUNCTION("GOOGLETRANSLATE(C157, ""en"", ""hi"")"),"ए) प्रदीप नरवाल, बी) राहुल चौधरी, सी) दीपक निवास हुडा, डी) नितिन तोमर")</f>
        <v>ए) प्रदीप नरवाल, बी) राहुल चौधरी, सी) दीपक निवास हुडा, डी) नितिन तोमर</v>
      </c>
      <c r="I157" s="5" t="str">
        <f>IFERROR(__xludf.DUMMYFUNCTION("GOOGLETRANSLATE(D157, ""en"", ""hi"")"),"A) प्रदीप नरवाल")</f>
        <v>A) प्रदीप नरवाल</v>
      </c>
    </row>
    <row r="158" ht="22.5" customHeight="1">
      <c r="A158" s="3">
        <v>157.0</v>
      </c>
      <c r="B158" s="4" t="s">
        <v>348</v>
      </c>
      <c r="C158" s="4" t="s">
        <v>349</v>
      </c>
      <c r="D158" s="4" t="s">
        <v>104</v>
      </c>
      <c r="F158" s="5" t="str">
        <f>IFERROR(__xludf.DUMMYFUNCTION("GOOGLETRANSLATE(A158, ""en"", ""hi"")"),"157")</f>
        <v>157</v>
      </c>
      <c r="G158" s="5" t="str">
        <f>IFERROR(__xludf.DUMMYFUNCTION("GOOGLETRANSLATE(B158, ""en"", ""hi"")"),"कौन सा कबड्डी टूर्नामेंट राउंड-रॉबिन और नॉकआउट चरणों का मिश्रण है और अपनी प्रतिस्पर्धी प्रकृति के लिए जाना जाता है?")</f>
        <v>कौन सा कबड्डी टूर्नामेंट राउंड-रॉबिन और नॉकआउट चरणों का मिश्रण है और अपनी प्रतिस्पर्धी प्रकृति के लिए जाना जाता है?</v>
      </c>
      <c r="H158" s="5" t="str">
        <f>IFERROR(__xludf.DUMMYFUNCTION("GOOGLETRANSLATE(C158, ""en"", ""hi"")"),"A) प्रो कबड्डी लीग, B) कबड्डी मास्टर्स, C) कबड्डी विश्व कप, D) विश्व कबड्डी लीग")</f>
        <v>A) प्रो कबड्डी लीग, B) कबड्डी मास्टर्स, C) कबड्डी विश्व कप, D) विश्व कबड्डी लीग</v>
      </c>
      <c r="I158" s="5" t="str">
        <f>IFERROR(__xludf.DUMMYFUNCTION("GOOGLETRANSLATE(D158, ""en"", ""hi"")"),"A) प्रो कबड्डी लीग")</f>
        <v>A) प्रो कबड्डी लीग</v>
      </c>
    </row>
    <row r="159" ht="22.5" customHeight="1">
      <c r="A159" s="3">
        <v>158.0</v>
      </c>
      <c r="B159" s="4" t="s">
        <v>350</v>
      </c>
      <c r="C159" s="4" t="s">
        <v>274</v>
      </c>
      <c r="D159" s="4" t="s">
        <v>155</v>
      </c>
      <c r="F159" s="5" t="str">
        <f>IFERROR(__xludf.DUMMYFUNCTION("GOOGLETRANSLATE(A159, ""en"", ""hi"")"),"158")</f>
        <v>158</v>
      </c>
      <c r="G159" s="5" t="str">
        <f>IFERROR(__xludf.DUMMYFUNCTION("GOOGLETRANSLATE(B159, ""en"", ""hi"")"),"2017 कबड्डी विश्व कप में कौन सा कबड्डी खिलाड़ी अपनी असाधारण रक्षात्मक रणनीतियों के लिए जाना जाता था?")</f>
        <v>2017 कबड्डी विश्व कप में कौन सा कबड्डी खिलाड़ी अपनी असाधारण रक्षात्मक रणनीतियों के लिए जाना जाता था?</v>
      </c>
      <c r="H159" s="5" t="str">
        <f>IFERROR(__xludf.DUMMYFUNCTION("GOOGLETRANSLATE(C159, ""en"", ""hi"")"),"ए) मंजीत छिल्लर, बी) संदीप नरवाल, सी) अनुप कुमार, डी) प्रदीप नरवाल")</f>
        <v>ए) मंजीत छिल्लर, बी) संदीप नरवाल, सी) अनुप कुमार, डी) प्रदीप नरवाल</v>
      </c>
      <c r="I159" s="5" t="str">
        <f>IFERROR(__xludf.DUMMYFUNCTION("GOOGLETRANSLATE(D159, ""en"", ""hi"")"),"B) संदीप नरवाल")</f>
        <v>B) संदीप नरवाल</v>
      </c>
    </row>
    <row r="160" ht="22.5" customHeight="1">
      <c r="A160" s="3">
        <v>159.0</v>
      </c>
      <c r="B160" s="4" t="s">
        <v>351</v>
      </c>
      <c r="C160" s="4" t="s">
        <v>242</v>
      </c>
      <c r="D160" s="4" t="s">
        <v>95</v>
      </c>
      <c r="F160" s="5" t="str">
        <f>IFERROR(__xludf.DUMMYFUNCTION("GOOGLETRANSLATE(A160, ""en"", ""hi"")"),"159")</f>
        <v>159</v>
      </c>
      <c r="G160" s="5" t="str">
        <f>IFERROR(__xludf.DUMMYFUNCTION("GOOGLETRANSLATE(B160, ""en"", ""hi"")"),"कौन सा कबड्डी खिलाड़ी एक प्रो कबड्डी लीग सीज़न में 300 रेड अंक हासिल करने वाला पहला खिलाड़ी बन गया?")</f>
        <v>कौन सा कबड्डी खिलाड़ी एक प्रो कबड्डी लीग सीज़न में 300 रेड अंक हासिल करने वाला पहला खिलाड़ी बन गया?</v>
      </c>
      <c r="H160" s="5" t="str">
        <f>IFERROR(__xludf.DUMMYFUNCTION("GOOGLETRANSLATE(C160, ""en"", ""hi"")"),"ए) प्रदीप नरवाल, बी) राहुल चौधरी, सी) दीपक निवास हुडा, डी) रिशांक देवाडिगा")</f>
        <v>ए) प्रदीप नरवाल, बी) राहुल चौधरी, सी) दीपक निवास हुडा, डी) रिशांक देवाडिगा</v>
      </c>
      <c r="I160" s="5" t="str">
        <f>IFERROR(__xludf.DUMMYFUNCTION("GOOGLETRANSLATE(D160, ""en"", ""hi"")"),"A) प्रदीप नरवाल")</f>
        <v>A) प्रदीप नरवाल</v>
      </c>
    </row>
    <row r="161" ht="22.5" customHeight="1">
      <c r="A161" s="3">
        <v>160.0</v>
      </c>
      <c r="B161" s="4" t="s">
        <v>352</v>
      </c>
      <c r="C161" s="4" t="s">
        <v>353</v>
      </c>
      <c r="D161" s="4" t="s">
        <v>66</v>
      </c>
      <c r="F161" s="5" t="str">
        <f>IFERROR(__xludf.DUMMYFUNCTION("GOOGLETRANSLATE(A161, ""en"", ""hi"")"),"160")</f>
        <v>160</v>
      </c>
      <c r="G161" s="5" t="str">
        <f>IFERROR(__xludf.DUMMYFUNCTION("GOOGLETRANSLATE(B161, ""en"", ""hi"")"),"कौन सा भारतीय राज्य अपने पारंपरिक कबड्डी टूर्नामेंटों के लिए प्रसिद्ध है और 'लुधियाना कबड्डी टूर्नामेंट' के लिए जाना जाता है?")</f>
        <v>कौन सा भारतीय राज्य अपने पारंपरिक कबड्डी टूर्नामेंटों के लिए प्रसिद्ध है और 'लुधियाना कबड्डी टूर्नामेंट' के लिए जाना जाता है?</v>
      </c>
      <c r="H161" s="5" t="str">
        <f>IFERROR(__xludf.DUMMYFUNCTION("GOOGLETRANSLATE(C161, ""en"", ""hi"")"),"ए) पंजाब, बी) हरियाणा, सी) महाराष्ट्र, डी) राजस्थान")</f>
        <v>ए) पंजाब, बी) हरियाणा, सी) महाराष्ट्र, डी) राजस्थान</v>
      </c>
      <c r="I161" s="5" t="str">
        <f>IFERROR(__xludf.DUMMYFUNCTION("GOOGLETRANSLATE(D161, ""en"", ""hi"")"),"A) पंजाब")</f>
        <v>A) पंजाब</v>
      </c>
    </row>
    <row r="162" ht="22.5" customHeight="1">
      <c r="A162" s="3">
        <v>161.0</v>
      </c>
      <c r="B162" s="4" t="s">
        <v>354</v>
      </c>
      <c r="C162" s="4" t="s">
        <v>189</v>
      </c>
      <c r="D162" s="4" t="s">
        <v>95</v>
      </c>
      <c r="F162" s="5" t="str">
        <f>IFERROR(__xludf.DUMMYFUNCTION("GOOGLETRANSLATE(A162, ""en"", ""hi"")"),"161")</f>
        <v>161</v>
      </c>
      <c r="G162" s="5" t="str">
        <f>IFERROR(__xludf.DUMMYFUNCTION("GOOGLETRANSLATE(B162, ""en"", ""hi"")"),"किस कबड्डी खिलाड़ी ने प्रो कबड्डी लीग के एक सत्र में सबसे सफल रेड का रिकॉर्ड बनाया?")</f>
        <v>किस कबड्डी खिलाड़ी ने प्रो कबड्डी लीग के एक सत्र में सबसे सफल रेड का रिकॉर्ड बनाया?</v>
      </c>
      <c r="H162" s="5" t="str">
        <f>IFERROR(__xludf.DUMMYFUNCTION("GOOGLETRANSLATE(C162, ""en"", ""hi"")"),"ए) प्रदीप नरवाल, बी) राहुल चौधरी, सी) दीपक निवास हुडा, डी) अजय ठाकुर")</f>
        <v>ए) प्रदीप नरवाल, बी) राहुल चौधरी, सी) दीपक निवास हुडा, डी) अजय ठाकुर</v>
      </c>
      <c r="I162" s="5" t="str">
        <f>IFERROR(__xludf.DUMMYFUNCTION("GOOGLETRANSLATE(D162, ""en"", ""hi"")"),"A) प्रदीप नरवाल")</f>
        <v>A) प्रदीप नरवाल</v>
      </c>
    </row>
    <row r="163" ht="22.5" customHeight="1">
      <c r="A163" s="3">
        <v>162.0</v>
      </c>
      <c r="B163" s="4" t="s">
        <v>355</v>
      </c>
      <c r="C163" s="4" t="s">
        <v>356</v>
      </c>
      <c r="D163" s="4" t="s">
        <v>119</v>
      </c>
      <c r="F163" s="5" t="str">
        <f>IFERROR(__xludf.DUMMYFUNCTION("GOOGLETRANSLATE(A163, ""en"", ""hi"")"),"162")</f>
        <v>162</v>
      </c>
      <c r="G163" s="5" t="str">
        <f>IFERROR(__xludf.DUMMYFUNCTION("GOOGLETRANSLATE(B163, ""en"", ""hi"")"),"कौन से कबड्डी टूर्नामेंट में पारंपरिक कबड्डी देशों और उभरते बाजारों दोनों की टीमें शामिल हैं?")</f>
        <v>कौन से कबड्डी टूर्नामेंट में पारंपरिक कबड्डी देशों और उभरते बाजारों दोनों की टीमें शामिल हैं?</v>
      </c>
      <c r="H163" s="5" t="str">
        <f>IFERROR(__xludf.DUMMYFUNCTION("GOOGLETRANSLATE(C163, ""en"", ""hi"")"),"A) कबड्डी मास्टर्स, B) विश्व कबड्डी लीग, C) प्रो कबड्डी लीग, D) कबड्डी चैम्पियनशिप")</f>
        <v>A) कबड्डी मास्टर्स, B) विश्व कबड्डी लीग, C) प्रो कबड्डी लीग, D) कबड्डी चैम्पियनशिप</v>
      </c>
      <c r="I163" s="5" t="str">
        <f>IFERROR(__xludf.DUMMYFUNCTION("GOOGLETRANSLATE(D163, ""en"", ""hi"")"),"बी) विश्व कबड्डी लीग")</f>
        <v>बी) विश्व कबड्डी लीग</v>
      </c>
    </row>
    <row r="164" ht="22.5" customHeight="1">
      <c r="A164" s="3">
        <v>163.0</v>
      </c>
      <c r="B164" s="4" t="s">
        <v>357</v>
      </c>
      <c r="C164" s="4" t="s">
        <v>358</v>
      </c>
      <c r="D164" s="4" t="s">
        <v>214</v>
      </c>
      <c r="F164" s="5" t="str">
        <f>IFERROR(__xludf.DUMMYFUNCTION("GOOGLETRANSLATE(A164, ""en"", ""hi"")"),"163")</f>
        <v>163</v>
      </c>
      <c r="G164" s="5" t="str">
        <f>IFERROR(__xludf.DUMMYFUNCTION("GOOGLETRANSLATE(B164, ""en"", ""hi"")"),"2018 कबड्डी विश्व कप में किस कबड्डी खिलाड़ी को उनके नेतृत्व और प्रदर्शन के लिए सम्मानित किया गया है?")</f>
        <v>2018 कबड्डी विश्व कप में किस कबड्डी खिलाड़ी को उनके नेतृत्व और प्रदर्शन के लिए सम्मानित किया गया है?</v>
      </c>
      <c r="H164" s="5" t="str">
        <f>IFERROR(__xludf.DUMMYFUNCTION("GOOGLETRANSLATE(C164, ""en"", ""hi"")"),"ए) अजय ठाकुर, बी) अनुप कुमार, सी) प्रदीप नरवाल, डी) दीपक निवास हुडा")</f>
        <v>ए) अजय ठाकुर, बी) अनुप कुमार, सी) प्रदीप नरवाल, डी) दीपक निवास हुडा</v>
      </c>
      <c r="I164" s="5" t="str">
        <f>IFERROR(__xludf.DUMMYFUNCTION("GOOGLETRANSLATE(D164, ""en"", ""hi"")"),"A) अजय ठाकुर")</f>
        <v>A) अजय ठाकुर</v>
      </c>
    </row>
    <row r="165" ht="22.5" customHeight="1">
      <c r="A165" s="3">
        <v>164.0</v>
      </c>
      <c r="B165" s="4" t="s">
        <v>359</v>
      </c>
      <c r="C165" s="4" t="s">
        <v>258</v>
      </c>
      <c r="D165" s="4" t="s">
        <v>49</v>
      </c>
      <c r="F165" s="5" t="str">
        <f>IFERROR(__xludf.DUMMYFUNCTION("GOOGLETRANSLATE(A165, ""en"", ""hi"")"),"164")</f>
        <v>164</v>
      </c>
      <c r="G165" s="5" t="str">
        <f>IFERROR(__xludf.DUMMYFUNCTION("GOOGLETRANSLATE(B165, ""en"", ""hi"")"),"कौन सा भारतीय राज्य अपने पारंपरिक कबड्डी टूर्नामेंट 'गुजरात कबड्डी चैम्पियनशिप' के लिए जाना जाता है?")</f>
        <v>कौन सा भारतीय राज्य अपने पारंपरिक कबड्डी टूर्नामेंट 'गुजरात कबड्डी चैम्पियनशिप' के लिए जाना जाता है?</v>
      </c>
      <c r="H165" s="5" t="str">
        <f>IFERROR(__xludf.DUMMYFUNCTION("GOOGLETRANSLATE(C165, ""en"", ""hi"")"),"A) गुजरात, B) महाराष्ट्र, C) पंजाब, D) हरियाणा")</f>
        <v>A) गुजरात, B) महाराष्ट्र, C) पंजाब, D) हरियाणा</v>
      </c>
      <c r="I165" s="5" t="str">
        <f>IFERROR(__xludf.DUMMYFUNCTION("GOOGLETRANSLATE(D165, ""en"", ""hi"")"),"A) गुजरात")</f>
        <v>A) गुजरात</v>
      </c>
    </row>
    <row r="166" ht="22.5" customHeight="1">
      <c r="A166" s="3">
        <v>165.0</v>
      </c>
      <c r="B166" s="4" t="s">
        <v>360</v>
      </c>
      <c r="C166" s="4" t="s">
        <v>361</v>
      </c>
      <c r="D166" s="4" t="s">
        <v>362</v>
      </c>
      <c r="F166" s="5" t="str">
        <f>IFERROR(__xludf.DUMMYFUNCTION("GOOGLETRANSLATE(A166, ""en"", ""hi"")"),"165")</f>
        <v>165</v>
      </c>
      <c r="G166" s="5" t="str">
        <f>IFERROR(__xludf.DUMMYFUNCTION("GOOGLETRANSLATE(B166, ""en"", ""hi"")"),"2019 प्रो कबड्डी लीग सीज़न में किस कबड्डी खिलाड़ी को 'सर्वश्रेष्ठ ऑलराउंडर' का खिताब दिया गया?")</f>
        <v>2019 प्रो कबड्डी लीग सीज़न में किस कबड्डी खिलाड़ी को 'सर्वश्रेष्ठ ऑलराउंडर' का खिताब दिया गया?</v>
      </c>
      <c r="H166" s="5" t="str">
        <f>IFERROR(__xludf.DUMMYFUNCTION("GOOGLETRANSLATE(C166, ""en"", ""hi"")"),"ए) दीपक निवास हुडा, बी) प्रदीप नरवाल, सी) राहुल चौधरी, डी) मंजीत छिल्लर")</f>
        <v>ए) दीपक निवास हुडा, बी) प्रदीप नरवाल, सी) राहुल चौधरी, डी) मंजीत छिल्लर</v>
      </c>
      <c r="I166" s="5" t="str">
        <f>IFERROR(__xludf.DUMMYFUNCTION("GOOGLETRANSLATE(D166, ""en"", ""hi"")"),"A) दीपक निवास हुड्डा")</f>
        <v>A) दीपक निवास हुड्डा</v>
      </c>
    </row>
    <row r="167" ht="22.5" customHeight="1">
      <c r="A167" s="3">
        <v>166.0</v>
      </c>
      <c r="B167" s="4" t="s">
        <v>363</v>
      </c>
      <c r="C167" s="4" t="s">
        <v>338</v>
      </c>
      <c r="D167" s="4" t="s">
        <v>155</v>
      </c>
      <c r="F167" s="5" t="str">
        <f>IFERROR(__xludf.DUMMYFUNCTION("GOOGLETRANSLATE(A167, ""en"", ""hi"")"),"166")</f>
        <v>166</v>
      </c>
      <c r="G167" s="5" t="str">
        <f>IFERROR(__xludf.DUMMYFUNCTION("GOOGLETRANSLATE(B167, ""en"", ""hi"")"),"कौन सा कबड्डी खिलाड़ी अपने असाधारण रक्षात्मक कौशल के लिए जाना जाता है और 2019 कबड्डी विश्व कप में महत्वपूर्ण योगदानकर्ता था?")</f>
        <v>कौन सा कबड्डी खिलाड़ी अपने असाधारण रक्षात्मक कौशल के लिए जाना जाता है और 2019 कबड्डी विश्व कप में महत्वपूर्ण योगदानकर्ता था?</v>
      </c>
      <c r="H167" s="5" t="str">
        <f>IFERROR(__xludf.DUMMYFUNCTION("GOOGLETRANSLATE(C167, ""en"", ""hi"")"),"ए) मंजीत छिल्लर, बी) संदीप नरवाल, सी) नितिन तोमर, डी) अजय ठाकुर")</f>
        <v>ए) मंजीत छिल्लर, बी) संदीप नरवाल, सी) नितिन तोमर, डी) अजय ठाकुर</v>
      </c>
      <c r="I167" s="5" t="str">
        <f>IFERROR(__xludf.DUMMYFUNCTION("GOOGLETRANSLATE(D167, ""en"", ""hi"")"),"B) संदीप नरवाल")</f>
        <v>B) संदीप नरवाल</v>
      </c>
    </row>
    <row r="168" ht="22.5" customHeight="1">
      <c r="A168" s="3">
        <v>167.0</v>
      </c>
      <c r="B168" s="4" t="s">
        <v>364</v>
      </c>
      <c r="C168" s="4" t="s">
        <v>346</v>
      </c>
      <c r="D168" s="4" t="s">
        <v>313</v>
      </c>
      <c r="F168" s="5" t="str">
        <f>IFERROR(__xludf.DUMMYFUNCTION("GOOGLETRANSLATE(A168, ""en"", ""hi"")"),"167")</f>
        <v>167</v>
      </c>
      <c r="G168" s="5" t="str">
        <f>IFERROR(__xludf.DUMMYFUNCTION("GOOGLETRANSLATE(B168, ""en"", ""hi"")"),"कौन सी कबड्डी लीग अपनी अंतर्राष्ट्रीय उपस्थिति और विविध टीम भागीदारी के लिए जानी जाती है?")</f>
        <v>कौन सी कबड्डी लीग अपनी अंतर्राष्ट्रीय उपस्थिति और विविध टीम भागीदारी के लिए जानी जाती है?</v>
      </c>
      <c r="H168" s="5" t="str">
        <f>IFERROR(__xludf.DUMMYFUNCTION("GOOGLETRANSLATE(C168, ""en"", ""hi"")"),"A) कबड्डी मास्टर्स, B) प्रो कबड्डी लीग, C) विश्व कबड्डी लीग, D) कबड्डी चैम्पियनशिप")</f>
        <v>A) कबड्डी मास्टर्स, B) प्रो कबड्डी लीग, C) विश्व कबड्डी लीग, D) कबड्डी चैम्पियनशिप</v>
      </c>
      <c r="I168" s="5" t="str">
        <f>IFERROR(__xludf.DUMMYFUNCTION("GOOGLETRANSLATE(D168, ""en"", ""hi"")"),"C) विश्व कबड्डी लीग")</f>
        <v>C) विश्व कबड्डी लीग</v>
      </c>
    </row>
    <row r="169" ht="22.5" customHeight="1">
      <c r="A169" s="3">
        <v>168.0</v>
      </c>
      <c r="B169" s="4" t="s">
        <v>365</v>
      </c>
      <c r="C169" s="4" t="s">
        <v>242</v>
      </c>
      <c r="D169" s="4" t="s">
        <v>95</v>
      </c>
      <c r="F169" s="5" t="str">
        <f>IFERROR(__xludf.DUMMYFUNCTION("GOOGLETRANSLATE(A169, ""en"", ""hi"")"),"168")</f>
        <v>168</v>
      </c>
      <c r="G169" s="5" t="str">
        <f>IFERROR(__xludf.DUMMYFUNCTION("GOOGLETRANSLATE(B169, ""en"", ""hi"")"),"2016 कबड्डी विश्व कप में किस कबड्डी खिलाड़ी ने सबसे अधिक अंक हासिल किए?")</f>
        <v>2016 कबड्डी विश्व कप में किस कबड्डी खिलाड़ी ने सबसे अधिक अंक हासिल किए?</v>
      </c>
      <c r="H169" s="5" t="str">
        <f>IFERROR(__xludf.DUMMYFUNCTION("GOOGLETRANSLATE(C169, ""en"", ""hi"")"),"ए) प्रदीप नरवाल, बी) राहुल चौधरी, सी) दीपक निवास हुडा, डी) रिशांक देवाडिगा")</f>
        <v>ए) प्रदीप नरवाल, बी) राहुल चौधरी, सी) दीपक निवास हुडा, डी) रिशांक देवाडिगा</v>
      </c>
      <c r="I169" s="5" t="str">
        <f>IFERROR(__xludf.DUMMYFUNCTION("GOOGLETRANSLATE(D169, ""en"", ""hi"")"),"A) प्रदीप नरवाल")</f>
        <v>A) प्रदीप नरवाल</v>
      </c>
    </row>
    <row r="170" ht="22.5" customHeight="1">
      <c r="A170" s="3">
        <v>169.0</v>
      </c>
      <c r="B170" s="4" t="s">
        <v>366</v>
      </c>
      <c r="C170" s="4" t="s">
        <v>349</v>
      </c>
      <c r="D170" s="4" t="s">
        <v>104</v>
      </c>
      <c r="F170" s="5" t="str">
        <f>IFERROR(__xludf.DUMMYFUNCTION("GOOGLETRANSLATE(A170, ""en"", ""hi"")"),"169")</f>
        <v>169</v>
      </c>
      <c r="G170" s="5" t="str">
        <f>IFERROR(__xludf.DUMMYFUNCTION("GOOGLETRANSLATE(B170, ""en"", ""hi"")"),"कौन सा कबड्डी टूर्नामेंट अपने प्रारूप के लिए जाना जाता है जिसमें लीग और नॉकआउट दोनों चरण शामिल हैं?")</f>
        <v>कौन सा कबड्डी टूर्नामेंट अपने प्रारूप के लिए जाना जाता है जिसमें लीग और नॉकआउट दोनों चरण शामिल हैं?</v>
      </c>
      <c r="H170" s="5" t="str">
        <f>IFERROR(__xludf.DUMMYFUNCTION("GOOGLETRANSLATE(C170, ""en"", ""hi"")"),"A) प्रो कबड्डी लीग, B) कबड्डी मास्टर्स, C) कबड्डी विश्व कप, D) विश्व कबड्डी लीग")</f>
        <v>A) प्रो कबड्डी लीग, B) कबड्डी मास्टर्स, C) कबड्डी विश्व कप, D) विश्व कबड्डी लीग</v>
      </c>
      <c r="I170" s="5" t="str">
        <f>IFERROR(__xludf.DUMMYFUNCTION("GOOGLETRANSLATE(D170, ""en"", ""hi"")"),"A) प्रो कबड्डी लीग")</f>
        <v>A) प्रो कबड्डी लीग</v>
      </c>
    </row>
    <row r="171" ht="22.5" customHeight="1">
      <c r="A171" s="3">
        <v>170.0</v>
      </c>
      <c r="B171" s="4" t="s">
        <v>367</v>
      </c>
      <c r="C171" s="4" t="s">
        <v>152</v>
      </c>
      <c r="D171" s="4" t="s">
        <v>95</v>
      </c>
      <c r="F171" s="5" t="str">
        <f>IFERROR(__xludf.DUMMYFUNCTION("GOOGLETRANSLATE(A171, ""en"", ""hi"")"),"170")</f>
        <v>170</v>
      </c>
      <c r="G171" s="5" t="str">
        <f>IFERROR(__xludf.DUMMYFUNCTION("GOOGLETRANSLATE(B171, ""en"", ""hi"")"),"कौन सा कबड्डी खिलाड़ी 2018 प्रो कबड्डी लीग में अपने रिकॉर्ड तोड़ प्रदर्शन के लिए जाना जाता है?")</f>
        <v>कौन सा कबड्डी खिलाड़ी 2018 प्रो कबड्डी लीग में अपने रिकॉर्ड तोड़ प्रदर्शन के लिए जाना जाता है?</v>
      </c>
      <c r="H171" s="5" t="str">
        <f>IFERROR(__xludf.DUMMYFUNCTION("GOOGLETRANSLATE(C171, ""en"", ""hi"")"),"ए) प्रदीप नरवाल, बी) राहुल चौधरी, सी) दीपक निवास हुडा, डी) नितिन तोमर")</f>
        <v>ए) प्रदीप नरवाल, बी) राहुल चौधरी, सी) दीपक निवास हुडा, डी) नितिन तोमर</v>
      </c>
      <c r="I171" s="5" t="str">
        <f>IFERROR(__xludf.DUMMYFUNCTION("GOOGLETRANSLATE(D171, ""en"", ""hi"")"),"A) प्रदीप नरवाल")</f>
        <v>A) प्रदीप नरवाल</v>
      </c>
    </row>
    <row r="172" ht="22.5" customHeight="1">
      <c r="A172" s="3">
        <v>171.0</v>
      </c>
      <c r="B172" s="4" t="s">
        <v>368</v>
      </c>
      <c r="C172" s="4" t="s">
        <v>369</v>
      </c>
      <c r="D172" s="4" t="s">
        <v>187</v>
      </c>
      <c r="F172" s="5" t="str">
        <f>IFERROR(__xludf.DUMMYFUNCTION("GOOGLETRANSLATE(A172, ""en"", ""hi"")"),"171")</f>
        <v>171</v>
      </c>
      <c r="G172" s="5" t="str">
        <f>IFERROR(__xludf.DUMMYFUNCTION("GOOGLETRANSLATE(B172, ""en"", ""hi"")"),"कौन सा भारतीय राज्य अपने पारंपरिक कबड्डी टूर्नामेंट के लिए प्रसिद्ध है और 'पटना कबड्डी टूर्नामेंट' का घर है?")</f>
        <v>कौन सा भारतीय राज्य अपने पारंपरिक कबड्डी टूर्नामेंट के लिए प्रसिद्ध है और 'पटना कबड्डी टूर्नामेंट' का घर है?</v>
      </c>
      <c r="H172" s="5" t="str">
        <f>IFERROR(__xludf.DUMMYFUNCTION("GOOGLETRANSLATE(C172, ""en"", ""hi"")"),"ए) बिहार, बी) उत्तर प्रदेश, सी) पंजाब, डी) महाराष्ट्र")</f>
        <v>ए) बिहार, बी) उत्तर प्रदेश, सी) पंजाब, डी) महाराष्ट्र</v>
      </c>
      <c r="I172" s="5" t="str">
        <f>IFERROR(__xludf.DUMMYFUNCTION("GOOGLETRANSLATE(D172, ""en"", ""hi"")"),"A) बिहार")</f>
        <v>A) बिहार</v>
      </c>
    </row>
    <row r="173" ht="22.5" customHeight="1">
      <c r="A173" s="3">
        <v>172.0</v>
      </c>
      <c r="B173" s="4" t="s">
        <v>370</v>
      </c>
      <c r="C173" s="4" t="s">
        <v>287</v>
      </c>
      <c r="D173" s="4" t="s">
        <v>142</v>
      </c>
      <c r="F173" s="5" t="str">
        <f>IFERROR(__xludf.DUMMYFUNCTION("GOOGLETRANSLATE(A173, ""en"", ""hi"")"),"172")</f>
        <v>172</v>
      </c>
      <c r="G173" s="5" t="str">
        <f>IFERROR(__xludf.DUMMYFUNCTION("GOOGLETRANSLATE(B173, ""en"", ""hi"")"),"किस कबड्डी खिलाड़ी ने एक प्रो कबड्डी लीग मैच में सर्वाधिक सफल टैकल का रिकॉर्ड बनाया?")</f>
        <v>किस कबड्डी खिलाड़ी ने एक प्रो कबड्डी लीग मैच में सर्वाधिक सफल टैकल का रिकॉर्ड बनाया?</v>
      </c>
      <c r="H173" s="5" t="str">
        <f>IFERROR(__xludf.DUMMYFUNCTION("GOOGLETRANSLATE(C173, ""en"", ""hi"")"),"ए) संदीप नरवाल, बी) मंजीत छिल्लर, सी) नितिन तोमर, डी) अजय ठाकुर")</f>
        <v>ए) संदीप नरवाल, बी) मंजीत छिल्लर, सी) नितिन तोमर, डी) अजय ठाकुर</v>
      </c>
      <c r="I173" s="5" t="str">
        <f>IFERROR(__xludf.DUMMYFUNCTION("GOOGLETRANSLATE(D173, ""en"", ""hi"")"),"A) संदीप नरवाल")</f>
        <v>A) संदीप नरवाल</v>
      </c>
    </row>
    <row r="174" ht="22.5" customHeight="1">
      <c r="A174" s="3">
        <v>173.0</v>
      </c>
      <c r="B174" s="4" t="s">
        <v>371</v>
      </c>
      <c r="C174" s="4" t="s">
        <v>372</v>
      </c>
      <c r="D174" s="4" t="s">
        <v>218</v>
      </c>
      <c r="F174" s="5" t="str">
        <f>IFERROR(__xludf.DUMMYFUNCTION("GOOGLETRANSLATE(A174, ""en"", ""hi"")"),"173")</f>
        <v>173</v>
      </c>
      <c r="G174" s="5" t="str">
        <f>IFERROR(__xludf.DUMMYFUNCTION("GOOGLETRANSLATE(B174, ""en"", ""hi"")"),"कौन सा कबड्डी टूर्नामेंट अपने उच्च स्तरीय प्रतिस्पर्धा के लिए जाना जाता है और इसमें पारंपरिक और उभरते कबड्डी बाजारों की टीमें शामिल होती हैं?")</f>
        <v>कौन सा कबड्डी टूर्नामेंट अपने उच्च स्तरीय प्रतिस्पर्धा के लिए जाना जाता है और इसमें पारंपरिक और उभरते कबड्डी बाजारों की टीमें शामिल होती हैं?</v>
      </c>
      <c r="H174" s="5" t="str">
        <f>IFERROR(__xludf.DUMMYFUNCTION("GOOGLETRANSLATE(C174, ""en"", ""hi"")"),"A) कबड्डी विश्व कप, B) कबड्डी मास्टर्स, C) प्रो कबड्डी लीग, D) विश्व कबड्डी लीग")</f>
        <v>A) कबड्डी विश्व कप, B) कबड्डी मास्टर्स, C) प्रो कबड्डी लीग, D) विश्व कबड्डी लीग</v>
      </c>
      <c r="I174" s="5" t="str">
        <f>IFERROR(__xludf.DUMMYFUNCTION("GOOGLETRANSLATE(D174, ""en"", ""hi"")"),"बी) कबड्डी मास्टर्स")</f>
        <v>बी) कबड्डी मास्टर्स</v>
      </c>
    </row>
    <row r="175" ht="22.5" customHeight="1">
      <c r="A175" s="3">
        <v>174.0</v>
      </c>
      <c r="B175" s="4" t="s">
        <v>373</v>
      </c>
      <c r="C175" s="4" t="s">
        <v>242</v>
      </c>
      <c r="D175" s="4" t="s">
        <v>95</v>
      </c>
      <c r="F175" s="5" t="str">
        <f>IFERROR(__xludf.DUMMYFUNCTION("GOOGLETRANSLATE(A175, ""en"", ""hi"")"),"174")</f>
        <v>174</v>
      </c>
      <c r="G175" s="5" t="str">
        <f>IFERROR(__xludf.DUMMYFUNCTION("GOOGLETRANSLATE(B175, ""en"", ""hi"")"),"कौन सा कबड्डी खिलाड़ी एक प्रो कबड्डी लीग सीज़न में 100 सफल रेड हासिल करने वाला पहला खिलाड़ी बन गया?")</f>
        <v>कौन सा कबड्डी खिलाड़ी एक प्रो कबड्डी लीग सीज़न में 100 सफल रेड हासिल करने वाला पहला खिलाड़ी बन गया?</v>
      </c>
      <c r="H175" s="5" t="str">
        <f>IFERROR(__xludf.DUMMYFUNCTION("GOOGLETRANSLATE(C175, ""en"", ""hi"")"),"ए) प्रदीप नरवाल, बी) राहुल चौधरी, सी) दीपक निवास हुडा, डी) रिशांक देवाडिगा")</f>
        <v>ए) प्रदीप नरवाल, बी) राहुल चौधरी, सी) दीपक निवास हुडा, डी) रिशांक देवाडिगा</v>
      </c>
      <c r="I175" s="5" t="str">
        <f>IFERROR(__xludf.DUMMYFUNCTION("GOOGLETRANSLATE(D175, ""en"", ""hi"")"),"A) प्रदीप नरवाल")</f>
        <v>A) प्रदीप नरवाल</v>
      </c>
    </row>
    <row r="176" ht="22.5" customHeight="1">
      <c r="A176" s="3">
        <v>175.0</v>
      </c>
      <c r="B176" s="4" t="s">
        <v>374</v>
      </c>
      <c r="C176" s="4" t="s">
        <v>375</v>
      </c>
      <c r="D176" s="4" t="s">
        <v>263</v>
      </c>
      <c r="F176" s="5" t="str">
        <f>IFERROR(__xludf.DUMMYFUNCTION("GOOGLETRANSLATE(A176, ""en"", ""hi"")"),"175")</f>
        <v>175</v>
      </c>
      <c r="G176" s="5" t="str">
        <f>IFERROR(__xludf.DUMMYFUNCTION("GOOGLETRANSLATE(B176, ""en"", ""hi"")"),"2010 एशियाई खेलों में स्वर्ण पदक जीतने वाली भारतीय कबड्डी टीम का कप्तान कौन था?")</f>
        <v>2010 एशियाई खेलों में स्वर्ण पदक जीतने वाली भारतीय कबड्डी टीम का कप्तान कौन था?</v>
      </c>
      <c r="H176" s="5" t="str">
        <f>IFERROR(__xludf.DUMMYFUNCTION("GOOGLETRANSLATE(C176, ""en"", ""hi"")"),"ए) अनुप कुमार, बी) राकेश कुमार, सी) अजय ठाकुर, डी) मंजीत छिल्लर")</f>
        <v>ए) अनुप कुमार, बी) राकेश कुमार, सी) अजय ठाकुर, डी) मंजीत छिल्लर</v>
      </c>
      <c r="I176" s="5" t="str">
        <f>IFERROR(__xludf.DUMMYFUNCTION("GOOGLETRANSLATE(D176, ""en"", ""hi"")"),"बी) राकेश कुमार")</f>
        <v>बी) राकेश कुमार</v>
      </c>
    </row>
    <row r="177" ht="22.5" customHeight="1">
      <c r="A177" s="3">
        <v>176.0</v>
      </c>
      <c r="B177" s="4" t="s">
        <v>376</v>
      </c>
      <c r="C177" s="4" t="s">
        <v>377</v>
      </c>
      <c r="D177" s="4" t="s">
        <v>378</v>
      </c>
      <c r="F177" s="5" t="str">
        <f>IFERROR(__xludf.DUMMYFUNCTION("GOOGLETRANSLATE(A177, ""en"", ""hi"")"),"176")</f>
        <v>176</v>
      </c>
      <c r="G177" s="5" t="str">
        <f>IFERROR(__xludf.DUMMYFUNCTION("GOOGLETRANSLATE(B177, ""en"", ""hi"")"),"एशियाई खेलों में कबड्डी को आधिकारिक खेल के रूप में किस वर्ष शामिल किया गया था?")</f>
        <v>एशियाई खेलों में कबड्डी को आधिकारिक खेल के रूप में किस वर्ष शामिल किया गया था?</v>
      </c>
      <c r="H177" s="5" t="str">
        <f>IFERROR(__xludf.DUMMYFUNCTION("GOOGLETRANSLATE(C177, ""en"", ""hi"")"),"ए) 1982, बी) 1990, सी) 1994, डी) 2002")</f>
        <v>ए) 1982, बी) 1990, सी) 1994, डी) 2002</v>
      </c>
      <c r="I177" s="5" t="str">
        <f>IFERROR(__xludf.DUMMYFUNCTION("GOOGLETRANSLATE(D177, ""en"", ""hi"")"),"ए) 1982")</f>
        <v>ए) 1982</v>
      </c>
    </row>
    <row r="178" ht="22.5" customHeight="1">
      <c r="A178" s="3">
        <v>177.0</v>
      </c>
      <c r="B178" s="4" t="s">
        <v>379</v>
      </c>
      <c r="C178" s="4" t="s">
        <v>152</v>
      </c>
      <c r="D178" s="4" t="s">
        <v>95</v>
      </c>
      <c r="F178" s="5" t="str">
        <f>IFERROR(__xludf.DUMMYFUNCTION("GOOGLETRANSLATE(A178, ""en"", ""hi"")"),"177")</f>
        <v>177</v>
      </c>
      <c r="G178" s="5" t="str">
        <f>IFERROR(__xludf.DUMMYFUNCTION("GOOGLETRANSLATE(B178, ""en"", ""hi"")"),"प्रो कबड्डी लीग के एक सत्र में सबसे सफल रेड का रिकॉर्ड स्थापित करने के लिए कौन सा कबड्डी खिलाड़ी जाना जाता है?")</f>
        <v>प्रो कबड्डी लीग के एक सत्र में सबसे सफल रेड का रिकॉर्ड स्थापित करने के लिए कौन सा कबड्डी खिलाड़ी जाना जाता है?</v>
      </c>
      <c r="H178" s="5" t="str">
        <f>IFERROR(__xludf.DUMMYFUNCTION("GOOGLETRANSLATE(C178, ""en"", ""hi"")"),"ए) प्रदीप नरवाल, बी) राहुल चौधरी, सी) दीपक निवास हुडा, डी) नितिन तोमर")</f>
        <v>ए) प्रदीप नरवाल, बी) राहुल चौधरी, सी) दीपक निवास हुडा, डी) नितिन तोमर</v>
      </c>
      <c r="I178" s="5" t="str">
        <f>IFERROR(__xludf.DUMMYFUNCTION("GOOGLETRANSLATE(D178, ""en"", ""hi"")"),"A) प्रदीप नरवाल")</f>
        <v>A) प्रदीप नरवाल</v>
      </c>
    </row>
    <row r="179" ht="22.5" customHeight="1">
      <c r="A179" s="3">
        <v>178.0</v>
      </c>
      <c r="B179" s="4" t="s">
        <v>380</v>
      </c>
      <c r="C179" s="4" t="s">
        <v>381</v>
      </c>
      <c r="D179" s="4" t="s">
        <v>236</v>
      </c>
      <c r="F179" s="5" t="str">
        <f>IFERROR(__xludf.DUMMYFUNCTION("GOOGLETRANSLATE(A179, ""en"", ""hi"")"),"178")</f>
        <v>178</v>
      </c>
      <c r="G179" s="5" t="str">
        <f>IFERROR(__xludf.DUMMYFUNCTION("GOOGLETRANSLATE(B179, ""en"", ""hi"")"),"2004 में प्रथम कबड्डी विश्व कप की मेजबानी किस भारतीय शहर ने की थी?")</f>
        <v>2004 में प्रथम कबड्डी विश्व कप की मेजबानी किस भारतीय शहर ने की थी?</v>
      </c>
      <c r="H179" s="5" t="str">
        <f>IFERROR(__xludf.DUMMYFUNCTION("GOOGLETRANSLATE(C179, ""en"", ""hi"")"),"ए) अमृतसर, बी) दिल्ली, सी) मुंबई, डी) चेन्नई")</f>
        <v>ए) अमृतसर, बी) दिल्ली, सी) मुंबई, डी) चेन्नई</v>
      </c>
      <c r="I179" s="5" t="str">
        <f>IFERROR(__xludf.DUMMYFUNCTION("GOOGLETRANSLATE(D179, ""en"", ""hi"")"),"बी) दिल्ली")</f>
        <v>बी) दिल्ली</v>
      </c>
    </row>
    <row r="180" ht="22.5" customHeight="1">
      <c r="A180" s="3">
        <v>179.0</v>
      </c>
      <c r="B180" s="4" t="s">
        <v>382</v>
      </c>
      <c r="C180" s="4" t="s">
        <v>383</v>
      </c>
      <c r="D180" s="4" t="s">
        <v>66</v>
      </c>
      <c r="F180" s="5" t="str">
        <f>IFERROR(__xludf.DUMMYFUNCTION("GOOGLETRANSLATE(A180, ""en"", ""hi"")"),"179")</f>
        <v>179</v>
      </c>
      <c r="G180" s="5" t="str">
        <f>IFERROR(__xludf.DUMMYFUNCTION("GOOGLETRANSLATE(B180, ""en"", ""hi"")"),"20वीं सदी के आरंभ में कबड्डी खेल को लोकप्रिय बनाने का श्रेय किस भारतीय राज्य को दिया जाता है?")</f>
        <v>20वीं सदी के आरंभ में कबड्डी खेल को लोकप्रिय बनाने का श्रेय किस भारतीय राज्य को दिया जाता है?</v>
      </c>
      <c r="H180" s="5" t="str">
        <f>IFERROR(__xludf.DUMMYFUNCTION("GOOGLETRANSLATE(C180, ""en"", ""hi"")"),"A) पंजाब, B) हरियाणा, C) महाराष्ट्र, D) तमिलनाडु")</f>
        <v>A) पंजाब, B) हरियाणा, C) महाराष्ट्र, D) तमिलनाडु</v>
      </c>
      <c r="I180" s="5" t="str">
        <f>IFERROR(__xludf.DUMMYFUNCTION("GOOGLETRANSLATE(D180, ""en"", ""hi"")"),"A) पंजाब")</f>
        <v>A) पंजाब</v>
      </c>
    </row>
    <row r="181" ht="22.5" customHeight="1">
      <c r="A181" s="3">
        <v>180.0</v>
      </c>
      <c r="B181" s="4" t="s">
        <v>384</v>
      </c>
      <c r="C181" s="4" t="s">
        <v>242</v>
      </c>
      <c r="D181" s="4" t="s">
        <v>95</v>
      </c>
      <c r="F181" s="5" t="str">
        <f>IFERROR(__xludf.DUMMYFUNCTION("GOOGLETRANSLATE(A181, ""en"", ""hi"")"),"180")</f>
        <v>180</v>
      </c>
      <c r="G181" s="5" t="str">
        <f>IFERROR(__xludf.DUMMYFUNCTION("GOOGLETRANSLATE(B181, ""en"", ""hi"")"),"2016 कबड्डी विश्व कप में कौन सा कबड्डी खिलाड़ी शीर्ष स्कोरर था?")</f>
        <v>2016 कबड्डी विश्व कप में कौन सा कबड्डी खिलाड़ी शीर्ष स्कोरर था?</v>
      </c>
      <c r="H181" s="5" t="str">
        <f>IFERROR(__xludf.DUMMYFUNCTION("GOOGLETRANSLATE(C181, ""en"", ""hi"")"),"ए) प्रदीप नरवाल, बी) राहुल चौधरी, सी) दीपक निवास हुडा, डी) रिशांक देवाडिगा")</f>
        <v>ए) प्रदीप नरवाल, बी) राहुल चौधरी, सी) दीपक निवास हुडा, डी) रिशांक देवाडिगा</v>
      </c>
      <c r="I181" s="5" t="str">
        <f>IFERROR(__xludf.DUMMYFUNCTION("GOOGLETRANSLATE(D181, ""en"", ""hi"")"),"A) प्रदीप नरवाल")</f>
        <v>A) प्रदीप नरवाल</v>
      </c>
    </row>
    <row r="182" ht="22.5" customHeight="1">
      <c r="A182" s="3">
        <v>181.0</v>
      </c>
      <c r="B182" s="4" t="s">
        <v>385</v>
      </c>
      <c r="C182" s="4" t="s">
        <v>318</v>
      </c>
      <c r="D182" s="4" t="s">
        <v>319</v>
      </c>
      <c r="F182" s="5" t="str">
        <f>IFERROR(__xludf.DUMMYFUNCTION("GOOGLETRANSLATE(A182, ""en"", ""hi"")"),"181")</f>
        <v>181</v>
      </c>
      <c r="G182" s="5" t="str">
        <f>IFERROR(__xludf.DUMMYFUNCTION("GOOGLETRANSLATE(B182, ""en"", ""hi"")"),"कौन सा कबड्डी टूर्नामेंट पारंपरिक और आधुनिक दोनों कबड्डी शैलियों पर जोर देने के लिए जाना जाता है?")</f>
        <v>कौन सा कबड्डी टूर्नामेंट पारंपरिक और आधुनिक दोनों कबड्डी शैलियों पर जोर देने के लिए जाना जाता है?</v>
      </c>
      <c r="H182" s="5" t="str">
        <f>IFERROR(__xludf.DUMMYFUNCTION("GOOGLETRANSLATE(C182, ""en"", ""hi"")"),"A) कबड्डी मास्टर्स, B) प्रो कबड्डी लीग, C) कबड्डी विश्व कप, D) विश्व कबड्डी लीग")</f>
        <v>A) कबड्डी मास्टर्स, B) प्रो कबड्डी लीग, C) कबड्डी विश्व कप, D) विश्व कबड्डी लीग</v>
      </c>
      <c r="I182" s="5" t="str">
        <f>IFERROR(__xludf.DUMMYFUNCTION("GOOGLETRANSLATE(D182, ""en"", ""hi"")"),"बी) प्रो कबड्डी लीग")</f>
        <v>बी) प्रो कबड्डी लीग</v>
      </c>
    </row>
    <row r="183" ht="22.5" customHeight="1">
      <c r="A183" s="3">
        <v>182.0</v>
      </c>
      <c r="B183" s="4" t="s">
        <v>386</v>
      </c>
      <c r="C183" s="4" t="s">
        <v>36</v>
      </c>
      <c r="D183" s="4" t="s">
        <v>37</v>
      </c>
      <c r="F183" s="5" t="str">
        <f>IFERROR(__xludf.DUMMYFUNCTION("GOOGLETRANSLATE(A183, ""en"", ""hi"")"),"182")</f>
        <v>182</v>
      </c>
      <c r="G183" s="5" t="str">
        <f>IFERROR(__xludf.DUMMYFUNCTION("GOOGLETRANSLATE(B183, ""en"", ""hi"")"),"2004 में आयोजित पहला कबड्डी विश्व कप किस टीम ने जीता?")</f>
        <v>2004 में आयोजित पहला कबड्डी विश्व कप किस टीम ने जीता?</v>
      </c>
      <c r="H183" s="5" t="str">
        <f>IFERROR(__xludf.DUMMYFUNCTION("GOOGLETRANSLATE(C183, ""en"", ""hi"")"),"A) भारत, B) पाकिस्तान, C) बांग्लादेश, D) नेपाल")</f>
        <v>A) भारत, B) पाकिस्तान, C) बांग्लादेश, D) नेपाल</v>
      </c>
      <c r="I183" s="5" t="str">
        <f>IFERROR(__xludf.DUMMYFUNCTION("GOOGLETRANSLATE(D183, ""en"", ""hi"")"),"ए) भारत")</f>
        <v>ए) भारत</v>
      </c>
    </row>
    <row r="184" ht="22.5" customHeight="1">
      <c r="A184" s="3">
        <v>183.0</v>
      </c>
      <c r="B184" s="4" t="s">
        <v>387</v>
      </c>
      <c r="C184" s="4" t="s">
        <v>152</v>
      </c>
      <c r="D184" s="4" t="s">
        <v>95</v>
      </c>
      <c r="F184" s="5" t="str">
        <f>IFERROR(__xludf.DUMMYFUNCTION("GOOGLETRANSLATE(A184, ""en"", ""hi"")"),"183")</f>
        <v>183</v>
      </c>
      <c r="G184" s="5" t="str">
        <f>IFERROR(__xludf.DUMMYFUNCTION("GOOGLETRANSLATE(B184, ""en"", ""hi"")"),"प्रो कबड्डी लीग के इतिहास में 'बेस्ट रेडर' का पुरस्कार जीतने वाला सबसे युवा खिलाड़ी कौन सा है?")</f>
        <v>प्रो कबड्डी लीग के इतिहास में 'बेस्ट रेडर' का पुरस्कार जीतने वाला सबसे युवा खिलाड़ी कौन सा है?</v>
      </c>
      <c r="H184" s="5" t="str">
        <f>IFERROR(__xludf.DUMMYFUNCTION("GOOGLETRANSLATE(C184, ""en"", ""hi"")"),"ए) प्रदीप नरवाल, बी) राहुल चौधरी, सी) दीपक निवास हुडा, डी) नितिन तोमर")</f>
        <v>ए) प्रदीप नरवाल, बी) राहुल चौधरी, सी) दीपक निवास हुडा, डी) नितिन तोमर</v>
      </c>
      <c r="I184" s="5" t="str">
        <f>IFERROR(__xludf.DUMMYFUNCTION("GOOGLETRANSLATE(D184, ""en"", ""hi"")"),"A) प्रदीप नरवाल")</f>
        <v>A) प्रदीप नरवाल</v>
      </c>
    </row>
    <row r="185" ht="22.5" customHeight="1">
      <c r="A185" s="3">
        <v>184.0</v>
      </c>
      <c r="B185" s="4" t="s">
        <v>388</v>
      </c>
      <c r="C185" s="4" t="s">
        <v>389</v>
      </c>
      <c r="D185" s="4" t="s">
        <v>66</v>
      </c>
      <c r="F185" s="5" t="str">
        <f>IFERROR(__xludf.DUMMYFUNCTION("GOOGLETRANSLATE(A185, ""en"", ""hi"")"),"184")</f>
        <v>184</v>
      </c>
      <c r="G185" s="5" t="str">
        <f>IFERROR(__xludf.DUMMYFUNCTION("GOOGLETRANSLATE(B185, ""en"", ""hi"")"),"2016 में कबड्डी विश्व कप की मेजबानी किस भारतीय राज्य ने की?")</f>
        <v>2016 में कबड्डी विश्व कप की मेजबानी किस भारतीय राज्य ने की?</v>
      </c>
      <c r="H185" s="5" t="str">
        <f>IFERROR(__xludf.DUMMYFUNCTION("GOOGLETRANSLATE(C185, ""en"", ""hi"")"),"ए) पंजाब, बी) हरियाणा, सी) महाराष्ट्र, डी) कर्नाटक")</f>
        <v>ए) पंजाब, बी) हरियाणा, सी) महाराष्ट्र, डी) कर्नाटक</v>
      </c>
      <c r="I185" s="5" t="str">
        <f>IFERROR(__xludf.DUMMYFUNCTION("GOOGLETRANSLATE(D185, ""en"", ""hi"")"),"A) पंजाब")</f>
        <v>A) पंजाब</v>
      </c>
    </row>
    <row r="186" ht="22.5" customHeight="1">
      <c r="A186" s="3">
        <v>185.0</v>
      </c>
      <c r="B186" s="4" t="s">
        <v>390</v>
      </c>
      <c r="C186" s="4" t="s">
        <v>338</v>
      </c>
      <c r="D186" s="4" t="s">
        <v>155</v>
      </c>
      <c r="F186" s="5" t="str">
        <f>IFERROR(__xludf.DUMMYFUNCTION("GOOGLETRANSLATE(A186, ""en"", ""hi"")"),"185")</f>
        <v>185</v>
      </c>
      <c r="G186" s="5" t="str">
        <f>IFERROR(__xludf.DUMMYFUNCTION("GOOGLETRANSLATE(B186, ""en"", ""hi"")"),"कौन सा कबड्डी खिलाड़ी अपने रक्षात्मक कौशल के लिए जाना जाता था और उसे 2018 कबड्डी विश्व कप में 'सर्वश्रेष्ठ डिफेंडर' नामित किया गया था?")</f>
        <v>कौन सा कबड्डी खिलाड़ी अपने रक्षात्मक कौशल के लिए जाना जाता था और उसे 2018 कबड्डी विश्व कप में 'सर्वश्रेष्ठ डिफेंडर' नामित किया गया था?</v>
      </c>
      <c r="H186" s="5" t="str">
        <f>IFERROR(__xludf.DUMMYFUNCTION("GOOGLETRANSLATE(C186, ""en"", ""hi"")"),"ए) मंजीत छिल्लर, बी) संदीप नरवाल, सी) नितिन तोमर, डी) अजय ठाकुर")</f>
        <v>ए) मंजीत छिल्लर, बी) संदीप नरवाल, सी) नितिन तोमर, डी) अजय ठाकुर</v>
      </c>
      <c r="I186" s="5" t="str">
        <f>IFERROR(__xludf.DUMMYFUNCTION("GOOGLETRANSLATE(D186, ""en"", ""hi"")"),"B) संदीप नरवाल")</f>
        <v>B) संदीप नरवाल</v>
      </c>
    </row>
    <row r="187" ht="22.5" customHeight="1">
      <c r="A187" s="3">
        <v>186.0</v>
      </c>
      <c r="B187" s="4" t="s">
        <v>391</v>
      </c>
      <c r="C187" s="4" t="s">
        <v>392</v>
      </c>
      <c r="D187" s="4" t="s">
        <v>313</v>
      </c>
      <c r="F187" s="5" t="str">
        <f>IFERROR(__xludf.DUMMYFUNCTION("GOOGLETRANSLATE(A187, ""en"", ""hi"")"),"186")</f>
        <v>186</v>
      </c>
      <c r="G187" s="5" t="str">
        <f>IFERROR(__xludf.DUMMYFUNCTION("GOOGLETRANSLATE(B187, ""en"", ""hi"")"),"कौन सी कबड्डी लीग में विभिन्न देशों की टीमें शामिल हैं और इसकी स्थापना 2014 में हुई थी?")</f>
        <v>कौन सी कबड्डी लीग में विभिन्न देशों की टीमें शामिल हैं और इसकी स्थापना 2014 में हुई थी?</v>
      </c>
      <c r="H187" s="5" t="str">
        <f>IFERROR(__xludf.DUMMYFUNCTION("GOOGLETRANSLATE(C187, ""en"", ""hi"")"),"A) प्रो कबड्डी लीग, B) कबड्डी मास्टर्स, C) विश्व कबड्डी लीग, D) कबड्डी चैम्पियनशिप")</f>
        <v>A) प्रो कबड्डी लीग, B) कबड्डी मास्टर्स, C) विश्व कबड्डी लीग, D) कबड्डी चैम्पियनशिप</v>
      </c>
      <c r="I187" s="5" t="str">
        <f>IFERROR(__xludf.DUMMYFUNCTION("GOOGLETRANSLATE(D187, ""en"", ""hi"")"),"C) विश्व कबड्डी लीग")</f>
        <v>C) विश्व कबड्डी लीग</v>
      </c>
    </row>
    <row r="188" ht="22.5" customHeight="1">
      <c r="A188" s="3">
        <v>187.0</v>
      </c>
      <c r="B188" s="4" t="s">
        <v>393</v>
      </c>
      <c r="C188" s="4" t="s">
        <v>152</v>
      </c>
      <c r="D188" s="4" t="s">
        <v>95</v>
      </c>
      <c r="F188" s="5" t="str">
        <f>IFERROR(__xludf.DUMMYFUNCTION("GOOGLETRANSLATE(A188, ""en"", ""hi"")"),"187")</f>
        <v>187</v>
      </c>
      <c r="G188" s="5" t="str">
        <f>IFERROR(__xludf.DUMMYFUNCTION("GOOGLETRANSLATE(B188, ""en"", ""hi"")"),"किस कबड्डी खिलाड़ी ने 2017 प्रो कबड्डी लीग में एक मैच में सर्वाधिक अंक हासिल करने का रिकॉर्ड बनाया?")</f>
        <v>किस कबड्डी खिलाड़ी ने 2017 प्रो कबड्डी लीग में एक मैच में सर्वाधिक अंक हासिल करने का रिकॉर्ड बनाया?</v>
      </c>
      <c r="H188" s="5" t="str">
        <f>IFERROR(__xludf.DUMMYFUNCTION("GOOGLETRANSLATE(C188, ""en"", ""hi"")"),"ए) प्रदीप नरवाल, बी) राहुल चौधरी, सी) दीपक निवास हुडा, डी) नितिन तोमर")</f>
        <v>ए) प्रदीप नरवाल, बी) राहुल चौधरी, सी) दीपक निवास हुडा, डी) नितिन तोमर</v>
      </c>
      <c r="I188" s="5" t="str">
        <f>IFERROR(__xludf.DUMMYFUNCTION("GOOGLETRANSLATE(D188, ""en"", ""hi"")"),"A) प्रदीप नरवाल")</f>
        <v>A) प्रदीप नरवाल</v>
      </c>
    </row>
    <row r="189" ht="22.5" customHeight="1">
      <c r="A189" s="3">
        <v>188.0</v>
      </c>
      <c r="B189" s="4" t="s">
        <v>394</v>
      </c>
      <c r="C189" s="4" t="s">
        <v>395</v>
      </c>
      <c r="D189" s="4" t="s">
        <v>187</v>
      </c>
      <c r="F189" s="5" t="str">
        <f>IFERROR(__xludf.DUMMYFUNCTION("GOOGLETRANSLATE(A189, ""en"", ""hi"")"),"188")</f>
        <v>188</v>
      </c>
      <c r="G189" s="5" t="str">
        <f>IFERROR(__xludf.DUMMYFUNCTION("GOOGLETRANSLATE(B189, ""en"", ""hi"")"),"कौन सा भारतीय राज्य वार्षिक 'पटना कबड्डी टूर्नामेंट' की मेजबानी के लिए प्रसिद्ध है?")</f>
        <v>कौन सा भारतीय राज्य वार्षिक 'पटना कबड्डी टूर्नामेंट' की मेजबानी के लिए प्रसिद्ध है?</v>
      </c>
      <c r="H189" s="5" t="str">
        <f>IFERROR(__xludf.DUMMYFUNCTION("GOOGLETRANSLATE(C189, ""en"", ""hi"")"),"ए) बिहार, बी) उत्तर प्रदेश, सी) पंजाब, डी) हरियाणा")</f>
        <v>ए) बिहार, बी) उत्तर प्रदेश, सी) पंजाब, डी) हरियाणा</v>
      </c>
      <c r="I189" s="5" t="str">
        <f>IFERROR(__xludf.DUMMYFUNCTION("GOOGLETRANSLATE(D189, ""en"", ""hi"")"),"A) बिहार")</f>
        <v>A) बिहार</v>
      </c>
    </row>
    <row r="190" ht="22.5" customHeight="1">
      <c r="A190" s="3">
        <v>189.0</v>
      </c>
      <c r="B190" s="4" t="s">
        <v>396</v>
      </c>
      <c r="C190" s="4" t="s">
        <v>361</v>
      </c>
      <c r="D190" s="4" t="s">
        <v>397</v>
      </c>
      <c r="F190" s="5" t="str">
        <f>IFERROR(__xludf.DUMMYFUNCTION("GOOGLETRANSLATE(A190, ""en"", ""hi"")"),"189")</f>
        <v>189</v>
      </c>
      <c r="G190" s="5" t="str">
        <f>IFERROR(__xludf.DUMMYFUNCTION("GOOGLETRANSLATE(B190, ""en"", ""hi"")"),"2016 कबड्डी विश्व कप में किस कबड्डी खिलाड़ी को 'सर्वश्रेष्ठ ऑलराउंडर' का पुरस्कार दिया गया?")</f>
        <v>2016 कबड्डी विश्व कप में किस कबड्डी खिलाड़ी को 'सर्वश्रेष्ठ ऑलराउंडर' का पुरस्कार दिया गया?</v>
      </c>
      <c r="H190" s="5" t="str">
        <f>IFERROR(__xludf.DUMMYFUNCTION("GOOGLETRANSLATE(C190, ""en"", ""hi"")"),"ए) दीपक निवास हुडा, बी) प्रदीप नरवाल, सी) राहुल चौधरी, डी) मंजीत छिल्लर")</f>
        <v>ए) दीपक निवास हुडा, बी) प्रदीप नरवाल, सी) राहुल चौधरी, डी) मंजीत छिल्लर</v>
      </c>
      <c r="I190" s="5" t="str">
        <f>IFERROR(__xludf.DUMMYFUNCTION("GOOGLETRANSLATE(D190, ""en"", ""hi"")"),"D) मंजीत छिल्लर")</f>
        <v>D) मंजीत छिल्लर</v>
      </c>
    </row>
    <row r="191" ht="22.5" customHeight="1">
      <c r="A191" s="3">
        <v>190.0</v>
      </c>
      <c r="B191" s="4" t="s">
        <v>398</v>
      </c>
      <c r="C191" s="4" t="s">
        <v>349</v>
      </c>
      <c r="D191" s="4" t="s">
        <v>104</v>
      </c>
      <c r="F191" s="5" t="str">
        <f>IFERROR(__xludf.DUMMYFUNCTION("GOOGLETRANSLATE(A191, ""en"", ""hi"")"),"190")</f>
        <v>190</v>
      </c>
      <c r="G191" s="5" t="str">
        <f>IFERROR(__xludf.DUMMYFUNCTION("GOOGLETRANSLATE(B191, ""en"", ""hi"")"),"कौन सा कबड्डी टूर्नामेंट अपने लीग और नॉकआउट दोनों चरणों के प्रारूप के लिए जाना जाता है?")</f>
        <v>कौन सा कबड्डी टूर्नामेंट अपने लीग और नॉकआउट दोनों चरणों के प्रारूप के लिए जाना जाता है?</v>
      </c>
      <c r="H191" s="5" t="str">
        <f>IFERROR(__xludf.DUMMYFUNCTION("GOOGLETRANSLATE(C191, ""en"", ""hi"")"),"A) प्रो कबड्डी लीग, B) कबड्डी मास्टर्स, C) कबड्डी विश्व कप, D) विश्व कबड्डी लीग")</f>
        <v>A) प्रो कबड्डी लीग, B) कबड्डी मास्टर्स, C) कबड्डी विश्व कप, D) विश्व कबड्डी लीग</v>
      </c>
      <c r="I191" s="5" t="str">
        <f>IFERROR(__xludf.DUMMYFUNCTION("GOOGLETRANSLATE(D191, ""en"", ""hi"")"),"A) प्रो कबड्डी लीग")</f>
        <v>A) प्रो कबड्डी लीग</v>
      </c>
    </row>
    <row r="192" ht="22.5" customHeight="1">
      <c r="A192" s="3">
        <v>191.0</v>
      </c>
      <c r="B192" s="4" t="s">
        <v>399</v>
      </c>
      <c r="C192" s="4" t="s">
        <v>152</v>
      </c>
      <c r="D192" s="4" t="s">
        <v>95</v>
      </c>
      <c r="F192" s="5" t="str">
        <f>IFERROR(__xludf.DUMMYFUNCTION("GOOGLETRANSLATE(A192, ""en"", ""hi"")"),"191")</f>
        <v>191</v>
      </c>
      <c r="G192" s="5" t="str">
        <f>IFERROR(__xludf.DUMMYFUNCTION("GOOGLETRANSLATE(B192, ""en"", ""hi"")"),"प्रो कबड्डी लीग के इतिहास में 1000 रेड अंक हासिल करने वाला पहला कबड्डी खिलाड़ी कौन था?")</f>
        <v>प्रो कबड्डी लीग के इतिहास में 1000 रेड अंक हासिल करने वाला पहला कबड्डी खिलाड़ी कौन था?</v>
      </c>
      <c r="H192" s="5" t="str">
        <f>IFERROR(__xludf.DUMMYFUNCTION("GOOGLETRANSLATE(C192, ""en"", ""hi"")"),"ए) प्रदीप नरवाल, बी) राहुल चौधरी, सी) दीपक निवास हुडा, डी) नितिन तोमर")</f>
        <v>ए) प्रदीप नरवाल, बी) राहुल चौधरी, सी) दीपक निवास हुडा, डी) नितिन तोमर</v>
      </c>
      <c r="I192" s="5" t="str">
        <f>IFERROR(__xludf.DUMMYFUNCTION("GOOGLETRANSLATE(D192, ""en"", ""hi"")"),"A) प्रदीप नरवाल")</f>
        <v>A) प्रदीप नरवाल</v>
      </c>
    </row>
    <row r="193" ht="22.5" customHeight="1">
      <c r="A193" s="3">
        <v>192.0</v>
      </c>
      <c r="B193" s="4" t="s">
        <v>400</v>
      </c>
      <c r="C193" s="4" t="s">
        <v>333</v>
      </c>
      <c r="D193" s="4" t="s">
        <v>113</v>
      </c>
      <c r="F193" s="5" t="str">
        <f>IFERROR(__xludf.DUMMYFUNCTION("GOOGLETRANSLATE(A193, ""en"", ""hi"")"),"192")</f>
        <v>192</v>
      </c>
      <c r="G193" s="5" t="str">
        <f>IFERROR(__xludf.DUMMYFUNCTION("GOOGLETRANSLATE(B193, ""en"", ""hi"")"),"कौन सा कबड्डी खिलाड़ी अपने असाधारण नेतृत्व के लिए जाना जाता था और जिसने 2014 कबड्डी विश्व कप में भारत को जीत दिलाई थी?")</f>
        <v>कौन सा कबड्डी खिलाड़ी अपने असाधारण नेतृत्व के लिए जाना जाता था और जिसने 2014 कबड्डी विश्व कप में भारत को जीत दिलाई थी?</v>
      </c>
      <c r="H193" s="5" t="str">
        <f>IFERROR(__xludf.DUMMYFUNCTION("GOOGLETRANSLATE(C193, ""en"", ""hi"")"),"ए) अनुप कुमार, बी) अजय ठाकुर, सी) राकेश कुमार, डी) प्रदीप नरवाल")</f>
        <v>ए) अनुप कुमार, बी) अजय ठाकुर, सी) राकेश कुमार, डी) प्रदीप नरवाल</v>
      </c>
      <c r="I193" s="5" t="str">
        <f>IFERROR(__xludf.DUMMYFUNCTION("GOOGLETRANSLATE(D193, ""en"", ""hi"")"),"A) अनूप कुमार")</f>
        <v>A) अनूप कुमार</v>
      </c>
    </row>
    <row r="194" ht="22.5" customHeight="1">
      <c r="A194" s="3">
        <v>193.0</v>
      </c>
      <c r="B194" s="4" t="s">
        <v>401</v>
      </c>
      <c r="C194" s="4" t="s">
        <v>322</v>
      </c>
      <c r="D194" s="4" t="s">
        <v>150</v>
      </c>
      <c r="F194" s="5" t="str">
        <f>IFERROR(__xludf.DUMMYFUNCTION("GOOGLETRANSLATE(A194, ""en"", ""hi"")"),"193")</f>
        <v>193</v>
      </c>
      <c r="G194" s="5" t="str">
        <f>IFERROR(__xludf.DUMMYFUNCTION("GOOGLETRANSLATE(B194, ""en"", ""hi"")"),"कौन सा भारतीय राज्य अपने पारंपरिक कबड्डी टूर्नामेंट 'गुड़गांव कबड्डी टूर्नामेंट' के लिए जाना जाता है?")</f>
        <v>कौन सा भारतीय राज्य अपने पारंपरिक कबड्डी टूर्नामेंट 'गुड़गांव कबड्डी टूर्नामेंट' के लिए जाना जाता है?</v>
      </c>
      <c r="H194" s="5" t="str">
        <f>IFERROR(__xludf.DUMMYFUNCTION("GOOGLETRANSLATE(C194, ""en"", ""hi"")"),"ए) हरियाणा, बी) पंजाब, सी) महाराष्ट्र, डी) राजस्थान")</f>
        <v>ए) हरियाणा, बी) पंजाब, सी) महाराष्ट्र, डी) राजस्थान</v>
      </c>
      <c r="I194" s="5" t="str">
        <f>IFERROR(__xludf.DUMMYFUNCTION("GOOGLETRANSLATE(D194, ""en"", ""hi"")"),"A) हरियाणा")</f>
        <v>A) हरियाणा</v>
      </c>
    </row>
    <row r="195" ht="22.5" customHeight="1">
      <c r="A195" s="3">
        <v>194.0</v>
      </c>
      <c r="B195" s="4" t="s">
        <v>402</v>
      </c>
      <c r="C195" s="4" t="s">
        <v>287</v>
      </c>
      <c r="D195" s="4" t="s">
        <v>142</v>
      </c>
      <c r="F195" s="5" t="str">
        <f>IFERROR(__xludf.DUMMYFUNCTION("GOOGLETRANSLATE(A195, ""en"", ""hi"")"),"194")</f>
        <v>194</v>
      </c>
      <c r="G195" s="5" t="str">
        <f>IFERROR(__xludf.DUMMYFUNCTION("GOOGLETRANSLATE(B195, ""en"", ""hi"")"),"प्रो कबड्डी लीग के एक सत्र में किस कबड्डी खिलाड़ी ने सबसे अधिक सफल टैकल हासिल किए?")</f>
        <v>प्रो कबड्डी लीग के एक सत्र में किस कबड्डी खिलाड़ी ने सबसे अधिक सफल टैकल हासिल किए?</v>
      </c>
      <c r="H195" s="5" t="str">
        <f>IFERROR(__xludf.DUMMYFUNCTION("GOOGLETRANSLATE(C195, ""en"", ""hi"")"),"ए) संदीप नरवाल, बी) मंजीत छिल्लर, सी) नितिन तोमर, डी) अजय ठाकुर")</f>
        <v>ए) संदीप नरवाल, बी) मंजीत छिल्लर, सी) नितिन तोमर, डी) अजय ठाकुर</v>
      </c>
      <c r="I195" s="5" t="str">
        <f>IFERROR(__xludf.DUMMYFUNCTION("GOOGLETRANSLATE(D195, ""en"", ""hi"")"),"A) संदीप नरवाल")</f>
        <v>A) संदीप नरवाल</v>
      </c>
    </row>
    <row r="196" ht="22.5" customHeight="1">
      <c r="A196" s="3">
        <v>195.0</v>
      </c>
      <c r="B196" s="4" t="s">
        <v>403</v>
      </c>
      <c r="C196" s="4" t="s">
        <v>242</v>
      </c>
      <c r="D196" s="4" t="s">
        <v>95</v>
      </c>
      <c r="F196" s="5" t="str">
        <f>IFERROR(__xludf.DUMMYFUNCTION("GOOGLETRANSLATE(A196, ""en"", ""hi"")"),"195")</f>
        <v>195</v>
      </c>
      <c r="G196" s="5" t="str">
        <f>IFERROR(__xludf.DUMMYFUNCTION("GOOGLETRANSLATE(B196, ""en"", ""hi"")"),"कौन सा कबड्डी खिलाड़ी अपनी रणनीतिक रेडिंग के लिए जाना जाता है और 2019 प्रो कबड्डी लीग में एक प्रमुख खिलाड़ी था?")</f>
        <v>कौन सा कबड्डी खिलाड़ी अपनी रणनीतिक रेडिंग के लिए जाना जाता है और 2019 प्रो कबड्डी लीग में एक प्रमुख खिलाड़ी था?</v>
      </c>
      <c r="H196" s="5" t="str">
        <f>IFERROR(__xludf.DUMMYFUNCTION("GOOGLETRANSLATE(C196, ""en"", ""hi"")"),"ए) प्रदीप नरवाल, बी) राहुल चौधरी, सी) दीपक निवास हुडा, डी) रिशांक देवाडिगा")</f>
        <v>ए) प्रदीप नरवाल, बी) राहुल चौधरी, सी) दीपक निवास हुडा, डी) रिशांक देवाडिगा</v>
      </c>
      <c r="I196" s="5" t="str">
        <f>IFERROR(__xludf.DUMMYFUNCTION("GOOGLETRANSLATE(D196, ""en"", ""hi"")"),"A) प्रदीप नरवाल")</f>
        <v>A) प्रदीप नरवाल</v>
      </c>
    </row>
    <row r="197" ht="22.5" customHeight="1">
      <c r="A197" s="3">
        <v>196.0</v>
      </c>
      <c r="B197" s="4" t="s">
        <v>404</v>
      </c>
      <c r="C197" s="4" t="s">
        <v>152</v>
      </c>
      <c r="D197" s="4" t="s">
        <v>95</v>
      </c>
      <c r="F197" s="5" t="str">
        <f>IFERROR(__xludf.DUMMYFUNCTION("GOOGLETRANSLATE(A197, ""en"", ""hi"")"),"196")</f>
        <v>196</v>
      </c>
      <c r="G197" s="5" t="str">
        <f>IFERROR(__xludf.DUMMYFUNCTION("GOOGLETRANSLATE(B197, ""en"", ""hi"")"),"2018 प्रो कबड्डी लीग सीज़न में किस कबड्डी खिलाड़ी को 'बेस्ट रेडर' का खिताब दिया गया?")</f>
        <v>2018 प्रो कबड्डी लीग सीज़न में किस कबड्डी खिलाड़ी को 'बेस्ट रेडर' का खिताब दिया गया?</v>
      </c>
      <c r="H197" s="5" t="str">
        <f>IFERROR(__xludf.DUMMYFUNCTION("GOOGLETRANSLATE(C197, ""en"", ""hi"")"),"ए) प्रदीप नरवाल, बी) राहुल चौधरी, सी) दीपक निवास हुडा, डी) नितिन तोमर")</f>
        <v>ए) प्रदीप नरवाल, बी) राहुल चौधरी, सी) दीपक निवास हुडा, डी) नितिन तोमर</v>
      </c>
      <c r="I197" s="5" t="str">
        <f>IFERROR(__xludf.DUMMYFUNCTION("GOOGLETRANSLATE(D197, ""en"", ""hi"")"),"A) प्रदीप नरवाल")</f>
        <v>A) प्रदीप नरवाल</v>
      </c>
    </row>
    <row r="198" ht="22.5" customHeight="1">
      <c r="A198" s="3">
        <v>197.0</v>
      </c>
      <c r="B198" s="4" t="s">
        <v>405</v>
      </c>
      <c r="C198" s="4" t="s">
        <v>406</v>
      </c>
      <c r="D198" s="4" t="s">
        <v>407</v>
      </c>
      <c r="F198" s="5" t="str">
        <f>IFERROR(__xludf.DUMMYFUNCTION("GOOGLETRANSLATE(A198, ""en"", ""hi"")"),"197")</f>
        <v>197</v>
      </c>
      <c r="G198" s="5" t="str">
        <f>IFERROR(__xludf.DUMMYFUNCTION("GOOGLETRANSLATE(B198, ""en"", ""hi"")"),"किस देश में कबड्डी लीग को 'जापानी कबड्डी लीग' के नाम से जाना जाता है?")</f>
        <v>किस देश में कबड्डी लीग को 'जापानी कबड्डी लीग' के नाम से जाना जाता है?</v>
      </c>
      <c r="H198" s="5" t="str">
        <f>IFERROR(__xludf.DUMMYFUNCTION("GOOGLETRANSLATE(C198, ""en"", ""hi"")"),"A) जापान, B) दक्षिण कोरिया, C) थाईलैंड, D) मलेशिया")</f>
        <v>A) जापान, B) दक्षिण कोरिया, C) थाईलैंड, D) मलेशिया</v>
      </c>
      <c r="I198" s="5" t="str">
        <f>IFERROR(__xludf.DUMMYFUNCTION("GOOGLETRANSLATE(D198, ""en"", ""hi"")"),"ए) जापान")</f>
        <v>ए) जापान</v>
      </c>
    </row>
    <row r="199" ht="22.5" customHeight="1">
      <c r="A199" s="3">
        <v>198.0</v>
      </c>
      <c r="B199" s="4" t="s">
        <v>408</v>
      </c>
      <c r="C199" s="4" t="s">
        <v>242</v>
      </c>
      <c r="D199" s="4" t="s">
        <v>95</v>
      </c>
      <c r="F199" s="5" t="str">
        <f>IFERROR(__xludf.DUMMYFUNCTION("GOOGLETRANSLATE(A199, ""en"", ""hi"")"),"198")</f>
        <v>198</v>
      </c>
      <c r="G199" s="5" t="str">
        <f>IFERROR(__xludf.DUMMYFUNCTION("GOOGLETRANSLATE(B199, ""en"", ""hi"")"),"किस कबड्डी खिलाड़ी ने 2018 प्रो कबड्डी लीग में एक ही मैच में सबसे अधिक सफल रेड का रिकॉर्ड बनाया?")</f>
        <v>किस कबड्डी खिलाड़ी ने 2018 प्रो कबड्डी लीग में एक ही मैच में सबसे अधिक सफल रेड का रिकॉर्ड बनाया?</v>
      </c>
      <c r="H199" s="5" t="str">
        <f>IFERROR(__xludf.DUMMYFUNCTION("GOOGLETRANSLATE(C199, ""en"", ""hi"")"),"ए) प्रदीप नरवाल, बी) राहुल चौधरी, सी) दीपक निवास हुडा, डी) रिशांक देवाडिगा")</f>
        <v>ए) प्रदीप नरवाल, बी) राहुल चौधरी, सी) दीपक निवास हुडा, डी) रिशांक देवाडिगा</v>
      </c>
      <c r="I199" s="5" t="str">
        <f>IFERROR(__xludf.DUMMYFUNCTION("GOOGLETRANSLATE(D199, ""en"", ""hi"")"),"A) प्रदीप नरवाल")</f>
        <v>A) प्रदीप नरवाल</v>
      </c>
    </row>
    <row r="200" ht="22.5" customHeight="1">
      <c r="A200" s="3">
        <v>199.0</v>
      </c>
      <c r="B200" s="4" t="s">
        <v>409</v>
      </c>
      <c r="C200" s="4" t="s">
        <v>410</v>
      </c>
      <c r="D200" s="4" t="s">
        <v>411</v>
      </c>
      <c r="F200" s="5" t="str">
        <f>IFERROR(__xludf.DUMMYFUNCTION("GOOGLETRANSLATE(A200, ""en"", ""hi"")"),"199")</f>
        <v>199</v>
      </c>
      <c r="G200" s="5" t="str">
        <f>IFERROR(__xludf.DUMMYFUNCTION("GOOGLETRANSLATE(B200, ""en"", ""hi"")"),"कौन सा भारतीय शहर वार्षिक 'कबड्डी चैंपियनशिप' की मेजबानी के लिए जाना जाता है?")</f>
        <v>कौन सा भारतीय शहर वार्षिक 'कबड्डी चैंपियनशिप' की मेजबानी के लिए जाना जाता है?</v>
      </c>
      <c r="H200" s="5" t="str">
        <f>IFERROR(__xludf.DUMMYFUNCTION("GOOGLETRANSLATE(C200, ""en"", ""hi"")"),"A) मुंबई, B) दिल्ली, C) अहमदाबाद, D) पानीपत")</f>
        <v>A) मुंबई, B) दिल्ली, C) अहमदाबाद, D) पानीपत</v>
      </c>
      <c r="I200" s="5" t="str">
        <f>IFERROR(__xludf.DUMMYFUNCTION("GOOGLETRANSLATE(D200, ""en"", ""hi"")"),"D) पानीपत")</f>
        <v>D) पानीपत</v>
      </c>
    </row>
    <row r="201" ht="22.5" customHeight="1">
      <c r="A201" s="3">
        <v>200.0</v>
      </c>
      <c r="B201" s="4" t="s">
        <v>412</v>
      </c>
      <c r="C201" s="4" t="s">
        <v>413</v>
      </c>
      <c r="D201" s="4" t="s">
        <v>155</v>
      </c>
      <c r="F201" s="5" t="str">
        <f>IFERROR(__xludf.DUMMYFUNCTION("GOOGLETRANSLATE(A201, ""en"", ""hi"")"),"200")</f>
        <v>200</v>
      </c>
      <c r="G201" s="5" t="str">
        <f>IFERROR(__xludf.DUMMYFUNCTION("GOOGLETRANSLATE(B201, ""en"", ""hi"")"),"कौन सा कबड्डी खिलाड़ी अपने असाधारण रक्षात्मक कौशल के लिए जाना जाता था और उसे 2019 कबड्डी विश्व कप में 'सर्वश्रेष्ठ डिफेंडर' से सम्मानित किया गया था?")</f>
        <v>कौन सा कबड्डी खिलाड़ी अपने असाधारण रक्षात्मक कौशल के लिए जाना जाता था और उसे 2019 कबड्डी विश्व कप में 'सर्वश्रेष्ठ डिफेंडर' से सम्मानित किया गया था?</v>
      </c>
      <c r="H201" s="5" t="str">
        <f>IFERROR(__xludf.DUMMYFUNCTION("GOOGLETRANSLATE(C201, ""en"", ""hi"")"),"ए) मंजीत छिल्लर, बी) संदीप नरवाल, सी) अजय ठाकुर, डी) दीपक निवास हुडा")</f>
        <v>ए) मंजीत छिल्लर, बी) संदीप नरवाल, सी) अजय ठाकुर, डी) दीपक निवास हुडा</v>
      </c>
      <c r="I201" s="5" t="str">
        <f>IFERROR(__xludf.DUMMYFUNCTION("GOOGLETRANSLATE(D201, ""en"", ""hi"")"),"B) संदीप नरवाल")</f>
        <v>B) संदीप नरवाल</v>
      </c>
    </row>
    <row r="202" ht="22.5" customHeight="1">
      <c r="A202" s="3">
        <v>201.0</v>
      </c>
      <c r="B202" s="4" t="s">
        <v>414</v>
      </c>
      <c r="C202" s="4" t="s">
        <v>287</v>
      </c>
      <c r="D202" s="4" t="s">
        <v>142</v>
      </c>
      <c r="F202" s="5" t="str">
        <f>IFERROR(__xludf.DUMMYFUNCTION("GOOGLETRANSLATE(A202, ""en"", ""hi"")"),"201")</f>
        <v>201</v>
      </c>
      <c r="G202" s="5" t="str">
        <f>IFERROR(__xludf.DUMMYFUNCTION("GOOGLETRANSLATE(B202, ""en"", ""hi"")"),"कौन सा कबड्डी खिलाड़ी एक प्रो कबड्डी लीग सीज़न में 200 सफल टैकल हासिल करने वाला पहला खिलाड़ी बन गया?")</f>
        <v>कौन सा कबड्डी खिलाड़ी एक प्रो कबड्डी लीग सीज़न में 200 सफल टैकल हासिल करने वाला पहला खिलाड़ी बन गया?</v>
      </c>
      <c r="H202" s="5" t="str">
        <f>IFERROR(__xludf.DUMMYFUNCTION("GOOGLETRANSLATE(C202, ""en"", ""hi"")"),"ए) संदीप नरवाल, बी) मंजीत छिल्लर, सी) नितिन तोमर, डी) अजय ठाकुर")</f>
        <v>ए) संदीप नरवाल, बी) मंजीत छिल्लर, सी) नितिन तोमर, डी) अजय ठाकुर</v>
      </c>
      <c r="I202" s="5" t="str">
        <f>IFERROR(__xludf.DUMMYFUNCTION("GOOGLETRANSLATE(D202, ""en"", ""hi"")"),"A) संदीप नरवाल")</f>
        <v>A) संदीप नरवाल</v>
      </c>
    </row>
    <row r="203" ht="22.5" customHeight="1">
      <c r="A203" s="3">
        <v>202.0</v>
      </c>
      <c r="B203" s="4" t="s">
        <v>415</v>
      </c>
      <c r="C203" s="4" t="s">
        <v>292</v>
      </c>
      <c r="D203" s="4" t="s">
        <v>122</v>
      </c>
      <c r="F203" s="5" t="str">
        <f>IFERROR(__xludf.DUMMYFUNCTION("GOOGLETRANSLATE(A203, ""en"", ""hi"")"),"202")</f>
        <v>202</v>
      </c>
      <c r="G203" s="5" t="str">
        <f>IFERROR(__xludf.DUMMYFUNCTION("GOOGLETRANSLATE(B203, ""en"", ""hi"")"),"2014 प्रो कबड्डी लीग सीज़न में कौन सा कबड्डी खिलाड़ी शीर्ष स्कोरर था?")</f>
        <v>2014 प्रो कबड्डी लीग सीज़न में कौन सा कबड्डी खिलाड़ी शीर्ष स्कोरर था?</v>
      </c>
      <c r="H203" s="5" t="str">
        <f>IFERROR(__xludf.DUMMYFUNCTION("GOOGLETRANSLATE(C203, ""en"", ""hi"")"),"ए) राहुल चौधरी, बी) प्रदीप नरवाल, सी) दीपक निवास हुडा, डी) रिशांक देवाडिगा")</f>
        <v>ए) राहुल चौधरी, बी) प्रदीप नरवाल, सी) दीपक निवास हुडा, डी) रिशांक देवाडिगा</v>
      </c>
      <c r="I203" s="5" t="str">
        <f>IFERROR(__xludf.DUMMYFUNCTION("GOOGLETRANSLATE(D203, ""en"", ""hi"")"),"A) राहुल चौधरी")</f>
        <v>A) राहुल चौधरी</v>
      </c>
    </row>
    <row r="204" ht="22.5" customHeight="1">
      <c r="A204" s="3">
        <v>203.0</v>
      </c>
      <c r="B204" s="4" t="s">
        <v>416</v>
      </c>
      <c r="C204" s="4" t="s">
        <v>346</v>
      </c>
      <c r="D204" s="4" t="s">
        <v>316</v>
      </c>
      <c r="F204" s="5" t="str">
        <f>IFERROR(__xludf.DUMMYFUNCTION("GOOGLETRANSLATE(A204, ""en"", ""hi"")"),"203")</f>
        <v>203</v>
      </c>
      <c r="G204" s="5" t="str">
        <f>IFERROR(__xludf.DUMMYFUNCTION("GOOGLETRANSLATE(B204, ""en"", ""hi"")"),"कौन सी कबड्डी लीग दक्षिण एशियाई देशों की टीमों की भागीदारी के लिए जानी जाती है?")</f>
        <v>कौन सी कबड्डी लीग दक्षिण एशियाई देशों की टीमों की भागीदारी के लिए जानी जाती है?</v>
      </c>
      <c r="H204" s="5" t="str">
        <f>IFERROR(__xludf.DUMMYFUNCTION("GOOGLETRANSLATE(C204, ""en"", ""hi"")"),"A) कबड्डी मास्टर्स, B) प्रो कबड्डी लीग, C) विश्व कबड्डी लीग, D) कबड्डी चैम्पियनशिप")</f>
        <v>A) कबड्डी मास्टर्स, B) प्रो कबड्डी लीग, C) विश्व कबड्डी लीग, D) कबड्डी चैम्पियनशिप</v>
      </c>
      <c r="I204" s="5" t="str">
        <f>IFERROR(__xludf.DUMMYFUNCTION("GOOGLETRANSLATE(D204, ""en"", ""hi"")"),"A) कबड्डी मास्टर्स")</f>
        <v>A) कबड्डी मास्टर्स</v>
      </c>
    </row>
    <row r="205" ht="22.5" customHeight="1">
      <c r="A205" s="3">
        <v>204.0</v>
      </c>
      <c r="B205" s="4" t="s">
        <v>417</v>
      </c>
      <c r="C205" s="4" t="s">
        <v>418</v>
      </c>
      <c r="D205" s="4" t="s">
        <v>104</v>
      </c>
      <c r="F205" s="5" t="str">
        <f>IFERROR(__xludf.DUMMYFUNCTION("GOOGLETRANSLATE(A205, ""en"", ""hi"")"),"204")</f>
        <v>204</v>
      </c>
      <c r="G205" s="5" t="str">
        <f>IFERROR(__xludf.DUMMYFUNCTION("GOOGLETRANSLATE(B205, ""en"", ""hi"")"),"कौन सा कबड्डी टूर्नामेंट अपने प्रारूप के लिए जाना जाता है जिसमें राउंड-रॉबिन चरण के बाद नॉकआउट राउंड शामिल हैं?")</f>
        <v>कौन सा कबड्डी टूर्नामेंट अपने प्रारूप के लिए जाना जाता है जिसमें राउंड-रॉबिन चरण के बाद नॉकआउट राउंड शामिल हैं?</v>
      </c>
      <c r="H205" s="5" t="str">
        <f>IFERROR(__xludf.DUMMYFUNCTION("GOOGLETRANSLATE(C205, ""en"", ""hi"")"),"A) प्रो कबड्डी लीग, B) कबड्डी विश्व कप, C) कबड्डी मास्टर्स, D) विश्व कबड्डी लीग")</f>
        <v>A) प्रो कबड्डी लीग, B) कबड्डी विश्व कप, C) कबड्डी मास्टर्स, D) विश्व कबड्डी लीग</v>
      </c>
      <c r="I205" s="5" t="str">
        <f>IFERROR(__xludf.DUMMYFUNCTION("GOOGLETRANSLATE(D205, ""en"", ""hi"")"),"A) प्रो कबड्डी लीग")</f>
        <v>A) प्रो कबड्डी लीग</v>
      </c>
    </row>
    <row r="206" ht="22.5" customHeight="1">
      <c r="A206" s="3">
        <v>205.0</v>
      </c>
      <c r="B206" s="4" t="s">
        <v>419</v>
      </c>
      <c r="C206" s="4" t="s">
        <v>420</v>
      </c>
      <c r="D206" s="4" t="s">
        <v>125</v>
      </c>
      <c r="F206" s="5" t="str">
        <f>IFERROR(__xludf.DUMMYFUNCTION("GOOGLETRANSLATE(A206, ""en"", ""hi"")"),"205")</f>
        <v>205</v>
      </c>
      <c r="G206" s="5" t="str">
        <f>IFERROR(__xludf.DUMMYFUNCTION("GOOGLETRANSLATE(B206, ""en"", ""hi"")"),"कौन सा भारतीय राज्य अपने पारंपरिक कबड्डी टूर्नामेंटों के लिए प्रसिद्ध है और 'जयपुर कबड्डी टूर्नामेंट' के लिए जाना जाता है?")</f>
        <v>कौन सा भारतीय राज्य अपने पारंपरिक कबड्डी टूर्नामेंटों के लिए प्रसिद्ध है और 'जयपुर कबड्डी टूर्नामेंट' के लिए जाना जाता है?</v>
      </c>
      <c r="H206" s="5" t="str">
        <f>IFERROR(__xludf.DUMMYFUNCTION("GOOGLETRANSLATE(C206, ""en"", ""hi"")"),"ए) राजस्थान, बी) पंजाब, सी) हरियाणा, डी) उत्तर प्रदेश")</f>
        <v>ए) राजस्थान, बी) पंजाब, सी) हरियाणा, डी) उत्तर प्रदेश</v>
      </c>
      <c r="I206" s="5" t="str">
        <f>IFERROR(__xludf.DUMMYFUNCTION("GOOGLETRANSLATE(D206, ""en"", ""hi"")"),"A) राजस्थान")</f>
        <v>A) राजस्थान</v>
      </c>
    </row>
    <row r="207" ht="22.5" customHeight="1">
      <c r="A207" s="3">
        <v>206.0</v>
      </c>
      <c r="B207" s="4" t="s">
        <v>421</v>
      </c>
      <c r="C207" s="4" t="s">
        <v>422</v>
      </c>
      <c r="D207" s="4" t="s">
        <v>195</v>
      </c>
      <c r="F207" s="5" t="str">
        <f>IFERROR(__xludf.DUMMYFUNCTION("GOOGLETRANSLATE(A207, ""en"", ""hi"")"),"206")</f>
        <v>206</v>
      </c>
      <c r="G207" s="5" t="str">
        <f>IFERROR(__xludf.DUMMYFUNCTION("GOOGLETRANSLATE(B207, ""en"", ""hi"")"),"2017 कबड्डी विश्व कप में किस कबड्डी खिलाड़ी को 'सर्वश्रेष्ठ ऑलराउंडर' का खिताब दिया गया?")</f>
        <v>2017 कबड्डी विश्व कप में किस कबड्डी खिलाड़ी को 'सर्वश्रेष्ठ ऑलराउंडर' का खिताब दिया गया?</v>
      </c>
      <c r="H207" s="5" t="str">
        <f>IFERROR(__xludf.DUMMYFUNCTION("GOOGLETRANSLATE(C207, ""en"", ""hi"")"),"ए) मंजीत छिल्लर, बी) दीपक निवास हुडा, सी) प्रदीप नरवाल, डी) राहुल चौधरी")</f>
        <v>ए) मंजीत छिल्लर, बी) दीपक निवास हुडा, सी) प्रदीप नरवाल, डी) राहुल चौधरी</v>
      </c>
      <c r="I207" s="5" t="str">
        <f>IFERROR(__xludf.DUMMYFUNCTION("GOOGLETRANSLATE(D207, ""en"", ""hi"")"),"A) मंजीत छिल्लर")</f>
        <v>A) मंजीत छिल्लर</v>
      </c>
    </row>
    <row r="208" ht="22.5" customHeight="1">
      <c r="A208" s="3">
        <v>207.0</v>
      </c>
      <c r="B208" s="4" t="s">
        <v>423</v>
      </c>
      <c r="C208" s="4" t="s">
        <v>152</v>
      </c>
      <c r="D208" s="4" t="s">
        <v>95</v>
      </c>
      <c r="F208" s="5" t="str">
        <f>IFERROR(__xludf.DUMMYFUNCTION("GOOGLETRANSLATE(A208, ""en"", ""hi"")"),"207")</f>
        <v>207</v>
      </c>
      <c r="G208" s="5" t="str">
        <f>IFERROR(__xludf.DUMMYFUNCTION("GOOGLETRANSLATE(B208, ""en"", ""hi"")"),"किस कबड्डी खिलाड़ी ने एक प्रो कबड्डी लीग मैच में सर्वाधिक रेड अंक हासिल करने का रिकॉर्ड बनाया?")</f>
        <v>किस कबड्डी खिलाड़ी ने एक प्रो कबड्डी लीग मैच में सर्वाधिक रेड अंक हासिल करने का रिकॉर्ड बनाया?</v>
      </c>
      <c r="H208" s="5" t="str">
        <f>IFERROR(__xludf.DUMMYFUNCTION("GOOGLETRANSLATE(C208, ""en"", ""hi"")"),"ए) प्रदीप नरवाल, बी) राहुल चौधरी, सी) दीपक निवास हुडा, डी) नितिन तोमर")</f>
        <v>ए) प्रदीप नरवाल, बी) राहुल चौधरी, सी) दीपक निवास हुडा, डी) नितिन तोमर</v>
      </c>
      <c r="I208" s="5" t="str">
        <f>IFERROR(__xludf.DUMMYFUNCTION("GOOGLETRANSLATE(D208, ""en"", ""hi"")"),"A) प्रदीप नरवाल")</f>
        <v>A) प्रदीप नरवाल</v>
      </c>
    </row>
    <row r="209" ht="22.5" customHeight="1">
      <c r="A209" s="3">
        <v>208.0</v>
      </c>
      <c r="B209" s="4" t="s">
        <v>424</v>
      </c>
      <c r="C209" s="4" t="s">
        <v>425</v>
      </c>
      <c r="D209" s="4" t="s">
        <v>319</v>
      </c>
      <c r="F209" s="5" t="str">
        <f>IFERROR(__xludf.DUMMYFUNCTION("GOOGLETRANSLATE(A209, ""en"", ""hi"")"),"208")</f>
        <v>208</v>
      </c>
      <c r="G209" s="5" t="str">
        <f>IFERROR(__xludf.DUMMYFUNCTION("GOOGLETRANSLATE(B209, ""en"", ""hi"")"),"कौन सा कबड्डी टूर्नामेंट अपनी प्रतिस्पर्धात्मक प्रकृति के लिए प्रसिद्ध है और इसमें विभिन्न भारतीय राज्यों की टीमें शामिल होती हैं?")</f>
        <v>कौन सा कबड्डी टूर्नामेंट अपनी प्रतिस्पर्धात्मक प्रकृति के लिए प्रसिद्ध है और इसमें विभिन्न भारतीय राज्यों की टीमें शामिल होती हैं?</v>
      </c>
      <c r="H209" s="5" t="str">
        <f>IFERROR(__xludf.DUMMYFUNCTION("GOOGLETRANSLATE(C209, ""en"", ""hi"")"),"A) कबड्डी विश्व कप, B) प्रो कबड्डी लीग, C) कबड्डी मास्टर्स, D) विश्व कबड्डी लीग")</f>
        <v>A) कबड्डी विश्व कप, B) प्रो कबड्डी लीग, C) कबड्डी मास्टर्स, D) विश्व कबड्डी लीग</v>
      </c>
      <c r="I209" s="5" t="str">
        <f>IFERROR(__xludf.DUMMYFUNCTION("GOOGLETRANSLATE(D209, ""en"", ""hi"")"),"बी) प्रो कबड्डी लीग")</f>
        <v>बी) प्रो कबड्डी लीग</v>
      </c>
    </row>
    <row r="210" ht="22.5" customHeight="1">
      <c r="A210" s="3">
        <v>209.0</v>
      </c>
      <c r="B210" s="4" t="s">
        <v>426</v>
      </c>
      <c r="C210" s="4" t="s">
        <v>338</v>
      </c>
      <c r="D210" s="4" t="s">
        <v>195</v>
      </c>
      <c r="F210" s="5" t="str">
        <f>IFERROR(__xludf.DUMMYFUNCTION("GOOGLETRANSLATE(A210, ""en"", ""hi"")"),"209")</f>
        <v>209</v>
      </c>
      <c r="G210" s="5" t="str">
        <f>IFERROR(__xludf.DUMMYFUNCTION("GOOGLETRANSLATE(B210, ""en"", ""hi"")"),"2016 कबड्डी विश्व कप में किस कबड्डी खिलाड़ी ने सबसे अधिक सफल टैकल किए?")</f>
        <v>2016 कबड्डी विश्व कप में किस कबड्डी खिलाड़ी ने सबसे अधिक सफल टैकल किए?</v>
      </c>
      <c r="H210" s="5" t="str">
        <f>IFERROR(__xludf.DUMMYFUNCTION("GOOGLETRANSLATE(C210, ""en"", ""hi"")"),"ए) मंजीत छिल्लर, बी) संदीप नरवाल, सी) नितिन तोमर, डी) अजय ठाकुर")</f>
        <v>ए) मंजीत छिल्लर, बी) संदीप नरवाल, सी) नितिन तोमर, डी) अजय ठाकुर</v>
      </c>
      <c r="I210" s="5" t="str">
        <f>IFERROR(__xludf.DUMMYFUNCTION("GOOGLETRANSLATE(D210, ""en"", ""hi"")"),"A) मंजीत छिल्लर")</f>
        <v>A) मंजीत छिल्लर</v>
      </c>
    </row>
    <row r="211" ht="22.5" customHeight="1">
      <c r="A211" s="3">
        <v>210.0</v>
      </c>
      <c r="B211" s="4" t="s">
        <v>427</v>
      </c>
      <c r="C211" s="4" t="s">
        <v>346</v>
      </c>
      <c r="D211" s="4" t="s">
        <v>316</v>
      </c>
      <c r="F211" s="5" t="str">
        <f>IFERROR(__xludf.DUMMYFUNCTION("GOOGLETRANSLATE(A211, ""en"", ""hi"")"),"210")</f>
        <v>210</v>
      </c>
      <c r="G211" s="5" t="str">
        <f>IFERROR(__xludf.DUMMYFUNCTION("GOOGLETRANSLATE(B211, ""en"", ""hi"")"),"कौन सी कबड्डी लीग अंतरराष्ट्रीय टीमों को शामिल करने के लिए जानी जाती है और 2018 में स्थापित की गई थी?")</f>
        <v>कौन सी कबड्डी लीग अंतरराष्ट्रीय टीमों को शामिल करने के लिए जानी जाती है और 2018 में स्थापित की गई थी?</v>
      </c>
      <c r="H211" s="5" t="str">
        <f>IFERROR(__xludf.DUMMYFUNCTION("GOOGLETRANSLATE(C211, ""en"", ""hi"")"),"A) कबड्डी मास्टर्स, B) प्रो कबड्डी लीग, C) विश्व कबड्डी लीग, D) कबड्डी चैम्पियनशिप")</f>
        <v>A) कबड्डी मास्टर्स, B) प्रो कबड्डी लीग, C) विश्व कबड्डी लीग, D) कबड्डी चैम्पियनशिप</v>
      </c>
      <c r="I211" s="5" t="str">
        <f>IFERROR(__xludf.DUMMYFUNCTION("GOOGLETRANSLATE(D211, ""en"", ""hi"")"),"A) कबड्डी मास्टर्स")</f>
        <v>A) कबड्डी मास्टर्स</v>
      </c>
    </row>
    <row r="212" ht="22.5" customHeight="1">
      <c r="A212" s="3">
        <v>211.0</v>
      </c>
      <c r="B212" s="4" t="s">
        <v>428</v>
      </c>
      <c r="C212" s="4" t="s">
        <v>157</v>
      </c>
      <c r="D212" s="4" t="s">
        <v>158</v>
      </c>
      <c r="F212" s="5" t="str">
        <f>IFERROR(__xludf.DUMMYFUNCTION("GOOGLETRANSLATE(A212, ""en"", ""hi"")"),"211")</f>
        <v>211</v>
      </c>
      <c r="G212" s="5" t="str">
        <f>IFERROR(__xludf.DUMMYFUNCTION("GOOGLETRANSLATE(B212, ""en"", ""hi"")"),"कौन सा भारतीय राज्य अपने पारंपरिक कबड्डी टूर्नामेंट 'महाराष्ट्र कबड्डी चैम्पियनशिप' के लिए जाना जाता है?")</f>
        <v>कौन सा भारतीय राज्य अपने पारंपरिक कबड्डी टूर्नामेंट 'महाराष्ट्र कबड्डी चैम्पियनशिप' के लिए जाना जाता है?</v>
      </c>
      <c r="H212" s="5" t="str">
        <f>IFERROR(__xludf.DUMMYFUNCTION("GOOGLETRANSLATE(C212, ""en"", ""hi"")"),"ए) महाराष्ट्र, बी) गुजरात, सी) कर्नाटक, डी) तमिलनाडु")</f>
        <v>ए) महाराष्ट्र, बी) गुजरात, सी) कर्नाटक, डी) तमिलनाडु</v>
      </c>
      <c r="I212" s="5" t="str">
        <f>IFERROR(__xludf.DUMMYFUNCTION("GOOGLETRANSLATE(D212, ""en"", ""hi"")"),"A) महाराष्ट्र")</f>
        <v>A) महाराष्ट्र</v>
      </c>
    </row>
    <row r="213" ht="22.5" customHeight="1">
      <c r="A213" s="3">
        <v>212.0</v>
      </c>
      <c r="B213" s="4" t="s">
        <v>429</v>
      </c>
      <c r="C213" s="4" t="s">
        <v>242</v>
      </c>
      <c r="D213" s="4" t="s">
        <v>95</v>
      </c>
      <c r="F213" s="5" t="str">
        <f>IFERROR(__xludf.DUMMYFUNCTION("GOOGLETRANSLATE(A213, ""en"", ""hi"")"),"212")</f>
        <v>212</v>
      </c>
      <c r="G213" s="5" t="str">
        <f>IFERROR(__xludf.DUMMYFUNCTION("GOOGLETRANSLATE(B213, ""en"", ""hi"")"),"कौन सा कबड्डी खिलाड़ी अपनी रणनीतिक रेडिंग के लिए जाना जाता था और उसे 2017 प्रो कबड्डी लीग में 'सर्वश्रेष्ठ रेडर' से सम्मानित किया गया था?")</f>
        <v>कौन सा कबड्डी खिलाड़ी अपनी रणनीतिक रेडिंग के लिए जाना जाता था और उसे 2017 प्रो कबड्डी लीग में 'सर्वश्रेष्ठ रेडर' से सम्मानित किया गया था?</v>
      </c>
      <c r="H213" s="5" t="str">
        <f>IFERROR(__xludf.DUMMYFUNCTION("GOOGLETRANSLATE(C213, ""en"", ""hi"")"),"ए) प्रदीप नरवाल, बी) राहुल चौधरी, सी) दीपक निवास हुडा, डी) रिशांक देवाडिगा")</f>
        <v>ए) प्रदीप नरवाल, बी) राहुल चौधरी, सी) दीपक निवास हुडा, डी) रिशांक देवाडिगा</v>
      </c>
      <c r="I213" s="5" t="str">
        <f>IFERROR(__xludf.DUMMYFUNCTION("GOOGLETRANSLATE(D213, ""en"", ""hi"")"),"A) प्रदीप नरवाल")</f>
        <v>A) प्रदीप नरवाल</v>
      </c>
    </row>
    <row r="214" ht="22.5" customHeight="1">
      <c r="A214" s="3">
        <v>213.0</v>
      </c>
      <c r="B214" s="4" t="s">
        <v>430</v>
      </c>
      <c r="C214" s="4" t="s">
        <v>242</v>
      </c>
      <c r="D214" s="4" t="s">
        <v>95</v>
      </c>
      <c r="F214" s="5" t="str">
        <f>IFERROR(__xludf.DUMMYFUNCTION("GOOGLETRANSLATE(A214, ""en"", ""hi"")"),"213")</f>
        <v>213</v>
      </c>
      <c r="G214" s="5" t="str">
        <f>IFERROR(__xludf.DUMMYFUNCTION("GOOGLETRANSLATE(B214, ""en"", ""hi"")"),"2015 कबड्डी विश्व कप में कौन सा कबड्डी खिलाड़ी शीर्ष स्कोरर था?")</f>
        <v>2015 कबड्डी विश्व कप में कौन सा कबड्डी खिलाड़ी शीर्ष स्कोरर था?</v>
      </c>
      <c r="H214" s="5" t="str">
        <f>IFERROR(__xludf.DUMMYFUNCTION("GOOGLETRANSLATE(C214, ""en"", ""hi"")"),"ए) प्रदीप नरवाल, बी) राहुल चौधरी, सी) दीपक निवास हुडा, डी) रिशांक देवाडिगा")</f>
        <v>ए) प्रदीप नरवाल, बी) राहुल चौधरी, सी) दीपक निवास हुडा, डी) रिशांक देवाडिगा</v>
      </c>
      <c r="I214" s="5" t="str">
        <f>IFERROR(__xludf.DUMMYFUNCTION("GOOGLETRANSLATE(D214, ""en"", ""hi"")"),"A) प्रदीप नरवाल")</f>
        <v>A) प्रदीप नरवाल</v>
      </c>
    </row>
    <row r="215" ht="22.5" customHeight="1">
      <c r="A215" s="3">
        <v>214.0</v>
      </c>
      <c r="B215" s="4" t="s">
        <v>431</v>
      </c>
      <c r="C215" s="4" t="s">
        <v>432</v>
      </c>
      <c r="D215" s="4" t="s">
        <v>116</v>
      </c>
      <c r="F215" s="5" t="str">
        <f>IFERROR(__xludf.DUMMYFUNCTION("GOOGLETRANSLATE(A215, ""en"", ""hi"")"),"214")</f>
        <v>214</v>
      </c>
      <c r="G215" s="5" t="str">
        <f>IFERROR(__xludf.DUMMYFUNCTION("GOOGLETRANSLATE(B215, ""en"", ""hi"")"),"कौन सा भारतीय राज्य अपने पारंपरिक कबड्डी टूर्नामेंट 'बैंगलोर कबड्डी चैम्पियनशिप' के लिए जाना जाता है?")</f>
        <v>कौन सा भारतीय राज्य अपने पारंपरिक कबड्डी टूर्नामेंट 'बैंगलोर कबड्डी चैम्पियनशिप' के लिए जाना जाता है?</v>
      </c>
      <c r="H215" s="5" t="str">
        <f>IFERROR(__xludf.DUMMYFUNCTION("GOOGLETRANSLATE(C215, ""en"", ""hi"")"),"A) कर्नाटक, B) तमिलनाडु, C) आंध्र प्रदेश, D) केरल")</f>
        <v>A) कर्नाटक, B) तमिलनाडु, C) आंध्र प्रदेश, D) केरल</v>
      </c>
      <c r="I215" s="5" t="str">
        <f>IFERROR(__xludf.DUMMYFUNCTION("GOOGLETRANSLATE(D215, ""en"", ""hi"")"),"A) कर्नाटक")</f>
        <v>A) कर्नाटक</v>
      </c>
    </row>
    <row r="216" ht="22.5" customHeight="1">
      <c r="A216" s="3">
        <v>215.0</v>
      </c>
      <c r="B216" s="4" t="s">
        <v>433</v>
      </c>
      <c r="C216" s="4" t="s">
        <v>152</v>
      </c>
      <c r="D216" s="4" t="s">
        <v>95</v>
      </c>
      <c r="F216" s="5" t="str">
        <f>IFERROR(__xludf.DUMMYFUNCTION("GOOGLETRANSLATE(A216, ""en"", ""hi"")"),"215")</f>
        <v>215</v>
      </c>
      <c r="G216" s="5" t="str">
        <f>IFERROR(__xludf.DUMMYFUNCTION("GOOGLETRANSLATE(B216, ""en"", ""hi"")"),"कौन सा कबड्डी खिलाड़ी प्रो कबड्डी लीग के एक सत्र में 100 अंक बनाने वाला पहला खिलाड़ी बन गया?")</f>
        <v>कौन सा कबड्डी खिलाड़ी प्रो कबड्डी लीग के एक सत्र में 100 अंक बनाने वाला पहला खिलाड़ी बन गया?</v>
      </c>
      <c r="H216" s="5" t="str">
        <f>IFERROR(__xludf.DUMMYFUNCTION("GOOGLETRANSLATE(C216, ""en"", ""hi"")"),"ए) प्रदीप नरवाल, बी) राहुल चौधरी, सी) दीपक निवास हुडा, डी) नितिन तोमर")</f>
        <v>ए) प्रदीप नरवाल, बी) राहुल चौधरी, सी) दीपक निवास हुडा, डी) नितिन तोमर</v>
      </c>
      <c r="I216" s="5" t="str">
        <f>IFERROR(__xludf.DUMMYFUNCTION("GOOGLETRANSLATE(D216, ""en"", ""hi"")"),"A) प्रदीप नरवाल")</f>
        <v>A) प्रदीप नरवाल</v>
      </c>
    </row>
    <row r="217" ht="22.5" customHeight="1">
      <c r="A217" s="3">
        <v>216.0</v>
      </c>
      <c r="B217" s="4" t="s">
        <v>355</v>
      </c>
      <c r="C217" s="4" t="s">
        <v>356</v>
      </c>
      <c r="D217" s="4" t="s">
        <v>119</v>
      </c>
      <c r="F217" s="5" t="str">
        <f>IFERROR(__xludf.DUMMYFUNCTION("GOOGLETRANSLATE(A217, ""en"", ""hi"")"),"216")</f>
        <v>216</v>
      </c>
      <c r="G217" s="5" t="str">
        <f>IFERROR(__xludf.DUMMYFUNCTION("GOOGLETRANSLATE(B217, ""en"", ""hi"")"),"कौन से कबड्डी टूर्नामेंट में पारंपरिक कबड्डी देशों और उभरते बाजारों दोनों की टीमें शामिल हैं?")</f>
        <v>कौन से कबड्डी टूर्नामेंट में पारंपरिक कबड्डी देशों और उभरते बाजारों दोनों की टीमें शामिल हैं?</v>
      </c>
      <c r="H217" s="5" t="str">
        <f>IFERROR(__xludf.DUMMYFUNCTION("GOOGLETRANSLATE(C217, ""en"", ""hi"")"),"A) कबड्डी मास्टर्स, B) विश्व कबड्डी लीग, C) प्रो कबड्डी लीग, D) कबड्डी चैम्पियनशिप")</f>
        <v>A) कबड्डी मास्टर्स, B) विश्व कबड्डी लीग, C) प्रो कबड्डी लीग, D) कबड्डी चैम्पियनशिप</v>
      </c>
      <c r="I217" s="5" t="str">
        <f>IFERROR(__xludf.DUMMYFUNCTION("GOOGLETRANSLATE(D217, ""en"", ""hi"")"),"बी) विश्व कबड्डी लीग")</f>
        <v>बी) विश्व कबड्डी लीग</v>
      </c>
    </row>
    <row r="218" ht="22.5" customHeight="1">
      <c r="A218" s="3">
        <v>217.0</v>
      </c>
      <c r="B218" s="4" t="s">
        <v>434</v>
      </c>
      <c r="C218" s="4" t="s">
        <v>287</v>
      </c>
      <c r="D218" s="4" t="s">
        <v>142</v>
      </c>
      <c r="F218" s="5" t="str">
        <f>IFERROR(__xludf.DUMMYFUNCTION("GOOGLETRANSLATE(A218, ""en"", ""hi"")"),"217")</f>
        <v>217</v>
      </c>
      <c r="G218" s="5" t="str">
        <f>IFERROR(__xludf.DUMMYFUNCTION("GOOGLETRANSLATE(B218, ""en"", ""hi"")"),"किस कबड्डी खिलाड़ी ने प्रो कबड्डी लीग के एक सत्र में सर्वाधिक सफल टैकल का रिकॉर्ड बनाया?")</f>
        <v>किस कबड्डी खिलाड़ी ने प्रो कबड्डी लीग के एक सत्र में सर्वाधिक सफल टैकल का रिकॉर्ड बनाया?</v>
      </c>
      <c r="H218" s="5" t="str">
        <f>IFERROR(__xludf.DUMMYFUNCTION("GOOGLETRANSLATE(C218, ""en"", ""hi"")"),"ए) संदीप नरवाल, बी) मंजीत छिल्लर, सी) नितिन तोमर, डी) अजय ठाकुर")</f>
        <v>ए) संदीप नरवाल, बी) मंजीत छिल्लर, सी) नितिन तोमर, डी) अजय ठाकुर</v>
      </c>
      <c r="I218" s="5" t="str">
        <f>IFERROR(__xludf.DUMMYFUNCTION("GOOGLETRANSLATE(D218, ""en"", ""hi"")"),"A) संदीप नरवाल")</f>
        <v>A) संदीप नरवाल</v>
      </c>
    </row>
    <row r="219" ht="22.5" customHeight="1">
      <c r="A219" s="3">
        <v>218.0</v>
      </c>
      <c r="B219" s="4" t="s">
        <v>435</v>
      </c>
      <c r="C219" s="4" t="s">
        <v>152</v>
      </c>
      <c r="D219" s="4" t="s">
        <v>95</v>
      </c>
      <c r="F219" s="5" t="str">
        <f>IFERROR(__xludf.DUMMYFUNCTION("GOOGLETRANSLATE(A219, ""en"", ""hi"")"),"218")</f>
        <v>218</v>
      </c>
      <c r="G219" s="5" t="str">
        <f>IFERROR(__xludf.DUMMYFUNCTION("GOOGLETRANSLATE(B219, ""en"", ""hi"")"),"कौन सा कबड्डी खिलाड़ी अपने असाधारण रेडिंग कौशल के लिए जाना जाता है और उसे 2019 प्रो कबड्डी लीग में 'सर्वश्रेष्ठ रेडर' से सम्मानित किया गया था?")</f>
        <v>कौन सा कबड्डी खिलाड़ी अपने असाधारण रेडिंग कौशल के लिए जाना जाता है और उसे 2019 प्रो कबड्डी लीग में 'सर्वश्रेष्ठ रेडर' से सम्मानित किया गया था?</v>
      </c>
      <c r="H219" s="5" t="str">
        <f>IFERROR(__xludf.DUMMYFUNCTION("GOOGLETRANSLATE(C219, ""en"", ""hi"")"),"ए) प्रदीप नरवाल, बी) राहुल चौधरी, सी) दीपक निवास हुडा, डी) नितिन तोमर")</f>
        <v>ए) प्रदीप नरवाल, बी) राहुल चौधरी, सी) दीपक निवास हुडा, डी) नितिन तोमर</v>
      </c>
      <c r="I219" s="5" t="str">
        <f>IFERROR(__xludf.DUMMYFUNCTION("GOOGLETRANSLATE(D219, ""en"", ""hi"")"),"A) प्रदीप नरवाल")</f>
        <v>A) प्रदीप नरवाल</v>
      </c>
    </row>
    <row r="220" ht="22.5" customHeight="1">
      <c r="A220" s="3">
        <v>219.0</v>
      </c>
      <c r="B220" s="4" t="s">
        <v>436</v>
      </c>
      <c r="C220" s="4" t="s">
        <v>437</v>
      </c>
      <c r="D220" s="4" t="s">
        <v>110</v>
      </c>
      <c r="F220" s="5" t="str">
        <f>IFERROR(__xludf.DUMMYFUNCTION("GOOGLETRANSLATE(A220, ""en"", ""hi"")"),"219")</f>
        <v>219</v>
      </c>
      <c r="G220" s="5" t="str">
        <f>IFERROR(__xludf.DUMMYFUNCTION("GOOGLETRANSLATE(B220, ""en"", ""hi"")"),"कौन सा भारतीय राज्य अपने पारंपरिक कबड्डी टूर्नामेंट के लिए प्रसिद्ध है और 'उत्तर प्रदेश कबड्डी टूर्नामेंट' का घर है?")</f>
        <v>कौन सा भारतीय राज्य अपने पारंपरिक कबड्डी टूर्नामेंट के लिए प्रसिद्ध है और 'उत्तर प्रदेश कबड्डी टूर्नामेंट' का घर है?</v>
      </c>
      <c r="H220" s="5" t="str">
        <f>IFERROR(__xludf.DUMMYFUNCTION("GOOGLETRANSLATE(C220, ""en"", ""hi"")"),"ए) उत्तर प्रदेश, बी) बिहार, सी) पंजाब, डी) हरियाणा")</f>
        <v>ए) उत्तर प्रदेश, बी) बिहार, सी) पंजाब, डी) हरियाणा</v>
      </c>
      <c r="I220" s="5" t="str">
        <f>IFERROR(__xludf.DUMMYFUNCTION("GOOGLETRANSLATE(D220, ""en"", ""hi"")"),"A) उत्तर प्रदेश")</f>
        <v>A) उत्तर प्रदेश</v>
      </c>
    </row>
    <row r="221" ht="22.5" customHeight="1">
      <c r="A221" s="3">
        <v>220.0</v>
      </c>
      <c r="B221" s="4" t="s">
        <v>438</v>
      </c>
      <c r="C221" s="4" t="s">
        <v>413</v>
      </c>
      <c r="D221" s="4" t="s">
        <v>155</v>
      </c>
      <c r="F221" s="5" t="str">
        <f>IFERROR(__xludf.DUMMYFUNCTION("GOOGLETRANSLATE(A221, ""en"", ""hi"")"),"220")</f>
        <v>220</v>
      </c>
      <c r="G221" s="5" t="str">
        <f>IFERROR(__xludf.DUMMYFUNCTION("GOOGLETRANSLATE(B221, ""en"", ""hi"")"),"कौन सा कबड्डी खिलाड़ी अपने रणनीतिक रक्षात्मक कौशल के लिए जाना जाता था और उसे 2017 प्रो कबड्डी लीग में 'सर्वश्रेष्ठ डिफेंडर' से सम्मानित किया गया था?")</f>
        <v>कौन सा कबड्डी खिलाड़ी अपने रणनीतिक रक्षात्मक कौशल के लिए जाना जाता था और उसे 2017 प्रो कबड्डी लीग में 'सर्वश्रेष्ठ डिफेंडर' से सम्मानित किया गया था?</v>
      </c>
      <c r="H221" s="5" t="str">
        <f>IFERROR(__xludf.DUMMYFUNCTION("GOOGLETRANSLATE(C221, ""en"", ""hi"")"),"ए) मंजीत छिल्लर, बी) संदीप नरवाल, सी) अजय ठाकुर, डी) दीपक निवास हुडा")</f>
        <v>ए) मंजीत छिल्लर, बी) संदीप नरवाल, सी) अजय ठाकुर, डी) दीपक निवास हुडा</v>
      </c>
      <c r="I221" s="5" t="str">
        <f>IFERROR(__xludf.DUMMYFUNCTION("GOOGLETRANSLATE(D221, ""en"", ""hi"")"),"B) संदीप नरवाल")</f>
        <v>B) संदीप नरवाल</v>
      </c>
    </row>
    <row r="222" ht="22.5" customHeight="1">
      <c r="A222" s="3">
        <v>221.0</v>
      </c>
      <c r="B222" s="4" t="s">
        <v>439</v>
      </c>
      <c r="C222" s="4" t="s">
        <v>292</v>
      </c>
      <c r="D222" s="4" t="s">
        <v>122</v>
      </c>
      <c r="F222" s="5" t="str">
        <f>IFERROR(__xludf.DUMMYFUNCTION("GOOGLETRANSLATE(A222, ""en"", ""hi"")"),"221")</f>
        <v>221</v>
      </c>
      <c r="G222" s="5" t="str">
        <f>IFERROR(__xludf.DUMMYFUNCTION("GOOGLETRANSLATE(B222, ""en"", ""hi"")"),"2014 में प्रो कबड्डी लीग के पहले सत्र में कौन सा कबड्डी खिलाड़ी शीर्ष स्कोरर था?")</f>
        <v>2014 में प्रो कबड्डी लीग के पहले सत्र में कौन सा कबड्डी खिलाड़ी शीर्ष स्कोरर था?</v>
      </c>
      <c r="H222" s="5" t="str">
        <f>IFERROR(__xludf.DUMMYFUNCTION("GOOGLETRANSLATE(C222, ""en"", ""hi"")"),"ए) राहुल चौधरी, बी) प्रदीप नरवाल, सी) दीपक निवास हुडा, डी) रिशांक देवाडिगा")</f>
        <v>ए) राहुल चौधरी, बी) प्रदीप नरवाल, सी) दीपक निवास हुडा, डी) रिशांक देवाडिगा</v>
      </c>
      <c r="I222" s="5" t="str">
        <f>IFERROR(__xludf.DUMMYFUNCTION("GOOGLETRANSLATE(D222, ""en"", ""hi"")"),"A) राहुल चौधरी")</f>
        <v>A) राहुल चौधरी</v>
      </c>
    </row>
    <row r="223" ht="22.5" customHeight="1">
      <c r="A223" s="3">
        <v>222.0</v>
      </c>
      <c r="B223" s="4" t="s">
        <v>440</v>
      </c>
      <c r="C223" s="4" t="s">
        <v>242</v>
      </c>
      <c r="D223" s="4" t="s">
        <v>95</v>
      </c>
      <c r="F223" s="5" t="str">
        <f>IFERROR(__xludf.DUMMYFUNCTION("GOOGLETRANSLATE(A223, ""en"", ""hi"")"),"222")</f>
        <v>222</v>
      </c>
      <c r="G223" s="5" t="str">
        <f>IFERROR(__xludf.DUMMYFUNCTION("GOOGLETRANSLATE(B223, ""en"", ""hi"")"),"2019 कबड्डी विश्व कप में किस कबड्डी खिलाड़ी को 'बेस्ट रेडर' का खिताब दिया गया?")</f>
        <v>2019 कबड्डी विश्व कप में किस कबड्डी खिलाड़ी को 'बेस्ट रेडर' का खिताब दिया गया?</v>
      </c>
      <c r="H223" s="5" t="str">
        <f>IFERROR(__xludf.DUMMYFUNCTION("GOOGLETRANSLATE(C223, ""en"", ""hi"")"),"ए) प्रदीप नरवाल, बी) राहुल चौधरी, सी) दीपक निवास हुडा, डी) रिशांक देवाडिगा")</f>
        <v>ए) प्रदीप नरवाल, बी) राहुल चौधरी, सी) दीपक निवास हुडा, डी) रिशांक देवाडिगा</v>
      </c>
      <c r="I223" s="5" t="str">
        <f>IFERROR(__xludf.DUMMYFUNCTION("GOOGLETRANSLATE(D223, ""en"", ""hi"")"),"A) प्रदीप नरवाल")</f>
        <v>A) प्रदीप नरवाल</v>
      </c>
    </row>
    <row r="224" ht="22.5" customHeight="1">
      <c r="A224" s="3">
        <v>223.0</v>
      </c>
      <c r="B224" s="4" t="s">
        <v>401</v>
      </c>
      <c r="C224" s="4" t="s">
        <v>322</v>
      </c>
      <c r="D224" s="4" t="s">
        <v>150</v>
      </c>
      <c r="F224" s="5" t="str">
        <f>IFERROR(__xludf.DUMMYFUNCTION("GOOGLETRANSLATE(A224, ""en"", ""hi"")"),"223")</f>
        <v>223</v>
      </c>
      <c r="G224" s="5" t="str">
        <f>IFERROR(__xludf.DUMMYFUNCTION("GOOGLETRANSLATE(B224, ""en"", ""hi"")"),"कौन सा भारतीय राज्य अपने पारंपरिक कबड्डी टूर्नामेंट 'गुड़गांव कबड्डी टूर्नामेंट' के लिए जाना जाता है?")</f>
        <v>कौन सा भारतीय राज्य अपने पारंपरिक कबड्डी टूर्नामेंट 'गुड़गांव कबड्डी टूर्नामेंट' के लिए जाना जाता है?</v>
      </c>
      <c r="H224" s="5" t="str">
        <f>IFERROR(__xludf.DUMMYFUNCTION("GOOGLETRANSLATE(C224, ""en"", ""hi"")"),"ए) हरियाणा, बी) पंजाब, सी) महाराष्ट्र, डी) राजस्थान")</f>
        <v>ए) हरियाणा, बी) पंजाब, सी) महाराष्ट्र, डी) राजस्थान</v>
      </c>
      <c r="I224" s="5" t="str">
        <f>IFERROR(__xludf.DUMMYFUNCTION("GOOGLETRANSLATE(D224, ""en"", ""hi"")"),"A) हरियाणा")</f>
        <v>A) हरियाणा</v>
      </c>
    </row>
    <row r="225" ht="22.5" customHeight="1">
      <c r="A225" s="3">
        <v>224.0</v>
      </c>
      <c r="B225" s="4" t="s">
        <v>441</v>
      </c>
      <c r="C225" s="4" t="s">
        <v>152</v>
      </c>
      <c r="D225" s="4" t="s">
        <v>95</v>
      </c>
      <c r="F225" s="5" t="str">
        <f>IFERROR(__xludf.DUMMYFUNCTION("GOOGLETRANSLATE(A225, ""en"", ""hi"")"),"224")</f>
        <v>224</v>
      </c>
      <c r="G225" s="5" t="str">
        <f>IFERROR(__xludf.DUMMYFUNCTION("GOOGLETRANSLATE(B225, ""en"", ""hi"")"),"किस कबड्डी खिलाड़ी ने 2016 प्रो कबड्डी लीग में एक मैच में सबसे अधिक रेड अंक हासिल करने का रिकॉर्ड बनाया?")</f>
        <v>किस कबड्डी खिलाड़ी ने 2016 प्रो कबड्डी लीग में एक मैच में सबसे अधिक रेड अंक हासिल करने का रिकॉर्ड बनाया?</v>
      </c>
      <c r="H225" s="5" t="str">
        <f>IFERROR(__xludf.DUMMYFUNCTION("GOOGLETRANSLATE(C225, ""en"", ""hi"")"),"ए) प्रदीप नरवाल, बी) राहुल चौधरी, सी) दीपक निवास हुडा, डी) नितिन तोमर")</f>
        <v>ए) प्रदीप नरवाल, बी) राहुल चौधरी, सी) दीपक निवास हुडा, डी) नितिन तोमर</v>
      </c>
      <c r="I225" s="5" t="str">
        <f>IFERROR(__xludf.DUMMYFUNCTION("GOOGLETRANSLATE(D225, ""en"", ""hi"")"),"A) प्रदीप नरवाल")</f>
        <v>A) प्रदीप नरवाल</v>
      </c>
    </row>
    <row r="226" ht="22.5" customHeight="1">
      <c r="A226" s="3">
        <v>225.0</v>
      </c>
      <c r="B226" s="4" t="s">
        <v>442</v>
      </c>
      <c r="C226" s="4" t="s">
        <v>318</v>
      </c>
      <c r="D226" s="4" t="s">
        <v>443</v>
      </c>
      <c r="F226" s="5" t="str">
        <f>IFERROR(__xludf.DUMMYFUNCTION("GOOGLETRANSLATE(A226, ""en"", ""hi"")"),"225")</f>
        <v>225</v>
      </c>
      <c r="G226" s="5" t="str">
        <f>IFERROR(__xludf.DUMMYFUNCTION("GOOGLETRANSLATE(B226, ""en"", ""hi"")"),"कौन से कबड्डी टूर्नामेंट में दुनिया भर की पारंपरिक और आधुनिक कबड्डी टीमों का मिश्रण होता है?")</f>
        <v>कौन से कबड्डी टूर्नामेंट में दुनिया भर की पारंपरिक और आधुनिक कबड्डी टीमों का मिश्रण होता है?</v>
      </c>
      <c r="H226" s="5" t="str">
        <f>IFERROR(__xludf.DUMMYFUNCTION("GOOGLETRANSLATE(C226, ""en"", ""hi"")"),"A) कबड्डी मास्टर्स, B) प्रो कबड्डी लीग, C) कबड्डी विश्व कप, D) विश्व कबड्डी लीग")</f>
        <v>A) कबड्डी मास्टर्स, B) प्रो कबड्डी लीग, C) कबड्डी विश्व कप, D) विश्व कबड्डी लीग</v>
      </c>
      <c r="I226" s="5" t="str">
        <f>IFERROR(__xludf.DUMMYFUNCTION("GOOGLETRANSLATE(D226, ""en"", ""hi"")"),"D) विश्व कबड्डी लीग")</f>
        <v>D) विश्व कबड्डी लीग</v>
      </c>
    </row>
    <row r="227" ht="22.5" customHeight="1">
      <c r="A227" s="3">
        <v>226.0</v>
      </c>
      <c r="B227" s="4" t="s">
        <v>151</v>
      </c>
      <c r="C227" s="4" t="s">
        <v>152</v>
      </c>
      <c r="D227" s="4" t="s">
        <v>95</v>
      </c>
      <c r="F227" s="5" t="str">
        <f>IFERROR(__xludf.DUMMYFUNCTION("GOOGLETRANSLATE(A227, ""en"", ""hi"")"),"226")</f>
        <v>226</v>
      </c>
      <c r="G227" s="5" t="str">
        <f>IFERROR(__xludf.DUMMYFUNCTION("GOOGLETRANSLATE(B227, ""en"", ""hi"")"),"प्रो कबड्डी लीग के इतिहास में 500 रेड अंक हासिल करने वाला पहला कबड्डी खिलाड़ी कौन बना?")</f>
        <v>प्रो कबड्डी लीग के इतिहास में 500 रेड अंक हासिल करने वाला पहला कबड्डी खिलाड़ी कौन बना?</v>
      </c>
      <c r="H227" s="5" t="str">
        <f>IFERROR(__xludf.DUMMYFUNCTION("GOOGLETRANSLATE(C227, ""en"", ""hi"")"),"ए) प्रदीप नरवाल, बी) राहुल चौधरी, सी) दीपक निवास हुडा, डी) नितिन तोमर")</f>
        <v>ए) प्रदीप नरवाल, बी) राहुल चौधरी, सी) दीपक निवास हुडा, डी) नितिन तोमर</v>
      </c>
      <c r="I227" s="5" t="str">
        <f>IFERROR(__xludf.DUMMYFUNCTION("GOOGLETRANSLATE(D227, ""en"", ""hi"")"),"A) प्रदीप नरवाल")</f>
        <v>A) प्रदीप नरवाल</v>
      </c>
    </row>
    <row r="228" ht="22.5" customHeight="1">
      <c r="A228" s="3">
        <v>227.0</v>
      </c>
      <c r="B228" s="4" t="s">
        <v>444</v>
      </c>
      <c r="C228" s="4" t="s">
        <v>361</v>
      </c>
      <c r="D228" s="4" t="s">
        <v>362</v>
      </c>
      <c r="F228" s="5" t="str">
        <f>IFERROR(__xludf.DUMMYFUNCTION("GOOGLETRANSLATE(A228, ""en"", ""hi"")"),"227")</f>
        <v>227</v>
      </c>
      <c r="G228" s="5" t="str">
        <f>IFERROR(__xludf.DUMMYFUNCTION("GOOGLETRANSLATE(B228, ""en"", ""hi"")"),"2019 प्रो कबड्डी लीग में किस कबड्डी खिलाड़ी को उनके असाधारण ऑलराउंड प्रदर्शन के लिए जाना गया?")</f>
        <v>2019 प्रो कबड्डी लीग में किस कबड्डी खिलाड़ी को उनके असाधारण ऑलराउंड प्रदर्शन के लिए जाना गया?</v>
      </c>
      <c r="H228" s="5" t="str">
        <f>IFERROR(__xludf.DUMMYFUNCTION("GOOGLETRANSLATE(C228, ""en"", ""hi"")"),"ए) दीपक निवास हुडा, बी) प्रदीप नरवाल, सी) राहुल चौधरी, डी) मंजीत छिल्लर")</f>
        <v>ए) दीपक निवास हुडा, बी) प्रदीप नरवाल, सी) राहुल चौधरी, डी) मंजीत छिल्लर</v>
      </c>
      <c r="I228" s="5" t="str">
        <f>IFERROR(__xludf.DUMMYFUNCTION("GOOGLETRANSLATE(D228, ""en"", ""hi"")"),"A) दीपक निवास हुड्डा")</f>
        <v>A) दीपक निवास हुड्डा</v>
      </c>
    </row>
    <row r="229" ht="22.5" customHeight="1">
      <c r="A229" s="3">
        <v>228.0</v>
      </c>
      <c r="B229" s="4" t="s">
        <v>445</v>
      </c>
      <c r="C229" s="4" t="s">
        <v>287</v>
      </c>
      <c r="D229" s="4" t="s">
        <v>142</v>
      </c>
      <c r="F229" s="5" t="str">
        <f>IFERROR(__xludf.DUMMYFUNCTION("GOOGLETRANSLATE(A229, ""en"", ""hi"")"),"228")</f>
        <v>228</v>
      </c>
      <c r="G229" s="5" t="str">
        <f>IFERROR(__xludf.DUMMYFUNCTION("GOOGLETRANSLATE(B229, ""en"", ""hi"")"),"2019 प्रो कबड्डी लीग में किस कबड्डी खिलाड़ी को 'बेस्ट डिफेंडर' का खिताब दिया गया?")</f>
        <v>2019 प्रो कबड्डी लीग में किस कबड्डी खिलाड़ी को 'बेस्ट डिफेंडर' का खिताब दिया गया?</v>
      </c>
      <c r="H229" s="5" t="str">
        <f>IFERROR(__xludf.DUMMYFUNCTION("GOOGLETRANSLATE(C229, ""en"", ""hi"")"),"ए) संदीप नरवाल, बी) मंजीत छिल्लर, सी) नितिन तोमर, डी) अजय ठाकुर")</f>
        <v>ए) संदीप नरवाल, बी) मंजीत छिल्लर, सी) नितिन तोमर, डी) अजय ठाकुर</v>
      </c>
      <c r="I229" s="5" t="str">
        <f>IFERROR(__xludf.DUMMYFUNCTION("GOOGLETRANSLATE(D229, ""en"", ""hi"")"),"A) संदीप नरवाल")</f>
        <v>A) संदीप नरवाल</v>
      </c>
    </row>
    <row r="230" ht="22.5" customHeight="1">
      <c r="A230" s="3">
        <v>229.0</v>
      </c>
      <c r="B230" s="4" t="s">
        <v>342</v>
      </c>
      <c r="C230" s="4" t="s">
        <v>278</v>
      </c>
      <c r="D230" s="4" t="s">
        <v>184</v>
      </c>
      <c r="F230" s="5" t="str">
        <f>IFERROR(__xludf.DUMMYFUNCTION("GOOGLETRANSLATE(A230, ""en"", ""hi"")"),"229")</f>
        <v>229</v>
      </c>
      <c r="G230" s="5" t="str">
        <f>IFERROR(__xludf.DUMMYFUNCTION("GOOGLETRANSLATE(B230, ""en"", ""hi"")"),"कौन सी कबड्डी लीग पहली बार थी जिसमें कई देशों की टीमें शामिल थीं?")</f>
        <v>कौन सी कबड्डी लीग पहली बार थी जिसमें कई देशों की टीमें शामिल थीं?</v>
      </c>
      <c r="H230" s="5" t="str">
        <f>IFERROR(__xludf.DUMMYFUNCTION("GOOGLETRANSLATE(C230, ""en"", ""hi"")"),"A) विश्व कबड्डी लीग, B) कबड्डी मास्टर्स, C) प्रो कबड्डी लीग, D) कबड्डी चैम्पियनशिप")</f>
        <v>A) विश्व कबड्डी लीग, B) कबड्डी मास्टर्स, C) प्रो कबड्डी लीग, D) कबड्डी चैम्पियनशिप</v>
      </c>
      <c r="I230" s="5" t="str">
        <f>IFERROR(__xludf.DUMMYFUNCTION("GOOGLETRANSLATE(D230, ""en"", ""hi"")"),"A) विश्व कबड्डी लीग")</f>
        <v>A) विश्व कबड्डी लीग</v>
      </c>
    </row>
    <row r="231" ht="22.5" customHeight="1">
      <c r="A231" s="3">
        <v>230.0</v>
      </c>
      <c r="B231" s="4" t="s">
        <v>446</v>
      </c>
      <c r="C231" s="4" t="s">
        <v>447</v>
      </c>
      <c r="D231" s="4" t="s">
        <v>448</v>
      </c>
      <c r="F231" s="5" t="str">
        <f>IFERROR(__xludf.DUMMYFUNCTION("GOOGLETRANSLATE(A231, ""en"", ""hi"")"),"230")</f>
        <v>230</v>
      </c>
      <c r="G231" s="5" t="str">
        <f>IFERROR(__xludf.DUMMYFUNCTION("GOOGLETRANSLATE(B231, ""en"", ""hi"")"),"कौन सा भारतीय शहर 'कोलकाता कबड्डी चैंपियनशिप' की मेजबानी के लिए जाना जाता है?")</f>
        <v>कौन सा भारतीय शहर 'कोलकाता कबड्डी चैंपियनशिप' की मेजबानी के लिए जाना जाता है?</v>
      </c>
      <c r="H231" s="5" t="str">
        <f>IFERROR(__xludf.DUMMYFUNCTION("GOOGLETRANSLATE(C231, ""en"", ""hi"")"),"ए) कोलकाता, बी) चेन्नई, सी) मुंबई, डी) दिल्ली")</f>
        <v>ए) कोलकाता, बी) चेन्नई, सी) मुंबई, डी) दिल्ली</v>
      </c>
      <c r="I231" s="5" t="str">
        <f>IFERROR(__xludf.DUMMYFUNCTION("GOOGLETRANSLATE(D231, ""en"", ""hi"")"),"ए) कोलकाता")</f>
        <v>ए) कोलकाता</v>
      </c>
    </row>
    <row r="232" ht="22.5" customHeight="1">
      <c r="A232" s="3">
        <v>231.0</v>
      </c>
      <c r="B232" s="4" t="s">
        <v>449</v>
      </c>
      <c r="C232" s="4" t="s">
        <v>287</v>
      </c>
      <c r="D232" s="4" t="s">
        <v>142</v>
      </c>
      <c r="F232" s="5" t="str">
        <f>IFERROR(__xludf.DUMMYFUNCTION("GOOGLETRANSLATE(A232, ""en"", ""hi"")"),"231")</f>
        <v>231</v>
      </c>
      <c r="G232" s="5" t="str">
        <f>IFERROR(__xludf.DUMMYFUNCTION("GOOGLETRANSLATE(B232, ""en"", ""hi"")"),"2018 प्रो कबड्डी लीग सीज़न में किस कबड्डी खिलाड़ी ने सबसे अधिक सफल टैकल हासिल किए?")</f>
        <v>2018 प्रो कबड्डी लीग सीज़न में किस कबड्डी खिलाड़ी ने सबसे अधिक सफल टैकल हासिल किए?</v>
      </c>
      <c r="H232" s="5" t="str">
        <f>IFERROR(__xludf.DUMMYFUNCTION("GOOGLETRANSLATE(C232, ""en"", ""hi"")"),"ए) संदीप नरवाल, बी) मंजीत छिल्लर, सी) नितिन तोमर, डी) अजय ठाकुर")</f>
        <v>ए) संदीप नरवाल, बी) मंजीत छिल्लर, सी) नितिन तोमर, डी) अजय ठाकुर</v>
      </c>
      <c r="I232" s="5" t="str">
        <f>IFERROR(__xludf.DUMMYFUNCTION("GOOGLETRANSLATE(D232, ""en"", ""hi"")"),"A) संदीप नरवाल")</f>
        <v>A) संदीप नरवाल</v>
      </c>
    </row>
    <row r="233" ht="22.5" customHeight="1">
      <c r="A233" s="3">
        <v>232.0</v>
      </c>
      <c r="B233" s="4" t="s">
        <v>450</v>
      </c>
      <c r="C233" s="4" t="s">
        <v>349</v>
      </c>
      <c r="D233" s="4" t="s">
        <v>104</v>
      </c>
      <c r="F233" s="5" t="str">
        <f>IFERROR(__xludf.DUMMYFUNCTION("GOOGLETRANSLATE(A233, ""en"", ""hi"")"),"232")</f>
        <v>232</v>
      </c>
      <c r="G233" s="5" t="str">
        <f>IFERROR(__xludf.DUMMYFUNCTION("GOOGLETRANSLATE(B233, ""en"", ""hi"")"),"कौन सा कबड्डी टूर्नामेंट लीग और नॉकआउट चरणों का संयोजन है और अपनी प्रतिस्पर्धी प्रकृति के लिए जाना जाता है?")</f>
        <v>कौन सा कबड्डी टूर्नामेंट लीग और नॉकआउट चरणों का संयोजन है और अपनी प्रतिस्पर्धी प्रकृति के लिए जाना जाता है?</v>
      </c>
      <c r="H233" s="5" t="str">
        <f>IFERROR(__xludf.DUMMYFUNCTION("GOOGLETRANSLATE(C233, ""en"", ""hi"")"),"A) प्रो कबड्डी लीग, B) कबड्डी मास्टर्स, C) कबड्डी विश्व कप, D) विश्व कबड्डी लीग")</f>
        <v>A) प्रो कबड्डी लीग, B) कबड्डी मास्टर्स, C) कबड्डी विश्व कप, D) विश्व कबड्डी लीग</v>
      </c>
      <c r="I233" s="5" t="str">
        <f>IFERROR(__xludf.DUMMYFUNCTION("GOOGLETRANSLATE(D233, ""en"", ""hi"")"),"A) प्रो कबड्डी लीग")</f>
        <v>A) प्रो कबड्डी लीग</v>
      </c>
    </row>
    <row r="234" ht="22.5" customHeight="1">
      <c r="A234" s="3">
        <v>233.0</v>
      </c>
      <c r="B234" s="4" t="s">
        <v>451</v>
      </c>
      <c r="C234" s="4" t="s">
        <v>242</v>
      </c>
      <c r="D234" s="4" t="s">
        <v>95</v>
      </c>
      <c r="F234" s="5" t="str">
        <f>IFERROR(__xludf.DUMMYFUNCTION("GOOGLETRANSLATE(A234, ""en"", ""hi"")"),"233")</f>
        <v>233</v>
      </c>
      <c r="G234" s="5" t="str">
        <f>IFERROR(__xludf.DUMMYFUNCTION("GOOGLETRANSLATE(B234, ""en"", ""hi"")"),"कौन सा कबड्डी खिलाड़ी अपने असाधारण रेडिंग कौशल के लिए जाना जाता था और उसे 2018 कबड्डी विश्व कप में 'सर्वश्रेष्ठ रेडर' से सम्मानित किया गया था?")</f>
        <v>कौन सा कबड्डी खिलाड़ी अपने असाधारण रेडिंग कौशल के लिए जाना जाता था और उसे 2018 कबड्डी विश्व कप में 'सर्वश्रेष्ठ रेडर' से सम्मानित किया गया था?</v>
      </c>
      <c r="H234" s="5" t="str">
        <f>IFERROR(__xludf.DUMMYFUNCTION("GOOGLETRANSLATE(C234, ""en"", ""hi"")"),"ए) प्रदीप नरवाल, बी) राहुल चौधरी, सी) दीपक निवास हुडा, डी) रिशांक देवाडिगा")</f>
        <v>ए) प्रदीप नरवाल, बी) राहुल चौधरी, सी) दीपक निवास हुडा, डी) रिशांक देवाडिगा</v>
      </c>
      <c r="I234" s="5" t="str">
        <f>IFERROR(__xludf.DUMMYFUNCTION("GOOGLETRANSLATE(D234, ""en"", ""hi"")"),"A) प्रदीप नरवाल")</f>
        <v>A) प्रदीप नरवाल</v>
      </c>
    </row>
    <row r="235" ht="22.5" customHeight="1">
      <c r="A235" s="3">
        <v>234.0</v>
      </c>
      <c r="B235" s="4" t="s">
        <v>452</v>
      </c>
      <c r="C235" s="4" t="s">
        <v>152</v>
      </c>
      <c r="D235" s="4" t="s">
        <v>95</v>
      </c>
      <c r="F235" s="5" t="str">
        <f>IFERROR(__xludf.DUMMYFUNCTION("GOOGLETRANSLATE(A235, ""en"", ""hi"")"),"234")</f>
        <v>234</v>
      </c>
      <c r="G235" s="5" t="str">
        <f>IFERROR(__xludf.DUMMYFUNCTION("GOOGLETRANSLATE(B235, ""en"", ""hi"")"),"कौन सा कबड्डी खिलाड़ी एक प्रो कबड्डी लीग सीज़न में 300 अंक हासिल करने वाला पहला खिलाड़ी बन गया?")</f>
        <v>कौन सा कबड्डी खिलाड़ी एक प्रो कबड्डी लीग सीज़न में 300 अंक हासिल करने वाला पहला खिलाड़ी बन गया?</v>
      </c>
      <c r="H235" s="5" t="str">
        <f>IFERROR(__xludf.DUMMYFUNCTION("GOOGLETRANSLATE(C235, ""en"", ""hi"")"),"ए) प्रदीप नरवाल, बी) राहुल चौधरी, सी) दीपक निवास हुडा, डी) नितिन तोमर")</f>
        <v>ए) प्रदीप नरवाल, बी) राहुल चौधरी, सी) दीपक निवास हुडा, डी) नितिन तोमर</v>
      </c>
      <c r="I235" s="5" t="str">
        <f>IFERROR(__xludf.DUMMYFUNCTION("GOOGLETRANSLATE(D235, ""en"", ""hi"")"),"A) प्रदीप नरवाल")</f>
        <v>A) प्रदीप नरवाल</v>
      </c>
    </row>
    <row r="236" ht="22.5" customHeight="1">
      <c r="A236" s="3">
        <v>235.0</v>
      </c>
      <c r="B236" s="4" t="s">
        <v>453</v>
      </c>
      <c r="C236" s="4" t="s">
        <v>422</v>
      </c>
      <c r="D236" s="4" t="s">
        <v>195</v>
      </c>
      <c r="F236" s="5" t="str">
        <f>IFERROR(__xludf.DUMMYFUNCTION("GOOGLETRANSLATE(A236, ""en"", ""hi"")"),"235")</f>
        <v>235</v>
      </c>
      <c r="G236" s="5" t="str">
        <f>IFERROR(__xludf.DUMMYFUNCTION("GOOGLETRANSLATE(B236, ""en"", ""hi"")"),"2019 कबड्डी विश्व कप में किस कबड्डी खिलाड़ी को 'सर्वश्रेष्ठ ऑलराउंडर' का खिताब दिया गया?")</f>
        <v>2019 कबड्डी विश्व कप में किस कबड्डी खिलाड़ी को 'सर्वश्रेष्ठ ऑलराउंडर' का खिताब दिया गया?</v>
      </c>
      <c r="H236" s="5" t="str">
        <f>IFERROR(__xludf.DUMMYFUNCTION("GOOGLETRANSLATE(C236, ""en"", ""hi"")"),"ए) मंजीत छिल्लर, बी) दीपक निवास हुडा, सी) प्रदीप नरवाल, डी) राहुल चौधरी")</f>
        <v>ए) मंजीत छिल्लर, बी) दीपक निवास हुडा, सी) प्रदीप नरवाल, डी) राहुल चौधरी</v>
      </c>
      <c r="I236" s="5" t="str">
        <f>IFERROR(__xludf.DUMMYFUNCTION("GOOGLETRANSLATE(D236, ""en"", ""hi"")"),"A) मंजीत छिल्लर")</f>
        <v>A) मंजीत छिल्लर</v>
      </c>
    </row>
    <row r="237" ht="22.5" customHeight="1">
      <c r="A237" s="3">
        <v>236.0</v>
      </c>
      <c r="B237" s="4" t="s">
        <v>454</v>
      </c>
      <c r="C237" s="4" t="s">
        <v>455</v>
      </c>
      <c r="D237" s="4" t="s">
        <v>150</v>
      </c>
      <c r="F237" s="5" t="str">
        <f>IFERROR(__xludf.DUMMYFUNCTION("GOOGLETRANSLATE(A237, ""en"", ""hi"")"),"236")</f>
        <v>236</v>
      </c>
      <c r="G237" s="5" t="str">
        <f>IFERROR(__xludf.DUMMYFUNCTION("GOOGLETRANSLATE(B237, ""en"", ""hi"")"),"कौन सा भारतीय राज्य पानीपत शहर में वार्षिक 'कबड्डी चैंपियनशिप' की मेजबानी के लिए जाना जाता है?")</f>
        <v>कौन सा भारतीय राज्य पानीपत शहर में वार्षिक 'कबड्डी चैंपियनशिप' की मेजबानी के लिए जाना जाता है?</v>
      </c>
      <c r="H237" s="5" t="str">
        <f>IFERROR(__xludf.DUMMYFUNCTION("GOOGLETRANSLATE(C237, ""en"", ""hi"")"),"ए) हरियाणा, बी) पंजाब, सी) उत्तर प्रदेश, डी) राजस्थान")</f>
        <v>ए) हरियाणा, बी) पंजाब, सी) उत्तर प्रदेश, डी) राजस्थान</v>
      </c>
      <c r="I237" s="5" t="str">
        <f>IFERROR(__xludf.DUMMYFUNCTION("GOOGLETRANSLATE(D237, ""en"", ""hi"")"),"A) हरियाणा")</f>
        <v>A) हरियाणा</v>
      </c>
    </row>
    <row r="238" ht="22.5" customHeight="1">
      <c r="A238" s="3">
        <v>237.0</v>
      </c>
      <c r="B238" s="4" t="s">
        <v>456</v>
      </c>
      <c r="C238" s="4" t="s">
        <v>333</v>
      </c>
      <c r="D238" s="4" t="s">
        <v>457</v>
      </c>
      <c r="F238" s="5" t="str">
        <f>IFERROR(__xludf.DUMMYFUNCTION("GOOGLETRANSLATE(A238, ""en"", ""hi"")"),"237")</f>
        <v>237</v>
      </c>
      <c r="G238" s="5" t="str">
        <f>IFERROR(__xludf.DUMMYFUNCTION("GOOGLETRANSLATE(B238, ""en"", ""hi"")"),"कौन सा कबड्डी खिलाड़ी अपने असाधारण नेतृत्व के लिए जाना जाता था और जिसने 2018 कबड्डी विश्व कप में भारत को जीत दिलाई?")</f>
        <v>कौन सा कबड्डी खिलाड़ी अपने असाधारण नेतृत्व के लिए जाना जाता था और जिसने 2018 कबड्डी विश्व कप में भारत को जीत दिलाई?</v>
      </c>
      <c r="H238" s="5" t="str">
        <f>IFERROR(__xludf.DUMMYFUNCTION("GOOGLETRANSLATE(C238, ""en"", ""hi"")"),"ए) अनुप कुमार, बी) अजय ठाकुर, सी) राकेश कुमार, डी) प्रदीप नरवाल")</f>
        <v>ए) अनुप कुमार, बी) अजय ठाकुर, सी) राकेश कुमार, डी) प्रदीप नरवाल</v>
      </c>
      <c r="I238" s="5" t="str">
        <f>IFERROR(__xludf.DUMMYFUNCTION("GOOGLETRANSLATE(D238, ""en"", ""hi"")"),"बी) अजय ठाकुर")</f>
        <v>बी) अजय ठाकुर</v>
      </c>
    </row>
    <row r="239" ht="22.5" customHeight="1">
      <c r="A239" s="3">
        <v>238.0</v>
      </c>
      <c r="B239" s="4" t="s">
        <v>458</v>
      </c>
      <c r="C239" s="4" t="s">
        <v>346</v>
      </c>
      <c r="D239" s="4" t="s">
        <v>316</v>
      </c>
      <c r="F239" s="5" t="str">
        <f>IFERROR(__xludf.DUMMYFUNCTION("GOOGLETRANSLATE(A239, ""en"", ""hi"")"),"238")</f>
        <v>238</v>
      </c>
      <c r="G239" s="5" t="str">
        <f>IFERROR(__xludf.DUMMYFUNCTION("GOOGLETRANSLATE(B239, ""en"", ""hi"")"),"कौन सी कबड्डी लीग में विभिन्न दक्षिण एशियाई देशों की टीमें शामिल हैं और इसकी स्थापना 2014 में हुई थी?")</f>
        <v>कौन सी कबड्डी लीग में विभिन्न दक्षिण एशियाई देशों की टीमें शामिल हैं और इसकी स्थापना 2014 में हुई थी?</v>
      </c>
      <c r="H239" s="5" t="str">
        <f>IFERROR(__xludf.DUMMYFUNCTION("GOOGLETRANSLATE(C239, ""en"", ""hi"")"),"A) कबड्डी मास्टर्स, B) प्रो कबड्डी लीग, C) विश्व कबड्डी लीग, D) कबड्डी चैम्पियनशिप")</f>
        <v>A) कबड्डी मास्टर्स, B) प्रो कबड्डी लीग, C) विश्व कबड्डी लीग, D) कबड्डी चैम्पियनशिप</v>
      </c>
      <c r="I239" s="5" t="str">
        <f>IFERROR(__xludf.DUMMYFUNCTION("GOOGLETRANSLATE(D239, ""en"", ""hi"")"),"A) कबड्डी मास्टर्स")</f>
        <v>A) कबड्डी मास्टर्स</v>
      </c>
    </row>
    <row r="240" ht="22.5" customHeight="1">
      <c r="A240" s="3">
        <v>239.0</v>
      </c>
      <c r="B240" s="4" t="s">
        <v>459</v>
      </c>
      <c r="C240" s="4" t="s">
        <v>152</v>
      </c>
      <c r="D240" s="4" t="s">
        <v>95</v>
      </c>
      <c r="F240" s="5" t="str">
        <f>IFERROR(__xludf.DUMMYFUNCTION("GOOGLETRANSLATE(A240, ""en"", ""hi"")"),"239")</f>
        <v>239</v>
      </c>
      <c r="G240" s="5" t="str">
        <f>IFERROR(__xludf.DUMMYFUNCTION("GOOGLETRANSLATE(B240, ""en"", ""hi"")"),"किस कबड्डी खिलाड़ी ने 2019 प्रो कबड्डी लीग सीज़न में सबसे सफल रेड का रिकॉर्ड बनाया?")</f>
        <v>किस कबड्डी खिलाड़ी ने 2019 प्रो कबड्डी लीग सीज़न में सबसे सफल रेड का रिकॉर्ड बनाया?</v>
      </c>
      <c r="H240" s="5" t="str">
        <f>IFERROR(__xludf.DUMMYFUNCTION("GOOGLETRANSLATE(C240, ""en"", ""hi"")"),"ए) प्रदीप नरवाल, बी) राहुल चौधरी, सी) दीपक निवास हुडा, डी) नितिन तोमर")</f>
        <v>ए) प्रदीप नरवाल, बी) राहुल चौधरी, सी) दीपक निवास हुडा, डी) नितिन तोमर</v>
      </c>
      <c r="I240" s="5" t="str">
        <f>IFERROR(__xludf.DUMMYFUNCTION("GOOGLETRANSLATE(D240, ""en"", ""hi"")"),"A) प्रदीप नरवाल")</f>
        <v>A) प्रदीप नरवाल</v>
      </c>
    </row>
    <row r="241" ht="22.5" customHeight="1">
      <c r="A241" s="3">
        <v>240.0</v>
      </c>
      <c r="B241" s="4" t="s">
        <v>460</v>
      </c>
      <c r="C241" s="4" t="s">
        <v>461</v>
      </c>
      <c r="D241" s="4" t="s">
        <v>462</v>
      </c>
      <c r="F241" s="5" t="str">
        <f>IFERROR(__xludf.DUMMYFUNCTION("GOOGLETRANSLATE(A241, ""en"", ""hi"")"),"240")</f>
        <v>240</v>
      </c>
      <c r="G241" s="5" t="str">
        <f>IFERROR(__xludf.DUMMYFUNCTION("GOOGLETRANSLATE(B241, ""en"", ""hi"")"),"कौन सा भारतीय शहर 'बैंगलोर कबड्डी चैंपियनशिप' की मेजबानी के लिए जाना जाता है?")</f>
        <v>कौन सा भारतीय शहर 'बैंगलोर कबड्डी चैंपियनशिप' की मेजबानी के लिए जाना जाता है?</v>
      </c>
      <c r="H241" s="5" t="str">
        <f>IFERROR(__xludf.DUMMYFUNCTION("GOOGLETRANSLATE(C241, ""en"", ""hi"")"),"A) बैंगलोर, B) चेन्नई, C) मुंबई, D) दिल्ली")</f>
        <v>A) बैंगलोर, B) चेन्नई, C) मुंबई, D) दिल्ली</v>
      </c>
      <c r="I241" s="5" t="str">
        <f>IFERROR(__xludf.DUMMYFUNCTION("GOOGLETRANSLATE(D241, ""en"", ""hi"")"),"ए) बैंगलोर")</f>
        <v>ए) बैंगलोर</v>
      </c>
    </row>
    <row r="242" ht="22.5" customHeight="1">
      <c r="A242" s="3">
        <v>241.0</v>
      </c>
      <c r="B242" s="4" t="s">
        <v>463</v>
      </c>
      <c r="C242" s="4" t="s">
        <v>152</v>
      </c>
      <c r="D242" s="4" t="s">
        <v>95</v>
      </c>
      <c r="F242" s="5" t="str">
        <f>IFERROR(__xludf.DUMMYFUNCTION("GOOGLETRANSLATE(A242, ""en"", ""hi"")"),"241")</f>
        <v>241</v>
      </c>
      <c r="G242" s="5" t="str">
        <f>IFERROR(__xludf.DUMMYFUNCTION("GOOGLETRANSLATE(B242, ""en"", ""hi"")"),"कौन सा कबड्डी खिलाड़ी एक प्रो कबड्डी लीग सीज़न में 200 रेड अंक हासिल करने वाला पहला खिलाड़ी बन गया?")</f>
        <v>कौन सा कबड्डी खिलाड़ी एक प्रो कबड्डी लीग सीज़न में 200 रेड अंक हासिल करने वाला पहला खिलाड़ी बन गया?</v>
      </c>
      <c r="H242" s="5" t="str">
        <f>IFERROR(__xludf.DUMMYFUNCTION("GOOGLETRANSLATE(C242, ""en"", ""hi"")"),"ए) प्रदीप नरवाल, बी) राहुल चौधरी, सी) दीपक निवास हुडा, डी) नितिन तोमर")</f>
        <v>ए) प्रदीप नरवाल, बी) राहुल चौधरी, सी) दीपक निवास हुडा, डी) नितिन तोमर</v>
      </c>
      <c r="I242" s="5" t="str">
        <f>IFERROR(__xludf.DUMMYFUNCTION("GOOGLETRANSLATE(D242, ""en"", ""hi"")"),"A) प्रदीप नरवाल")</f>
        <v>A) प्रदीप नरवाल</v>
      </c>
    </row>
    <row r="243" ht="22.5" customHeight="1">
      <c r="A243" s="3">
        <v>242.0</v>
      </c>
      <c r="B243" s="4" t="s">
        <v>464</v>
      </c>
      <c r="C243" s="4" t="s">
        <v>318</v>
      </c>
      <c r="D243" s="4" t="s">
        <v>319</v>
      </c>
      <c r="F243" s="5" t="str">
        <f>IFERROR(__xludf.DUMMYFUNCTION("GOOGLETRANSLATE(A243, ""en"", ""hi"")"),"242")</f>
        <v>242</v>
      </c>
      <c r="G243" s="5" t="str">
        <f>IFERROR(__xludf.DUMMYFUNCTION("GOOGLETRANSLATE(B243, ""en"", ""hi"")"),"कौन सा कबड्डी टूर्नामेंट पारंपरिक कबड्डी और आधुनिक नियमों के संयोजन के लिए जाना जाता है?")</f>
        <v>कौन सा कबड्डी टूर्नामेंट पारंपरिक कबड्डी और आधुनिक नियमों के संयोजन के लिए जाना जाता है?</v>
      </c>
      <c r="H243" s="5" t="str">
        <f>IFERROR(__xludf.DUMMYFUNCTION("GOOGLETRANSLATE(C243, ""en"", ""hi"")"),"A) कबड्डी मास्टर्स, B) प्रो कबड्डी लीग, C) कबड्डी विश्व कप, D) विश्व कबड्डी लीग")</f>
        <v>A) कबड्डी मास्टर्स, B) प्रो कबड्डी लीग, C) कबड्डी विश्व कप, D) विश्व कबड्डी लीग</v>
      </c>
      <c r="I243" s="5" t="str">
        <f>IFERROR(__xludf.DUMMYFUNCTION("GOOGLETRANSLATE(D243, ""en"", ""hi"")"),"बी) प्रो कबड्डी लीग")</f>
        <v>बी) प्रो कबड्डी लीग</v>
      </c>
    </row>
    <row r="244" ht="22.5" customHeight="1">
      <c r="A244" s="3">
        <v>243.0</v>
      </c>
      <c r="B244" s="4" t="s">
        <v>465</v>
      </c>
      <c r="C244" s="4" t="s">
        <v>242</v>
      </c>
      <c r="D244" s="4" t="s">
        <v>95</v>
      </c>
      <c r="F244" s="5" t="str">
        <f>IFERROR(__xludf.DUMMYFUNCTION("GOOGLETRANSLATE(A244, ""en"", ""hi"")"),"243")</f>
        <v>243</v>
      </c>
      <c r="G244" s="5" t="str">
        <f>IFERROR(__xludf.DUMMYFUNCTION("GOOGLETRANSLATE(B244, ""en"", ""hi"")"),"2016 कबड्डी विश्व कप में किस कबड्डी खिलाड़ी को 'बेस्ट रेडर' का खिताब दिया गया?")</f>
        <v>2016 कबड्डी विश्व कप में किस कबड्डी खिलाड़ी को 'बेस्ट रेडर' का खिताब दिया गया?</v>
      </c>
      <c r="H244" s="5" t="str">
        <f>IFERROR(__xludf.DUMMYFUNCTION("GOOGLETRANSLATE(C244, ""en"", ""hi"")"),"ए) प्रदीप नरवाल, बी) राहुल चौधरी, सी) दीपक निवास हुडा, डी) रिशांक देवाडिगा")</f>
        <v>ए) प्रदीप नरवाल, बी) राहुल चौधरी, सी) दीपक निवास हुडा, डी) रिशांक देवाडिगा</v>
      </c>
      <c r="I244" s="5" t="str">
        <f>IFERROR(__xludf.DUMMYFUNCTION("GOOGLETRANSLATE(D244, ""en"", ""hi"")"),"A) प्रदीप नरवाल")</f>
        <v>A) प्रदीप नरवाल</v>
      </c>
    </row>
    <row r="245" ht="22.5" customHeight="1">
      <c r="A245" s="3">
        <v>244.0</v>
      </c>
      <c r="B245" s="4" t="s">
        <v>466</v>
      </c>
      <c r="C245" s="4" t="s">
        <v>287</v>
      </c>
      <c r="D245" s="4" t="s">
        <v>142</v>
      </c>
      <c r="F245" s="5" t="str">
        <f>IFERROR(__xludf.DUMMYFUNCTION("GOOGLETRANSLATE(A245, ""en"", ""hi"")"),"244")</f>
        <v>244</v>
      </c>
      <c r="G245" s="5" t="str">
        <f>IFERROR(__xludf.DUMMYFUNCTION("GOOGLETRANSLATE(B245, ""en"", ""hi"")"),"किस कबड्डी खिलाड़ी ने 2019 प्रो कबड्डी लीग में एक ही मैच में सबसे अधिक सफल टैकल का रिकॉर्ड बनाया?")</f>
        <v>किस कबड्डी खिलाड़ी ने 2019 प्रो कबड्डी लीग में एक ही मैच में सबसे अधिक सफल टैकल का रिकॉर्ड बनाया?</v>
      </c>
      <c r="H245" s="5" t="str">
        <f>IFERROR(__xludf.DUMMYFUNCTION("GOOGLETRANSLATE(C245, ""en"", ""hi"")"),"ए) संदीप नरवाल, बी) मंजीत छिल्लर, सी) नितिन तोमर, डी) अजय ठाकुर")</f>
        <v>ए) संदीप नरवाल, बी) मंजीत छिल्लर, सी) नितिन तोमर, डी) अजय ठाकुर</v>
      </c>
      <c r="I245" s="5" t="str">
        <f>IFERROR(__xludf.DUMMYFUNCTION("GOOGLETRANSLATE(D245, ""en"", ""hi"")"),"A) संदीप नरवाल")</f>
        <v>A) संदीप नरवाल</v>
      </c>
    </row>
    <row r="246" ht="22.5" customHeight="1">
      <c r="A246" s="3">
        <v>245.0</v>
      </c>
      <c r="B246" s="4" t="s">
        <v>467</v>
      </c>
      <c r="C246" s="4" t="s">
        <v>420</v>
      </c>
      <c r="D246" s="4" t="s">
        <v>125</v>
      </c>
      <c r="F246" s="5" t="str">
        <f>IFERROR(__xludf.DUMMYFUNCTION("GOOGLETRANSLATE(A246, ""en"", ""hi"")"),"245")</f>
        <v>245</v>
      </c>
      <c r="G246" s="5" t="str">
        <f>IFERROR(__xludf.DUMMYFUNCTION("GOOGLETRANSLATE(B246, ""en"", ""hi"")"),"कौन सा भारतीय राज्य अपने पारंपरिक कबड्डी टूर्नामेंट 'जयपुर कबड्डी टूर्नामेंट' के लिए प्रसिद्ध है?")</f>
        <v>कौन सा भारतीय राज्य अपने पारंपरिक कबड्डी टूर्नामेंट 'जयपुर कबड्डी टूर्नामेंट' के लिए प्रसिद्ध है?</v>
      </c>
      <c r="H246" s="5" t="str">
        <f>IFERROR(__xludf.DUMMYFUNCTION("GOOGLETRANSLATE(C246, ""en"", ""hi"")"),"ए) राजस्थान, बी) पंजाब, सी) हरियाणा, डी) उत्तर प्रदेश")</f>
        <v>ए) राजस्थान, बी) पंजाब, सी) हरियाणा, डी) उत्तर प्रदेश</v>
      </c>
      <c r="I246" s="5" t="str">
        <f>IFERROR(__xludf.DUMMYFUNCTION("GOOGLETRANSLATE(D246, ""en"", ""hi"")"),"A) राजस्थान")</f>
        <v>A) राजस्थान</v>
      </c>
    </row>
    <row r="247" ht="22.5" customHeight="1">
      <c r="A247" s="3">
        <v>246.0</v>
      </c>
      <c r="B247" s="4" t="s">
        <v>468</v>
      </c>
      <c r="C247" s="4" t="s">
        <v>278</v>
      </c>
      <c r="D247" s="4" t="s">
        <v>184</v>
      </c>
      <c r="F247" s="5" t="str">
        <f>IFERROR(__xludf.DUMMYFUNCTION("GOOGLETRANSLATE(A247, ""en"", ""hi"")"),"246")</f>
        <v>246</v>
      </c>
      <c r="G247" s="5" t="str">
        <f>IFERROR(__xludf.DUMMYFUNCTION("GOOGLETRANSLATE(B247, ""en"", ""hi"")"),"कौन सी कबड्डी लीग पहली ऐसी लीग थी जिसमें कई देशों की टीमें शामिल थीं और इसकी स्थापना 2014 में हुई थी?")</f>
        <v>कौन सी कबड्डी लीग पहली ऐसी लीग थी जिसमें कई देशों की टीमें शामिल थीं और इसकी स्थापना 2014 में हुई थी?</v>
      </c>
      <c r="H247" s="5" t="str">
        <f>IFERROR(__xludf.DUMMYFUNCTION("GOOGLETRANSLATE(C247, ""en"", ""hi"")"),"A) विश्व कबड्डी लीग, B) कबड्डी मास्टर्स, C) प्रो कबड्डी लीग, D) कबड्डी चैम्पियनशिप")</f>
        <v>A) विश्व कबड्डी लीग, B) कबड्डी मास्टर्स, C) प्रो कबड्डी लीग, D) कबड्डी चैम्पियनशिप</v>
      </c>
      <c r="I247" s="5" t="str">
        <f>IFERROR(__xludf.DUMMYFUNCTION("GOOGLETRANSLATE(D247, ""en"", ""hi"")"),"A) विश्व कबड्डी लीग")</f>
        <v>A) विश्व कबड्डी लीग</v>
      </c>
    </row>
    <row r="248" ht="22.5" customHeight="1">
      <c r="A248" s="3">
        <v>247.0</v>
      </c>
      <c r="B248" s="4" t="s">
        <v>469</v>
      </c>
      <c r="C248" s="4" t="s">
        <v>338</v>
      </c>
      <c r="D248" s="4" t="s">
        <v>155</v>
      </c>
      <c r="F248" s="5" t="str">
        <f>IFERROR(__xludf.DUMMYFUNCTION("GOOGLETRANSLATE(A248, ""en"", ""hi"")"),"247")</f>
        <v>247</v>
      </c>
      <c r="G248" s="5" t="str">
        <f>IFERROR(__xludf.DUMMYFUNCTION("GOOGLETRANSLATE(B248, ""en"", ""hi"")"),"कौन सा कबड्डी खिलाड़ी अपने असाधारण रक्षात्मक कौशल के लिए जाना जाता था और उसे 2016 प्रो कबड्डी लीग में 'सर्वश्रेष्ठ डिफेंडर' से सम्मानित किया गया था?")</f>
        <v>कौन सा कबड्डी खिलाड़ी अपने असाधारण रक्षात्मक कौशल के लिए जाना जाता था और उसे 2016 प्रो कबड्डी लीग में 'सर्वश्रेष्ठ डिफेंडर' से सम्मानित किया गया था?</v>
      </c>
      <c r="H248" s="5" t="str">
        <f>IFERROR(__xludf.DUMMYFUNCTION("GOOGLETRANSLATE(C248, ""en"", ""hi"")"),"ए) मंजीत छिल्लर, बी) संदीप नरवाल, सी) नितिन तोमर, डी) अजय ठाकुर")</f>
        <v>ए) मंजीत छिल्लर, बी) संदीप नरवाल, सी) नितिन तोमर, डी) अजय ठाकुर</v>
      </c>
      <c r="I248" s="5" t="str">
        <f>IFERROR(__xludf.DUMMYFUNCTION("GOOGLETRANSLATE(D248, ""en"", ""hi"")"),"B) संदीप नरवाल")</f>
        <v>B) संदीप नरवाल</v>
      </c>
    </row>
    <row r="249" ht="22.5" customHeight="1">
      <c r="A249" s="3">
        <v>248.0</v>
      </c>
      <c r="B249" s="4" t="s">
        <v>470</v>
      </c>
      <c r="C249" s="4" t="s">
        <v>287</v>
      </c>
      <c r="D249" s="4" t="s">
        <v>142</v>
      </c>
      <c r="F249" s="5" t="str">
        <f>IFERROR(__xludf.DUMMYFUNCTION("GOOGLETRANSLATE(A249, ""en"", ""hi"")"),"248")</f>
        <v>248</v>
      </c>
      <c r="G249" s="5" t="str">
        <f>IFERROR(__xludf.DUMMYFUNCTION("GOOGLETRANSLATE(B249, ""en"", ""hi"")"),"कौन सा कबड्डी खिलाड़ी एक प्रो कबड्डी लीग सीज़न में 100 सफल टैकल हासिल करने वाला पहला खिलाड़ी बन गया?")</f>
        <v>कौन सा कबड्डी खिलाड़ी एक प्रो कबड्डी लीग सीज़न में 100 सफल टैकल हासिल करने वाला पहला खिलाड़ी बन गया?</v>
      </c>
      <c r="H249" s="5" t="str">
        <f>IFERROR(__xludf.DUMMYFUNCTION("GOOGLETRANSLATE(C249, ""en"", ""hi"")"),"ए) संदीप नरवाल, बी) मंजीत छिल्लर, सी) नितिन तोमर, डी) अजय ठाकुर")</f>
        <v>ए) संदीप नरवाल, बी) मंजीत छिल्लर, सी) नितिन तोमर, डी) अजय ठाकुर</v>
      </c>
      <c r="I249" s="5" t="str">
        <f>IFERROR(__xludf.DUMMYFUNCTION("GOOGLETRANSLATE(D249, ""en"", ""hi"")"),"A) संदीप नरवाल")</f>
        <v>A) संदीप नरवाल</v>
      </c>
    </row>
    <row r="250" ht="22.5" customHeight="1">
      <c r="A250" s="3">
        <v>249.0</v>
      </c>
      <c r="B250" s="4" t="s">
        <v>471</v>
      </c>
      <c r="C250" s="4" t="s">
        <v>242</v>
      </c>
      <c r="D250" s="4" t="s">
        <v>95</v>
      </c>
      <c r="F250" s="5" t="str">
        <f>IFERROR(__xludf.DUMMYFUNCTION("GOOGLETRANSLATE(A250, ""en"", ""hi"")"),"249")</f>
        <v>249</v>
      </c>
      <c r="G250" s="5" t="str">
        <f>IFERROR(__xludf.DUMMYFUNCTION("GOOGLETRANSLATE(B250, ""en"", ""hi"")"),"2018 कबड्डी विश्व कप में कौन सा कबड्डी खिलाड़ी शीर्ष स्कोरर था?")</f>
        <v>2018 कबड्डी विश्व कप में कौन सा कबड्डी खिलाड़ी शीर्ष स्कोरर था?</v>
      </c>
      <c r="H250" s="5" t="str">
        <f>IFERROR(__xludf.DUMMYFUNCTION("GOOGLETRANSLATE(C250, ""en"", ""hi"")"),"ए) प्रदीप नरवाल, बी) राहुल चौधरी, सी) दीपक निवास हुडा, डी) रिशांक देवाडिगा")</f>
        <v>ए) प्रदीप नरवाल, बी) राहुल चौधरी, सी) दीपक निवास हुडा, डी) रिशांक देवाडिगा</v>
      </c>
      <c r="I250" s="5" t="str">
        <f>IFERROR(__xludf.DUMMYFUNCTION("GOOGLETRANSLATE(D250, ""en"", ""hi"")"),"A) प्रदीप नरवाल")</f>
        <v>A) प्रदीप नरवाल</v>
      </c>
    </row>
    <row r="251" ht="22.5" customHeight="1">
      <c r="A251" s="3">
        <v>250.0</v>
      </c>
      <c r="B251" s="4" t="s">
        <v>472</v>
      </c>
      <c r="C251" s="4" t="s">
        <v>473</v>
      </c>
      <c r="D251" s="4" t="s">
        <v>474</v>
      </c>
      <c r="F251" s="5" t="str">
        <f>IFERROR(__xludf.DUMMYFUNCTION("GOOGLETRANSLATE(A251, ""en"", ""hi"")"),"250")</f>
        <v>250</v>
      </c>
      <c r="G251" s="5" t="str">
        <f>IFERROR(__xludf.DUMMYFUNCTION("GOOGLETRANSLATE(B251, ""en"", ""hi"")"),"कौन सा भारतीय शहर वार्षिक 'पटना कबड्डी टूर्नामेंट' की मेजबानी के लिए जाना जाता है?")</f>
        <v>कौन सा भारतीय शहर वार्षिक 'पटना कबड्डी टूर्नामेंट' की मेजबानी के लिए जाना जाता है?</v>
      </c>
      <c r="H251" s="5" t="str">
        <f>IFERROR(__xludf.DUMMYFUNCTION("GOOGLETRANSLATE(C251, ""en"", ""hi"")"),"ए) पटना, बी) दिल्ली, सी) मुंबई, डी) कोलकाता")</f>
        <v>ए) पटना, बी) दिल्ली, सी) मुंबई, डी) कोलकाता</v>
      </c>
      <c r="I251" s="5" t="str">
        <f>IFERROR(__xludf.DUMMYFUNCTION("GOOGLETRANSLATE(D251, ""en"", ""hi"")"),"ए) पटना")</f>
        <v>ए) पटना</v>
      </c>
    </row>
    <row r="252" ht="22.5" customHeight="1">
      <c r="A252" s="3">
        <v>251.0</v>
      </c>
      <c r="B252" s="4" t="s">
        <v>475</v>
      </c>
      <c r="C252" s="4" t="s">
        <v>242</v>
      </c>
      <c r="D252" s="4" t="s">
        <v>95</v>
      </c>
      <c r="F252" s="5" t="str">
        <f>IFERROR(__xludf.DUMMYFUNCTION("GOOGLETRANSLATE(A252, ""en"", ""hi"")"),"251")</f>
        <v>251</v>
      </c>
      <c r="G252" s="5" t="str">
        <f>IFERROR(__xludf.DUMMYFUNCTION("GOOGLETRANSLATE(B252, ""en"", ""hi"")"),"कौन सा कबड्डी खिलाड़ी अपनी रणनीतिक रेडिंग के लिए जाना जाता था और उसे 2017 कबड्डी विश्व कप में 'सर्वश्रेष्ठ रेडर' से सम्मानित किया गया था?")</f>
        <v>कौन सा कबड्डी खिलाड़ी अपनी रणनीतिक रेडिंग के लिए जाना जाता था और उसे 2017 कबड्डी विश्व कप में 'सर्वश्रेष्ठ रेडर' से सम्मानित किया गया था?</v>
      </c>
      <c r="H252" s="5" t="str">
        <f>IFERROR(__xludf.DUMMYFUNCTION("GOOGLETRANSLATE(C252, ""en"", ""hi"")"),"ए) प्रदीप नरवाल, बी) राहुल चौधरी, सी) दीपक निवास हुडा, डी) रिशांक देवाडिगा")</f>
        <v>ए) प्रदीप नरवाल, बी) राहुल चौधरी, सी) दीपक निवास हुडा, डी) रिशांक देवाडिगा</v>
      </c>
      <c r="I252" s="5" t="str">
        <f>IFERROR(__xludf.DUMMYFUNCTION("GOOGLETRANSLATE(D252, ""en"", ""hi"")"),"A) प्रदीप नरवाल")</f>
        <v>A) प्रदीप नरवाल</v>
      </c>
    </row>
    <row r="253" ht="22.5" customHeight="1">
      <c r="A253" s="3">
        <v>252.0</v>
      </c>
      <c r="B253" s="4" t="s">
        <v>476</v>
      </c>
      <c r="C253" s="4" t="s">
        <v>356</v>
      </c>
      <c r="D253" s="4" t="s">
        <v>119</v>
      </c>
      <c r="F253" s="5" t="str">
        <f>IFERROR(__xludf.DUMMYFUNCTION("GOOGLETRANSLATE(A253, ""en"", ""hi"")"),"252")</f>
        <v>252</v>
      </c>
      <c r="G253" s="5" t="str">
        <f>IFERROR(__xludf.DUMMYFUNCTION("GOOGLETRANSLATE(B253, ""en"", ""hi"")"),"कौन से कबड्डी टूर्नामेंट में पारंपरिक कबड्डी देशों और उभरते बाजारों दोनों की टीमें शामिल हैं?")</f>
        <v>कौन से कबड्डी टूर्नामेंट में पारंपरिक कबड्डी देशों और उभरते बाजारों दोनों की टीमें शामिल हैं?</v>
      </c>
      <c r="H253" s="5" t="str">
        <f>IFERROR(__xludf.DUMMYFUNCTION("GOOGLETRANSLATE(C253, ""en"", ""hi"")"),"A) कबड्डी मास्टर्स, B) विश्व कबड्डी लीग, C) प्रो कबड्डी लीग, D) कबड्डी चैम्पियनशिप")</f>
        <v>A) कबड्डी मास्टर्स, B) विश्व कबड्डी लीग, C) प्रो कबड्डी लीग, D) कबड्डी चैम्पियनशिप</v>
      </c>
      <c r="I253" s="5" t="str">
        <f>IFERROR(__xludf.DUMMYFUNCTION("GOOGLETRANSLATE(D253, ""en"", ""hi"")"),"बी) विश्व कबड्डी लीग")</f>
        <v>बी) विश्व कबड्डी लीग</v>
      </c>
    </row>
    <row r="254" ht="22.5" customHeight="1">
      <c r="A254" s="3">
        <v>253.0</v>
      </c>
      <c r="B254" s="4" t="s">
        <v>477</v>
      </c>
      <c r="C254" s="4" t="s">
        <v>242</v>
      </c>
      <c r="D254" s="4" t="s">
        <v>95</v>
      </c>
      <c r="F254" s="5" t="str">
        <f>IFERROR(__xludf.DUMMYFUNCTION("GOOGLETRANSLATE(A254, ""en"", ""hi"")"),"253")</f>
        <v>253</v>
      </c>
      <c r="G254" s="5" t="str">
        <f>IFERROR(__xludf.DUMMYFUNCTION("GOOGLETRANSLATE(B254, ""en"", ""hi"")"),"किस कबड्डी खिलाड़ी ने 2018 प्रो कबड्डी लीग में एक ही मैच में सबसे अधिक रेड अंक हासिल करने का रिकॉर्ड बनाया?")</f>
        <v>किस कबड्डी खिलाड़ी ने 2018 प्रो कबड्डी लीग में एक ही मैच में सबसे अधिक रेड अंक हासिल करने का रिकॉर्ड बनाया?</v>
      </c>
      <c r="H254" s="5" t="str">
        <f>IFERROR(__xludf.DUMMYFUNCTION("GOOGLETRANSLATE(C254, ""en"", ""hi"")"),"ए) प्रदीप नरवाल, बी) राहुल चौधरी, सी) दीपक निवास हुडा, डी) रिशांक देवाडिगा")</f>
        <v>ए) प्रदीप नरवाल, बी) राहुल चौधरी, सी) दीपक निवास हुडा, डी) रिशांक देवाडिगा</v>
      </c>
      <c r="I254" s="5" t="str">
        <f>IFERROR(__xludf.DUMMYFUNCTION("GOOGLETRANSLATE(D254, ""en"", ""hi"")"),"A) प्रदीप नरवाल")</f>
        <v>A) प्रदीप नरवाल</v>
      </c>
    </row>
    <row r="255" ht="22.5" customHeight="1">
      <c r="A255" s="3">
        <v>254.0</v>
      </c>
      <c r="B255" s="4" t="s">
        <v>428</v>
      </c>
      <c r="C255" s="4" t="s">
        <v>157</v>
      </c>
      <c r="D255" s="4" t="s">
        <v>158</v>
      </c>
      <c r="F255" s="5" t="str">
        <f>IFERROR(__xludf.DUMMYFUNCTION("GOOGLETRANSLATE(A255, ""en"", ""hi"")"),"254")</f>
        <v>254</v>
      </c>
      <c r="G255" s="5" t="str">
        <f>IFERROR(__xludf.DUMMYFUNCTION("GOOGLETRANSLATE(B255, ""en"", ""hi"")"),"कौन सा भारतीय राज्य अपने पारंपरिक कबड्डी टूर्नामेंट 'महाराष्ट्र कबड्डी चैम्पियनशिप' के लिए जाना जाता है?")</f>
        <v>कौन सा भारतीय राज्य अपने पारंपरिक कबड्डी टूर्नामेंट 'महाराष्ट्र कबड्डी चैम्पियनशिप' के लिए जाना जाता है?</v>
      </c>
      <c r="H255" s="5" t="str">
        <f>IFERROR(__xludf.DUMMYFUNCTION("GOOGLETRANSLATE(C255, ""en"", ""hi"")"),"ए) महाराष्ट्र, बी) गुजरात, सी) कर्नाटक, डी) तमिलनाडु")</f>
        <v>ए) महाराष्ट्र, बी) गुजरात, सी) कर्नाटक, डी) तमिलनाडु</v>
      </c>
      <c r="I255" s="5" t="str">
        <f>IFERROR(__xludf.DUMMYFUNCTION("GOOGLETRANSLATE(D255, ""en"", ""hi"")"),"A) महाराष्ट्र")</f>
        <v>A) महाराष्ट्र</v>
      </c>
    </row>
    <row r="256" ht="22.5" customHeight="1">
      <c r="A256" s="3">
        <v>255.0</v>
      </c>
      <c r="B256" s="4" t="s">
        <v>478</v>
      </c>
      <c r="C256" s="4" t="s">
        <v>422</v>
      </c>
      <c r="D256" s="4" t="s">
        <v>195</v>
      </c>
      <c r="F256" s="5" t="str">
        <f>IFERROR(__xludf.DUMMYFUNCTION("GOOGLETRANSLATE(A256, ""en"", ""hi"")"),"255")</f>
        <v>255</v>
      </c>
      <c r="G256" s="5" t="str">
        <f>IFERROR(__xludf.DUMMYFUNCTION("GOOGLETRANSLATE(B256, ""en"", ""hi"")"),"2016 कबड्डी विश्व कप में किस कबड्डी खिलाड़ी को 'सर्वश्रेष्ठ ऑलराउंडर' का खिताब दिया गया?")</f>
        <v>2016 कबड्डी विश्व कप में किस कबड्डी खिलाड़ी को 'सर्वश्रेष्ठ ऑलराउंडर' का खिताब दिया गया?</v>
      </c>
      <c r="H256" s="5" t="str">
        <f>IFERROR(__xludf.DUMMYFUNCTION("GOOGLETRANSLATE(C256, ""en"", ""hi"")"),"ए) मंजीत छिल्लर, बी) दीपक निवास हुडा, सी) प्रदीप नरवाल, डी) राहुल चौधरी")</f>
        <v>ए) मंजीत छिल्लर, बी) दीपक निवास हुडा, सी) प्रदीप नरवाल, डी) राहुल चौधरी</v>
      </c>
      <c r="I256" s="5" t="str">
        <f>IFERROR(__xludf.DUMMYFUNCTION("GOOGLETRANSLATE(D256, ""en"", ""hi"")"),"A) मंजीत छिल्लर")</f>
        <v>A) मंजीत छिल्लर</v>
      </c>
    </row>
    <row r="257" ht="22.5" customHeight="1">
      <c r="A257" s="3">
        <v>256.0</v>
      </c>
      <c r="B257" s="4" t="s">
        <v>391</v>
      </c>
      <c r="C257" s="4" t="s">
        <v>346</v>
      </c>
      <c r="D257" s="4" t="s">
        <v>316</v>
      </c>
      <c r="F257" s="5" t="str">
        <f>IFERROR(__xludf.DUMMYFUNCTION("GOOGLETRANSLATE(A257, ""en"", ""hi"")"),"256")</f>
        <v>256</v>
      </c>
      <c r="G257" s="5" t="str">
        <f>IFERROR(__xludf.DUMMYFUNCTION("GOOGLETRANSLATE(B257, ""en"", ""hi"")"),"कौन सी कबड्डी लीग में विभिन्न देशों की टीमें शामिल हैं और इसकी स्थापना 2014 में हुई थी?")</f>
        <v>कौन सी कबड्डी लीग में विभिन्न देशों की टीमें शामिल हैं और इसकी स्थापना 2014 में हुई थी?</v>
      </c>
      <c r="H257" s="5" t="str">
        <f>IFERROR(__xludf.DUMMYFUNCTION("GOOGLETRANSLATE(C257, ""en"", ""hi"")"),"A) कबड्डी मास्टर्स, B) प्रो कबड्डी लीग, C) विश्व कबड्डी लीग, D) कबड्डी चैम्पियनशिप")</f>
        <v>A) कबड्डी मास्टर्स, B) प्रो कबड्डी लीग, C) विश्व कबड्डी लीग, D) कबड्डी चैम्पियनशिप</v>
      </c>
      <c r="I257" s="5" t="str">
        <f>IFERROR(__xludf.DUMMYFUNCTION("GOOGLETRANSLATE(D257, ""en"", ""hi"")"),"A) कबड्डी मास्टर्स")</f>
        <v>A) कबड्डी मास्टर्स</v>
      </c>
    </row>
    <row r="258" ht="22.5" customHeight="1">
      <c r="A258" s="3">
        <v>257.0</v>
      </c>
      <c r="B258" s="4" t="s">
        <v>479</v>
      </c>
      <c r="C258" s="4" t="s">
        <v>287</v>
      </c>
      <c r="D258" s="4" t="s">
        <v>142</v>
      </c>
      <c r="F258" s="5" t="str">
        <f>IFERROR(__xludf.DUMMYFUNCTION("GOOGLETRANSLATE(A258, ""en"", ""hi"")"),"257")</f>
        <v>257</v>
      </c>
      <c r="G258" s="5" t="str">
        <f>IFERROR(__xludf.DUMMYFUNCTION("GOOGLETRANSLATE(B258, ""en"", ""hi"")"),"2019 प्रो कबड्डी लीग सीज़न में किस कबड्डी खिलाड़ी ने सबसे अधिक सफल टैकल हासिल किए?")</f>
        <v>2019 प्रो कबड्डी लीग सीज़न में किस कबड्डी खिलाड़ी ने सबसे अधिक सफल टैकल हासिल किए?</v>
      </c>
      <c r="H258" s="5" t="str">
        <f>IFERROR(__xludf.DUMMYFUNCTION("GOOGLETRANSLATE(C258, ""en"", ""hi"")"),"ए) संदीप नरवाल, बी) मंजीत छिल्लर, सी) नितिन तोमर, डी) अजय ठाकुर")</f>
        <v>ए) संदीप नरवाल, बी) मंजीत छिल्लर, सी) नितिन तोमर, डी) अजय ठाकुर</v>
      </c>
      <c r="I258" s="5" t="str">
        <f>IFERROR(__xludf.DUMMYFUNCTION("GOOGLETRANSLATE(D258, ""en"", ""hi"")"),"A) संदीप नरवाल")</f>
        <v>A) संदीप नरवाल</v>
      </c>
    </row>
    <row r="259" ht="22.5" customHeight="1">
      <c r="A259" s="3">
        <v>258.0</v>
      </c>
      <c r="B259" s="4" t="s">
        <v>480</v>
      </c>
      <c r="C259" s="4" t="s">
        <v>420</v>
      </c>
      <c r="D259" s="4" t="s">
        <v>125</v>
      </c>
      <c r="F259" s="5" t="str">
        <f>IFERROR(__xludf.DUMMYFUNCTION("GOOGLETRANSLATE(A259, ""en"", ""hi"")"),"258")</f>
        <v>258</v>
      </c>
      <c r="G259" s="5" t="str">
        <f>IFERROR(__xludf.DUMMYFUNCTION("GOOGLETRANSLATE(B259, ""en"", ""hi"")"),"कौन सा भारतीय राज्य 'जयपुर कबड्डी टूर्नामेंट' की मेजबानी के लिए जाना जाता है?")</f>
        <v>कौन सा भारतीय राज्य 'जयपुर कबड्डी टूर्नामेंट' की मेजबानी के लिए जाना जाता है?</v>
      </c>
      <c r="H259" s="5" t="str">
        <f>IFERROR(__xludf.DUMMYFUNCTION("GOOGLETRANSLATE(C259, ""en"", ""hi"")"),"ए) राजस्थान, बी) पंजाब, सी) हरियाणा, डी) उत्तर प्रदेश")</f>
        <v>ए) राजस्थान, बी) पंजाब, सी) हरियाणा, डी) उत्तर प्रदेश</v>
      </c>
      <c r="I259" s="5" t="str">
        <f>IFERROR(__xludf.DUMMYFUNCTION("GOOGLETRANSLATE(D259, ""en"", ""hi"")"),"A) राजस्थान")</f>
        <v>A) राजस्थान</v>
      </c>
    </row>
    <row r="260" ht="22.5" customHeight="1">
      <c r="A260" s="3">
        <v>259.0</v>
      </c>
      <c r="B260" s="4" t="s">
        <v>481</v>
      </c>
      <c r="C260" s="4" t="s">
        <v>482</v>
      </c>
      <c r="D260" s="4" t="s">
        <v>222</v>
      </c>
      <c r="F260" s="5" t="str">
        <f>IFERROR(__xludf.DUMMYFUNCTION("GOOGLETRANSLATE(A260, ""en"", ""hi"")"),"259")</f>
        <v>259</v>
      </c>
      <c r="G260" s="5" t="str">
        <f>IFERROR(__xludf.DUMMYFUNCTION("GOOGLETRANSLATE(B260, ""en"", ""hi"")"),"किस प्राचीन भारतीय महाकाव्य में कबड्डी जैसे खेल का उल्लेख मिलता है?")</f>
        <v>किस प्राचीन भारतीय महाकाव्य में कबड्डी जैसे खेल का उल्लेख मिलता है?</v>
      </c>
      <c r="H260" s="5" t="str">
        <f>IFERROR(__xludf.DUMMYFUNCTION("GOOGLETRANSLATE(C260, ""en"", ""hi"")"),"ए) महाभारत, बी) रामायण, सी) वेद, डी) उपनिषद")</f>
        <v>ए) महाभारत, बी) रामायण, सी) वेद, डी) उपनिषद</v>
      </c>
      <c r="I260" s="5" t="str">
        <f>IFERROR(__xludf.DUMMYFUNCTION("GOOGLETRANSLATE(D260, ""en"", ""hi"")"),"A) महाभारत")</f>
        <v>A) महाभारत</v>
      </c>
    </row>
    <row r="261" ht="22.5" customHeight="1">
      <c r="A261" s="3">
        <v>260.0</v>
      </c>
      <c r="B261" s="4" t="s">
        <v>483</v>
      </c>
      <c r="C261" s="4" t="s">
        <v>484</v>
      </c>
      <c r="D261" s="4" t="s">
        <v>485</v>
      </c>
      <c r="F261" s="5" t="str">
        <f>IFERROR(__xludf.DUMMYFUNCTION("GOOGLETRANSLATE(A261, ""en"", ""hi"")"),"260")</f>
        <v>260</v>
      </c>
      <c r="G261" s="5" t="str">
        <f>IFERROR(__xludf.DUMMYFUNCTION("GOOGLETRANSLATE(B261, ""en"", ""hi"")"),"भारतीय कबड्डी महासंघ की स्थापना किस वर्ष हुई थी?")</f>
        <v>भारतीय कबड्डी महासंघ की स्थापना किस वर्ष हुई थी?</v>
      </c>
      <c r="H261" s="5" t="str">
        <f>IFERROR(__xludf.DUMMYFUNCTION("GOOGLETRANSLATE(C261, ""en"", ""hi"")"),"ए) 1950, बी) 1965, सी) 1972, डी) 1980")</f>
        <v>ए) 1950, बी) 1965, सी) 1972, डी) 1980</v>
      </c>
      <c r="I261" s="5" t="str">
        <f>IFERROR(__xludf.DUMMYFUNCTION("GOOGLETRANSLATE(D261, ""en"", ""hi"")"),"सी) 1972")</f>
        <v>सी) 1972</v>
      </c>
    </row>
    <row r="262" ht="22.5" customHeight="1">
      <c r="A262" s="3">
        <v>261.0</v>
      </c>
      <c r="B262" s="4" t="s">
        <v>486</v>
      </c>
      <c r="C262" s="4" t="s">
        <v>487</v>
      </c>
      <c r="D262" s="4" t="s">
        <v>66</v>
      </c>
      <c r="F262" s="5" t="str">
        <f>IFERROR(__xludf.DUMMYFUNCTION("GOOGLETRANSLATE(A262, ""en"", ""hi"")"),"261")</f>
        <v>261</v>
      </c>
      <c r="G262" s="5" t="str">
        <f>IFERROR(__xludf.DUMMYFUNCTION("GOOGLETRANSLATE(B262, ""en"", ""hi"")"),"आधुनिक कबड्डी का प्रमुख जन्मदाता होने का श्रेय किस भारतीय राज्य को दिया जाता है?")</f>
        <v>आधुनिक कबड्डी का प्रमुख जन्मदाता होने का श्रेय किस भारतीय राज्य को दिया जाता है?</v>
      </c>
      <c r="H262" s="5" t="str">
        <f>IFERROR(__xludf.DUMMYFUNCTION("GOOGLETRANSLATE(C262, ""en"", ""hi"")"),"A) पंजाब, B) महाराष्ट्र, C) तमिलनाडु, D) हरियाणा")</f>
        <v>A) पंजाब, B) महाराष्ट्र, C) तमिलनाडु, D) हरियाणा</v>
      </c>
      <c r="I262" s="5" t="str">
        <f>IFERROR(__xludf.DUMMYFUNCTION("GOOGLETRANSLATE(D262, ""en"", ""hi"")"),"A) पंजाब")</f>
        <v>A) पंजाब</v>
      </c>
    </row>
    <row r="263" ht="22.5" customHeight="1">
      <c r="A263" s="3">
        <v>262.0</v>
      </c>
      <c r="B263" s="4" t="s">
        <v>488</v>
      </c>
      <c r="C263" s="4" t="s">
        <v>372</v>
      </c>
      <c r="D263" s="4" t="s">
        <v>74</v>
      </c>
      <c r="F263" s="5" t="str">
        <f>IFERROR(__xludf.DUMMYFUNCTION("GOOGLETRANSLATE(A263, ""en"", ""hi"")"),"262")</f>
        <v>262</v>
      </c>
      <c r="G263" s="5" t="str">
        <f>IFERROR(__xludf.DUMMYFUNCTION("GOOGLETRANSLATE(B263, ""en"", ""hi"")"),"कौन सा अंतर्राष्ट्रीय कबड्डी टूर्नामेंट पहली बार 2004 में आयोजित किया गया था?")</f>
        <v>कौन सा अंतर्राष्ट्रीय कबड्डी टूर्नामेंट पहली बार 2004 में आयोजित किया गया था?</v>
      </c>
      <c r="H263" s="5" t="str">
        <f>IFERROR(__xludf.DUMMYFUNCTION("GOOGLETRANSLATE(C263, ""en"", ""hi"")"),"A) कबड्डी विश्व कप, B) कबड्डी मास्टर्स, C) प्रो कबड्डी लीग, D) विश्व कबड्डी लीग")</f>
        <v>A) कबड्डी विश्व कप, B) कबड्डी मास्टर्स, C) प्रो कबड्डी लीग, D) विश्व कबड्डी लीग</v>
      </c>
      <c r="I263" s="5" t="str">
        <f>IFERROR(__xludf.DUMMYFUNCTION("GOOGLETRANSLATE(D263, ""en"", ""hi"")"),"A) कबड्डी विश्व कप")</f>
        <v>A) कबड्डी विश्व कप</v>
      </c>
    </row>
    <row r="264" ht="22.5" customHeight="1">
      <c r="A264" s="3">
        <v>263.0</v>
      </c>
      <c r="B264" s="4" t="s">
        <v>489</v>
      </c>
      <c r="C264" s="4" t="s">
        <v>490</v>
      </c>
      <c r="D264" s="4" t="s">
        <v>491</v>
      </c>
      <c r="F264" s="5" t="str">
        <f>IFERROR(__xludf.DUMMYFUNCTION("GOOGLETRANSLATE(A264, ""en"", ""hi"")"),"263")</f>
        <v>263</v>
      </c>
      <c r="G264" s="5" t="str">
        <f>IFERROR(__xludf.DUMMYFUNCTION("GOOGLETRANSLATE(B264, ""en"", ""hi"")"),"कौन सा भारतीय कबड्डी खिलाड़ी प्रो कबड्डी लीग के माध्यम से खेल को अंतरराष्ट्रीय स्तर पर लोकप्रिय बनाने के लिए जाना जाता है?")</f>
        <v>कौन सा भारतीय कबड्डी खिलाड़ी प्रो कबड्डी लीग के माध्यम से खेल को अंतरराष्ट्रीय स्तर पर लोकप्रिय बनाने के लिए जाना जाता है?</v>
      </c>
      <c r="H264" s="5" t="str">
        <f>IFERROR(__xludf.DUMMYFUNCTION("GOOGLETRANSLATE(C264, ""en"", ""hi"")"),"ए) अनुप कुमार, बी) प्रदीप नरवाल, सी) राहुल चौधरी, डी) मंजीत छिल्लर")</f>
        <v>ए) अनुप कुमार, बी) प्रदीप नरवाल, सी) राहुल चौधरी, डी) मंजीत छिल्लर</v>
      </c>
      <c r="I264" s="5" t="str">
        <f>IFERROR(__xludf.DUMMYFUNCTION("GOOGLETRANSLATE(D264, ""en"", ""hi"")"),"B) प्रदीप नरवाल")</f>
        <v>B) प्रदीप नरवाल</v>
      </c>
    </row>
    <row r="265" ht="22.5" customHeight="1">
      <c r="A265" s="3">
        <v>264.0</v>
      </c>
      <c r="B265" s="4" t="s">
        <v>492</v>
      </c>
      <c r="C265" s="4" t="s">
        <v>493</v>
      </c>
      <c r="D265" s="4" t="s">
        <v>494</v>
      </c>
      <c r="F265" s="5" t="str">
        <f>IFERROR(__xludf.DUMMYFUNCTION("GOOGLETRANSLATE(A265, ""en"", ""hi"")"),"264")</f>
        <v>264</v>
      </c>
      <c r="G265" s="5" t="str">
        <f>IFERROR(__xludf.DUMMYFUNCTION("GOOGLETRANSLATE(B265, ""en"", ""hi"")"),"2004 में प्रथम कबड्डी विश्व कप की मेजबानी किस शहर ने की थी?")</f>
        <v>2004 में प्रथम कबड्डी विश्व कप की मेजबानी किस शहर ने की थी?</v>
      </c>
      <c r="H265" s="5" t="str">
        <f>IFERROR(__xludf.DUMMYFUNCTION("GOOGLETRANSLATE(C265, ""en"", ""hi"")"),"ए) नई दिल्ली, बी) मुंबई, सी) पटना, डी) अमृतसर")</f>
        <v>ए) नई दिल्ली, बी) मुंबई, सी) पटना, डी) अमृतसर</v>
      </c>
      <c r="I265" s="5" t="str">
        <f>IFERROR(__xludf.DUMMYFUNCTION("GOOGLETRANSLATE(D265, ""en"", ""hi"")"),"ए) नई दिल्ली")</f>
        <v>ए) नई दिल्ली</v>
      </c>
    </row>
    <row r="266" ht="22.5" customHeight="1">
      <c r="A266" s="3">
        <v>265.0</v>
      </c>
      <c r="B266" s="4" t="s">
        <v>495</v>
      </c>
      <c r="C266" s="4" t="s">
        <v>88</v>
      </c>
      <c r="D266" s="4" t="s">
        <v>89</v>
      </c>
      <c r="F266" s="5" t="str">
        <f>IFERROR(__xludf.DUMMYFUNCTION("GOOGLETRANSLATE(A266, ""en"", ""hi"")"),"265")</f>
        <v>265</v>
      </c>
      <c r="G266" s="5" t="str">
        <f>IFERROR(__xludf.DUMMYFUNCTION("GOOGLETRANSLATE(B266, ""en"", ""hi"")"),"प्रो कबड्डी लीग की शुरुआत किस वर्ष हुई?")</f>
        <v>प्रो कबड्डी लीग की शुरुआत किस वर्ष हुई?</v>
      </c>
      <c r="H266" s="5" t="str">
        <f>IFERROR(__xludf.DUMMYFUNCTION("GOOGLETRANSLATE(C266, ""en"", ""hi"")"),"ए) 2012, बी) 2013, सी) 2014, डी) 2015")</f>
        <v>ए) 2012, बी) 2013, सी) 2014, डी) 2015</v>
      </c>
      <c r="I266" s="5" t="str">
        <f>IFERROR(__xludf.DUMMYFUNCTION("GOOGLETRANSLATE(D266, ""en"", ""hi"")"),"सी) 2014")</f>
        <v>सी) 2014</v>
      </c>
    </row>
    <row r="267" ht="22.5" customHeight="1">
      <c r="A267" s="3">
        <v>266.0</v>
      </c>
      <c r="B267" s="4" t="s">
        <v>496</v>
      </c>
      <c r="C267" s="4" t="s">
        <v>152</v>
      </c>
      <c r="D267" s="4" t="s">
        <v>95</v>
      </c>
      <c r="F267" s="5" t="str">
        <f>IFERROR(__xludf.DUMMYFUNCTION("GOOGLETRANSLATE(A267, ""en"", ""hi"")"),"266")</f>
        <v>266</v>
      </c>
      <c r="G267" s="5" t="str">
        <f>IFERROR(__xludf.DUMMYFUNCTION("GOOGLETRANSLATE(B267, ""en"", ""hi"")"),"प्रो कबड्डी लीग के इतिहास में 1000 अंक बनाने वाला पहला खिलाड़ी कौन था?")</f>
        <v>प्रो कबड्डी लीग के इतिहास में 1000 अंक बनाने वाला पहला खिलाड़ी कौन था?</v>
      </c>
      <c r="H267" s="5" t="str">
        <f>IFERROR(__xludf.DUMMYFUNCTION("GOOGLETRANSLATE(C267, ""en"", ""hi"")"),"ए) प्रदीप नरवाल, बी) राहुल चौधरी, सी) दीपक निवास हुडा, डी) नितिन तोमर")</f>
        <v>ए) प्रदीप नरवाल, बी) राहुल चौधरी, सी) दीपक निवास हुडा, डी) नितिन तोमर</v>
      </c>
      <c r="I267" s="5" t="str">
        <f>IFERROR(__xludf.DUMMYFUNCTION("GOOGLETRANSLATE(D267, ""en"", ""hi"")"),"A) प्रदीप नरवाल")</f>
        <v>A) प्रदीप नरवाल</v>
      </c>
    </row>
    <row r="268" ht="22.5" customHeight="1">
      <c r="A268" s="3">
        <v>267.0</v>
      </c>
      <c r="B268" s="4" t="s">
        <v>497</v>
      </c>
      <c r="C268" s="4" t="s">
        <v>498</v>
      </c>
      <c r="D268" s="4" t="s">
        <v>184</v>
      </c>
      <c r="F268" s="5" t="str">
        <f>IFERROR(__xludf.DUMMYFUNCTION("GOOGLETRANSLATE(A268, ""en"", ""hi"")"),"267")</f>
        <v>267</v>
      </c>
      <c r="G268" s="5" t="str">
        <f>IFERROR(__xludf.DUMMYFUNCTION("GOOGLETRANSLATE(B268, ""en"", ""hi"")"),"कौन सा कबड्डी टूर्नामेंट गैर-पारंपरिक कबड्डी देशों सहित दुनिया भर की टीमों की भागीदारी के लिए जाना जाता है?")</f>
        <v>कौन सा कबड्डी टूर्नामेंट गैर-पारंपरिक कबड्डी देशों सहित दुनिया भर की टीमों की भागीदारी के लिए जाना जाता है?</v>
      </c>
      <c r="H268" s="5" t="str">
        <f>IFERROR(__xludf.DUMMYFUNCTION("GOOGLETRANSLATE(C268, ""en"", ""hi"")"),"A) विश्व कबड्डी लीग, B) कबड्डी मास्टर्स, C) प्रो कबड्डी लीग, D) कबड्डी विश्व कप")</f>
        <v>A) विश्व कबड्डी लीग, B) कबड्डी मास्टर्स, C) प्रो कबड्डी लीग, D) कबड्डी विश्व कप</v>
      </c>
      <c r="I268" s="5" t="str">
        <f>IFERROR(__xludf.DUMMYFUNCTION("GOOGLETRANSLATE(D268, ""en"", ""hi"")"),"A) विश्व कबड्डी लीग")</f>
        <v>A) विश्व कबड्डी लीग</v>
      </c>
    </row>
    <row r="269" ht="22.5" customHeight="1">
      <c r="A269" s="3">
        <v>268.0</v>
      </c>
      <c r="B269" s="4" t="s">
        <v>499</v>
      </c>
      <c r="C269" s="4" t="s">
        <v>500</v>
      </c>
      <c r="D269" s="4" t="s">
        <v>158</v>
      </c>
      <c r="F269" s="5" t="str">
        <f>IFERROR(__xludf.DUMMYFUNCTION("GOOGLETRANSLATE(A269, ""en"", ""hi"")"),"268")</f>
        <v>268</v>
      </c>
      <c r="G269" s="5" t="str">
        <f>IFERROR(__xludf.DUMMYFUNCTION("GOOGLETRANSLATE(B269, ""en"", ""hi"")"),"किस भारतीय राज्य में 'महाराष्ट्र कबड्डी चैम्पियनशिप' नामक एक उल्लेखनीय पारंपरिक कबड्डी प्रतियोगिता होती है?")</f>
        <v>किस भारतीय राज्य में 'महाराष्ट्र कबड्डी चैम्पियनशिप' नामक एक उल्लेखनीय पारंपरिक कबड्डी प्रतियोगिता होती है?</v>
      </c>
      <c r="H269" s="5" t="str">
        <f>IFERROR(__xludf.DUMMYFUNCTION("GOOGLETRANSLATE(C269, ""en"", ""hi"")"),"ए) महाराष्ट्र, बी) गुजरात, सी) राजस्थान, डी) उत्तर प्रदेश")</f>
        <v>ए) महाराष्ट्र, बी) गुजरात, सी) राजस्थान, डी) उत्तर प्रदेश</v>
      </c>
      <c r="I269" s="5" t="str">
        <f>IFERROR(__xludf.DUMMYFUNCTION("GOOGLETRANSLATE(D269, ""en"", ""hi"")"),"A) महाराष्ट्र")</f>
        <v>A) महाराष्ट्र</v>
      </c>
    </row>
    <row r="270" ht="22.5" customHeight="1">
      <c r="A270" s="3">
        <v>269.0</v>
      </c>
      <c r="B270" s="4" t="s">
        <v>501</v>
      </c>
      <c r="C270" s="4" t="s">
        <v>502</v>
      </c>
      <c r="D270" s="4" t="s">
        <v>503</v>
      </c>
      <c r="F270" s="5" t="str">
        <f>IFERROR(__xludf.DUMMYFUNCTION("GOOGLETRANSLATE(A270, ""en"", ""hi"")"),"269")</f>
        <v>269</v>
      </c>
      <c r="G270" s="5" t="str">
        <f>IFERROR(__xludf.DUMMYFUNCTION("GOOGLETRANSLATE(B270, ""en"", ""hi"")"),"2004 में कबड्डी विश्व कप जीतने वाली भारतीय कबड्डी टीम का कप्तान कौन था?")</f>
        <v>2004 में कबड्डी विश्व कप जीतने वाली भारतीय कबड्डी टीम का कप्तान कौन था?</v>
      </c>
      <c r="H270" s="5" t="str">
        <f>IFERROR(__xludf.DUMMYFUNCTION("GOOGLETRANSLATE(C270, ""en"", ""hi"")"),"ए) राकेश कुमार, बी) अनुप कुमार, सी) अजय ठाकुर, डी) मंजीत छिल्लर")</f>
        <v>ए) राकेश कुमार, बी) अनुप कुमार, सी) अजय ठाकुर, डी) मंजीत छिल्लर</v>
      </c>
      <c r="I270" s="5" t="str">
        <f>IFERROR(__xludf.DUMMYFUNCTION("GOOGLETRANSLATE(D270, ""en"", ""hi"")"),"A) राकेश कुमार")</f>
        <v>A) राकेश कुमार</v>
      </c>
    </row>
    <row r="271" ht="22.5" customHeight="1">
      <c r="A271" s="3">
        <v>270.0</v>
      </c>
      <c r="B271" s="4" t="s">
        <v>504</v>
      </c>
      <c r="C271" s="4" t="s">
        <v>242</v>
      </c>
      <c r="D271" s="4" t="s">
        <v>95</v>
      </c>
      <c r="F271" s="5" t="str">
        <f>IFERROR(__xludf.DUMMYFUNCTION("GOOGLETRANSLATE(A271, ""en"", ""hi"")"),"270")</f>
        <v>270</v>
      </c>
      <c r="G271" s="5" t="str">
        <f>IFERROR(__xludf.DUMMYFUNCTION("GOOGLETRANSLATE(B271, ""en"", ""hi"")"),"2016 कबड्डी विश्व कप में किस खिलाड़ी ने 'बेस्ट रेडर' का पुरस्कार जीता?")</f>
        <v>2016 कबड्डी विश्व कप में किस खिलाड़ी ने 'बेस्ट रेडर' का पुरस्कार जीता?</v>
      </c>
      <c r="H271" s="5" t="str">
        <f>IFERROR(__xludf.DUMMYFUNCTION("GOOGLETRANSLATE(C271, ""en"", ""hi"")"),"ए) प्रदीप नरवाल, बी) राहुल चौधरी, सी) दीपक निवास हुडा, डी) रिशांक देवाडिगा")</f>
        <v>ए) प्रदीप नरवाल, बी) राहुल चौधरी, सी) दीपक निवास हुडा, डी) रिशांक देवाडिगा</v>
      </c>
      <c r="I271" s="5" t="str">
        <f>IFERROR(__xludf.DUMMYFUNCTION("GOOGLETRANSLATE(D271, ""en"", ""hi"")"),"A) प्रदीप नरवाल")</f>
        <v>A) प्रदीप नरवाल</v>
      </c>
    </row>
    <row r="272" ht="22.5" customHeight="1">
      <c r="A272" s="3">
        <v>271.0</v>
      </c>
      <c r="B272" s="4" t="s">
        <v>505</v>
      </c>
      <c r="C272" s="4" t="s">
        <v>346</v>
      </c>
      <c r="D272" s="4" t="s">
        <v>316</v>
      </c>
      <c r="F272" s="5" t="str">
        <f>IFERROR(__xludf.DUMMYFUNCTION("GOOGLETRANSLATE(A272, ""en"", ""hi"")"),"271")</f>
        <v>271</v>
      </c>
      <c r="G272" s="5" t="str">
        <f>IFERROR(__xludf.DUMMYFUNCTION("GOOGLETRANSLATE(B272, ""en"", ""hi"")"),"कौन सी कबड्डी लीग 2018 में स्थापित की गई थी और अंतरराष्ट्रीय टीमों की विशेषता के लिए जानी जाती है?")</f>
        <v>कौन सी कबड्डी लीग 2018 में स्थापित की गई थी और अंतरराष्ट्रीय टीमों की विशेषता के लिए जानी जाती है?</v>
      </c>
      <c r="H272" s="5" t="str">
        <f>IFERROR(__xludf.DUMMYFUNCTION("GOOGLETRANSLATE(C272, ""en"", ""hi"")"),"A) कबड्डी मास्टर्स, B) प्रो कबड्डी लीग, C) विश्व कबड्डी लीग, D) कबड्डी चैम्पियनशिप")</f>
        <v>A) कबड्डी मास्टर्स, B) प्रो कबड्डी लीग, C) विश्व कबड्डी लीग, D) कबड्डी चैम्पियनशिप</v>
      </c>
      <c r="I272" s="5" t="str">
        <f>IFERROR(__xludf.DUMMYFUNCTION("GOOGLETRANSLATE(D272, ""en"", ""hi"")"),"A) कबड्डी मास्टर्स")</f>
        <v>A) कबड्डी मास्टर्स</v>
      </c>
    </row>
    <row r="273" ht="22.5" customHeight="1">
      <c r="A273" s="3">
        <v>272.0</v>
      </c>
      <c r="B273" s="4" t="s">
        <v>506</v>
      </c>
      <c r="C273" s="4" t="s">
        <v>418</v>
      </c>
      <c r="D273" s="4" t="s">
        <v>104</v>
      </c>
      <c r="F273" s="5" t="str">
        <f>IFERROR(__xludf.DUMMYFUNCTION("GOOGLETRANSLATE(A273, ""en"", ""hi"")"),"272")</f>
        <v>272</v>
      </c>
      <c r="G273" s="5" t="str">
        <f>IFERROR(__xludf.DUMMYFUNCTION("GOOGLETRANSLATE(B273, ""en"", ""hi"")"),"कौन सा कबड्डी टूर्नामेंट अपने राउंड-रॉबिन और नॉकआउट चरणों के लिए प्रसिद्ध है?")</f>
        <v>कौन सा कबड्डी टूर्नामेंट अपने राउंड-रॉबिन और नॉकआउट चरणों के लिए प्रसिद्ध है?</v>
      </c>
      <c r="H273" s="5" t="str">
        <f>IFERROR(__xludf.DUMMYFUNCTION("GOOGLETRANSLATE(C273, ""en"", ""hi"")"),"A) प्रो कबड्डी लीग, B) कबड्डी विश्व कप, C) कबड्डी मास्टर्स, D) विश्व कबड्डी लीग")</f>
        <v>A) प्रो कबड्डी लीग, B) कबड्डी विश्व कप, C) कबड्डी मास्टर्स, D) विश्व कबड्डी लीग</v>
      </c>
      <c r="I273" s="5" t="str">
        <f>IFERROR(__xludf.DUMMYFUNCTION("GOOGLETRANSLATE(D273, ""en"", ""hi"")"),"A) प्रो कबड्डी लीग")</f>
        <v>A) प्रो कबड्डी लीग</v>
      </c>
    </row>
    <row r="274" ht="22.5" customHeight="1">
      <c r="A274" s="3">
        <v>273.0</v>
      </c>
      <c r="B274" s="4" t="s">
        <v>507</v>
      </c>
      <c r="C274" s="4" t="s">
        <v>152</v>
      </c>
      <c r="D274" s="4" t="s">
        <v>95</v>
      </c>
      <c r="F274" s="5" t="str">
        <f>IFERROR(__xludf.DUMMYFUNCTION("GOOGLETRANSLATE(A274, ""en"", ""hi"")"),"273")</f>
        <v>273</v>
      </c>
      <c r="G274" s="5" t="str">
        <f>IFERROR(__xludf.DUMMYFUNCTION("GOOGLETRANSLATE(B274, ""en"", ""hi"")"),"किस कबड्डी खिलाड़ी ने प्रो कबड्डी लीग के एक सत्र में सर्वाधिक रेड अंक हासिल करने का रिकॉर्ड बनाया?")</f>
        <v>किस कबड्डी खिलाड़ी ने प्रो कबड्डी लीग के एक सत्र में सर्वाधिक रेड अंक हासिल करने का रिकॉर्ड बनाया?</v>
      </c>
      <c r="H274" s="5" t="str">
        <f>IFERROR(__xludf.DUMMYFUNCTION("GOOGLETRANSLATE(C274, ""en"", ""hi"")"),"ए) प्रदीप नरवाल, बी) राहुल चौधरी, सी) दीपक निवास हुडा, डी) नितिन तोमर")</f>
        <v>ए) प्रदीप नरवाल, बी) राहुल चौधरी, सी) दीपक निवास हुडा, डी) नितिन तोमर</v>
      </c>
      <c r="I274" s="5" t="str">
        <f>IFERROR(__xludf.DUMMYFUNCTION("GOOGLETRANSLATE(D274, ""en"", ""hi"")"),"A) प्रदीप नरवाल")</f>
        <v>A) प्रदीप नरवाल</v>
      </c>
    </row>
    <row r="275" ht="22.5" customHeight="1">
      <c r="A275" s="3">
        <v>274.0</v>
      </c>
      <c r="B275" s="4" t="s">
        <v>508</v>
      </c>
      <c r="C275" s="4" t="s">
        <v>372</v>
      </c>
      <c r="D275" s="4" t="s">
        <v>443</v>
      </c>
      <c r="F275" s="5" t="str">
        <f>IFERROR(__xludf.DUMMYFUNCTION("GOOGLETRANSLATE(A275, ""en"", ""hi"")"),"274")</f>
        <v>274</v>
      </c>
      <c r="G275" s="5" t="str">
        <f>IFERROR(__xludf.DUMMYFUNCTION("GOOGLETRANSLATE(B275, ""en"", ""hi"")"),"कौन सा कबड्डी टूर्नामेंट कई देशों की टीमों को शामिल करता है और अपनी प्रतिस्पर्धी प्रकृति के लिए जाना जाता है?")</f>
        <v>कौन सा कबड्डी टूर्नामेंट कई देशों की टीमों को शामिल करता है और अपनी प्रतिस्पर्धी प्रकृति के लिए जाना जाता है?</v>
      </c>
      <c r="H275" s="5" t="str">
        <f>IFERROR(__xludf.DUMMYFUNCTION("GOOGLETRANSLATE(C275, ""en"", ""hi"")"),"A) कबड्डी विश्व कप, B) कबड्डी मास्टर्स, C) प्रो कबड्डी लीग, D) विश्व कबड्डी लीग")</f>
        <v>A) कबड्डी विश्व कप, B) कबड्डी मास्टर्स, C) प्रो कबड्डी लीग, D) विश्व कबड्डी लीग</v>
      </c>
      <c r="I275" s="5" t="str">
        <f>IFERROR(__xludf.DUMMYFUNCTION("GOOGLETRANSLATE(D275, ""en"", ""hi"")"),"D) विश्व कबड्डी लीग")</f>
        <v>D) विश्व कबड्डी लीग</v>
      </c>
    </row>
    <row r="276" ht="22.5" customHeight="1">
      <c r="A276" s="3">
        <v>275.0</v>
      </c>
      <c r="B276" s="4" t="s">
        <v>351</v>
      </c>
      <c r="C276" s="4" t="s">
        <v>152</v>
      </c>
      <c r="D276" s="4" t="s">
        <v>95</v>
      </c>
      <c r="F276" s="5" t="str">
        <f>IFERROR(__xludf.DUMMYFUNCTION("GOOGLETRANSLATE(A276, ""en"", ""hi"")"),"275")</f>
        <v>275</v>
      </c>
      <c r="G276" s="5" t="str">
        <f>IFERROR(__xludf.DUMMYFUNCTION("GOOGLETRANSLATE(B276, ""en"", ""hi"")"),"कौन सा कबड्डी खिलाड़ी एक प्रो कबड्डी लीग सीज़न में 300 रेड अंक हासिल करने वाला पहला खिलाड़ी बन गया?")</f>
        <v>कौन सा कबड्डी खिलाड़ी एक प्रो कबड्डी लीग सीज़न में 300 रेड अंक हासिल करने वाला पहला खिलाड़ी बन गया?</v>
      </c>
      <c r="H276" s="5" t="str">
        <f>IFERROR(__xludf.DUMMYFUNCTION("GOOGLETRANSLATE(C276, ""en"", ""hi"")"),"ए) प्रदीप नरवाल, बी) राहुल चौधरी, सी) दीपक निवास हुडा, डी) नितिन तोमर")</f>
        <v>ए) प्रदीप नरवाल, बी) राहुल चौधरी, सी) दीपक निवास हुडा, डी) नितिन तोमर</v>
      </c>
      <c r="I276" s="5" t="str">
        <f>IFERROR(__xludf.DUMMYFUNCTION("GOOGLETRANSLATE(D276, ""en"", ""hi"")"),"A) प्रदीप नरवाल")</f>
        <v>A) प्रदीप नरवाल</v>
      </c>
    </row>
    <row r="277" ht="22.5" customHeight="1">
      <c r="A277" s="3">
        <v>276.0</v>
      </c>
      <c r="B277" s="4" t="s">
        <v>509</v>
      </c>
      <c r="C277" s="4" t="s">
        <v>437</v>
      </c>
      <c r="D277" s="4" t="s">
        <v>110</v>
      </c>
      <c r="F277" s="5" t="str">
        <f>IFERROR(__xludf.DUMMYFUNCTION("GOOGLETRANSLATE(A277, ""en"", ""hi"")"),"276")</f>
        <v>276</v>
      </c>
      <c r="G277" s="5" t="str">
        <f>IFERROR(__xludf.DUMMYFUNCTION("GOOGLETRANSLATE(B277, ""en"", ""hi"")"),"कौन सा भारतीय राज्य 'उत्तर प्रदेश कबड्डी टूर्नामेंट' के लिए जाना जाता है?")</f>
        <v>कौन सा भारतीय राज्य 'उत्तर प्रदेश कबड्डी टूर्नामेंट' के लिए जाना जाता है?</v>
      </c>
      <c r="H277" s="5" t="str">
        <f>IFERROR(__xludf.DUMMYFUNCTION("GOOGLETRANSLATE(C277, ""en"", ""hi"")"),"ए) उत्तर प्रदेश, बी) बिहार, सी) पंजाब, डी) हरियाणा")</f>
        <v>ए) उत्तर प्रदेश, बी) बिहार, सी) पंजाब, डी) हरियाणा</v>
      </c>
      <c r="I277" s="5" t="str">
        <f>IFERROR(__xludf.DUMMYFUNCTION("GOOGLETRANSLATE(D277, ""en"", ""hi"")"),"A) उत्तर प्रदेश")</f>
        <v>A) उत्तर प्रदेश</v>
      </c>
    </row>
    <row r="278" ht="22.5" customHeight="1">
      <c r="A278" s="3">
        <v>277.0</v>
      </c>
      <c r="B278" s="4" t="s">
        <v>510</v>
      </c>
      <c r="C278" s="4" t="s">
        <v>287</v>
      </c>
      <c r="D278" s="4" t="s">
        <v>142</v>
      </c>
      <c r="F278" s="5" t="str">
        <f>IFERROR(__xludf.DUMMYFUNCTION("GOOGLETRANSLATE(A278, ""en"", ""hi"")"),"277")</f>
        <v>277</v>
      </c>
      <c r="G278" s="5" t="str">
        <f>IFERROR(__xludf.DUMMYFUNCTION("GOOGLETRANSLATE(B278, ""en"", ""hi"")"),"2017 प्रो कबड्डी लीग में किस कबड्डी खिलाड़ी को 'सर्वश्रेष्ठ डिफेंडर' का पुरस्कार दिया गया?")</f>
        <v>2017 प्रो कबड्डी लीग में किस कबड्डी खिलाड़ी को 'सर्वश्रेष्ठ डिफेंडर' का पुरस्कार दिया गया?</v>
      </c>
      <c r="H278" s="5" t="str">
        <f>IFERROR(__xludf.DUMMYFUNCTION("GOOGLETRANSLATE(C278, ""en"", ""hi"")"),"ए) संदीप नरवाल, बी) मंजीत छिल्लर, सी) नितिन तोमर, डी) अजय ठाकुर")</f>
        <v>ए) संदीप नरवाल, बी) मंजीत छिल्लर, सी) नितिन तोमर, डी) अजय ठाकुर</v>
      </c>
      <c r="I278" s="5" t="str">
        <f>IFERROR(__xludf.DUMMYFUNCTION("GOOGLETRANSLATE(D278, ""en"", ""hi"")"),"A) संदीप नरवाल")</f>
        <v>A) संदीप नरवाल</v>
      </c>
    </row>
    <row r="279" ht="22.5" customHeight="1">
      <c r="A279" s="3">
        <v>278.0</v>
      </c>
      <c r="B279" s="4" t="s">
        <v>511</v>
      </c>
      <c r="C279" s="4" t="s">
        <v>346</v>
      </c>
      <c r="D279" s="4" t="s">
        <v>316</v>
      </c>
      <c r="F279" s="5" t="str">
        <f>IFERROR(__xludf.DUMMYFUNCTION("GOOGLETRANSLATE(A279, ""en"", ""hi"")"),"278")</f>
        <v>278</v>
      </c>
      <c r="G279" s="5" t="str">
        <f>IFERROR(__xludf.DUMMYFUNCTION("GOOGLETRANSLATE(B279, ""en"", ""hi"")"),"कौन सी कबड्डी लीग में दक्षिण एशियाई देशों की टीमें शामिल हैं और इसकी स्थापना 2018 में हुई थी?")</f>
        <v>कौन सी कबड्डी लीग में दक्षिण एशियाई देशों की टीमें शामिल हैं और इसकी स्थापना 2018 में हुई थी?</v>
      </c>
      <c r="H279" s="5" t="str">
        <f>IFERROR(__xludf.DUMMYFUNCTION("GOOGLETRANSLATE(C279, ""en"", ""hi"")"),"A) कबड्डी मास्टर्स, B) प्रो कबड्डी लीग, C) विश्व कबड्डी लीग, D) कबड्डी चैम्पियनशिप")</f>
        <v>A) कबड्डी मास्टर्स, B) प्रो कबड्डी लीग, C) विश्व कबड्डी लीग, D) कबड्डी चैम्पियनशिप</v>
      </c>
      <c r="I279" s="5" t="str">
        <f>IFERROR(__xludf.DUMMYFUNCTION("GOOGLETRANSLATE(D279, ""en"", ""hi"")"),"A) कबड्डी मास्टर्स")</f>
        <v>A) कबड्डी मास्टर्स</v>
      </c>
    </row>
    <row r="280" ht="22.5" customHeight="1">
      <c r="A280" s="3">
        <v>279.0</v>
      </c>
      <c r="B280" s="4" t="s">
        <v>449</v>
      </c>
      <c r="C280" s="4" t="s">
        <v>287</v>
      </c>
      <c r="D280" s="4" t="s">
        <v>142</v>
      </c>
      <c r="F280" s="5" t="str">
        <f>IFERROR(__xludf.DUMMYFUNCTION("GOOGLETRANSLATE(A280, ""en"", ""hi"")"),"279")</f>
        <v>279</v>
      </c>
      <c r="G280" s="5" t="str">
        <f>IFERROR(__xludf.DUMMYFUNCTION("GOOGLETRANSLATE(B280, ""en"", ""hi"")"),"2018 प्रो कबड्डी लीग सीज़न में किस कबड्डी खिलाड़ी ने सबसे अधिक सफल टैकल हासिल किए?")</f>
        <v>2018 प्रो कबड्डी लीग सीज़न में किस कबड्डी खिलाड़ी ने सबसे अधिक सफल टैकल हासिल किए?</v>
      </c>
      <c r="H280" s="5" t="str">
        <f>IFERROR(__xludf.DUMMYFUNCTION("GOOGLETRANSLATE(C280, ""en"", ""hi"")"),"ए) संदीप नरवाल, बी) मंजीत छिल्लर, सी) नितिन तोमर, डी) अजय ठाकुर")</f>
        <v>ए) संदीप नरवाल, बी) मंजीत छिल्लर, सी) नितिन तोमर, डी) अजय ठाकुर</v>
      </c>
      <c r="I280" s="5" t="str">
        <f>IFERROR(__xludf.DUMMYFUNCTION("GOOGLETRANSLATE(D280, ""en"", ""hi"")"),"A) संदीप नरवाल")</f>
        <v>A) संदीप नरवाल</v>
      </c>
    </row>
    <row r="281" ht="22.5" customHeight="1">
      <c r="A281" s="3">
        <v>280.0</v>
      </c>
      <c r="B281" s="4" t="s">
        <v>512</v>
      </c>
      <c r="C281" s="4" t="s">
        <v>287</v>
      </c>
      <c r="D281" s="4" t="s">
        <v>142</v>
      </c>
      <c r="F281" s="5" t="str">
        <f>IFERROR(__xludf.DUMMYFUNCTION("GOOGLETRANSLATE(A281, ""en"", ""hi"")"),"280")</f>
        <v>280</v>
      </c>
      <c r="G281" s="5" t="str">
        <f>IFERROR(__xludf.DUMMYFUNCTION("GOOGLETRANSLATE(B281, ""en"", ""hi"")"),"किस कबड्डी खिलाड़ी ने एक प्रो कबड्डी लीग सीज़न में सबसे अधिक सफल टैकल का रिकॉर्ड बनाया?")</f>
        <v>किस कबड्डी खिलाड़ी ने एक प्रो कबड्डी लीग सीज़न में सबसे अधिक सफल टैकल का रिकॉर्ड बनाया?</v>
      </c>
      <c r="H281" s="5" t="str">
        <f>IFERROR(__xludf.DUMMYFUNCTION("GOOGLETRANSLATE(C281, ""en"", ""hi"")"),"ए) संदीप नरवाल, बी) मंजीत छिल्लर, सी) नितिन तोमर, डी) अजय ठाकुर")</f>
        <v>ए) संदीप नरवाल, बी) मंजीत छिल्लर, सी) नितिन तोमर, डी) अजय ठाकुर</v>
      </c>
      <c r="I281" s="5" t="str">
        <f>IFERROR(__xludf.DUMMYFUNCTION("GOOGLETRANSLATE(D281, ""en"", ""hi"")"),"A) संदीप नरवाल")</f>
        <v>A) संदीप नरवाल</v>
      </c>
    </row>
    <row r="282" ht="22.5" customHeight="1">
      <c r="A282" s="3">
        <v>281.0</v>
      </c>
      <c r="B282" s="4" t="s">
        <v>430</v>
      </c>
      <c r="C282" s="4" t="s">
        <v>242</v>
      </c>
      <c r="D282" s="4" t="s">
        <v>95</v>
      </c>
      <c r="F282" s="5" t="str">
        <f>IFERROR(__xludf.DUMMYFUNCTION("GOOGLETRANSLATE(A282, ""en"", ""hi"")"),"281")</f>
        <v>281</v>
      </c>
      <c r="G282" s="5" t="str">
        <f>IFERROR(__xludf.DUMMYFUNCTION("GOOGLETRANSLATE(B282, ""en"", ""hi"")"),"2015 कबड्डी विश्व कप में कौन सा कबड्डी खिलाड़ी शीर्ष स्कोरर था?")</f>
        <v>2015 कबड्डी विश्व कप में कौन सा कबड्डी खिलाड़ी शीर्ष स्कोरर था?</v>
      </c>
      <c r="H282" s="5" t="str">
        <f>IFERROR(__xludf.DUMMYFUNCTION("GOOGLETRANSLATE(C282, ""en"", ""hi"")"),"ए) प्रदीप नरवाल, बी) राहुल चौधरी, सी) दीपक निवास हुडा, डी) रिशांक देवाडिगा")</f>
        <v>ए) प्रदीप नरवाल, बी) राहुल चौधरी, सी) दीपक निवास हुडा, डी) रिशांक देवाडिगा</v>
      </c>
      <c r="I282" s="5" t="str">
        <f>IFERROR(__xludf.DUMMYFUNCTION("GOOGLETRANSLATE(D282, ""en"", ""hi"")"),"A) प्रदीप नरवाल")</f>
        <v>A) प्रदीप नरवाल</v>
      </c>
    </row>
    <row r="283" ht="22.5" customHeight="1">
      <c r="A283" s="3">
        <v>282.0</v>
      </c>
      <c r="B283" s="4" t="s">
        <v>513</v>
      </c>
      <c r="C283" s="4" t="s">
        <v>322</v>
      </c>
      <c r="D283" s="4" t="s">
        <v>150</v>
      </c>
      <c r="F283" s="5" t="str">
        <f>IFERROR(__xludf.DUMMYFUNCTION("GOOGLETRANSLATE(A283, ""en"", ""hi"")"),"282")</f>
        <v>282</v>
      </c>
      <c r="G283" s="5" t="str">
        <f>IFERROR(__xludf.DUMMYFUNCTION("GOOGLETRANSLATE(B283, ""en"", ""hi"")"),"कौन सा भारतीय राज्य अपने पारंपरिक कबड्डी टूर्नामेंटों के लिए प्रसिद्ध है और 'गुड़गांव कबड्डी टूर्नामेंट' के लिए जाना जाता है?")</f>
        <v>कौन सा भारतीय राज्य अपने पारंपरिक कबड्डी टूर्नामेंटों के लिए प्रसिद्ध है और 'गुड़गांव कबड्डी टूर्नामेंट' के लिए जाना जाता है?</v>
      </c>
      <c r="H283" s="5" t="str">
        <f>IFERROR(__xludf.DUMMYFUNCTION("GOOGLETRANSLATE(C283, ""en"", ""hi"")"),"ए) हरियाणा, बी) पंजाब, सी) महाराष्ट्र, डी) राजस्थान")</f>
        <v>ए) हरियाणा, बी) पंजाब, सी) महाराष्ट्र, डी) राजस्थान</v>
      </c>
      <c r="I283" s="5" t="str">
        <f>IFERROR(__xludf.DUMMYFUNCTION("GOOGLETRANSLATE(D283, ""en"", ""hi"")"),"A) हरियाणा")</f>
        <v>A) हरियाणा</v>
      </c>
    </row>
    <row r="284" ht="22.5" customHeight="1">
      <c r="A284" s="3">
        <v>283.0</v>
      </c>
      <c r="B284" s="4" t="s">
        <v>514</v>
      </c>
      <c r="C284" s="4" t="s">
        <v>287</v>
      </c>
      <c r="D284" s="4" t="s">
        <v>142</v>
      </c>
      <c r="F284" s="5" t="str">
        <f>IFERROR(__xludf.DUMMYFUNCTION("GOOGLETRANSLATE(A284, ""en"", ""hi"")"),"283")</f>
        <v>283</v>
      </c>
      <c r="G284" s="5" t="str">
        <f>IFERROR(__xludf.DUMMYFUNCTION("GOOGLETRANSLATE(B284, ""en"", ""hi"")"),"कौन सा कबड्डी खिलाड़ी एक प्रो कबड्डी लीग सीज़न में 100 सफल टैकल करने वाला पहला खिलाड़ी बन गया?")</f>
        <v>कौन सा कबड्डी खिलाड़ी एक प्रो कबड्डी लीग सीज़न में 100 सफल टैकल करने वाला पहला खिलाड़ी बन गया?</v>
      </c>
      <c r="H284" s="5" t="str">
        <f>IFERROR(__xludf.DUMMYFUNCTION("GOOGLETRANSLATE(C284, ""en"", ""hi"")"),"ए) संदीप नरवाल, बी) मंजीत छिल्लर, सी) नितिन तोमर, डी) अजय ठाकुर")</f>
        <v>ए) संदीप नरवाल, बी) मंजीत छिल्लर, सी) नितिन तोमर, डी) अजय ठाकुर</v>
      </c>
      <c r="I284" s="5" t="str">
        <f>IFERROR(__xludf.DUMMYFUNCTION("GOOGLETRANSLATE(D284, ""en"", ""hi"")"),"A) संदीप नरवाल")</f>
        <v>A) संदीप नरवाल</v>
      </c>
    </row>
    <row r="285" ht="22.5" customHeight="1">
      <c r="A285" s="3">
        <v>284.0</v>
      </c>
      <c r="B285" s="4" t="s">
        <v>446</v>
      </c>
      <c r="C285" s="4" t="s">
        <v>447</v>
      </c>
      <c r="D285" s="4" t="s">
        <v>448</v>
      </c>
      <c r="F285" s="5" t="str">
        <f>IFERROR(__xludf.DUMMYFUNCTION("GOOGLETRANSLATE(A285, ""en"", ""hi"")"),"284")</f>
        <v>284</v>
      </c>
      <c r="G285" s="5" t="str">
        <f>IFERROR(__xludf.DUMMYFUNCTION("GOOGLETRANSLATE(B285, ""en"", ""hi"")"),"कौन सा भारतीय शहर 'कोलकाता कबड्डी चैंपियनशिप' की मेजबानी के लिए जाना जाता है?")</f>
        <v>कौन सा भारतीय शहर 'कोलकाता कबड्डी चैंपियनशिप' की मेजबानी के लिए जाना जाता है?</v>
      </c>
      <c r="H285" s="5" t="str">
        <f>IFERROR(__xludf.DUMMYFUNCTION("GOOGLETRANSLATE(C285, ""en"", ""hi"")"),"ए) कोलकाता, बी) चेन्नई, सी) मुंबई, डी) दिल्ली")</f>
        <v>ए) कोलकाता, बी) चेन्नई, सी) मुंबई, डी) दिल्ली</v>
      </c>
      <c r="I285" s="5" t="str">
        <f>IFERROR(__xludf.DUMMYFUNCTION("GOOGLETRANSLATE(D285, ""en"", ""hi"")"),"ए) कोलकाता")</f>
        <v>ए) कोलकाता</v>
      </c>
    </row>
    <row r="286" ht="22.5" customHeight="1">
      <c r="A286" s="3">
        <v>285.0</v>
      </c>
      <c r="B286" s="4" t="s">
        <v>515</v>
      </c>
      <c r="C286" s="4" t="s">
        <v>278</v>
      </c>
      <c r="D286" s="4" t="s">
        <v>184</v>
      </c>
      <c r="F286" s="5" t="str">
        <f>IFERROR(__xludf.DUMMYFUNCTION("GOOGLETRANSLATE(A286, ""en"", ""hi"")"),"285")</f>
        <v>285</v>
      </c>
      <c r="G286" s="5" t="str">
        <f>IFERROR(__xludf.DUMMYFUNCTION("GOOGLETRANSLATE(B286, ""en"", ""hi"")"),"कौन सा कबड्डी टूर्नामेंट अंतरराष्ट्रीय टीमों को शामिल करने के लिए जाना जाता है और 2014 में स्थापित किया गया था?")</f>
        <v>कौन सा कबड्डी टूर्नामेंट अंतरराष्ट्रीय टीमों को शामिल करने के लिए जाना जाता है और 2014 में स्थापित किया गया था?</v>
      </c>
      <c r="H286" s="5" t="str">
        <f>IFERROR(__xludf.DUMMYFUNCTION("GOOGLETRANSLATE(C286, ""en"", ""hi"")"),"A) विश्व कबड्डी लीग, B) कबड्डी मास्टर्स, C) प्रो कबड्डी लीग, D) कबड्डी चैम्पियनशिप")</f>
        <v>A) विश्व कबड्डी लीग, B) कबड्डी मास्टर्स, C) प्रो कबड्डी लीग, D) कबड्डी चैम्पियनशिप</v>
      </c>
      <c r="I286" s="5" t="str">
        <f>IFERROR(__xludf.DUMMYFUNCTION("GOOGLETRANSLATE(D286, ""en"", ""hi"")"),"A) विश्व कबड्डी लीग")</f>
        <v>A) विश्व कबड्डी लीग</v>
      </c>
    </row>
    <row r="287" ht="22.5" customHeight="1">
      <c r="A287" s="3">
        <v>286.0</v>
      </c>
      <c r="B287" s="4" t="s">
        <v>478</v>
      </c>
      <c r="C287" s="4" t="s">
        <v>422</v>
      </c>
      <c r="D287" s="4" t="s">
        <v>195</v>
      </c>
      <c r="F287" s="5" t="str">
        <f>IFERROR(__xludf.DUMMYFUNCTION("GOOGLETRANSLATE(A287, ""en"", ""hi"")"),"286")</f>
        <v>286</v>
      </c>
      <c r="G287" s="5" t="str">
        <f>IFERROR(__xludf.DUMMYFUNCTION("GOOGLETRANSLATE(B287, ""en"", ""hi"")"),"2016 कबड्डी विश्व कप में किस कबड्डी खिलाड़ी को 'सर्वश्रेष्ठ ऑलराउंडर' का खिताब दिया गया?")</f>
        <v>2016 कबड्डी विश्व कप में किस कबड्डी खिलाड़ी को 'सर्वश्रेष्ठ ऑलराउंडर' का खिताब दिया गया?</v>
      </c>
      <c r="H287" s="5" t="str">
        <f>IFERROR(__xludf.DUMMYFUNCTION("GOOGLETRANSLATE(C287, ""en"", ""hi"")"),"ए) मंजीत छिल्लर, बी) दीपक निवास हुडा, सी) प्रदीप नरवाल, डी) राहुल चौधरी")</f>
        <v>ए) मंजीत छिल्लर, बी) दीपक निवास हुडा, सी) प्रदीप नरवाल, डी) राहुल चौधरी</v>
      </c>
      <c r="I287" s="5" t="str">
        <f>IFERROR(__xludf.DUMMYFUNCTION("GOOGLETRANSLATE(D287, ""en"", ""hi"")"),"A) मंजीत छिल्लर")</f>
        <v>A) मंजीत छिल्लर</v>
      </c>
    </row>
    <row r="288" ht="22.5" customHeight="1">
      <c r="A288" s="3">
        <v>287.0</v>
      </c>
      <c r="B288" s="4" t="s">
        <v>460</v>
      </c>
      <c r="C288" s="4" t="s">
        <v>461</v>
      </c>
      <c r="D288" s="4" t="s">
        <v>462</v>
      </c>
      <c r="F288" s="5" t="str">
        <f>IFERROR(__xludf.DUMMYFUNCTION("GOOGLETRANSLATE(A288, ""en"", ""hi"")"),"287")</f>
        <v>287</v>
      </c>
      <c r="G288" s="5" t="str">
        <f>IFERROR(__xludf.DUMMYFUNCTION("GOOGLETRANSLATE(B288, ""en"", ""hi"")"),"कौन सा भारतीय शहर 'बैंगलोर कबड्डी चैंपियनशिप' की मेजबानी के लिए जाना जाता है?")</f>
        <v>कौन सा भारतीय शहर 'बैंगलोर कबड्डी चैंपियनशिप' की मेजबानी के लिए जाना जाता है?</v>
      </c>
      <c r="H288" s="5" t="str">
        <f>IFERROR(__xludf.DUMMYFUNCTION("GOOGLETRANSLATE(C288, ""en"", ""hi"")"),"A) बैंगलोर, B) चेन्नई, C) मुंबई, D) दिल्ली")</f>
        <v>A) बैंगलोर, B) चेन्नई, C) मुंबई, D) दिल्ली</v>
      </c>
      <c r="I288" s="5" t="str">
        <f>IFERROR(__xludf.DUMMYFUNCTION("GOOGLETRANSLATE(D288, ""en"", ""hi"")"),"ए) बैंगलोर")</f>
        <v>ए) बैंगलोर</v>
      </c>
    </row>
    <row r="289" ht="22.5" customHeight="1">
      <c r="A289" s="3">
        <v>288.0</v>
      </c>
      <c r="B289" s="4" t="s">
        <v>451</v>
      </c>
      <c r="C289" s="4" t="s">
        <v>242</v>
      </c>
      <c r="D289" s="4" t="s">
        <v>95</v>
      </c>
      <c r="F289" s="5" t="str">
        <f>IFERROR(__xludf.DUMMYFUNCTION("GOOGLETRANSLATE(A289, ""en"", ""hi"")"),"288")</f>
        <v>288</v>
      </c>
      <c r="G289" s="5" t="str">
        <f>IFERROR(__xludf.DUMMYFUNCTION("GOOGLETRANSLATE(B289, ""en"", ""hi"")"),"कौन सा कबड्डी खिलाड़ी अपने असाधारण रेडिंग कौशल के लिए जाना जाता था और उसे 2018 कबड्डी विश्व कप में 'सर्वश्रेष्ठ रेडर' से सम्मानित किया गया था?")</f>
        <v>कौन सा कबड्डी खिलाड़ी अपने असाधारण रेडिंग कौशल के लिए जाना जाता था और उसे 2018 कबड्डी विश्व कप में 'सर्वश्रेष्ठ रेडर' से सम्मानित किया गया था?</v>
      </c>
      <c r="H289" s="5" t="str">
        <f>IFERROR(__xludf.DUMMYFUNCTION("GOOGLETRANSLATE(C289, ""en"", ""hi"")"),"ए) प्रदीप नरवाल, बी) राहुल चौधरी, सी) दीपक निवास हुडा, डी) रिशांक देवाडिगा")</f>
        <v>ए) प्रदीप नरवाल, बी) राहुल चौधरी, सी) दीपक निवास हुडा, डी) रिशांक देवाडिगा</v>
      </c>
      <c r="I289" s="5" t="str">
        <f>IFERROR(__xludf.DUMMYFUNCTION("GOOGLETRANSLATE(D289, ""en"", ""hi"")"),"A) प्रदीप नरवाल")</f>
        <v>A) प्रदीप नरवाल</v>
      </c>
    </row>
    <row r="290" ht="22.5" customHeight="1">
      <c r="A290" s="3">
        <v>289.0</v>
      </c>
      <c r="B290" s="4" t="s">
        <v>516</v>
      </c>
      <c r="C290" s="4" t="s">
        <v>152</v>
      </c>
      <c r="D290" s="4" t="s">
        <v>95</v>
      </c>
      <c r="F290" s="5" t="str">
        <f>IFERROR(__xludf.DUMMYFUNCTION("GOOGLETRANSLATE(A290, ""en"", ""hi"")"),"289")</f>
        <v>289</v>
      </c>
      <c r="G290" s="5" t="str">
        <f>IFERROR(__xludf.DUMMYFUNCTION("GOOGLETRANSLATE(B290, ""en"", ""hi"")"),"2018 प्रो कबड्डी लीग सीज़न में कौन सा कबड्डी खिलाड़ी शीर्ष स्कोरर था?")</f>
        <v>2018 प्रो कबड्डी लीग सीज़न में कौन सा कबड्डी खिलाड़ी शीर्ष स्कोरर था?</v>
      </c>
      <c r="H290" s="5" t="str">
        <f>IFERROR(__xludf.DUMMYFUNCTION("GOOGLETRANSLATE(C290, ""en"", ""hi"")"),"ए) प्रदीप नरवाल, बी) राहुल चौधरी, सी) दीपक निवास हुडा, डी) नितिन तोमर")</f>
        <v>ए) प्रदीप नरवाल, बी) राहुल चौधरी, सी) दीपक निवास हुडा, डी) नितिन तोमर</v>
      </c>
      <c r="I290" s="5" t="str">
        <f>IFERROR(__xludf.DUMMYFUNCTION("GOOGLETRANSLATE(D290, ""en"", ""hi"")"),"A) प्रदीप नरवाल")</f>
        <v>A) प्रदीप नरवाल</v>
      </c>
    </row>
    <row r="291" ht="22.5" customHeight="1">
      <c r="A291" s="3">
        <v>290.0</v>
      </c>
      <c r="B291" s="4" t="s">
        <v>517</v>
      </c>
      <c r="C291" s="4" t="s">
        <v>422</v>
      </c>
      <c r="D291" s="4" t="s">
        <v>195</v>
      </c>
      <c r="F291" s="5" t="str">
        <f>IFERROR(__xludf.DUMMYFUNCTION("GOOGLETRANSLATE(A291, ""en"", ""hi"")"),"290")</f>
        <v>290</v>
      </c>
      <c r="G291" s="5" t="str">
        <f>IFERROR(__xludf.DUMMYFUNCTION("GOOGLETRANSLATE(B291, ""en"", ""hi"")"),"2019 कबड्डी विश्व कप में किस कबड्डी खिलाड़ी को 'सर्वश्रेष्ठ ऑलराउंडर' का पुरस्कार दिया गया?")</f>
        <v>2019 कबड्डी विश्व कप में किस कबड्डी खिलाड़ी को 'सर्वश्रेष्ठ ऑलराउंडर' का पुरस्कार दिया गया?</v>
      </c>
      <c r="H291" s="5" t="str">
        <f>IFERROR(__xludf.DUMMYFUNCTION("GOOGLETRANSLATE(C291, ""en"", ""hi"")"),"ए) मंजीत छिल्लर, बी) दीपक निवास हुडा, सी) प्रदीप नरवाल, डी) राहुल चौधरी")</f>
        <v>ए) मंजीत छिल्लर, बी) दीपक निवास हुडा, सी) प्रदीप नरवाल, डी) राहुल चौधरी</v>
      </c>
      <c r="I291" s="5" t="str">
        <f>IFERROR(__xludf.DUMMYFUNCTION("GOOGLETRANSLATE(D291, ""en"", ""hi"")"),"A) मंजीत छिल्लर")</f>
        <v>A) मंजीत छिल्लर</v>
      </c>
    </row>
    <row r="292" ht="22.5" customHeight="1">
      <c r="A292" s="3">
        <v>291.0</v>
      </c>
      <c r="B292" s="4" t="s">
        <v>518</v>
      </c>
      <c r="C292" s="4" t="s">
        <v>356</v>
      </c>
      <c r="D292" s="4" t="s">
        <v>119</v>
      </c>
      <c r="F292" s="5" t="str">
        <f>IFERROR(__xludf.DUMMYFUNCTION("GOOGLETRANSLATE(A292, ""en"", ""hi"")"),"291")</f>
        <v>291</v>
      </c>
      <c r="G292" s="5" t="str">
        <f>IFERROR(__xludf.DUMMYFUNCTION("GOOGLETRANSLATE(B292, ""en"", ""hi"")"),"अंतर्राष्ट्रीय टीमों को शामिल करने और विश्व स्तर पर कबड्डी को बढ़ावा देने के लिए कौन सी कबड्डी लीग की स्थापना की गई थी?")</f>
        <v>अंतर्राष्ट्रीय टीमों को शामिल करने और विश्व स्तर पर कबड्डी को बढ़ावा देने के लिए कौन सी कबड्डी लीग की स्थापना की गई थी?</v>
      </c>
      <c r="H292" s="5" t="str">
        <f>IFERROR(__xludf.DUMMYFUNCTION("GOOGLETRANSLATE(C292, ""en"", ""hi"")"),"A) कबड्डी मास्टर्स, B) विश्व कबड्डी लीग, C) प्रो कबड्डी लीग, D) कबड्डी चैम्पियनशिप")</f>
        <v>A) कबड्डी मास्टर्स, B) विश्व कबड्डी लीग, C) प्रो कबड्डी लीग, D) कबड्डी चैम्पियनशिप</v>
      </c>
      <c r="I292" s="5" t="str">
        <f>IFERROR(__xludf.DUMMYFUNCTION("GOOGLETRANSLATE(D292, ""en"", ""hi"")"),"बी) विश्व कबड्डी लीग")</f>
        <v>बी) विश्व कबड्डी लीग</v>
      </c>
    </row>
    <row r="293" ht="22.5" customHeight="1">
      <c r="A293" s="3">
        <v>292.0</v>
      </c>
      <c r="B293" s="4" t="s">
        <v>519</v>
      </c>
      <c r="C293" s="4" t="s">
        <v>455</v>
      </c>
      <c r="D293" s="4" t="s">
        <v>150</v>
      </c>
      <c r="F293" s="5" t="str">
        <f>IFERROR(__xludf.DUMMYFUNCTION("GOOGLETRANSLATE(A293, ""en"", ""hi"")"),"292")</f>
        <v>292</v>
      </c>
      <c r="G293" s="5" t="str">
        <f>IFERROR(__xludf.DUMMYFUNCTION("GOOGLETRANSLATE(B293, ""en"", ""hi"")"),"कौन सा भारतीय राज्य पानीपत में आयोजित होने वाली वार्षिक 'कबड्डी चैंपियनशिप' के लिए जाना जाता है?")</f>
        <v>कौन सा भारतीय राज्य पानीपत में आयोजित होने वाली वार्षिक 'कबड्डी चैंपियनशिप' के लिए जाना जाता है?</v>
      </c>
      <c r="H293" s="5" t="str">
        <f>IFERROR(__xludf.DUMMYFUNCTION("GOOGLETRANSLATE(C293, ""en"", ""hi"")"),"ए) हरियाणा, बी) पंजाब, सी) उत्तर प्रदेश, डी) राजस्थान")</f>
        <v>ए) हरियाणा, बी) पंजाब, सी) उत्तर प्रदेश, डी) राजस्थान</v>
      </c>
      <c r="I293" s="5" t="str">
        <f>IFERROR(__xludf.DUMMYFUNCTION("GOOGLETRANSLATE(D293, ""en"", ""hi"")"),"A) हरियाणा")</f>
        <v>A) हरियाणा</v>
      </c>
    </row>
    <row r="294" ht="22.5" customHeight="1">
      <c r="A294" s="3">
        <v>293.0</v>
      </c>
      <c r="B294" s="4" t="s">
        <v>520</v>
      </c>
      <c r="C294" s="4" t="s">
        <v>242</v>
      </c>
      <c r="D294" s="4" t="s">
        <v>95</v>
      </c>
      <c r="F294" s="5" t="str">
        <f>IFERROR(__xludf.DUMMYFUNCTION("GOOGLETRANSLATE(A294, ""en"", ""hi"")"),"293")</f>
        <v>293</v>
      </c>
      <c r="G294" s="5" t="str">
        <f>IFERROR(__xludf.DUMMYFUNCTION("GOOGLETRANSLATE(B294, ""en"", ""hi"")"),"किस कबड्डी खिलाड़ी ने 2019 प्रो कबड्डी लीग में एक ही मैच में सबसे अधिक रेड अंक का रिकॉर्ड बनाया?")</f>
        <v>किस कबड्डी खिलाड़ी ने 2019 प्रो कबड्डी लीग में एक ही मैच में सबसे अधिक रेड अंक का रिकॉर्ड बनाया?</v>
      </c>
      <c r="H294" s="5" t="str">
        <f>IFERROR(__xludf.DUMMYFUNCTION("GOOGLETRANSLATE(C294, ""en"", ""hi"")"),"ए) प्रदीप नरवाल, बी) राहुल चौधरी, सी) दीपक निवास हुडा, डी) रिशांक देवाडिगा")</f>
        <v>ए) प्रदीप नरवाल, बी) राहुल चौधरी, सी) दीपक निवास हुडा, डी) रिशांक देवाडिगा</v>
      </c>
      <c r="I294" s="5" t="str">
        <f>IFERROR(__xludf.DUMMYFUNCTION("GOOGLETRANSLATE(D294, ""en"", ""hi"")"),"A) प्रदीप नरवाल")</f>
        <v>A) प्रदीप नरवाल</v>
      </c>
    </row>
    <row r="295" ht="22.5" customHeight="1">
      <c r="A295" s="3">
        <v>294.0</v>
      </c>
      <c r="B295" s="4" t="s">
        <v>521</v>
      </c>
      <c r="C295" s="4" t="s">
        <v>242</v>
      </c>
      <c r="D295" s="4" t="s">
        <v>95</v>
      </c>
      <c r="F295" s="5" t="str">
        <f>IFERROR(__xludf.DUMMYFUNCTION("GOOGLETRANSLATE(A295, ""en"", ""hi"")"),"294")</f>
        <v>294</v>
      </c>
      <c r="G295" s="5" t="str">
        <f>IFERROR(__xludf.DUMMYFUNCTION("GOOGLETRANSLATE(B295, ""en"", ""hi"")"),"2017 प्रो कबड्डी लीग में किस कबड्डी खिलाड़ी को 'बेस्ट रेडर' का पुरस्कार दिया गया?")</f>
        <v>2017 प्रो कबड्डी लीग में किस कबड्डी खिलाड़ी को 'बेस्ट रेडर' का पुरस्कार दिया गया?</v>
      </c>
      <c r="H295" s="5" t="str">
        <f>IFERROR(__xludf.DUMMYFUNCTION("GOOGLETRANSLATE(C295, ""en"", ""hi"")"),"ए) प्रदीप नरवाल, बी) राहुल चौधरी, सी) दीपक निवास हुडा, डी) रिशांक देवाडिगा")</f>
        <v>ए) प्रदीप नरवाल, बी) राहुल चौधरी, सी) दीपक निवास हुडा, डी) रिशांक देवाडिगा</v>
      </c>
      <c r="I295" s="5" t="str">
        <f>IFERROR(__xludf.DUMMYFUNCTION("GOOGLETRANSLATE(D295, ""en"", ""hi"")"),"A) प्रदीप नरवाल")</f>
        <v>A) प्रदीप नरवाल</v>
      </c>
    </row>
    <row r="296" ht="22.5" customHeight="1">
      <c r="A296" s="3">
        <v>295.0</v>
      </c>
      <c r="B296" s="4" t="s">
        <v>522</v>
      </c>
      <c r="C296" s="4" t="s">
        <v>287</v>
      </c>
      <c r="D296" s="4" t="s">
        <v>142</v>
      </c>
      <c r="F296" s="5" t="str">
        <f>IFERROR(__xludf.DUMMYFUNCTION("GOOGLETRANSLATE(A296, ""en"", ""hi"")"),"295")</f>
        <v>295</v>
      </c>
      <c r="G296" s="5" t="str">
        <f>IFERROR(__xludf.DUMMYFUNCTION("GOOGLETRANSLATE(B296, ""en"", ""hi"")"),"2020 प्रो कबड्डी लीग सीज़न में किस कबड्डी खिलाड़ी ने सबसे सफल टैकल हासिल किए?")</f>
        <v>2020 प्रो कबड्डी लीग सीज़न में किस कबड्डी खिलाड़ी ने सबसे सफल टैकल हासिल किए?</v>
      </c>
      <c r="H296" s="5" t="str">
        <f>IFERROR(__xludf.DUMMYFUNCTION("GOOGLETRANSLATE(C296, ""en"", ""hi"")"),"ए) संदीप नरवाल, बी) मंजीत छिल्लर, सी) नितिन तोमर, डी) अजय ठाकुर")</f>
        <v>ए) संदीप नरवाल, बी) मंजीत छिल्लर, सी) नितिन तोमर, डी) अजय ठाकुर</v>
      </c>
      <c r="I296" s="5" t="str">
        <f>IFERROR(__xludf.DUMMYFUNCTION("GOOGLETRANSLATE(D296, ""en"", ""hi"")"),"A) संदीप नरवाल")</f>
        <v>A) संदीप नरवाल</v>
      </c>
    </row>
    <row r="297" ht="22.5" customHeight="1">
      <c r="A297" s="3">
        <v>296.0</v>
      </c>
      <c r="B297" s="4" t="s">
        <v>523</v>
      </c>
      <c r="C297" s="4" t="s">
        <v>524</v>
      </c>
      <c r="D297" s="4" t="s">
        <v>525</v>
      </c>
      <c r="F297" s="5" t="str">
        <f>IFERROR(__xludf.DUMMYFUNCTION("GOOGLETRANSLATE(A297, ""en"", ""hi"")"),"296")</f>
        <v>296</v>
      </c>
      <c r="G297" s="5" t="str">
        <f>IFERROR(__xludf.DUMMYFUNCTION("GOOGLETRANSLATE(B297, ""en"", ""hi"")"),"कौन सा कबड्डी टूर्नामेंट अपने पारंपरिक नियमों के लिए जाना जाता है और गुजरात में प्रतिवर्ष आयोजित किया जाता है?")</f>
        <v>कौन सा कबड्डी टूर्नामेंट अपने पारंपरिक नियमों के लिए जाना जाता है और गुजरात में प्रतिवर्ष आयोजित किया जाता है?</v>
      </c>
      <c r="H297" s="5" t="str">
        <f>IFERROR(__xludf.DUMMYFUNCTION("GOOGLETRANSLATE(C297, ""en"", ""hi"")"),"A) गुजरात कबड्डी टूर्नामेंट, B) महाराष्ट्र कबड्डी चैंपियनशिप, C) राजस्थान कबड्डी टूर्नामेंट, D) पंजाब कबड्डी चैंपियनशिप")</f>
        <v>A) गुजरात कबड्डी टूर्नामेंट, B) महाराष्ट्र कबड्डी चैंपियनशिप, C) राजस्थान कबड्डी टूर्नामेंट, D) पंजाब कबड्डी चैंपियनशिप</v>
      </c>
      <c r="I297" s="5" t="str">
        <f>IFERROR(__xludf.DUMMYFUNCTION("GOOGLETRANSLATE(D297, ""en"", ""hi"")"),"A) गुजरात कबड्डी टूर्नामेंट")</f>
        <v>A) गुजरात कबड्डी टूर्नामेंट</v>
      </c>
    </row>
    <row r="298" ht="22.5" customHeight="1">
      <c r="A298" s="3">
        <v>297.0</v>
      </c>
      <c r="B298" s="4" t="s">
        <v>526</v>
      </c>
      <c r="C298" s="4" t="s">
        <v>287</v>
      </c>
      <c r="D298" s="4" t="s">
        <v>142</v>
      </c>
      <c r="F298" s="5" t="str">
        <f>IFERROR(__xludf.DUMMYFUNCTION("GOOGLETRANSLATE(A298, ""en"", ""hi"")"),"297")</f>
        <v>297</v>
      </c>
      <c r="G298" s="5" t="str">
        <f>IFERROR(__xludf.DUMMYFUNCTION("GOOGLETRANSLATE(B298, ""en"", ""hi"")"),"कौन सा कबड्डी खिलाड़ी अपने असाधारण रक्षात्मक कौशल के लिए जाना जाता था और 2018 कबड्डी विश्व कप में 'सर्वश्रेष्ठ डिफेंडर' का पुरस्कार जीता था?")</f>
        <v>कौन सा कबड्डी खिलाड़ी अपने असाधारण रक्षात्मक कौशल के लिए जाना जाता था और 2018 कबड्डी विश्व कप में 'सर्वश्रेष्ठ डिफेंडर' का पुरस्कार जीता था?</v>
      </c>
      <c r="H298" s="5" t="str">
        <f>IFERROR(__xludf.DUMMYFUNCTION("GOOGLETRANSLATE(C298, ""en"", ""hi"")"),"ए) संदीप नरवाल, बी) मंजीत छिल्लर, सी) नितिन तोमर, डी) अजय ठाकुर")</f>
        <v>ए) संदीप नरवाल, बी) मंजीत छिल्लर, सी) नितिन तोमर, डी) अजय ठाकुर</v>
      </c>
      <c r="I298" s="5" t="str">
        <f>IFERROR(__xludf.DUMMYFUNCTION("GOOGLETRANSLATE(D298, ""en"", ""hi"")"),"A) संदीप नरवाल")</f>
        <v>A) संदीप नरवाल</v>
      </c>
    </row>
    <row r="299" ht="22.5" customHeight="1">
      <c r="A299" s="3">
        <v>298.0</v>
      </c>
      <c r="B299" s="4" t="s">
        <v>527</v>
      </c>
      <c r="C299" s="4" t="s">
        <v>528</v>
      </c>
      <c r="D299" s="4" t="s">
        <v>236</v>
      </c>
      <c r="F299" s="5" t="str">
        <f>IFERROR(__xludf.DUMMYFUNCTION("GOOGLETRANSLATE(A299, ""en"", ""hi"")"),"298")</f>
        <v>298</v>
      </c>
      <c r="G299" s="5" t="str">
        <f>IFERROR(__xludf.DUMMYFUNCTION("GOOGLETRANSLATE(B299, ""en"", ""hi"")"),"2014 में प्रो कबड्डी लीग सीज़न 1 की मेजबानी किस शहर ने की थी?")</f>
        <v>2014 में प्रो कबड्डी लीग सीज़न 1 की मेजबानी किस शहर ने की थी?</v>
      </c>
      <c r="H299" s="5" t="str">
        <f>IFERROR(__xludf.DUMMYFUNCTION("GOOGLETRANSLATE(C299, ""en"", ""hi"")"),"A) मुंबई, B) दिल्ली, C) बैंगलोर, D) हैदराबाद")</f>
        <v>A) मुंबई, B) दिल्ली, C) बैंगलोर, D) हैदराबाद</v>
      </c>
      <c r="I299" s="5" t="str">
        <f>IFERROR(__xludf.DUMMYFUNCTION("GOOGLETRANSLATE(D299, ""en"", ""hi"")"),"बी) दिल्ली")</f>
        <v>बी) दिल्ली</v>
      </c>
    </row>
    <row r="300" ht="22.5" customHeight="1">
      <c r="A300" s="3">
        <v>299.0</v>
      </c>
      <c r="B300" s="4" t="s">
        <v>529</v>
      </c>
      <c r="C300" s="4" t="s">
        <v>152</v>
      </c>
      <c r="D300" s="4" t="s">
        <v>95</v>
      </c>
      <c r="F300" s="5" t="str">
        <f>IFERROR(__xludf.DUMMYFUNCTION("GOOGLETRANSLATE(A300, ""en"", ""hi"")"),"299")</f>
        <v>299</v>
      </c>
      <c r="G300" s="5" t="str">
        <f>IFERROR(__xludf.DUMMYFUNCTION("GOOGLETRANSLATE(B300, ""en"", ""hi"")"),"प्रो कबड्डी लीग के इतिहास में एक ही मैच में 50 अंक बनाने वाला पहला कबड्डी खिलाड़ी कौन बना?")</f>
        <v>प्रो कबड्डी लीग के इतिहास में एक ही मैच में 50 अंक बनाने वाला पहला कबड्डी खिलाड़ी कौन बना?</v>
      </c>
      <c r="H300" s="5" t="str">
        <f>IFERROR(__xludf.DUMMYFUNCTION("GOOGLETRANSLATE(C300, ""en"", ""hi"")"),"ए) प्रदीप नरवाल, बी) राहुल चौधरी, सी) दीपक निवास हुडा, डी) नितिन तोमर")</f>
        <v>ए) प्रदीप नरवाल, बी) राहुल चौधरी, सी) दीपक निवास हुडा, डी) नितिन तोमर</v>
      </c>
      <c r="I300" s="5" t="str">
        <f>IFERROR(__xludf.DUMMYFUNCTION("GOOGLETRANSLATE(D300, ""en"", ""hi"")"),"A) प्रदीप नरवाल")</f>
        <v>A) प्रदीप नरवाल</v>
      </c>
    </row>
    <row r="301" ht="22.5" customHeight="1">
      <c r="A301" s="3">
        <v>300.0</v>
      </c>
      <c r="B301" s="4" t="s">
        <v>530</v>
      </c>
      <c r="C301" s="4" t="s">
        <v>531</v>
      </c>
      <c r="D301" s="4" t="s">
        <v>532</v>
      </c>
      <c r="F301" s="5" t="str">
        <f>IFERROR(__xludf.DUMMYFUNCTION("GOOGLETRANSLATE(A301, ""en"", ""hi"")"),"300")</f>
        <v>300</v>
      </c>
      <c r="G301" s="5" t="str">
        <f>IFERROR(__xludf.DUMMYFUNCTION("GOOGLETRANSLATE(B301, ""en"", ""hi"")"),"कौन सा कबड्डी टूर्नामेंट अपने राउंड-रॉबिन प्रारूप के लिए जाना जाता है और पंजाब में प्रतिवर्ष आयोजित किया जाता है?")</f>
        <v>कौन सा कबड्डी टूर्नामेंट अपने राउंड-रॉबिन प्रारूप के लिए जाना जाता है और पंजाब में प्रतिवर्ष आयोजित किया जाता है?</v>
      </c>
      <c r="H301" s="5" t="str">
        <f>IFERROR(__xludf.DUMMYFUNCTION("GOOGLETRANSLATE(C301, ""en"", ""hi"")"),"A) पंजाब कबड्डी चैंपियनशिप, B) हरियाणा कबड्डी टूर्नामेंट, C) महाराष्ट्र कबड्डी चैंपियनशिप, D) राजस्थान कबड्डी टूर्नामेंट")</f>
        <v>A) पंजाब कबड्डी चैंपियनशिप, B) हरियाणा कबड्डी टूर्नामेंट, C) महाराष्ट्र कबड्डी चैंपियनशिप, D) राजस्थान कबड्डी टूर्नामेंट</v>
      </c>
      <c r="I301" s="5" t="str">
        <f>IFERROR(__xludf.DUMMYFUNCTION("GOOGLETRANSLATE(D301, ""en"", ""hi"")"),"A) पंजाब कबड्डी चैंपियनशिप")</f>
        <v>A) पंजाब कबड्डी चैंपियनशिप</v>
      </c>
    </row>
    <row r="302" ht="22.5" customHeight="1">
      <c r="A302" s="3">
        <v>301.0</v>
      </c>
      <c r="B302" s="4" t="s">
        <v>440</v>
      </c>
      <c r="C302" s="4" t="s">
        <v>242</v>
      </c>
      <c r="D302" s="4" t="s">
        <v>95</v>
      </c>
      <c r="F302" s="5" t="str">
        <f>IFERROR(__xludf.DUMMYFUNCTION("GOOGLETRANSLATE(A302, ""en"", ""hi"")"),"301")</f>
        <v>301</v>
      </c>
      <c r="G302" s="5" t="str">
        <f>IFERROR(__xludf.DUMMYFUNCTION("GOOGLETRANSLATE(B302, ""en"", ""hi"")"),"2019 कबड्डी विश्व कप में किस कबड्डी खिलाड़ी को 'बेस्ट रेडर' का खिताब दिया गया?")</f>
        <v>2019 कबड्डी विश्व कप में किस कबड्डी खिलाड़ी को 'बेस्ट रेडर' का खिताब दिया गया?</v>
      </c>
      <c r="H302" s="5" t="str">
        <f>IFERROR(__xludf.DUMMYFUNCTION("GOOGLETRANSLATE(C302, ""en"", ""hi"")"),"ए) प्रदीप नरवाल, बी) राहुल चौधरी, सी) दीपक निवास हुडा, डी) रिशांक देवाडिगा")</f>
        <v>ए) प्रदीप नरवाल, बी) राहुल चौधरी, सी) दीपक निवास हुडा, डी) रिशांक देवाडिगा</v>
      </c>
      <c r="I302" s="5" t="str">
        <f>IFERROR(__xludf.DUMMYFUNCTION("GOOGLETRANSLATE(D302, ""en"", ""hi"")"),"A) प्रदीप नरवाल")</f>
        <v>A) प्रदीप नरवाल</v>
      </c>
    </row>
    <row r="303" ht="22.5" customHeight="1">
      <c r="A303" s="3">
        <v>302.0</v>
      </c>
      <c r="B303" s="4" t="s">
        <v>533</v>
      </c>
      <c r="C303" s="4" t="s">
        <v>152</v>
      </c>
      <c r="D303" s="4" t="s">
        <v>95</v>
      </c>
      <c r="F303" s="5" t="str">
        <f>IFERROR(__xludf.DUMMYFUNCTION("GOOGLETRANSLATE(A303, ""en"", ""hi"")"),"302")</f>
        <v>302</v>
      </c>
      <c r="G303" s="5" t="str">
        <f>IFERROR(__xludf.DUMMYFUNCTION("GOOGLETRANSLATE(B303, ""en"", ""hi"")"),"2019 प्रो कबड्डी लीग सीज़न में कौन सा कबड्डी खिलाड़ी शीर्ष स्कोरर था?")</f>
        <v>2019 प्रो कबड्डी लीग सीज़न में कौन सा कबड्डी खिलाड़ी शीर्ष स्कोरर था?</v>
      </c>
      <c r="H303" s="5" t="str">
        <f>IFERROR(__xludf.DUMMYFUNCTION("GOOGLETRANSLATE(C303, ""en"", ""hi"")"),"ए) प्रदीप नरवाल, बी) राहुल चौधरी, सी) दीपक निवास हुडा, डी) नितिन तोमर")</f>
        <v>ए) प्रदीप नरवाल, बी) राहुल चौधरी, सी) दीपक निवास हुडा, डी) नितिन तोमर</v>
      </c>
      <c r="I303" s="5" t="str">
        <f>IFERROR(__xludf.DUMMYFUNCTION("GOOGLETRANSLATE(D303, ""en"", ""hi"")"),"A) प्रदीप नरवाल")</f>
        <v>A) प्रदीप नरवाल</v>
      </c>
    </row>
    <row r="304" ht="22.5" customHeight="1">
      <c r="A304" s="3">
        <v>303.0</v>
      </c>
      <c r="B304" s="4" t="s">
        <v>534</v>
      </c>
      <c r="C304" s="4" t="s">
        <v>422</v>
      </c>
      <c r="D304" s="4" t="s">
        <v>195</v>
      </c>
      <c r="F304" s="5" t="str">
        <f>IFERROR(__xludf.DUMMYFUNCTION("GOOGLETRANSLATE(A304, ""en"", ""hi"")"),"303")</f>
        <v>303</v>
      </c>
      <c r="G304" s="5" t="str">
        <f>IFERROR(__xludf.DUMMYFUNCTION("GOOGLETRANSLATE(B304, ""en"", ""hi"")"),"2017 कबड्डी विश्व कप में किस कबड्डी खिलाड़ी को 'सर्वश्रेष्ठ ऑलराउंडर' का पुरस्कार दिया गया?")</f>
        <v>2017 कबड्डी विश्व कप में किस कबड्डी खिलाड़ी को 'सर्वश्रेष्ठ ऑलराउंडर' का पुरस्कार दिया गया?</v>
      </c>
      <c r="H304" s="5" t="str">
        <f>IFERROR(__xludf.DUMMYFUNCTION("GOOGLETRANSLATE(C304, ""en"", ""hi"")"),"ए) मंजीत छिल्लर, बी) दीपक निवास हुडा, सी) प्रदीप नरवाल, डी) राहुल चौधरी")</f>
        <v>ए) मंजीत छिल्लर, बी) दीपक निवास हुडा, सी) प्रदीप नरवाल, डी) राहुल चौधरी</v>
      </c>
      <c r="I304" s="5" t="str">
        <f>IFERROR(__xludf.DUMMYFUNCTION("GOOGLETRANSLATE(D304, ""en"", ""hi"")"),"A) मंजीत छिल्लर")</f>
        <v>A) मंजीत छिल्लर</v>
      </c>
    </row>
    <row r="305" ht="22.5" customHeight="1">
      <c r="A305" s="3">
        <v>304.0</v>
      </c>
      <c r="B305" s="4" t="s">
        <v>535</v>
      </c>
      <c r="C305" s="4" t="s">
        <v>536</v>
      </c>
      <c r="D305" s="4" t="s">
        <v>125</v>
      </c>
      <c r="F305" s="5" t="str">
        <f>IFERROR(__xludf.DUMMYFUNCTION("GOOGLETRANSLATE(A305, ""en"", ""hi"")"),"304")</f>
        <v>304</v>
      </c>
      <c r="G305" s="5" t="str">
        <f>IFERROR(__xludf.DUMMYFUNCTION("GOOGLETRANSLATE(B305, ""en"", ""hi"")"),"कौन सा भारतीय राज्य पारंपरिक 'जोधपुर कबड्डी टूर्नामेंट' के लिए जाना जाता है?")</f>
        <v>कौन सा भारतीय राज्य पारंपरिक 'जोधपुर कबड्डी टूर्नामेंट' के लिए जाना जाता है?</v>
      </c>
      <c r="H305" s="5" t="str">
        <f>IFERROR(__xludf.DUMMYFUNCTION("GOOGLETRANSLATE(C305, ""en"", ""hi"")"),"A) राजस्थान, B) गुजरात, C) हरियाणा, D) पंजाब")</f>
        <v>A) राजस्थान, B) गुजरात, C) हरियाणा, D) पंजाब</v>
      </c>
      <c r="I305" s="5" t="str">
        <f>IFERROR(__xludf.DUMMYFUNCTION("GOOGLETRANSLATE(D305, ""en"", ""hi"")"),"A) राजस्थान")</f>
        <v>A) राजस्थान</v>
      </c>
    </row>
    <row r="306" ht="22.5" customHeight="1">
      <c r="A306" s="3">
        <v>305.0</v>
      </c>
      <c r="B306" s="4" t="s">
        <v>537</v>
      </c>
      <c r="C306" s="4" t="s">
        <v>152</v>
      </c>
      <c r="D306" s="4" t="s">
        <v>95</v>
      </c>
      <c r="F306" s="5" t="str">
        <f>IFERROR(__xludf.DUMMYFUNCTION("GOOGLETRANSLATE(A306, ""en"", ""hi"")"),"305")</f>
        <v>305</v>
      </c>
      <c r="G306" s="5" t="str">
        <f>IFERROR(__xludf.DUMMYFUNCTION("GOOGLETRANSLATE(B306, ""en"", ""hi"")"),"कौन सा कबड्डी खिलाड़ी अपने असाधारण रेडिंग कौशल के लिए जाना जाता था और 2019 प्रो कबड्डी लीग में 'सर्वश्रेष्ठ रेडर' का पुरस्कार जीता?")</f>
        <v>कौन सा कबड्डी खिलाड़ी अपने असाधारण रेडिंग कौशल के लिए जाना जाता था और 2019 प्रो कबड्डी लीग में 'सर्वश्रेष्ठ रेडर' का पुरस्कार जीता?</v>
      </c>
      <c r="H306" s="5" t="str">
        <f>IFERROR(__xludf.DUMMYFUNCTION("GOOGLETRANSLATE(C306, ""en"", ""hi"")"),"ए) प्रदीप नरवाल, बी) राहुल चौधरी, सी) दीपक निवास हुडा, डी) नितिन तोमर")</f>
        <v>ए) प्रदीप नरवाल, बी) राहुल चौधरी, सी) दीपक निवास हुडा, डी) नितिन तोमर</v>
      </c>
      <c r="I306" s="5" t="str">
        <f>IFERROR(__xludf.DUMMYFUNCTION("GOOGLETRANSLATE(D306, ""en"", ""hi"")"),"A) प्रदीप नरवाल")</f>
        <v>A) प्रदीप नरवाल</v>
      </c>
    </row>
    <row r="307" ht="22.5" customHeight="1">
      <c r="A307" s="3">
        <v>306.0</v>
      </c>
      <c r="B307" s="4" t="s">
        <v>538</v>
      </c>
      <c r="C307" s="4" t="s">
        <v>242</v>
      </c>
      <c r="D307" s="4" t="s">
        <v>95</v>
      </c>
      <c r="F307" s="5" t="str">
        <f>IFERROR(__xludf.DUMMYFUNCTION("GOOGLETRANSLATE(A307, ""en"", ""hi"")"),"306")</f>
        <v>306</v>
      </c>
      <c r="G307" s="5" t="str">
        <f>IFERROR(__xludf.DUMMYFUNCTION("GOOGLETRANSLATE(B307, ""en"", ""hi"")"),"2020 कबड्डी विश्व कप में कौन सा कबड्डी खिलाड़ी शीर्ष स्कोरर था?")</f>
        <v>2020 कबड्डी विश्व कप में कौन सा कबड्डी खिलाड़ी शीर्ष स्कोरर था?</v>
      </c>
      <c r="H307" s="5" t="str">
        <f>IFERROR(__xludf.DUMMYFUNCTION("GOOGLETRANSLATE(C307, ""en"", ""hi"")"),"ए) प्रदीप नरवाल, बी) राहुल चौधरी, सी) दीपक निवास हुडा, डी) रिशांक देवाडिगा")</f>
        <v>ए) प्रदीप नरवाल, बी) राहुल चौधरी, सी) दीपक निवास हुडा, डी) रिशांक देवाडिगा</v>
      </c>
      <c r="I307" s="5" t="str">
        <f>IFERROR(__xludf.DUMMYFUNCTION("GOOGLETRANSLATE(D307, ""en"", ""hi"")"),"A) प्रदीप नरवाल")</f>
        <v>A) प्रदीप नरवाल</v>
      </c>
    </row>
    <row r="308" ht="22.5" customHeight="1">
      <c r="A308" s="3">
        <v>307.0</v>
      </c>
      <c r="B308" s="4" t="s">
        <v>539</v>
      </c>
      <c r="C308" s="4" t="s">
        <v>356</v>
      </c>
      <c r="D308" s="4" t="s">
        <v>316</v>
      </c>
      <c r="F308" s="5" t="str">
        <f>IFERROR(__xludf.DUMMYFUNCTION("GOOGLETRANSLATE(A308, ""en"", ""hi"")"),"307")</f>
        <v>307</v>
      </c>
      <c r="G308" s="5" t="str">
        <f>IFERROR(__xludf.DUMMYFUNCTION("GOOGLETRANSLATE(B308, ""en"", ""hi"")"),"कौन सी कबड्डी लीग में दक्षिण एशियाई देशों की टीमें शामिल हैं और यह अपनी प्रतिस्पर्धी प्रकृति के लिए जानी जाती है?")</f>
        <v>कौन सी कबड्डी लीग में दक्षिण एशियाई देशों की टीमें शामिल हैं और यह अपनी प्रतिस्पर्धी प्रकृति के लिए जानी जाती है?</v>
      </c>
      <c r="H308" s="5" t="str">
        <f>IFERROR(__xludf.DUMMYFUNCTION("GOOGLETRANSLATE(C308, ""en"", ""hi"")"),"A) कबड्डी मास्टर्स, B) विश्व कबड्डी लीग, C) प्रो कबड्डी लीग, D) कबड्डी चैम्पियनशिप")</f>
        <v>A) कबड्डी मास्टर्स, B) विश्व कबड्डी लीग, C) प्रो कबड्डी लीग, D) कबड्डी चैम्पियनशिप</v>
      </c>
      <c r="I308" s="5" t="str">
        <f>IFERROR(__xludf.DUMMYFUNCTION("GOOGLETRANSLATE(D308, ""en"", ""hi"")"),"A) कबड्डी मास्टर्स")</f>
        <v>A) कबड्डी मास्टर्स</v>
      </c>
    </row>
    <row r="309" ht="22.5" customHeight="1">
      <c r="A309" s="3">
        <v>308.0</v>
      </c>
      <c r="B309" s="4" t="s">
        <v>540</v>
      </c>
      <c r="C309" s="4" t="s">
        <v>152</v>
      </c>
      <c r="D309" s="4" t="s">
        <v>95</v>
      </c>
      <c r="F309" s="5" t="str">
        <f>IFERROR(__xludf.DUMMYFUNCTION("GOOGLETRANSLATE(A309, ""en"", ""hi"")"),"308")</f>
        <v>308</v>
      </c>
      <c r="G309" s="5" t="str">
        <f>IFERROR(__xludf.DUMMYFUNCTION("GOOGLETRANSLATE(B309, ""en"", ""hi"")"),"2020 प्रो कबड्डी लीग सीज़न में किस कबड्डी खिलाड़ी ने सबसे अधिक सफल रेड हासिल की?")</f>
        <v>2020 प्रो कबड्डी लीग सीज़न में किस कबड्डी खिलाड़ी ने सबसे अधिक सफल रेड हासिल की?</v>
      </c>
      <c r="H309" s="5" t="str">
        <f>IFERROR(__xludf.DUMMYFUNCTION("GOOGLETRANSLATE(C309, ""en"", ""hi"")"),"ए) प्रदीप नरवाल, बी) राहुल चौधरी, सी) दीपक निवास हुडा, डी) नितिन तोमर")</f>
        <v>ए) प्रदीप नरवाल, बी) राहुल चौधरी, सी) दीपक निवास हुडा, डी) नितिन तोमर</v>
      </c>
      <c r="I309" s="5" t="str">
        <f>IFERROR(__xludf.DUMMYFUNCTION("GOOGLETRANSLATE(D309, ""en"", ""hi"")"),"A) प्रदीप नरवाल")</f>
        <v>A) प्रदीप नरवाल</v>
      </c>
    </row>
    <row r="310" ht="22.5" customHeight="1">
      <c r="A310" s="3">
        <v>309.0</v>
      </c>
      <c r="B310" s="4" t="s">
        <v>541</v>
      </c>
      <c r="C310" s="4" t="s">
        <v>542</v>
      </c>
      <c r="D310" s="4" t="s">
        <v>543</v>
      </c>
      <c r="F310" s="5" t="str">
        <f>IFERROR(__xludf.DUMMYFUNCTION("GOOGLETRANSLATE(A310, ""en"", ""hi"")"),"309")</f>
        <v>309</v>
      </c>
      <c r="G310" s="5" t="str">
        <f>IFERROR(__xludf.DUMMYFUNCTION("GOOGLETRANSLATE(B310, ""en"", ""hi"")"),"कौन सा भारतीय शहर 'दिल्ली कबड्डी चैंपियनशिप' के लिए जाना जाता है?")</f>
        <v>कौन सा भारतीय शहर 'दिल्ली कबड्डी चैंपियनशिप' के लिए जाना जाता है?</v>
      </c>
      <c r="H310" s="5" t="str">
        <f>IFERROR(__xludf.DUMMYFUNCTION("GOOGLETRANSLATE(C310, ""en"", ""hi"")"),"A) दिल्ली, B) मुंबई, C) बैंगलोर, D) चेन्नई")</f>
        <v>A) दिल्ली, B) मुंबई, C) बैंगलोर, D) चेन्नई</v>
      </c>
      <c r="I310" s="5" t="str">
        <f>IFERROR(__xludf.DUMMYFUNCTION("GOOGLETRANSLATE(D310, ""en"", ""hi"")"),"ए) दिल्ली")</f>
        <v>ए) दिल्ली</v>
      </c>
    </row>
    <row r="311" ht="22.5" customHeight="1">
      <c r="A311" s="3">
        <v>310.0</v>
      </c>
      <c r="B311" s="4" t="s">
        <v>544</v>
      </c>
      <c r="C311" s="4" t="s">
        <v>349</v>
      </c>
      <c r="D311" s="4" t="s">
        <v>218</v>
      </c>
      <c r="F311" s="5" t="str">
        <f>IFERROR(__xludf.DUMMYFUNCTION("GOOGLETRANSLATE(A311, ""en"", ""hi"")"),"310")</f>
        <v>310</v>
      </c>
      <c r="G311" s="5" t="str">
        <f>IFERROR(__xludf.DUMMYFUNCTION("GOOGLETRANSLATE(B311, ""en"", ""hi"")"),"2021 में कौन सा कबड्डी टूर्नामेंट आयोजित किया गया और इसमें पारंपरिक और आधुनिक कबड्डी टीमों का मिश्रण था?")</f>
        <v>2021 में कौन सा कबड्डी टूर्नामेंट आयोजित किया गया और इसमें पारंपरिक और आधुनिक कबड्डी टीमों का मिश्रण था?</v>
      </c>
      <c r="H311" s="5" t="str">
        <f>IFERROR(__xludf.DUMMYFUNCTION("GOOGLETRANSLATE(C311, ""en"", ""hi"")"),"A) प्रो कबड्डी लीग, B) कबड्डी मास्टर्स, C) कबड्डी विश्व कप, D) विश्व कबड्डी लीग")</f>
        <v>A) प्रो कबड्डी लीग, B) कबड्डी मास्टर्स, C) कबड्डी विश्व कप, D) विश्व कबड्डी लीग</v>
      </c>
      <c r="I311" s="5" t="str">
        <f>IFERROR(__xludf.DUMMYFUNCTION("GOOGLETRANSLATE(D311, ""en"", ""hi"")"),"बी) कबड्डी मास्टर्स")</f>
        <v>बी) कबड्डी मास्टर्स</v>
      </c>
    </row>
    <row r="312" ht="22.5" customHeight="1">
      <c r="A312" s="3">
        <v>311.0</v>
      </c>
      <c r="B312" s="4" t="s">
        <v>545</v>
      </c>
      <c r="C312" s="4" t="s">
        <v>152</v>
      </c>
      <c r="D312" s="4" t="s">
        <v>546</v>
      </c>
      <c r="F312" s="5" t="str">
        <f>IFERROR(__xludf.DUMMYFUNCTION("GOOGLETRANSLATE(A312, ""en"", ""hi"")"),"311")</f>
        <v>311</v>
      </c>
      <c r="G312" s="5" t="str">
        <f>IFERROR(__xludf.DUMMYFUNCTION("GOOGLETRANSLATE(B312, ""en"", ""hi"")"),"2016 प्रो कबड्डी लीग सीज़न में कौन सा कबड्डी खिलाड़ी शीर्ष स्कोरर था?")</f>
        <v>2016 प्रो कबड्डी लीग सीज़न में कौन सा कबड्डी खिलाड़ी शीर्ष स्कोरर था?</v>
      </c>
      <c r="H312" s="5" t="str">
        <f>IFERROR(__xludf.DUMMYFUNCTION("GOOGLETRANSLATE(C312, ""en"", ""hi"")"),"ए) प्रदीप नरवाल, बी) राहुल चौधरी, सी) दीपक निवास हुडा, डी) नितिन तोमर")</f>
        <v>ए) प्रदीप नरवाल, बी) राहुल चौधरी, सी) दीपक निवास हुडा, डी) नितिन तोमर</v>
      </c>
      <c r="I312" s="5" t="str">
        <f>IFERROR(__xludf.DUMMYFUNCTION("GOOGLETRANSLATE(D312, ""en"", ""hi"")"),"बी) राहुल चौधरी")</f>
        <v>बी) राहुल चौधरी</v>
      </c>
    </row>
    <row r="313" ht="22.5" customHeight="1">
      <c r="A313" s="3">
        <v>312.0</v>
      </c>
      <c r="B313" s="4" t="s">
        <v>547</v>
      </c>
      <c r="C313" s="4" t="s">
        <v>548</v>
      </c>
      <c r="D313" s="4" t="s">
        <v>549</v>
      </c>
      <c r="F313" s="5" t="str">
        <f>IFERROR(__xludf.DUMMYFUNCTION("GOOGLETRANSLATE(A313, ""en"", ""hi"")"),"312")</f>
        <v>312</v>
      </c>
      <c r="G313" s="5" t="str">
        <f>IFERROR(__xludf.DUMMYFUNCTION("GOOGLETRANSLATE(B313, ""en"", ""hi"")"),"कौन सा भारतीय शहर वार्षिक 'मुंबई कबड्डी चैंपियनशिप' की मेजबानी के लिए जाना जाता है?")</f>
        <v>कौन सा भारतीय शहर वार्षिक 'मुंबई कबड्डी चैंपियनशिप' की मेजबानी के लिए जाना जाता है?</v>
      </c>
      <c r="H313" s="5" t="str">
        <f>IFERROR(__xludf.DUMMYFUNCTION("GOOGLETRANSLATE(C313, ""en"", ""hi"")"),"A) मुंबई, B) दिल्ली, C) बैंगलोर, D) चेन्नई")</f>
        <v>A) मुंबई, B) दिल्ली, C) बैंगलोर, D) चेन्नई</v>
      </c>
      <c r="I313" s="5" t="str">
        <f>IFERROR(__xludf.DUMMYFUNCTION("GOOGLETRANSLATE(D313, ""en"", ""hi"")"),"ए) मुंबई")</f>
        <v>ए) मुंबई</v>
      </c>
    </row>
    <row r="314" ht="22.5" customHeight="1">
      <c r="A314" s="3">
        <v>313.0</v>
      </c>
      <c r="B314" s="4" t="s">
        <v>550</v>
      </c>
      <c r="C314" s="4" t="s">
        <v>422</v>
      </c>
      <c r="D314" s="4" t="s">
        <v>551</v>
      </c>
      <c r="F314" s="5" t="str">
        <f>IFERROR(__xludf.DUMMYFUNCTION("GOOGLETRANSLATE(A314, ""en"", ""hi"")"),"313")</f>
        <v>313</v>
      </c>
      <c r="G314" s="5" t="str">
        <f>IFERROR(__xludf.DUMMYFUNCTION("GOOGLETRANSLATE(B314, ""en"", ""hi"")"),"2020 कबड्डी विश्व कप में किस कबड्डी खिलाड़ी को 'सर्वश्रेष्ठ ऑलराउंडर' का खिताब दिया गया?")</f>
        <v>2020 कबड्डी विश्व कप में किस कबड्डी खिलाड़ी को 'सर्वश्रेष्ठ ऑलराउंडर' का खिताब दिया गया?</v>
      </c>
      <c r="H314" s="5" t="str">
        <f>IFERROR(__xludf.DUMMYFUNCTION("GOOGLETRANSLATE(C314, ""en"", ""hi"")"),"ए) मंजीत छिल्लर, बी) दीपक निवास हुडा, सी) प्रदीप नरवाल, डी) राहुल चौधरी")</f>
        <v>ए) मंजीत छिल्लर, बी) दीपक निवास हुडा, सी) प्रदीप नरवाल, डी) राहुल चौधरी</v>
      </c>
      <c r="I314" s="5" t="str">
        <f>IFERROR(__xludf.DUMMYFUNCTION("GOOGLETRANSLATE(D314, ""en"", ""hi"")"),"बी) दीपक निवास हुड्डा")</f>
        <v>बी) दीपक निवास हुड्डा</v>
      </c>
    </row>
    <row r="315" ht="22.5" customHeight="1">
      <c r="A315" s="3">
        <v>314.0</v>
      </c>
      <c r="B315" s="4" t="s">
        <v>552</v>
      </c>
      <c r="C315" s="4" t="s">
        <v>152</v>
      </c>
      <c r="D315" s="4" t="s">
        <v>95</v>
      </c>
      <c r="F315" s="5" t="str">
        <f>IFERROR(__xludf.DUMMYFUNCTION("GOOGLETRANSLATE(A315, ""en"", ""hi"")"),"314")</f>
        <v>314</v>
      </c>
      <c r="G315" s="5" t="str">
        <f>IFERROR(__xludf.DUMMYFUNCTION("GOOGLETRANSLATE(B315, ""en"", ""hi"")"),"2020 प्रो कबड्डी लीग सीज़न में किस कबड्डी खिलाड़ी ने एक ही मैच में सबसे अधिक रेड अंक हासिल किए?")</f>
        <v>2020 प्रो कबड्डी लीग सीज़न में किस कबड्डी खिलाड़ी ने एक ही मैच में सबसे अधिक रेड अंक हासिल किए?</v>
      </c>
      <c r="H315" s="5" t="str">
        <f>IFERROR(__xludf.DUMMYFUNCTION("GOOGLETRANSLATE(C315, ""en"", ""hi"")"),"ए) प्रदीप नरवाल, बी) राहुल चौधरी, सी) दीपक निवास हुडा, डी) नितिन तोमर")</f>
        <v>ए) प्रदीप नरवाल, बी) राहुल चौधरी, सी) दीपक निवास हुडा, डी) नितिन तोमर</v>
      </c>
      <c r="I315" s="5" t="str">
        <f>IFERROR(__xludf.DUMMYFUNCTION("GOOGLETRANSLATE(D315, ""en"", ""hi"")"),"A) प्रदीप नरवाल")</f>
        <v>A) प्रदीप नरवाल</v>
      </c>
    </row>
    <row r="316" ht="22.5" customHeight="1">
      <c r="A316" s="3">
        <v>315.0</v>
      </c>
      <c r="B316" s="4" t="s">
        <v>553</v>
      </c>
      <c r="C316" s="4" t="s">
        <v>554</v>
      </c>
      <c r="D316" s="4" t="s">
        <v>179</v>
      </c>
      <c r="F316" s="5" t="str">
        <f>IFERROR(__xludf.DUMMYFUNCTION("GOOGLETRANSLATE(A316, ""en"", ""hi"")"),"315")</f>
        <v>315</v>
      </c>
      <c r="G316" s="5" t="str">
        <f>IFERROR(__xludf.DUMMYFUNCTION("GOOGLETRANSLATE(B316, ""en"", ""hi"")"),"कौन सा भारतीय राज्य पारंपरिक 'कोलकाता कबड्डी टूर्नामेंट' के लिए जाना जाता है?")</f>
        <v>कौन सा भारतीय राज्य पारंपरिक 'कोलकाता कबड्डी टूर्नामेंट' के लिए जाना जाता है?</v>
      </c>
      <c r="H316" s="5" t="str">
        <f>IFERROR(__xludf.DUMMYFUNCTION("GOOGLETRANSLATE(C316, ""en"", ""hi"")"),"A) पश्चिम बंगाल, B) गुजरात, C) हरियाणा, D) पंजाब")</f>
        <v>A) पश्चिम बंगाल, B) गुजरात, C) हरियाणा, D) पंजाब</v>
      </c>
      <c r="I316" s="5" t="str">
        <f>IFERROR(__xludf.DUMMYFUNCTION("GOOGLETRANSLATE(D316, ""en"", ""hi"")"),"ए) पश्चिम बंगाल")</f>
        <v>ए) पश्चिम बंगाल</v>
      </c>
    </row>
    <row r="317" ht="22.5" customHeight="1">
      <c r="A317" s="3">
        <v>316.0</v>
      </c>
      <c r="B317" s="4" t="s">
        <v>555</v>
      </c>
      <c r="C317" s="4" t="s">
        <v>287</v>
      </c>
      <c r="D317" s="4" t="s">
        <v>142</v>
      </c>
      <c r="F317" s="5" t="str">
        <f>IFERROR(__xludf.DUMMYFUNCTION("GOOGLETRANSLATE(A317, ""en"", ""hi"")"),"316")</f>
        <v>316</v>
      </c>
      <c r="G317" s="5" t="str">
        <f>IFERROR(__xludf.DUMMYFUNCTION("GOOGLETRANSLATE(B317, ""en"", ""hi"")"),"कौन सा कबड्डी खिलाड़ी अपने रक्षात्मक कौशल के लिए जाना जाता था और 2021 प्रो कबड्डी लीग में 'सर्वश्रेष्ठ डिफेंडर' का पुरस्कार जीता?")</f>
        <v>कौन सा कबड्डी खिलाड़ी अपने रक्षात्मक कौशल के लिए जाना जाता था और 2021 प्रो कबड्डी लीग में 'सर्वश्रेष्ठ डिफेंडर' का पुरस्कार जीता?</v>
      </c>
      <c r="H317" s="5" t="str">
        <f>IFERROR(__xludf.DUMMYFUNCTION("GOOGLETRANSLATE(C317, ""en"", ""hi"")"),"ए) संदीप नरवाल, बी) मंजीत छिल्लर, सी) नितिन तोमर, डी) अजय ठाकुर")</f>
        <v>ए) संदीप नरवाल, बी) मंजीत छिल्लर, सी) नितिन तोमर, डी) अजय ठाकुर</v>
      </c>
      <c r="I317" s="5" t="str">
        <f>IFERROR(__xludf.DUMMYFUNCTION("GOOGLETRANSLATE(D317, ""en"", ""hi"")"),"A) संदीप नरवाल")</f>
        <v>A) संदीप नरवाल</v>
      </c>
    </row>
    <row r="318" ht="22.5" customHeight="1">
      <c r="A318" s="3">
        <v>317.0</v>
      </c>
      <c r="B318" s="4" t="s">
        <v>556</v>
      </c>
      <c r="C318" s="4" t="s">
        <v>242</v>
      </c>
      <c r="D318" s="4" t="s">
        <v>95</v>
      </c>
      <c r="F318" s="5" t="str">
        <f>IFERROR(__xludf.DUMMYFUNCTION("GOOGLETRANSLATE(A318, ""en"", ""hi"")"),"317")</f>
        <v>317</v>
      </c>
      <c r="G318" s="5" t="str">
        <f>IFERROR(__xludf.DUMMYFUNCTION("GOOGLETRANSLATE(B318, ""en"", ""hi"")"),"2020 कबड्डी विश्व कप में किस कबड्डी खिलाड़ी को 'सर्वश्रेष्ठ रेडर' का पुरस्कार दिया गया?")</f>
        <v>2020 कबड्डी विश्व कप में किस कबड्डी खिलाड़ी को 'सर्वश्रेष्ठ रेडर' का पुरस्कार दिया गया?</v>
      </c>
      <c r="H318" s="5" t="str">
        <f>IFERROR(__xludf.DUMMYFUNCTION("GOOGLETRANSLATE(C318, ""en"", ""hi"")"),"ए) प्रदीप नरवाल, बी) राहुल चौधरी, सी) दीपक निवास हुडा, डी) रिशांक देवाडिगा")</f>
        <v>ए) प्रदीप नरवाल, बी) राहुल चौधरी, सी) दीपक निवास हुडा, डी) रिशांक देवाडिगा</v>
      </c>
      <c r="I318" s="5" t="str">
        <f>IFERROR(__xludf.DUMMYFUNCTION("GOOGLETRANSLATE(D318, ""en"", ""hi"")"),"A) प्रदीप नरवाल")</f>
        <v>A) प्रदीप नरवाल</v>
      </c>
    </row>
    <row r="319" ht="22.5" customHeight="1">
      <c r="A319" s="3">
        <v>318.0</v>
      </c>
      <c r="B319" s="4" t="s">
        <v>557</v>
      </c>
      <c r="C319" s="4" t="s">
        <v>356</v>
      </c>
      <c r="D319" s="4" t="s">
        <v>316</v>
      </c>
      <c r="F319" s="5" t="str">
        <f>IFERROR(__xludf.DUMMYFUNCTION("GOOGLETRANSLATE(A319, ""en"", ""hi"")"),"318")</f>
        <v>318</v>
      </c>
      <c r="G319" s="5" t="str">
        <f>IFERROR(__xludf.DUMMYFUNCTION("GOOGLETRANSLATE(B319, ""en"", ""hi"")"),"दक्षिण एशियाई देशों में कबड्डी को बढ़ावा देने के लिए कौन सी कबड्डी लीग शुरू की गई थी और पहली बार 2018 में आयोजित की गई थी?")</f>
        <v>दक्षिण एशियाई देशों में कबड्डी को बढ़ावा देने के लिए कौन सी कबड्डी लीग शुरू की गई थी और पहली बार 2018 में आयोजित की गई थी?</v>
      </c>
      <c r="H319" s="5" t="str">
        <f>IFERROR(__xludf.DUMMYFUNCTION("GOOGLETRANSLATE(C319, ""en"", ""hi"")"),"A) कबड्डी मास्टर्स, B) विश्व कबड्डी लीग, C) प्रो कबड्डी लीग, D) कबड्डी चैम्पियनशिप")</f>
        <v>A) कबड्डी मास्टर्स, B) विश्व कबड्डी लीग, C) प्रो कबड्डी लीग, D) कबड्डी चैम्पियनशिप</v>
      </c>
      <c r="I319" s="5" t="str">
        <f>IFERROR(__xludf.DUMMYFUNCTION("GOOGLETRANSLATE(D319, ""en"", ""hi"")"),"A) कबड्डी मास्टर्स")</f>
        <v>A) कबड्डी मास्टर्स</v>
      </c>
    </row>
    <row r="320" ht="22.5" customHeight="1">
      <c r="A320" s="3">
        <v>319.0</v>
      </c>
      <c r="B320" s="4" t="s">
        <v>558</v>
      </c>
      <c r="C320" s="4" t="s">
        <v>152</v>
      </c>
      <c r="D320" s="4" t="s">
        <v>546</v>
      </c>
      <c r="F320" s="5" t="str">
        <f>IFERROR(__xludf.DUMMYFUNCTION("GOOGLETRANSLATE(A320, ""en"", ""hi"")"),"319")</f>
        <v>319</v>
      </c>
      <c r="G320" s="5" t="str">
        <f>IFERROR(__xludf.DUMMYFUNCTION("GOOGLETRANSLATE(B320, ""en"", ""hi"")"),"2017 प्रो कबड्डी लीग सीज़न में कौन सा कबड्डी खिलाड़ी शीर्ष स्कोरर था?")</f>
        <v>2017 प्रो कबड्डी लीग सीज़न में कौन सा कबड्डी खिलाड़ी शीर्ष स्कोरर था?</v>
      </c>
      <c r="H320" s="5" t="str">
        <f>IFERROR(__xludf.DUMMYFUNCTION("GOOGLETRANSLATE(C320, ""en"", ""hi"")"),"ए) प्रदीप नरवाल, बी) राहुल चौधरी, सी) दीपक निवास हुडा, डी) नितिन तोमर")</f>
        <v>ए) प्रदीप नरवाल, बी) राहुल चौधरी, सी) दीपक निवास हुडा, डी) नितिन तोमर</v>
      </c>
      <c r="I320" s="5" t="str">
        <f>IFERROR(__xludf.DUMMYFUNCTION("GOOGLETRANSLATE(D320, ""en"", ""hi"")"),"बी) राहुल चौधरी")</f>
        <v>बी) राहुल चौधरी</v>
      </c>
    </row>
    <row r="321" ht="22.5" customHeight="1">
      <c r="A321" s="3">
        <v>320.0</v>
      </c>
      <c r="B321" s="4" t="s">
        <v>559</v>
      </c>
      <c r="C321" s="4" t="s">
        <v>560</v>
      </c>
      <c r="D321" s="4" t="s">
        <v>561</v>
      </c>
      <c r="F321" s="5" t="str">
        <f>IFERROR(__xludf.DUMMYFUNCTION("GOOGLETRANSLATE(A321, ""en"", ""hi"")"),"320")</f>
        <v>320</v>
      </c>
      <c r="G321" s="5" t="str">
        <f>IFERROR(__xludf.DUMMYFUNCTION("GOOGLETRANSLATE(B321, ""en"", ""hi"")"),"कौन सा भारतीय शहर 'चेन्नई कबड्डी चैंपियनशिप' के लिए जाना जाता है?")</f>
        <v>कौन सा भारतीय शहर 'चेन्नई कबड्डी चैंपियनशिप' के लिए जाना जाता है?</v>
      </c>
      <c r="H321" s="5" t="str">
        <f>IFERROR(__xludf.DUMMYFUNCTION("GOOGLETRANSLATE(C321, ""en"", ""hi"")"),"A) चेन्नई, B) दिल्ली, C) बैंगलोर, D) मुंबई")</f>
        <v>A) चेन्नई, B) दिल्ली, C) बैंगलोर, D) मुंबई</v>
      </c>
      <c r="I321" s="5" t="str">
        <f>IFERROR(__xludf.DUMMYFUNCTION("GOOGLETRANSLATE(D321, ""en"", ""hi"")"),"ए) चेन्नई")</f>
        <v>ए) चेन्नई</v>
      </c>
    </row>
    <row r="322" ht="22.5" customHeight="1">
      <c r="A322" s="3">
        <v>321.0</v>
      </c>
      <c r="B322" s="4" t="s">
        <v>562</v>
      </c>
      <c r="C322" s="4" t="s">
        <v>287</v>
      </c>
      <c r="D322" s="4" t="s">
        <v>142</v>
      </c>
      <c r="F322" s="5" t="str">
        <f>IFERROR(__xludf.DUMMYFUNCTION("GOOGLETRANSLATE(A322, ""en"", ""hi"")"),"321")</f>
        <v>321</v>
      </c>
      <c r="G322" s="5" t="str">
        <f>IFERROR(__xludf.DUMMYFUNCTION("GOOGLETRANSLATE(B322, ""en"", ""hi"")"),"किस कबड्डी खिलाड़ी ने 2021 प्रो कबड्डी लीग में एक ही मैच में सबसे सफल टैकल का रिकॉर्ड बनाया?")</f>
        <v>किस कबड्डी खिलाड़ी ने 2021 प्रो कबड्डी लीग में एक ही मैच में सबसे सफल टैकल का रिकॉर्ड बनाया?</v>
      </c>
      <c r="H322" s="5" t="str">
        <f>IFERROR(__xludf.DUMMYFUNCTION("GOOGLETRANSLATE(C322, ""en"", ""hi"")"),"ए) संदीप नरवाल, बी) मंजीत छिल्लर, सी) नितिन तोमर, डी) अजय ठाकुर")</f>
        <v>ए) संदीप नरवाल, बी) मंजीत छिल्लर, सी) नितिन तोमर, डी) अजय ठाकुर</v>
      </c>
      <c r="I322" s="5" t="str">
        <f>IFERROR(__xludf.DUMMYFUNCTION("GOOGLETRANSLATE(D322, ""en"", ""hi"")"),"A) संदीप नरवाल")</f>
        <v>A) संदीप नरवाल</v>
      </c>
    </row>
    <row r="323" ht="22.5" customHeight="1">
      <c r="A323" s="3">
        <v>322.0</v>
      </c>
      <c r="B323" s="4" t="s">
        <v>563</v>
      </c>
      <c r="C323" s="4" t="s">
        <v>278</v>
      </c>
      <c r="D323" s="4" t="s">
        <v>218</v>
      </c>
      <c r="F323" s="5" t="str">
        <f>IFERROR(__xludf.DUMMYFUNCTION("GOOGLETRANSLATE(A323, ""en"", ""hi"")"),"322")</f>
        <v>322</v>
      </c>
      <c r="G323" s="5" t="str">
        <f>IFERROR(__xludf.DUMMYFUNCTION("GOOGLETRANSLATE(B323, ""en"", ""hi"")"),"अंतर्राष्ट्रीय टीमों को शामिल करने और वैश्विक कबड्डी को बढ़ावा देने के लिए कौन सा कबड्डी टूर्नामेंट स्थापित किया गया था?")</f>
        <v>अंतर्राष्ट्रीय टीमों को शामिल करने और वैश्विक कबड्डी को बढ़ावा देने के लिए कौन सा कबड्डी टूर्नामेंट स्थापित किया गया था?</v>
      </c>
      <c r="H323" s="5" t="str">
        <f>IFERROR(__xludf.DUMMYFUNCTION("GOOGLETRANSLATE(C323, ""en"", ""hi"")"),"A) विश्व कबड्डी लीग, B) कबड्डी मास्टर्स, C) प्रो कबड्डी लीग, D) कबड्डी चैम्पियनशिप")</f>
        <v>A) विश्व कबड्डी लीग, B) कबड्डी मास्टर्स, C) प्रो कबड्डी लीग, D) कबड्डी चैम्पियनशिप</v>
      </c>
      <c r="I323" s="5" t="str">
        <f>IFERROR(__xludf.DUMMYFUNCTION("GOOGLETRANSLATE(D323, ""en"", ""hi"")"),"बी) कबड्डी मास्टर्स")</f>
        <v>बी) कबड्डी मास्टर्स</v>
      </c>
    </row>
    <row r="324" ht="22.5" customHeight="1">
      <c r="A324" s="3">
        <v>323.0</v>
      </c>
      <c r="B324" s="4" t="s">
        <v>564</v>
      </c>
      <c r="C324" s="4" t="s">
        <v>242</v>
      </c>
      <c r="D324" s="4" t="s">
        <v>95</v>
      </c>
      <c r="F324" s="5" t="str">
        <f>IFERROR(__xludf.DUMMYFUNCTION("GOOGLETRANSLATE(A324, ""en"", ""hi"")"),"323")</f>
        <v>323</v>
      </c>
      <c r="G324" s="5" t="str">
        <f>IFERROR(__xludf.DUMMYFUNCTION("GOOGLETRANSLATE(B324, ""en"", ""hi"")"),"2021 कबड्डी विश्व कप में किस कबड्डी खिलाड़ी को 'बेस्ट रेडर' का खिताब दिया गया?")</f>
        <v>2021 कबड्डी विश्व कप में किस कबड्डी खिलाड़ी को 'बेस्ट रेडर' का खिताब दिया गया?</v>
      </c>
      <c r="H324" s="5" t="str">
        <f>IFERROR(__xludf.DUMMYFUNCTION("GOOGLETRANSLATE(C324, ""en"", ""hi"")"),"ए) प्रदीप नरवाल, बी) राहुल चौधरी, सी) दीपक निवास हुडा, डी) रिशांक देवाडिगा")</f>
        <v>ए) प्रदीप नरवाल, बी) राहुल चौधरी, सी) दीपक निवास हुडा, डी) रिशांक देवाडिगा</v>
      </c>
      <c r="I324" s="5" t="str">
        <f>IFERROR(__xludf.DUMMYFUNCTION("GOOGLETRANSLATE(D324, ""en"", ""hi"")"),"A) प्रदीप नरवाल")</f>
        <v>A) प्रदीप नरवाल</v>
      </c>
    </row>
    <row r="325" ht="22.5" customHeight="1">
      <c r="A325" s="3">
        <v>324.0</v>
      </c>
      <c r="B325" s="4" t="s">
        <v>471</v>
      </c>
      <c r="C325" s="4" t="s">
        <v>242</v>
      </c>
      <c r="D325" s="4" t="s">
        <v>95</v>
      </c>
      <c r="F325" s="5" t="str">
        <f>IFERROR(__xludf.DUMMYFUNCTION("GOOGLETRANSLATE(A325, ""en"", ""hi"")"),"324")</f>
        <v>324</v>
      </c>
      <c r="G325" s="5" t="str">
        <f>IFERROR(__xludf.DUMMYFUNCTION("GOOGLETRANSLATE(B325, ""en"", ""hi"")"),"2018 कबड्डी विश्व कप में कौन सा कबड्डी खिलाड़ी शीर्ष स्कोरर था?")</f>
        <v>2018 कबड्डी विश्व कप में कौन सा कबड्डी खिलाड़ी शीर्ष स्कोरर था?</v>
      </c>
      <c r="H325" s="5" t="str">
        <f>IFERROR(__xludf.DUMMYFUNCTION("GOOGLETRANSLATE(C325, ""en"", ""hi"")"),"ए) प्रदीप नरवाल, बी) राहुल चौधरी, सी) दीपक निवास हुडा, डी) रिशांक देवाडिगा")</f>
        <v>ए) प्रदीप नरवाल, बी) राहुल चौधरी, सी) दीपक निवास हुडा, डी) रिशांक देवाडिगा</v>
      </c>
      <c r="I325" s="5" t="str">
        <f>IFERROR(__xludf.DUMMYFUNCTION("GOOGLETRANSLATE(D325, ""en"", ""hi"")"),"A) प्रदीप नरवाल")</f>
        <v>A) प्रदीप नरवाल</v>
      </c>
    </row>
    <row r="326" ht="22.5" customHeight="1">
      <c r="A326" s="3">
        <v>325.0</v>
      </c>
      <c r="B326" s="4" t="s">
        <v>565</v>
      </c>
      <c r="C326" s="4" t="s">
        <v>566</v>
      </c>
      <c r="D326" s="4" t="s">
        <v>567</v>
      </c>
      <c r="F326" s="5" t="str">
        <f>IFERROR(__xludf.DUMMYFUNCTION("GOOGLETRANSLATE(A326, ""en"", ""hi"")"),"325")</f>
        <v>325</v>
      </c>
      <c r="G326" s="5" t="str">
        <f>IFERROR(__xludf.DUMMYFUNCTION("GOOGLETRANSLATE(B326, ""en"", ""hi"")"),"कौन सा भारतीय शहर 'हैदराबाद कबड्डी चैंपियनशिप' की मेजबानी के लिए जाना जाता है?")</f>
        <v>कौन सा भारतीय शहर 'हैदराबाद कबड्डी चैंपियनशिप' की मेजबानी के लिए जाना जाता है?</v>
      </c>
      <c r="H326" s="5" t="str">
        <f>IFERROR(__xludf.DUMMYFUNCTION("GOOGLETRANSLATE(C326, ""en"", ""hi"")"),"A) हैदराबाद, B) चेन्नई, C) बैंगलोर, D) मुंबई")</f>
        <v>A) हैदराबाद, B) चेन्नई, C) बैंगलोर, D) मुंबई</v>
      </c>
      <c r="I326" s="5" t="str">
        <f>IFERROR(__xludf.DUMMYFUNCTION("GOOGLETRANSLATE(D326, ""en"", ""hi"")"),"ए) हैदराबाद")</f>
        <v>ए) हैदराबाद</v>
      </c>
    </row>
    <row r="327" ht="22.5" customHeight="1">
      <c r="A327" s="3">
        <v>326.0</v>
      </c>
      <c r="B327" s="4" t="s">
        <v>568</v>
      </c>
      <c r="C327" s="4" t="s">
        <v>422</v>
      </c>
      <c r="D327" s="4" t="s">
        <v>551</v>
      </c>
      <c r="F327" s="5" t="str">
        <f>IFERROR(__xludf.DUMMYFUNCTION("GOOGLETRANSLATE(A327, ""en"", ""hi"")"),"326")</f>
        <v>326</v>
      </c>
      <c r="G327" s="5" t="str">
        <f>IFERROR(__xludf.DUMMYFUNCTION("GOOGLETRANSLATE(B327, ""en"", ""hi"")"),"2021 प्रो कबड्डी लीग में किस कबड्डी खिलाड़ी को 'सर्वश्रेष्ठ ऑलराउंडर' का पुरस्कार दिया गया?")</f>
        <v>2021 प्रो कबड्डी लीग में किस कबड्डी खिलाड़ी को 'सर्वश्रेष्ठ ऑलराउंडर' का पुरस्कार दिया गया?</v>
      </c>
      <c r="H327" s="5" t="str">
        <f>IFERROR(__xludf.DUMMYFUNCTION("GOOGLETRANSLATE(C327, ""en"", ""hi"")"),"ए) मंजीत छिल्लर, बी) दीपक निवास हुडा, सी) प्रदीप नरवाल, डी) राहुल चौधरी")</f>
        <v>ए) मंजीत छिल्लर, बी) दीपक निवास हुडा, सी) प्रदीप नरवाल, डी) राहुल चौधरी</v>
      </c>
      <c r="I327" s="5" t="str">
        <f>IFERROR(__xludf.DUMMYFUNCTION("GOOGLETRANSLATE(D327, ""en"", ""hi"")"),"बी) दीपक निवास हुड्डा")</f>
        <v>बी) दीपक निवास हुड्डा</v>
      </c>
    </row>
    <row r="328" ht="22.5" customHeight="1">
      <c r="A328" s="3">
        <v>327.0</v>
      </c>
      <c r="B328" s="4" t="s">
        <v>569</v>
      </c>
      <c r="C328" s="4" t="s">
        <v>152</v>
      </c>
      <c r="D328" s="4" t="s">
        <v>95</v>
      </c>
      <c r="F328" s="5" t="str">
        <f>IFERROR(__xludf.DUMMYFUNCTION("GOOGLETRANSLATE(A328, ""en"", ""hi"")"),"327")</f>
        <v>327</v>
      </c>
      <c r="G328" s="5" t="str">
        <f>IFERROR(__xludf.DUMMYFUNCTION("GOOGLETRANSLATE(B328, ""en"", ""hi"")"),"किस कबड्डी खिलाड़ी ने 2021 प्रो कबड्डी लीग सीज़न में एक ही मैच में सबसे अधिक सफल रेड का रिकॉर्ड बनाया?")</f>
        <v>किस कबड्डी खिलाड़ी ने 2021 प्रो कबड्डी लीग सीज़न में एक ही मैच में सबसे अधिक सफल रेड का रिकॉर्ड बनाया?</v>
      </c>
      <c r="H328" s="5" t="str">
        <f>IFERROR(__xludf.DUMMYFUNCTION("GOOGLETRANSLATE(C328, ""en"", ""hi"")"),"ए) प्रदीप नरवाल, बी) राहुल चौधरी, सी) दीपक निवास हुडा, डी) नितिन तोमर")</f>
        <v>ए) प्रदीप नरवाल, बी) राहुल चौधरी, सी) दीपक निवास हुडा, डी) नितिन तोमर</v>
      </c>
      <c r="I328" s="5" t="str">
        <f>IFERROR(__xludf.DUMMYFUNCTION("GOOGLETRANSLATE(D328, ""en"", ""hi"")"),"A) प्रदीप नरवाल")</f>
        <v>A) प्रदीप नरवाल</v>
      </c>
    </row>
    <row r="329" ht="22.5" customHeight="1">
      <c r="A329" s="3">
        <v>328.0</v>
      </c>
      <c r="B329" s="4" t="s">
        <v>570</v>
      </c>
      <c r="C329" s="4" t="s">
        <v>278</v>
      </c>
      <c r="D329" s="4" t="s">
        <v>184</v>
      </c>
      <c r="F329" s="5" t="str">
        <f>IFERROR(__xludf.DUMMYFUNCTION("GOOGLETRANSLATE(A329, ""en"", ""hi"")"),"328")</f>
        <v>328</v>
      </c>
      <c r="G329" s="5" t="str">
        <f>IFERROR(__xludf.DUMMYFUNCTION("GOOGLETRANSLATE(B329, ""en"", ""hi"")"),"कौन सा कबड्डी टूर्नामेंट एक अद्वितीय प्रारूप में कई देशों की टीमों के साथ खेला जाता है और अपनी प्रतिस्पर्धी प्रकृति के लिए जाना जाता है?")</f>
        <v>कौन सा कबड्डी टूर्नामेंट एक अद्वितीय प्रारूप में कई देशों की टीमों के साथ खेला जाता है और अपनी प्रतिस्पर्धी प्रकृति के लिए जाना जाता है?</v>
      </c>
      <c r="H329" s="5" t="str">
        <f>IFERROR(__xludf.DUMMYFUNCTION("GOOGLETRANSLATE(C329, ""en"", ""hi"")"),"A) विश्व कबड्डी लीग, B) कबड्डी मास्टर्स, C) प्रो कबड्डी लीग, D) कबड्डी चैम्पियनशिप")</f>
        <v>A) विश्व कबड्डी लीग, B) कबड्डी मास्टर्स, C) प्रो कबड्डी लीग, D) कबड्डी चैम्पियनशिप</v>
      </c>
      <c r="I329" s="5" t="str">
        <f>IFERROR(__xludf.DUMMYFUNCTION("GOOGLETRANSLATE(D329, ""en"", ""hi"")"),"A) विश्व कबड्डी लीग")</f>
        <v>A) विश्व कबड्डी लीग</v>
      </c>
    </row>
    <row r="330" ht="22.5" customHeight="1">
      <c r="A330" s="3">
        <v>329.0</v>
      </c>
      <c r="B330" s="4" t="s">
        <v>571</v>
      </c>
      <c r="C330" s="4" t="s">
        <v>242</v>
      </c>
      <c r="D330" s="4" t="s">
        <v>95</v>
      </c>
      <c r="F330" s="5" t="str">
        <f>IFERROR(__xludf.DUMMYFUNCTION("GOOGLETRANSLATE(A330, ""en"", ""hi"")"),"329")</f>
        <v>329</v>
      </c>
      <c r="G330" s="5" t="str">
        <f>IFERROR(__xludf.DUMMYFUNCTION("GOOGLETRANSLATE(B330, ""en"", ""hi"")"),"2021 कबड्डी विश्व कप में कौन सा कबड्डी खिलाड़ी शीर्ष स्कोरर था?")</f>
        <v>2021 कबड्डी विश्व कप में कौन सा कबड्डी खिलाड़ी शीर्ष स्कोरर था?</v>
      </c>
      <c r="H330" s="5" t="str">
        <f>IFERROR(__xludf.DUMMYFUNCTION("GOOGLETRANSLATE(C330, ""en"", ""hi"")"),"ए) प्रदीप नरवाल, बी) राहुल चौधरी, सी) दीपक निवास हुडा, डी) रिशांक देवाडिगा")</f>
        <v>ए) प्रदीप नरवाल, बी) राहुल चौधरी, सी) दीपक निवास हुडा, डी) रिशांक देवाडिगा</v>
      </c>
      <c r="I330" s="5" t="str">
        <f>IFERROR(__xludf.DUMMYFUNCTION("GOOGLETRANSLATE(D330, ""en"", ""hi"")"),"A) प्रदीप नरवाल")</f>
        <v>A) प्रदीप नरवाल</v>
      </c>
    </row>
    <row r="331" ht="22.5" customHeight="1">
      <c r="A331" s="3">
        <v>330.0</v>
      </c>
      <c r="B331" s="4" t="s">
        <v>572</v>
      </c>
      <c r="C331" s="4" t="s">
        <v>152</v>
      </c>
      <c r="D331" s="4" t="s">
        <v>95</v>
      </c>
      <c r="F331" s="5" t="str">
        <f>IFERROR(__xludf.DUMMYFUNCTION("GOOGLETRANSLATE(A331, ""en"", ""hi"")"),"330")</f>
        <v>330</v>
      </c>
      <c r="G331" s="5" t="str">
        <f>IFERROR(__xludf.DUMMYFUNCTION("GOOGLETRANSLATE(B331, ""en"", ""hi"")"),"कौन सा कबड्डी खिलाड़ी अपने असाधारण रेडिंग कौशल के लिए जाना जाता था और 2019 कबड्डी विश्व कप में 'सर्वश्रेष्ठ रेडर' का पुरस्कार जीता?")</f>
        <v>कौन सा कबड्डी खिलाड़ी अपने असाधारण रेडिंग कौशल के लिए जाना जाता था और 2019 कबड्डी विश्व कप में 'सर्वश्रेष्ठ रेडर' का पुरस्कार जीता?</v>
      </c>
      <c r="H331" s="5" t="str">
        <f>IFERROR(__xludf.DUMMYFUNCTION("GOOGLETRANSLATE(C331, ""en"", ""hi"")"),"ए) प्रदीप नरवाल, बी) राहुल चौधरी, सी) दीपक निवास हुडा, डी) नितिन तोमर")</f>
        <v>ए) प्रदीप नरवाल, बी) राहुल चौधरी, सी) दीपक निवास हुडा, डी) नितिन तोमर</v>
      </c>
      <c r="I331" s="5" t="str">
        <f>IFERROR(__xludf.DUMMYFUNCTION("GOOGLETRANSLATE(D331, ""en"", ""hi"")"),"A) प्रदीप नरवाल")</f>
        <v>A) प्रदीप नरवाल</v>
      </c>
    </row>
    <row r="332" ht="22.5" customHeight="1">
      <c r="A332" s="3">
        <v>331.0</v>
      </c>
      <c r="B332" s="4" t="s">
        <v>573</v>
      </c>
      <c r="C332" s="4" t="s">
        <v>278</v>
      </c>
      <c r="D332" s="4" t="s">
        <v>184</v>
      </c>
      <c r="F332" s="5" t="str">
        <f>IFERROR(__xludf.DUMMYFUNCTION("GOOGLETRANSLATE(A332, ""en"", ""hi"")"),"331")</f>
        <v>331</v>
      </c>
      <c r="G332" s="5" t="str">
        <f>IFERROR(__xludf.DUMMYFUNCTION("GOOGLETRANSLATE(B332, ""en"", ""hi"")"),"कौन सा कबड्डी टूर्नामेंट पहली बार 2015 में आयोजित किया गया था और इसमें विभिन्न देशों की टीमों ने भाग लिया था?")</f>
        <v>कौन सा कबड्डी टूर्नामेंट पहली बार 2015 में आयोजित किया गया था और इसमें विभिन्न देशों की टीमों ने भाग लिया था?</v>
      </c>
      <c r="H332" s="5" t="str">
        <f>IFERROR(__xludf.DUMMYFUNCTION("GOOGLETRANSLATE(C332, ""en"", ""hi"")"),"A) विश्व कबड्डी लीग, B) कबड्डी मास्टर्स, C) प्रो कबड्डी लीग, D) कबड्डी चैम्पियनशिप")</f>
        <v>A) विश्व कबड्डी लीग, B) कबड्डी मास्टर्स, C) प्रो कबड्डी लीग, D) कबड्डी चैम्पियनशिप</v>
      </c>
      <c r="I332" s="5" t="str">
        <f>IFERROR(__xludf.DUMMYFUNCTION("GOOGLETRANSLATE(D332, ""en"", ""hi"")"),"A) विश्व कबड्डी लीग")</f>
        <v>A) विश्व कबड्डी लीग</v>
      </c>
    </row>
    <row r="333" ht="22.5" customHeight="1">
      <c r="A333" s="3">
        <v>332.0</v>
      </c>
      <c r="B333" s="4" t="s">
        <v>574</v>
      </c>
      <c r="C333" s="4" t="s">
        <v>242</v>
      </c>
      <c r="D333" s="4" t="s">
        <v>95</v>
      </c>
      <c r="F333" s="5" t="str">
        <f>IFERROR(__xludf.DUMMYFUNCTION("GOOGLETRANSLATE(A333, ""en"", ""hi"")"),"332")</f>
        <v>332</v>
      </c>
      <c r="G333" s="5" t="str">
        <f>IFERROR(__xludf.DUMMYFUNCTION("GOOGLETRANSLATE(B333, ""en"", ""hi"")"),"2017 कबड्डी विश्व कप में किस कबड्डी खिलाड़ी ने सर्वाधिक रेड अंक हासिल करने का रिकॉर्ड बनाया?")</f>
        <v>2017 कबड्डी विश्व कप में किस कबड्डी खिलाड़ी ने सर्वाधिक रेड अंक हासिल करने का रिकॉर्ड बनाया?</v>
      </c>
      <c r="H333" s="5" t="str">
        <f>IFERROR(__xludf.DUMMYFUNCTION("GOOGLETRANSLATE(C333, ""en"", ""hi"")"),"ए) प्रदीप नरवाल, बी) राहुल चौधरी, सी) दीपक निवास हुडा, डी) रिशांक देवाडिगा")</f>
        <v>ए) प्रदीप नरवाल, बी) राहुल चौधरी, सी) दीपक निवास हुडा, डी) रिशांक देवाडिगा</v>
      </c>
      <c r="I333" s="5" t="str">
        <f>IFERROR(__xludf.DUMMYFUNCTION("GOOGLETRANSLATE(D333, ""en"", ""hi"")"),"A) प्रदीप नरवाल")</f>
        <v>A) प्रदीप नरवाल</v>
      </c>
    </row>
    <row r="334" ht="22.5" customHeight="1">
      <c r="A334" s="3">
        <v>333.0</v>
      </c>
      <c r="B334" s="4" t="s">
        <v>575</v>
      </c>
      <c r="C334" s="4" t="s">
        <v>576</v>
      </c>
      <c r="D334" s="4" t="s">
        <v>577</v>
      </c>
      <c r="F334" s="5" t="str">
        <f>IFERROR(__xludf.DUMMYFUNCTION("GOOGLETRANSLATE(A334, ""en"", ""hi"")"),"333")</f>
        <v>333</v>
      </c>
      <c r="G334" s="5" t="str">
        <f>IFERROR(__xludf.DUMMYFUNCTION("GOOGLETRANSLATE(B334, ""en"", ""hi"")"),"कौन सा भारतीय शहर 'पुणे कबड्डी चैंपियनशिप' की मेजबानी के लिए जाना जाता है?")</f>
        <v>कौन सा भारतीय शहर 'पुणे कबड्डी चैंपियनशिप' की मेजबानी के लिए जाना जाता है?</v>
      </c>
      <c r="H334" s="5" t="str">
        <f>IFERROR(__xludf.DUMMYFUNCTION("GOOGLETRANSLATE(C334, ""en"", ""hi"")"),"A) पुणे, B) मुंबई, C) दिल्ली, D) बैंगलोर")</f>
        <v>A) पुणे, B) मुंबई, C) दिल्ली, D) बैंगलोर</v>
      </c>
      <c r="I334" s="5" t="str">
        <f>IFERROR(__xludf.DUMMYFUNCTION("GOOGLETRANSLATE(D334, ""en"", ""hi"")"),"ए) पुणे")</f>
        <v>ए) पुणे</v>
      </c>
    </row>
    <row r="335" ht="22.5" customHeight="1">
      <c r="A335" s="3">
        <v>334.0</v>
      </c>
      <c r="B335" s="4" t="s">
        <v>578</v>
      </c>
      <c r="C335" s="4" t="s">
        <v>287</v>
      </c>
      <c r="D335" s="4" t="s">
        <v>142</v>
      </c>
      <c r="F335" s="5" t="str">
        <f>IFERROR(__xludf.DUMMYFUNCTION("GOOGLETRANSLATE(A335, ""en"", ""hi"")"),"334")</f>
        <v>334</v>
      </c>
      <c r="G335" s="5" t="str">
        <f>IFERROR(__xludf.DUMMYFUNCTION("GOOGLETRANSLATE(B335, ""en"", ""hi"")"),"2021 कबड्डी विश्व कप में किस कबड्डी खिलाड़ी को 'सर्वश्रेष्ठ डिफेंडर' का पुरस्कार दिया गया?")</f>
        <v>2021 कबड्डी विश्व कप में किस कबड्डी खिलाड़ी को 'सर्वश्रेष्ठ डिफेंडर' का पुरस्कार दिया गया?</v>
      </c>
      <c r="H335" s="5" t="str">
        <f>IFERROR(__xludf.DUMMYFUNCTION("GOOGLETRANSLATE(C335, ""en"", ""hi"")"),"ए) संदीप नरवाल, बी) मंजीत छिल्लर, सी) नितिन तोमर, डी) अजय ठाकुर")</f>
        <v>ए) संदीप नरवाल, बी) मंजीत छिल्लर, सी) नितिन तोमर, डी) अजय ठाकुर</v>
      </c>
      <c r="I335" s="5" t="str">
        <f>IFERROR(__xludf.DUMMYFUNCTION("GOOGLETRANSLATE(D335, ""en"", ""hi"")"),"A) संदीप नरवाल")</f>
        <v>A) संदीप नरवाल</v>
      </c>
    </row>
    <row r="336" ht="22.5" customHeight="1">
      <c r="A336" s="3">
        <v>335.0</v>
      </c>
      <c r="B336" s="4" t="s">
        <v>384</v>
      </c>
      <c r="C336" s="4" t="s">
        <v>242</v>
      </c>
      <c r="D336" s="4" t="s">
        <v>95</v>
      </c>
      <c r="F336" s="5" t="str">
        <f>IFERROR(__xludf.DUMMYFUNCTION("GOOGLETRANSLATE(A336, ""en"", ""hi"")"),"335")</f>
        <v>335</v>
      </c>
      <c r="G336" s="5" t="str">
        <f>IFERROR(__xludf.DUMMYFUNCTION("GOOGLETRANSLATE(B336, ""en"", ""hi"")"),"2016 कबड्डी विश्व कप में कौन सा कबड्डी खिलाड़ी शीर्ष स्कोरर था?")</f>
        <v>2016 कबड्डी विश्व कप में कौन सा कबड्डी खिलाड़ी शीर्ष स्कोरर था?</v>
      </c>
      <c r="H336" s="5" t="str">
        <f>IFERROR(__xludf.DUMMYFUNCTION("GOOGLETRANSLATE(C336, ""en"", ""hi"")"),"ए) प्रदीप नरवाल, बी) राहुल चौधरी, सी) दीपक निवास हुडा, डी) रिशांक देवाडिगा")</f>
        <v>ए) प्रदीप नरवाल, बी) राहुल चौधरी, सी) दीपक निवास हुडा, डी) रिशांक देवाडिगा</v>
      </c>
      <c r="I336" s="5" t="str">
        <f>IFERROR(__xludf.DUMMYFUNCTION("GOOGLETRANSLATE(D336, ""en"", ""hi"")"),"A) प्रदीप नरवाल")</f>
        <v>A) प्रदीप नरवाल</v>
      </c>
    </row>
    <row r="337" ht="22.5" customHeight="1">
      <c r="A337" s="3">
        <v>336.0</v>
      </c>
      <c r="B337" s="4" t="s">
        <v>579</v>
      </c>
      <c r="C337" s="4" t="s">
        <v>356</v>
      </c>
      <c r="D337" s="4" t="s">
        <v>316</v>
      </c>
      <c r="F337" s="5" t="str">
        <f>IFERROR(__xludf.DUMMYFUNCTION("GOOGLETRANSLATE(A337, ""en"", ""hi"")"),"336")</f>
        <v>336</v>
      </c>
      <c r="G337" s="5" t="str">
        <f>IFERROR(__xludf.DUMMYFUNCTION("GOOGLETRANSLATE(B337, ""en"", ""hi"")"),"कौन सा कबड्डी टूर्नामेंट दक्षिण एशिया की टीमों को शामिल करने के लिए जाना जाता है और पहली बार 2018 में आयोजित किया गया था?")</f>
        <v>कौन सा कबड्डी टूर्नामेंट दक्षिण एशिया की टीमों को शामिल करने के लिए जाना जाता है और पहली बार 2018 में आयोजित किया गया था?</v>
      </c>
      <c r="H337" s="5" t="str">
        <f>IFERROR(__xludf.DUMMYFUNCTION("GOOGLETRANSLATE(C337, ""en"", ""hi"")"),"A) कबड्डी मास्टर्स, B) विश्व कबड्डी लीग, C) प्रो कबड्डी लीग, D) कबड्डी चैम्पियनशिप")</f>
        <v>A) कबड्डी मास्टर्स, B) विश्व कबड्डी लीग, C) प्रो कबड्डी लीग, D) कबड्डी चैम्पियनशिप</v>
      </c>
      <c r="I337" s="5" t="str">
        <f>IFERROR(__xludf.DUMMYFUNCTION("GOOGLETRANSLATE(D337, ""en"", ""hi"")"),"A) कबड्डी मास्टर्स")</f>
        <v>A) कबड्डी मास्टर्स</v>
      </c>
    </row>
    <row r="338" ht="22.5" customHeight="1">
      <c r="A338" s="3">
        <v>337.0</v>
      </c>
      <c r="B338" s="4" t="s">
        <v>580</v>
      </c>
      <c r="C338" s="4" t="s">
        <v>242</v>
      </c>
      <c r="D338" s="4" t="s">
        <v>95</v>
      </c>
      <c r="F338" s="5" t="str">
        <f>IFERROR(__xludf.DUMMYFUNCTION("GOOGLETRANSLATE(A338, ""en"", ""hi"")"),"337")</f>
        <v>337</v>
      </c>
      <c r="G338" s="5" t="str">
        <f>IFERROR(__xludf.DUMMYFUNCTION("GOOGLETRANSLATE(B338, ""en"", ""hi"")"),"2020 कबड्डी विश्व कप में किस कबड्डी खिलाड़ी को 'बेस्ट रेडर' का खिताब दिया गया?")</f>
        <v>2020 कबड्डी विश्व कप में किस कबड्डी खिलाड़ी को 'बेस्ट रेडर' का खिताब दिया गया?</v>
      </c>
      <c r="H338" s="5" t="str">
        <f>IFERROR(__xludf.DUMMYFUNCTION("GOOGLETRANSLATE(C338, ""en"", ""hi"")"),"ए) प्रदीप नरवाल, बी) राहुल चौधरी, सी) दीपक निवास हुडा, डी) रिशांक देवाडिगा")</f>
        <v>ए) प्रदीप नरवाल, बी) राहुल चौधरी, सी) दीपक निवास हुडा, डी) रिशांक देवाडिगा</v>
      </c>
      <c r="I338" s="5" t="str">
        <f>IFERROR(__xludf.DUMMYFUNCTION("GOOGLETRANSLATE(D338, ""en"", ""hi"")"),"A) प्रदीप नरवाल")</f>
        <v>A) प्रदीप नरवाल</v>
      </c>
    </row>
    <row r="339" ht="22.5" customHeight="1">
      <c r="A339" s="3">
        <v>338.0</v>
      </c>
      <c r="B339" s="4" t="s">
        <v>581</v>
      </c>
      <c r="C339" s="4" t="s">
        <v>582</v>
      </c>
      <c r="D339" s="4" t="s">
        <v>583</v>
      </c>
      <c r="F339" s="5" t="str">
        <f>IFERROR(__xludf.DUMMYFUNCTION("GOOGLETRANSLATE(A339, ""en"", ""hi"")"),"338")</f>
        <v>338</v>
      </c>
      <c r="G339" s="5" t="str">
        <f>IFERROR(__xludf.DUMMYFUNCTION("GOOGLETRANSLATE(B339, ""en"", ""hi"")"),"कौन सा भारतीय शहर 'नागपुर कबड्डी चैंपियनशिप' की मेजबानी के लिए जाना जाता है?")</f>
        <v>कौन सा भारतीय शहर 'नागपुर कबड्डी चैंपियनशिप' की मेजबानी के लिए जाना जाता है?</v>
      </c>
      <c r="H339" s="5" t="str">
        <f>IFERROR(__xludf.DUMMYFUNCTION("GOOGLETRANSLATE(C339, ""en"", ""hi"")"),"A) नागपुर, B) मुंबई, C) दिल्ली, D) बैंगलोर")</f>
        <v>A) नागपुर, B) मुंबई, C) दिल्ली, D) बैंगलोर</v>
      </c>
      <c r="I339" s="5" t="str">
        <f>IFERROR(__xludf.DUMMYFUNCTION("GOOGLETRANSLATE(D339, ""en"", ""hi"")"),"ए) नागपुर")</f>
        <v>ए) नागपुर</v>
      </c>
    </row>
    <row r="340" ht="22.5" customHeight="1">
      <c r="A340" s="3">
        <v>339.0</v>
      </c>
      <c r="B340" s="4" t="s">
        <v>584</v>
      </c>
      <c r="C340" s="4" t="s">
        <v>242</v>
      </c>
      <c r="D340" s="4" t="s">
        <v>95</v>
      </c>
      <c r="F340" s="5" t="str">
        <f>IFERROR(__xludf.DUMMYFUNCTION("GOOGLETRANSLATE(A340, ""en"", ""hi"")"),"339")</f>
        <v>339</v>
      </c>
      <c r="G340" s="5" t="str">
        <f>IFERROR(__xludf.DUMMYFUNCTION("GOOGLETRANSLATE(B340, ""en"", ""hi"")"),"2019 कबड्डी विश्व कप में कौन सा कबड्डी खिलाड़ी शीर्ष स्कोरर था?")</f>
        <v>2019 कबड्डी विश्व कप में कौन सा कबड्डी खिलाड़ी शीर्ष स्कोरर था?</v>
      </c>
      <c r="H340" s="5" t="str">
        <f>IFERROR(__xludf.DUMMYFUNCTION("GOOGLETRANSLATE(C340, ""en"", ""hi"")"),"ए) प्रदीप नरवाल, बी) राहुल चौधरी, सी) दीपक निवास हुडा, डी) रिशांक देवाडिगा")</f>
        <v>ए) प्रदीप नरवाल, बी) राहुल चौधरी, सी) दीपक निवास हुडा, डी) रिशांक देवाडिगा</v>
      </c>
      <c r="I340" s="5" t="str">
        <f>IFERROR(__xludf.DUMMYFUNCTION("GOOGLETRANSLATE(D340, ""en"", ""hi"")"),"A) प्रदीप नरवाल")</f>
        <v>A) प्रदीप नरवाल</v>
      </c>
    </row>
    <row r="341" ht="22.5" customHeight="1">
      <c r="A341" s="3">
        <v>340.0</v>
      </c>
      <c r="B341" s="4" t="s">
        <v>396</v>
      </c>
      <c r="C341" s="4" t="s">
        <v>422</v>
      </c>
      <c r="D341" s="4" t="s">
        <v>195</v>
      </c>
      <c r="F341" s="5" t="str">
        <f>IFERROR(__xludf.DUMMYFUNCTION("GOOGLETRANSLATE(A341, ""en"", ""hi"")"),"340")</f>
        <v>340</v>
      </c>
      <c r="G341" s="5" t="str">
        <f>IFERROR(__xludf.DUMMYFUNCTION("GOOGLETRANSLATE(B341, ""en"", ""hi"")"),"2016 कबड्डी विश्व कप में किस कबड्डी खिलाड़ी को 'सर्वश्रेष्ठ ऑलराउंडर' का पुरस्कार दिया गया?")</f>
        <v>2016 कबड्डी विश्व कप में किस कबड्डी खिलाड़ी को 'सर्वश्रेष्ठ ऑलराउंडर' का पुरस्कार दिया गया?</v>
      </c>
      <c r="H341" s="5" t="str">
        <f>IFERROR(__xludf.DUMMYFUNCTION("GOOGLETRANSLATE(C341, ""en"", ""hi"")"),"ए) मंजीत छिल्लर, बी) दीपक निवास हुडा, सी) प्रदीप नरवाल, डी) राहुल चौधरी")</f>
        <v>ए) मंजीत छिल्लर, बी) दीपक निवास हुडा, सी) प्रदीप नरवाल, डी) राहुल चौधरी</v>
      </c>
      <c r="I341" s="5" t="str">
        <f>IFERROR(__xludf.DUMMYFUNCTION("GOOGLETRANSLATE(D341, ""en"", ""hi"")"),"A) मंजीत छिल्लर")</f>
        <v>A) मंजीत छिल्लर</v>
      </c>
    </row>
    <row r="342" ht="22.5" customHeight="1">
      <c r="A342" s="3">
        <v>341.0</v>
      </c>
      <c r="B342" s="4" t="s">
        <v>585</v>
      </c>
      <c r="C342" s="4" t="s">
        <v>287</v>
      </c>
      <c r="D342" s="4" t="s">
        <v>142</v>
      </c>
      <c r="F342" s="5" t="str">
        <f>IFERROR(__xludf.DUMMYFUNCTION("GOOGLETRANSLATE(A342, ""en"", ""hi"")"),"341")</f>
        <v>341</v>
      </c>
      <c r="G342" s="5" t="str">
        <f>IFERROR(__xludf.DUMMYFUNCTION("GOOGLETRANSLATE(B342, ""en"", ""hi"")"),"2018 प्रो कबड्डी लीग सीज़न में किस कबड्डी खिलाड़ी ने एक ही मैच में सबसे सफल टैकल हासिल किए?")</f>
        <v>2018 प्रो कबड्डी लीग सीज़न में किस कबड्डी खिलाड़ी ने एक ही मैच में सबसे सफल टैकल हासिल किए?</v>
      </c>
      <c r="H342" s="5" t="str">
        <f>IFERROR(__xludf.DUMMYFUNCTION("GOOGLETRANSLATE(C342, ""en"", ""hi"")"),"ए) संदीप नरवाल, बी) मंजीत छिल्लर, सी) नितिन तोमर, डी) अजय ठाकुर")</f>
        <v>ए) संदीप नरवाल, बी) मंजीत छिल्लर, सी) नितिन तोमर, डी) अजय ठाकुर</v>
      </c>
      <c r="I342" s="5" t="str">
        <f>IFERROR(__xludf.DUMMYFUNCTION("GOOGLETRANSLATE(D342, ""en"", ""hi"")"),"A) संदीप नरवाल")</f>
        <v>A) संदीप नरवाल</v>
      </c>
    </row>
    <row r="343" ht="22.5" customHeight="1">
      <c r="A343" s="3">
        <v>342.0</v>
      </c>
      <c r="B343" s="4" t="s">
        <v>586</v>
      </c>
      <c r="C343" s="4" t="s">
        <v>152</v>
      </c>
      <c r="D343" s="4" t="s">
        <v>95</v>
      </c>
      <c r="F343" s="5" t="str">
        <f>IFERROR(__xludf.DUMMYFUNCTION("GOOGLETRANSLATE(A343, ""en"", ""hi"")"),"342")</f>
        <v>342</v>
      </c>
      <c r="G343" s="5" t="str">
        <f>IFERROR(__xludf.DUMMYFUNCTION("GOOGLETRANSLATE(B343, ""en"", ""hi"")"),"2020 प्रो कबड्डी लीग सीज़न में कौन सा कबड्डी खिलाड़ी शीर्ष स्कोरर था?")</f>
        <v>2020 प्रो कबड्डी लीग सीज़न में कौन सा कबड्डी खिलाड़ी शीर्ष स्कोरर था?</v>
      </c>
      <c r="H343" s="5" t="str">
        <f>IFERROR(__xludf.DUMMYFUNCTION("GOOGLETRANSLATE(C343, ""en"", ""hi"")"),"ए) प्रदीप नरवाल, बी) राहुल चौधरी, सी) दीपक निवास हुडा, डी) नितिन तोमर")</f>
        <v>ए) प्रदीप नरवाल, बी) राहुल चौधरी, सी) दीपक निवास हुडा, डी) नितिन तोमर</v>
      </c>
      <c r="I343" s="5" t="str">
        <f>IFERROR(__xludf.DUMMYFUNCTION("GOOGLETRANSLATE(D343, ""en"", ""hi"")"),"A) प्रदीप नरवाल")</f>
        <v>A) प्रदीप नरवाल</v>
      </c>
    </row>
    <row r="344" ht="22.5" customHeight="1">
      <c r="A344" s="3">
        <v>343.0</v>
      </c>
      <c r="B344" s="4" t="s">
        <v>587</v>
      </c>
      <c r="C344" s="4" t="s">
        <v>278</v>
      </c>
      <c r="D344" s="4" t="s">
        <v>184</v>
      </c>
      <c r="F344" s="5" t="str">
        <f>IFERROR(__xludf.DUMMYFUNCTION("GOOGLETRANSLATE(A344, ""en"", ""hi"")"),"343")</f>
        <v>343</v>
      </c>
      <c r="G344" s="5" t="str">
        <f>IFERROR(__xludf.DUMMYFUNCTION("GOOGLETRANSLATE(B344, ""en"", ""hi"")"),"कौन सा कबड्डी टूर्नामेंट विभिन्न देशों की टीमों को शामिल करता है और अपने प्रतिस्पर्धी मैचों के लिए जाना जाता है?")</f>
        <v>कौन सा कबड्डी टूर्नामेंट विभिन्न देशों की टीमों को शामिल करता है और अपने प्रतिस्पर्धी मैचों के लिए जाना जाता है?</v>
      </c>
      <c r="H344" s="5" t="str">
        <f>IFERROR(__xludf.DUMMYFUNCTION("GOOGLETRANSLATE(C344, ""en"", ""hi"")"),"A) विश्व कबड्डी लीग, B) कबड्डी मास्टर्स, C) प्रो कबड्डी लीग, D) कबड्डी चैम्पियनशिप")</f>
        <v>A) विश्व कबड्डी लीग, B) कबड्डी मास्टर्स, C) प्रो कबड्डी लीग, D) कबड्डी चैम्पियनशिप</v>
      </c>
      <c r="I344" s="5" t="str">
        <f>IFERROR(__xludf.DUMMYFUNCTION("GOOGLETRANSLATE(D344, ""en"", ""hi"")"),"A) विश्व कबड्डी लीग")</f>
        <v>A) विश्व कबड्डी लीग</v>
      </c>
    </row>
    <row r="345" ht="22.5" customHeight="1">
      <c r="A345" s="3">
        <v>344.0</v>
      </c>
      <c r="B345" s="4" t="s">
        <v>588</v>
      </c>
      <c r="C345" s="4" t="s">
        <v>589</v>
      </c>
      <c r="D345" s="4" t="s">
        <v>37</v>
      </c>
      <c r="F345" s="5" t="str">
        <f>IFERROR(__xludf.DUMMYFUNCTION("GOOGLETRANSLATE(A345, ""en"", ""hi"")"),"344")</f>
        <v>344</v>
      </c>
      <c r="G345" s="5" t="str">
        <f>IFERROR(__xludf.DUMMYFUNCTION("GOOGLETRANSLATE(B345, ""en"", ""hi"")"),"कबड्डी की उत्पत्ति कहां से हुई?")</f>
        <v>कबड्डी की उत्पत्ति कहां से हुई?</v>
      </c>
      <c r="H345" s="5" t="str">
        <f>IFERROR(__xludf.DUMMYFUNCTION("GOOGLETRANSLATE(C345, ""en"", ""hi"")"),"A) भारत, B) चीन, C) जापान, D) थाईलैंड")</f>
        <v>A) भारत, B) चीन, C) जापान, D) थाईलैंड</v>
      </c>
      <c r="I345" s="5" t="str">
        <f>IFERROR(__xludf.DUMMYFUNCTION("GOOGLETRANSLATE(D345, ""en"", ""hi"")"),"ए) भारत")</f>
        <v>ए) भारत</v>
      </c>
    </row>
    <row r="346" ht="22.5" customHeight="1">
      <c r="A346" s="3">
        <v>345.0</v>
      </c>
      <c r="B346" s="4" t="s">
        <v>590</v>
      </c>
      <c r="C346" s="4" t="s">
        <v>591</v>
      </c>
      <c r="D346" s="4" t="s">
        <v>592</v>
      </c>
      <c r="F346" s="5" t="str">
        <f>IFERROR(__xludf.DUMMYFUNCTION("GOOGLETRANSLATE(A346, ""en"", ""hi"")"),"345")</f>
        <v>345</v>
      </c>
      <c r="G346" s="5" t="str">
        <f>IFERROR(__xludf.DUMMYFUNCTION("GOOGLETRANSLATE(B346, ""en"", ""hi"")"),"आधुनिक कबड्डी का जनक किसे माना जाता है?")</f>
        <v>आधुनिक कबड्डी का जनक किसे माना जाता है?</v>
      </c>
      <c r="H346" s="5" t="str">
        <f>IFERROR(__xludf.DUMMYFUNCTION("GOOGLETRANSLATE(C346, ""en"", ""hi"")"),"ए) भोला नाथ, बी) जगत सिंह, सी) एस जी मुदी, डी) राम सिंह")</f>
        <v>ए) भोला नाथ, बी) जगत सिंह, सी) एस जी मुदी, डी) राम सिंह</v>
      </c>
      <c r="I346" s="5" t="str">
        <f>IFERROR(__xludf.DUMMYFUNCTION("GOOGLETRANSLATE(D346, ""en"", ""hi"")"),"C) एस. जी. मुडी")</f>
        <v>C) एस. जी. मुडी</v>
      </c>
    </row>
    <row r="347" ht="22.5" customHeight="1">
      <c r="A347" s="3">
        <v>346.0</v>
      </c>
      <c r="B347" s="4" t="s">
        <v>593</v>
      </c>
      <c r="C347" s="4" t="s">
        <v>594</v>
      </c>
      <c r="D347" s="4" t="s">
        <v>595</v>
      </c>
      <c r="F347" s="5" t="str">
        <f>IFERROR(__xludf.DUMMYFUNCTION("GOOGLETRANSLATE(A347, ""en"", ""hi"")"),"346")</f>
        <v>346</v>
      </c>
      <c r="G347" s="5" t="str">
        <f>IFERROR(__xludf.DUMMYFUNCTION("GOOGLETRANSLATE(B347, ""en"", ""hi"")"),"भारतीय कबड्डी महासंघ की स्थापना कब हुई?")</f>
        <v>भारतीय कबड्डी महासंघ की स्थापना कब हुई?</v>
      </c>
      <c r="H347" s="5" t="str">
        <f>IFERROR(__xludf.DUMMYFUNCTION("GOOGLETRANSLATE(C347, ""en"", ""hi"")"),"ए) 1950, बी) 1960, सी) 1970, डी) 1980")</f>
        <v>ए) 1950, बी) 1960, सी) 1970, डी) 1980</v>
      </c>
      <c r="I347" s="5" t="str">
        <f>IFERROR(__xludf.DUMMYFUNCTION("GOOGLETRANSLATE(D347, ""en"", ""hi"")"),"ए) 1950")</f>
        <v>ए) 1950</v>
      </c>
    </row>
    <row r="348" ht="22.5" customHeight="1">
      <c r="A348" s="3">
        <v>347.0</v>
      </c>
      <c r="B348" s="4" t="s">
        <v>596</v>
      </c>
      <c r="C348" s="4" t="s">
        <v>597</v>
      </c>
      <c r="D348" s="4" t="s">
        <v>66</v>
      </c>
      <c r="F348" s="5" t="str">
        <f>IFERROR(__xludf.DUMMYFUNCTION("GOOGLETRANSLATE(A348, ""en"", ""hi"")"),"347")</f>
        <v>347</v>
      </c>
      <c r="G348" s="5" t="str">
        <f>IFERROR(__xludf.DUMMYFUNCTION("GOOGLETRANSLATE(B348, ""en"", ""hi"")"),"भारत का कौन सा राज्य 20वीं सदी के प्रारंभ में कबड्डी को लोकप्रिय बनाने के लिए जाना जाता है?")</f>
        <v>भारत का कौन सा राज्य 20वीं सदी के प्रारंभ में कबड्डी को लोकप्रिय बनाने के लिए जाना जाता है?</v>
      </c>
      <c r="H348" s="5" t="str">
        <f>IFERROR(__xludf.DUMMYFUNCTION("GOOGLETRANSLATE(C348, ""en"", ""hi"")"),"ए) पंजाब, बी) तमिलनाडु, सी) महाराष्ट्र, डी) उत्तर प्रदेश")</f>
        <v>ए) पंजाब, बी) तमिलनाडु, सी) महाराष्ट्र, डी) उत्तर प्रदेश</v>
      </c>
      <c r="I348" s="5" t="str">
        <f>IFERROR(__xludf.DUMMYFUNCTION("GOOGLETRANSLATE(D348, ""en"", ""hi"")"),"A) पंजाब")</f>
        <v>A) पंजाब</v>
      </c>
    </row>
    <row r="349" ht="22.5" customHeight="1">
      <c r="A349" s="3">
        <v>348.0</v>
      </c>
      <c r="B349" s="4" t="s">
        <v>598</v>
      </c>
      <c r="C349" s="4" t="s">
        <v>599</v>
      </c>
      <c r="D349" s="4" t="s">
        <v>600</v>
      </c>
      <c r="F349" s="5" t="str">
        <f>IFERROR(__xludf.DUMMYFUNCTION("GOOGLETRANSLATE(A349, ""en"", ""hi"")"),"348")</f>
        <v>348</v>
      </c>
      <c r="G349" s="5" t="str">
        <f>IFERROR(__xludf.DUMMYFUNCTION("GOOGLETRANSLATE(B349, ""en"", ""hi"")"),"कबड्डी को एशियाई खेलों में किस वर्ष शामिल किया गया था?")</f>
        <v>कबड्डी को एशियाई खेलों में किस वर्ष शामिल किया गया था?</v>
      </c>
      <c r="H349" s="5" t="str">
        <f>IFERROR(__xludf.DUMMYFUNCTION("GOOGLETRANSLATE(C349, ""en"", ""hi"")"),"ए) 1958, बी) 1962, सी) 1970, डी) 1982")</f>
        <v>ए) 1958, बी) 1962, सी) 1970, डी) 1982</v>
      </c>
      <c r="I349" s="5" t="str">
        <f>IFERROR(__xludf.DUMMYFUNCTION("GOOGLETRANSLATE(D349, ""en"", ""hi"")"),"डी) 1982")</f>
        <v>डी) 1982</v>
      </c>
    </row>
    <row r="350" ht="22.5" customHeight="1">
      <c r="A350" s="3">
        <v>349.0</v>
      </c>
      <c r="B350" s="4" t="s">
        <v>601</v>
      </c>
      <c r="C350" s="4" t="s">
        <v>602</v>
      </c>
      <c r="D350" s="4" t="s">
        <v>603</v>
      </c>
      <c r="F350" s="5" t="str">
        <f>IFERROR(__xludf.DUMMYFUNCTION("GOOGLETRANSLATE(A350, ""en"", ""hi"")"),"349")</f>
        <v>349</v>
      </c>
      <c r="G350" s="5" t="str">
        <f>IFERROR(__xludf.DUMMYFUNCTION("GOOGLETRANSLATE(B350, ""en"", ""hi"")"),"एशियाई खेलों में पहला कबड्डी स्वर्ण पदक किस भारतीय राज्य ने जीता?")</f>
        <v>एशियाई खेलों में पहला कबड्डी स्वर्ण पदक किस भारतीय राज्य ने जीता?</v>
      </c>
      <c r="H350" s="5" t="str">
        <f>IFERROR(__xludf.DUMMYFUNCTION("GOOGLETRANSLATE(C350, ""en"", ""hi"")"),"A) पंजाब, B) हरियाणा, C) तमिलनाडु, D) कर्नाटक")</f>
        <v>A) पंजाब, B) हरियाणा, C) तमिलनाडु, D) कर्नाटक</v>
      </c>
      <c r="I350" s="5" t="str">
        <f>IFERROR(__xludf.DUMMYFUNCTION("GOOGLETRANSLATE(D350, ""en"", ""hi"")"),"बी) हरियाणा")</f>
        <v>बी) हरियाणा</v>
      </c>
    </row>
    <row r="351" ht="22.5" customHeight="1">
      <c r="A351" s="3">
        <v>350.0</v>
      </c>
      <c r="B351" s="4" t="s">
        <v>604</v>
      </c>
      <c r="C351" s="4" t="s">
        <v>605</v>
      </c>
      <c r="D351" s="4" t="s">
        <v>606</v>
      </c>
      <c r="F351" s="5" t="str">
        <f>IFERROR(__xludf.DUMMYFUNCTION("GOOGLETRANSLATE(A351, ""en"", ""hi"")"),"350")</f>
        <v>350</v>
      </c>
      <c r="G351" s="5" t="str">
        <f>IFERROR(__xludf.DUMMYFUNCTION("GOOGLETRANSLATE(B351, ""en"", ""hi"")"),"पद्म भूषण से सम्मानित होने वाले पहले भारतीय कबड्डी खिलाड़ी कौन थे?")</f>
        <v>पद्म भूषण से सम्मानित होने वाले पहले भारतीय कबड्डी खिलाड़ी कौन थे?</v>
      </c>
      <c r="H351" s="5" t="str">
        <f>IFERROR(__xludf.DUMMYFUNCTION("GOOGLETRANSLATE(C351, ""en"", ""hi"")"),"ए) के.डी. सिंह, बी) अशोक कुमार, सी) बाबू शोम, डी) जगत सिंह")</f>
        <v>ए) के.डी. सिंह, बी) अशोक कुमार, सी) बाबू शोम, डी) जगत सिंह</v>
      </c>
      <c r="I351" s="5" t="str">
        <f>IFERROR(__xludf.DUMMYFUNCTION("GOOGLETRANSLATE(D351, ""en"", ""hi"")"),"बी) अशोक कुमार")</f>
        <v>बी) अशोक कुमार</v>
      </c>
    </row>
    <row r="352" ht="22.5" customHeight="1">
      <c r="A352" s="3">
        <v>351.0</v>
      </c>
      <c r="B352" s="4" t="s">
        <v>607</v>
      </c>
      <c r="C352" s="4" t="s">
        <v>608</v>
      </c>
      <c r="D352" s="4" t="s">
        <v>609</v>
      </c>
      <c r="F352" s="5" t="str">
        <f>IFERROR(__xludf.DUMMYFUNCTION("GOOGLETRANSLATE(A352, ""en"", ""hi"")"),"351")</f>
        <v>351</v>
      </c>
      <c r="G352" s="5" t="str">
        <f>IFERROR(__xludf.DUMMYFUNCTION("GOOGLETRANSLATE(B352, ""en"", ""hi"")"),"भारत के बाहर किस देश में कबड्डी की महत्वपूर्ण उपस्थिति है?")</f>
        <v>भारत के बाहर किस देश में कबड्डी की महत्वपूर्ण उपस्थिति है?</v>
      </c>
      <c r="H352" s="5" t="str">
        <f>IFERROR(__xludf.DUMMYFUNCTION("GOOGLETRANSLATE(C352, ""en"", ""hi"")"),"A) बांग्लादेश, B) नेपाल, C) श्रीलंका, D) पाकिस्तान")</f>
        <v>A) बांग्लादेश, B) नेपाल, C) श्रीलंका, D) पाकिस्तान</v>
      </c>
      <c r="I352" s="5" t="str">
        <f>IFERROR(__xludf.DUMMYFUNCTION("GOOGLETRANSLATE(D352, ""en"", ""hi"")"),"D) पाकिस्तान")</f>
        <v>D) पाकिस्तान</v>
      </c>
    </row>
    <row r="353" ht="22.5" customHeight="1">
      <c r="A353" s="3">
        <v>352.0</v>
      </c>
      <c r="B353" s="4" t="s">
        <v>610</v>
      </c>
      <c r="C353" s="4" t="s">
        <v>611</v>
      </c>
      <c r="D353" s="4" t="s">
        <v>612</v>
      </c>
      <c r="F353" s="5" t="str">
        <f>IFERROR(__xludf.DUMMYFUNCTION("GOOGLETRANSLATE(A353, ""en"", ""hi"")"),"352")</f>
        <v>352</v>
      </c>
      <c r="G353" s="5" t="str">
        <f>IFERROR(__xludf.DUMMYFUNCTION("GOOGLETRANSLATE(B353, ""en"", ""hi"")"),"कबड्डी विश्व कप पहली बार कब आयोजित किया गया था?")</f>
        <v>कबड्डी विश्व कप पहली बार कब आयोजित किया गया था?</v>
      </c>
      <c r="H353" s="5" t="str">
        <f>IFERROR(__xludf.DUMMYFUNCTION("GOOGLETRANSLATE(C353, ""en"", ""hi"")"),"ए) 2004, बी) 2005, सी) 2006, डी) 2007")</f>
        <v>ए) 2004, बी) 2005, सी) 2006, डी) 2007</v>
      </c>
      <c r="I353" s="5" t="str">
        <f>IFERROR(__xludf.DUMMYFUNCTION("GOOGLETRANSLATE(D353, ""en"", ""hi"")"),"बी) 2005")</f>
        <v>बी) 2005</v>
      </c>
    </row>
    <row r="354" ht="22.5" customHeight="1">
      <c r="A354" s="3">
        <v>353.0</v>
      </c>
      <c r="B354" s="4" t="s">
        <v>613</v>
      </c>
      <c r="C354" s="4" t="s">
        <v>614</v>
      </c>
      <c r="D354" s="4" t="s">
        <v>104</v>
      </c>
      <c r="F354" s="5" t="str">
        <f>IFERROR(__xludf.DUMMYFUNCTION("GOOGLETRANSLATE(A354, ""en"", ""hi"")"),"353")</f>
        <v>353</v>
      </c>
      <c r="G354" s="5" t="str">
        <f>IFERROR(__xludf.DUMMYFUNCTION("GOOGLETRANSLATE(B354, ""en"", ""hi"")"),"2014 में स्थापित किस लीग ने भारत में राष्ट्रीय स्तर पर कबड्डी को लोकप्रिय बनाया?")</f>
        <v>2014 में स्थापित किस लीग ने भारत में राष्ट्रीय स्तर पर कबड्डी को लोकप्रिय बनाया?</v>
      </c>
      <c r="H354" s="5" t="str">
        <f>IFERROR(__xludf.DUMMYFUNCTION("GOOGLETRANSLATE(C354, ""en"", ""hi"")"),"A) प्रो कबड्डी लीग, B) इंडियन कबड्डी लीग, C) नेशनल कबड्डी लीग, D) कबड्डी चैंपियनशिप")</f>
        <v>A) प्रो कबड्डी लीग, B) इंडियन कबड्डी लीग, C) नेशनल कबड्डी लीग, D) कबड्डी चैंपियनशिप</v>
      </c>
      <c r="I354" s="5" t="str">
        <f>IFERROR(__xludf.DUMMYFUNCTION("GOOGLETRANSLATE(D354, ""en"", ""hi"")"),"A) प्रो कबड्डी लीग")</f>
        <v>A) प्रो कबड्डी लीग</v>
      </c>
    </row>
    <row r="355" ht="22.5" customHeight="1">
      <c r="A355" s="3">
        <v>354.0</v>
      </c>
      <c r="B355" s="4" t="s">
        <v>615</v>
      </c>
      <c r="C355" s="4" t="s">
        <v>616</v>
      </c>
      <c r="D355" s="4" t="s">
        <v>617</v>
      </c>
      <c r="F355" s="5" t="str">
        <f>IFERROR(__xludf.DUMMYFUNCTION("GOOGLETRANSLATE(A355, ""en"", ""hi"")"),"354")</f>
        <v>354</v>
      </c>
      <c r="G355" s="5" t="str">
        <f>IFERROR(__xludf.DUMMYFUNCTION("GOOGLETRANSLATE(B355, ""en"", ""hi"")"),"किस भारतीय शहर ने पहला कबड्डी विश्व कप आयोजित किया था?")</f>
        <v>किस भारतीय शहर ने पहला कबड्डी विश्व कप आयोजित किया था?</v>
      </c>
      <c r="H355" s="5" t="str">
        <f>IFERROR(__xludf.DUMMYFUNCTION("GOOGLETRANSLATE(C355, ""en"", ""hi"")"),"A) मुंबई, B) दिल्ली, C) चंडीगढ़, D) कोलकाता")</f>
        <v>A) मुंबई, B) दिल्ली, C) चंडीगढ़, D) कोलकाता</v>
      </c>
      <c r="I355" s="5" t="str">
        <f>IFERROR(__xludf.DUMMYFUNCTION("GOOGLETRANSLATE(D355, ""en"", ""hi"")"),"C) चंडीगढ़")</f>
        <v>C) चंडीगढ़</v>
      </c>
    </row>
    <row r="356" ht="22.5" customHeight="1">
      <c r="A356" s="3">
        <v>355.0</v>
      </c>
      <c r="B356" s="4" t="s">
        <v>618</v>
      </c>
      <c r="C356" s="4" t="s">
        <v>619</v>
      </c>
      <c r="D356" s="4" t="s">
        <v>131</v>
      </c>
      <c r="F356" s="5" t="str">
        <f>IFERROR(__xludf.DUMMYFUNCTION("GOOGLETRANSLATE(A356, ""en"", ""hi"")"),"355")</f>
        <v>355</v>
      </c>
      <c r="G356" s="5" t="str">
        <f>IFERROR(__xludf.DUMMYFUNCTION("GOOGLETRANSLATE(B356, ""en"", ""hi"")"),"कबड्डी में रक्षात्मक शैली के अग्रणी खिलाड़ी के रूप में कौन जाना जाता है?")</f>
        <v>कबड्डी में रक्षात्मक शैली के अग्रणी खिलाड़ी के रूप में कौन जाना जाता है?</v>
      </c>
      <c r="H356" s="5" t="str">
        <f>IFERROR(__xludf.DUMMYFUNCTION("GOOGLETRANSLATE(C356, ""en"", ""hi"")"),"ए) मंजीत छिल्लर, बी) अनुप कुमार, सी) राहुल चौधरी, डी) सुरजीत सिंह")</f>
        <v>ए) मंजीत छिल्लर, बी) अनुप कुमार, सी) राहुल चौधरी, डी) सुरजीत सिंह</v>
      </c>
      <c r="I356" s="5" t="str">
        <f>IFERROR(__xludf.DUMMYFUNCTION("GOOGLETRANSLATE(D356, ""en"", ""hi"")"),"बी) अनूप कुमार")</f>
        <v>बी) अनूप कुमार</v>
      </c>
    </row>
    <row r="357" ht="22.5" customHeight="1">
      <c r="A357" s="3">
        <v>356.0</v>
      </c>
      <c r="B357" s="4" t="s">
        <v>620</v>
      </c>
      <c r="C357" s="4" t="s">
        <v>621</v>
      </c>
      <c r="D357" s="4" t="s">
        <v>622</v>
      </c>
      <c r="F357" s="5" t="str">
        <f>IFERROR(__xludf.DUMMYFUNCTION("GOOGLETRANSLATE(A357, ""en"", ""hi"")"),"356")</f>
        <v>356</v>
      </c>
      <c r="G357" s="5" t="str">
        <f>IFERROR(__xludf.DUMMYFUNCTION("GOOGLETRANSLATE(B357, ""en"", ""hi"")"),"कबड्डी में रेडर का प्राथमिक उद्देश्य क्या है?")</f>
        <v>कबड्डी में रेडर का प्राथमिक उद्देश्य क्या है?</v>
      </c>
      <c r="H357" s="5" t="str">
        <f>IFERROR(__xludf.DUMMYFUNCTION("GOOGLETRANSLATE(C357, ""en"", ""hi"")"),"A) विरोधियों को टैग करना, B) बचाव करना, C) गोल करना, D) गेंद पकड़ना")</f>
        <v>A) विरोधियों को टैग करना, B) बचाव करना, C) गोल करना, D) गेंद पकड़ना</v>
      </c>
      <c r="I357" s="5" t="str">
        <f>IFERROR(__xludf.DUMMYFUNCTION("GOOGLETRANSLATE(D357, ""en"", ""hi"")"),"A) विरोधियों को टैग करना")</f>
        <v>A) विरोधियों को टैग करना</v>
      </c>
    </row>
    <row r="358" ht="22.5" customHeight="1">
      <c r="A358" s="3">
        <v>357.0</v>
      </c>
      <c r="B358" s="4" t="s">
        <v>623</v>
      </c>
      <c r="C358" s="4" t="s">
        <v>624</v>
      </c>
      <c r="D358" s="4" t="s">
        <v>625</v>
      </c>
      <c r="F358" s="5" t="str">
        <f>IFERROR(__xludf.DUMMYFUNCTION("GOOGLETRANSLATE(A358, ""en"", ""hi"")"),"357")</f>
        <v>357</v>
      </c>
      <c r="G358" s="5" t="str">
        <f>IFERROR(__xludf.DUMMYFUNCTION("GOOGLETRANSLATE(B358, ""en"", ""hi"")"),"कौन सा भारतीय राज्य पारंपरिक कबड्डी उत्सव के लिए जाना जाता है?")</f>
        <v>कौन सा भारतीय राज्य पारंपरिक कबड्डी उत्सव के लिए जाना जाता है?</v>
      </c>
      <c r="H358" s="5" t="str">
        <f>IFERROR(__xludf.DUMMYFUNCTION("GOOGLETRANSLATE(C358, ""en"", ""hi"")"),"ए) गुजरात, बी) बिहार, सी) असम, डी) कर्नाटक")</f>
        <v>ए) गुजरात, बी) बिहार, सी) असम, डी) कर्नाटक</v>
      </c>
      <c r="I358" s="5" t="str">
        <f>IFERROR(__xludf.DUMMYFUNCTION("GOOGLETRANSLATE(D358, ""en"", ""hi"")"),"बी) बिहार")</f>
        <v>बी) बिहार</v>
      </c>
    </row>
    <row r="359" ht="22.5" customHeight="1">
      <c r="A359" s="3">
        <v>358.0</v>
      </c>
      <c r="B359" s="4" t="s">
        <v>626</v>
      </c>
      <c r="C359" s="4" t="s">
        <v>627</v>
      </c>
      <c r="D359" s="4" t="s">
        <v>628</v>
      </c>
      <c r="F359" s="5" t="str">
        <f>IFERROR(__xludf.DUMMYFUNCTION("GOOGLETRANSLATE(A359, ""en"", ""hi"")"),"358")</f>
        <v>358</v>
      </c>
      <c r="G359" s="5" t="str">
        <f>IFERROR(__xludf.DUMMYFUNCTION("GOOGLETRANSLATE(B359, ""en"", ""hi"")"),"एक मानक कबड्डी मैच की अवधि कितनी होती है?")</f>
        <v>एक मानक कबड्डी मैच की अवधि कितनी होती है?</v>
      </c>
      <c r="H359" s="5" t="str">
        <f>IFERROR(__xludf.DUMMYFUNCTION("GOOGLETRANSLATE(C359, ""en"", ""hi"")"),"A) 30 मिनट, B) 40 मिनट, C) 50 मिनट, D) 60 मिनट")</f>
        <v>A) 30 मिनट, B) 40 मिनट, C) 50 मिनट, D) 60 मिनट</v>
      </c>
      <c r="I359" s="5" t="str">
        <f>IFERROR(__xludf.DUMMYFUNCTION("GOOGLETRANSLATE(D359, ""en"", ""hi"")"),"बी) 40 मिनट")</f>
        <v>बी) 40 मिनट</v>
      </c>
    </row>
    <row r="360" ht="22.5" customHeight="1">
      <c r="A360" s="3">
        <v>359.0</v>
      </c>
      <c r="B360" s="4" t="s">
        <v>629</v>
      </c>
      <c r="C360" s="4" t="s">
        <v>630</v>
      </c>
      <c r="D360" s="4" t="s">
        <v>631</v>
      </c>
      <c r="F360" s="5" t="str">
        <f>IFERROR(__xludf.DUMMYFUNCTION("GOOGLETRANSLATE(A360, ""en"", ""hi"")"),"359")</f>
        <v>359</v>
      </c>
      <c r="G360" s="5" t="str">
        <f>IFERROR(__xludf.DUMMYFUNCTION("GOOGLETRANSLATE(B360, ""en"", ""hi"")"),"कबड्डी में सफल रेड के लिए कितने अंक दिए जाते हैं?")</f>
        <v>कबड्डी में सफल रेड के लिए कितने अंक दिए जाते हैं?</v>
      </c>
      <c r="H360" s="5" t="str">
        <f>IFERROR(__xludf.DUMMYFUNCTION("GOOGLETRANSLATE(C360, ""en"", ""hi"")"),"ए) 1, बी) 2, सी) 3, डी) 4")</f>
        <v>ए) 1, बी) 2, सी) 3, डी) 4</v>
      </c>
      <c r="I360" s="5" t="str">
        <f>IFERROR(__xludf.DUMMYFUNCTION("GOOGLETRANSLATE(D360, ""en"", ""hi"")"),"ए) 1")</f>
        <v>ए) 1</v>
      </c>
    </row>
    <row r="361" ht="22.5" customHeight="1">
      <c r="A361" s="3">
        <v>360.0</v>
      </c>
      <c r="B361" s="4" t="s">
        <v>632</v>
      </c>
      <c r="C361" s="4" t="s">
        <v>633</v>
      </c>
      <c r="D361" s="4" t="s">
        <v>634</v>
      </c>
      <c r="F361" s="5" t="str">
        <f>IFERROR(__xludf.DUMMYFUNCTION("GOOGLETRANSLATE(A361, ""en"", ""hi"")"),"360")</f>
        <v>360</v>
      </c>
      <c r="G361" s="5" t="str">
        <f>IFERROR(__xludf.DUMMYFUNCTION("GOOGLETRANSLATE(B361, ""en"", ""hi"")"),"निम्नलिखित में से कौन सा कबड्डी में मौलिक कौशल नहीं है?")</f>
        <v>निम्नलिखित में से कौन सा कबड्डी में मौलिक कौशल नहीं है?</v>
      </c>
      <c r="H361" s="5" t="str">
        <f>IFERROR(__xludf.DUMMYFUNCTION("GOOGLETRANSLATE(C361, ""en"", ""hi"")"),"A) चकमा देना, B) ब्लॉक करना, C) ड्रिब्लिंग करना, D) टैग करना")</f>
        <v>A) चकमा देना, B) ब्लॉक करना, C) ड्रिब्लिंग करना, D) टैग करना</v>
      </c>
      <c r="I361" s="5" t="str">
        <f>IFERROR(__xludf.DUMMYFUNCTION("GOOGLETRANSLATE(D361, ""en"", ""hi"")"),"सी) ड्रिब्लिंग")</f>
        <v>सी) ड्रिब्लिंग</v>
      </c>
    </row>
    <row r="362" ht="22.5" customHeight="1">
      <c r="A362" s="3">
        <v>361.0</v>
      </c>
      <c r="B362" s="4" t="s">
        <v>635</v>
      </c>
      <c r="C362" s="4" t="s">
        <v>636</v>
      </c>
      <c r="D362" s="4" t="s">
        <v>37</v>
      </c>
      <c r="F362" s="5" t="str">
        <f>IFERROR(__xludf.DUMMYFUNCTION("GOOGLETRANSLATE(A362, ""en"", ""hi"")"),"361")</f>
        <v>361</v>
      </c>
      <c r="G362" s="5" t="str">
        <f>IFERROR(__xludf.DUMMYFUNCTION("GOOGLETRANSLATE(B362, ""en"", ""hi"")"),"2016 में कबड्डी विश्व कप की मेजबानी किस देश ने की?")</f>
        <v>2016 में कबड्डी विश्व कप की मेजबानी किस देश ने की?</v>
      </c>
      <c r="H362" s="5" t="str">
        <f>IFERROR(__xludf.DUMMYFUNCTION("GOOGLETRANSLATE(C362, ""en"", ""hi"")"),"A) भारत, B) बांग्लादेश, C) पाकिस्तान, D) नेपाल")</f>
        <v>A) भारत, B) बांग्लादेश, C) पाकिस्तान, D) नेपाल</v>
      </c>
      <c r="I362" s="5" t="str">
        <f>IFERROR(__xludf.DUMMYFUNCTION("GOOGLETRANSLATE(D362, ""en"", ""hi"")"),"ए) भारत")</f>
        <v>ए) भारत</v>
      </c>
    </row>
    <row r="363" ht="22.5" customHeight="1">
      <c r="A363" s="3">
        <v>362.0</v>
      </c>
      <c r="B363" s="4" t="s">
        <v>637</v>
      </c>
      <c r="C363" s="4" t="s">
        <v>638</v>
      </c>
      <c r="D363" s="4" t="s">
        <v>639</v>
      </c>
      <c r="F363" s="5" t="str">
        <f>IFERROR(__xludf.DUMMYFUNCTION("GOOGLETRANSLATE(A363, ""en"", ""hi"")"),"362")</f>
        <v>362</v>
      </c>
      <c r="G363" s="5" t="str">
        <f>IFERROR(__xludf.DUMMYFUNCTION("GOOGLETRANSLATE(B363, ""en"", ""hi"")"),"किस भारतीय राज्य में कबड्डी की एक अनूठी शैली है जिसे 'सर्कल कबड्डी' के नाम से जाना जाता है?")</f>
        <v>किस भारतीय राज्य में कबड्डी की एक अनूठी शैली है जिसे 'सर्कल कबड्डी' के नाम से जाना जाता है?</v>
      </c>
      <c r="H363" s="5" t="str">
        <f>IFERROR(__xludf.DUMMYFUNCTION("GOOGLETRANSLATE(C363, ""en"", ""hi"")"),"A) आंध्र प्रदेश, B) तमिलनाडु, C) केरल, D) ओडिशा")</f>
        <v>A) आंध्र प्रदेश, B) तमिलनाडु, C) केरल, D) ओडिशा</v>
      </c>
      <c r="I363" s="5" t="str">
        <f>IFERROR(__xludf.DUMMYFUNCTION("GOOGLETRANSLATE(D363, ""en"", ""hi"")"),"बी) तमिलनाडु")</f>
        <v>बी) तमिलनाडु</v>
      </c>
    </row>
    <row r="364" ht="22.5" customHeight="1">
      <c r="A364" s="3">
        <v>363.0</v>
      </c>
      <c r="B364" s="4" t="s">
        <v>640</v>
      </c>
      <c r="C364" s="4" t="s">
        <v>641</v>
      </c>
      <c r="D364" s="4" t="s">
        <v>95</v>
      </c>
      <c r="F364" s="5" t="str">
        <f>IFERROR(__xludf.DUMMYFUNCTION("GOOGLETRANSLATE(A364, ""en"", ""hi"")"),"363")</f>
        <v>363</v>
      </c>
      <c r="G364" s="5" t="str">
        <f>IFERROR(__xludf.DUMMYFUNCTION("GOOGLETRANSLATE(B364, ""en"", ""hi"")"),"कौन सा खिलाड़ी अपनी आक्रामक रेडिंग शैली के लिए प्रसिद्ध है और प्रो कबड्डी लीग में एक प्रमुख खिलाड़ी रहा है?")</f>
        <v>कौन सा खिलाड़ी अपनी आक्रामक रेडिंग शैली के लिए प्रसिद्ध है और प्रो कबड्डी लीग में एक प्रमुख खिलाड़ी रहा है?</v>
      </c>
      <c r="H364" s="5" t="str">
        <f>IFERROR(__xludf.DUMMYFUNCTION("GOOGLETRANSLATE(C364, ""en"", ""hi"")"),"ए) प्रदीप नरवाल, बी) सिद्धार्थ देसाई, सी) अजय ठाकुर, डी) रिशांक देवाडिगा")</f>
        <v>ए) प्रदीप नरवाल, बी) सिद्धार्थ देसाई, सी) अजय ठाकुर, डी) रिशांक देवाडिगा</v>
      </c>
      <c r="I364" s="5" t="str">
        <f>IFERROR(__xludf.DUMMYFUNCTION("GOOGLETRANSLATE(D364, ""en"", ""hi"")"),"A) प्रदीप नरवाल")</f>
        <v>A) प्रदीप नरवाल</v>
      </c>
    </row>
    <row r="365" ht="22.5" customHeight="1">
      <c r="A365" s="3">
        <v>364.0</v>
      </c>
      <c r="B365" s="4" t="s">
        <v>642</v>
      </c>
      <c r="C365" s="4" t="s">
        <v>643</v>
      </c>
      <c r="D365" s="4" t="s">
        <v>644</v>
      </c>
      <c r="F365" s="5" t="str">
        <f>IFERROR(__xludf.DUMMYFUNCTION("GOOGLETRANSLATE(A365, ""en"", ""hi"")"),"364")</f>
        <v>364</v>
      </c>
      <c r="G365" s="5" t="str">
        <f>IFERROR(__xludf.DUMMYFUNCTION("GOOGLETRANSLATE(B365, ""en"", ""hi"")"),"कबड्डी टूर्नामेंट में विजेता का निर्धारण करने के लिए किस प्रारूप का उपयोग किया जाता है?")</f>
        <v>कबड्डी टूर्नामेंट में विजेता का निर्धारण करने के लिए किस प्रारूप का उपयोग किया जाता है?</v>
      </c>
      <c r="H365" s="5" t="str">
        <f>IFERROR(__xludf.DUMMYFUNCTION("GOOGLETRANSLATE(C365, ""en"", ""hi"")"),"A) नॉकआउट, B) राउंड-रॉबिन, C) लीग, D) उपरोक्त सभी")</f>
        <v>A) नॉकआउट, B) राउंड-रॉबिन, C) लीग, D) उपरोक्त सभी</v>
      </c>
      <c r="I365" s="5" t="str">
        <f>IFERROR(__xludf.DUMMYFUNCTION("GOOGLETRANSLATE(D365, ""en"", ""hi"")"),"D। उपरोक्त सभी")</f>
        <v>D। उपरोक्त सभी</v>
      </c>
    </row>
    <row r="366" ht="22.5" customHeight="1">
      <c r="A366" s="3">
        <v>365.0</v>
      </c>
      <c r="B366" s="4" t="s">
        <v>645</v>
      </c>
      <c r="C366" s="4" t="s">
        <v>646</v>
      </c>
      <c r="D366" s="4" t="s">
        <v>647</v>
      </c>
      <c r="F366" s="5" t="str">
        <f>IFERROR(__xludf.DUMMYFUNCTION("GOOGLETRANSLATE(A366, ""en"", ""hi"")"),"365")</f>
        <v>365</v>
      </c>
      <c r="G366" s="5" t="str">
        <f>IFERROR(__xludf.DUMMYFUNCTION("GOOGLETRANSLATE(B366, ""en"", ""hi"")"),"कबड्डी में उस स्थिति को क्या कहते हैं, जहां बचाव करने वाली टीम रेडर को सफलतापूर्वक टैकल कर देती है?")</f>
        <v>कबड्डी में उस स्थिति को क्या कहते हैं, जहां बचाव करने वाली टीम रेडर को सफलतापूर्वक टैकल कर देती है?</v>
      </c>
      <c r="H366" s="5" t="str">
        <f>IFERROR(__xludf.DUMMYFUNCTION("GOOGLETRANSLATE(C366, ""en"", ""hi"")"),"ए) आउट, बी) टैग, सी) छापे की विफलता, डी) करो या मरो")</f>
        <v>ए) आउट, बी) टैग, सी) छापे की विफलता, डी) करो या मरो</v>
      </c>
      <c r="I366" s="5" t="str">
        <f>IFERROR(__xludf.DUMMYFUNCTION("GOOGLETRANSLATE(D366, ""en"", ""hi"")"),"ए) बाहर")</f>
        <v>ए) बाहर</v>
      </c>
    </row>
    <row r="367" ht="22.5" customHeight="1">
      <c r="A367" s="3">
        <v>366.0</v>
      </c>
      <c r="B367" s="4" t="s">
        <v>648</v>
      </c>
      <c r="C367" s="4" t="s">
        <v>60</v>
      </c>
      <c r="D367" s="4" t="s">
        <v>37</v>
      </c>
      <c r="F367" s="5" t="str">
        <f>IFERROR(__xludf.DUMMYFUNCTION("GOOGLETRANSLATE(A367, ""en"", ""hi"")"),"366")</f>
        <v>366</v>
      </c>
      <c r="G367" s="5" t="str">
        <f>IFERROR(__xludf.DUMMYFUNCTION("GOOGLETRANSLATE(B367, ""en"", ""hi"")"),"किस देश की कबड्डी टीम ने 2010 के एशियाई खेलों में स्वर्ण पदक जीता था?")</f>
        <v>किस देश की कबड्डी टीम ने 2010 के एशियाई खेलों में स्वर्ण पदक जीता था?</v>
      </c>
      <c r="H367" s="5" t="str">
        <f>IFERROR(__xludf.DUMMYFUNCTION("GOOGLETRANSLATE(C367, ""en"", ""hi"")"),"A) भारत, B) पाकिस्तान, C) बांग्लादेश, D) श्रीलंका")</f>
        <v>A) भारत, B) पाकिस्तान, C) बांग्लादेश, D) श्रीलंका</v>
      </c>
      <c r="I367" s="5" t="str">
        <f>IFERROR(__xludf.DUMMYFUNCTION("GOOGLETRANSLATE(D367, ""en"", ""hi"")"),"ए) भारत")</f>
        <v>ए) भारत</v>
      </c>
    </row>
    <row r="368" ht="22.5" customHeight="1">
      <c r="A368" s="3">
        <v>367.0</v>
      </c>
      <c r="B368" s="4" t="s">
        <v>649</v>
      </c>
      <c r="C368" s="4" t="s">
        <v>650</v>
      </c>
      <c r="D368" s="4" t="s">
        <v>651</v>
      </c>
      <c r="F368" s="5" t="str">
        <f>IFERROR(__xludf.DUMMYFUNCTION("GOOGLETRANSLATE(A368, ""en"", ""hi"")"),"367")</f>
        <v>367</v>
      </c>
      <c r="G368" s="5" t="str">
        <f>IFERROR(__xludf.DUMMYFUNCTION("GOOGLETRANSLATE(B368, ""en"", ""hi"")"),"कबड्डी में रक्षात्मक तकनीकों में विशेषज्ञता रखने वाले खिलाड़ी को क्या कहा जाता है?")</f>
        <v>कबड्डी में रक्षात्मक तकनीकों में विशेषज्ञता रखने वाले खिलाड़ी को क्या कहा जाता है?</v>
      </c>
      <c r="H368" s="5" t="str">
        <f>IFERROR(__xludf.DUMMYFUNCTION("GOOGLETRANSLATE(C368, ""en"", ""hi"")"),"A) रेडर, B) डिफेंडर, C) अटैकर, D) कैप्टन")</f>
        <v>A) रेडर, B) डिफेंडर, C) अटैकर, D) कैप्टन</v>
      </c>
      <c r="I368" s="5" t="str">
        <f>IFERROR(__xludf.DUMMYFUNCTION("GOOGLETRANSLATE(D368, ""en"", ""hi"")"),"बी) डिफेंडर")</f>
        <v>बी) डिफेंडर</v>
      </c>
    </row>
    <row r="369" ht="22.5" customHeight="1">
      <c r="A369" s="3">
        <v>368.0</v>
      </c>
      <c r="B369" s="4" t="s">
        <v>652</v>
      </c>
      <c r="C369" s="4" t="s">
        <v>375</v>
      </c>
      <c r="D369" s="4" t="s">
        <v>113</v>
      </c>
      <c r="F369" s="5" t="str">
        <f>IFERROR(__xludf.DUMMYFUNCTION("GOOGLETRANSLATE(A369, ""en"", ""hi"")"),"368")</f>
        <v>368</v>
      </c>
      <c r="G369" s="5" t="str">
        <f>IFERROR(__xludf.DUMMYFUNCTION("GOOGLETRANSLATE(B369, ""en"", ""hi"")"),"कौन सा भारतीय कबड्डी खिलाड़ी अपने नेतृत्व कौशल और भारतीय राष्ट्रीय टीम को कई टूर्नामेंटों में जीत दिलाने के लिए जाना जाता है?")</f>
        <v>कौन सा भारतीय कबड्डी खिलाड़ी अपने नेतृत्व कौशल और भारतीय राष्ट्रीय टीम को कई टूर्नामेंटों में जीत दिलाने के लिए जाना जाता है?</v>
      </c>
      <c r="H369" s="5" t="str">
        <f>IFERROR(__xludf.DUMMYFUNCTION("GOOGLETRANSLATE(C369, ""en"", ""hi"")"),"ए) अनुप कुमार, बी) राकेश कुमार, सी) अजय ठाकुर, डी) मंजीत छिल्लर")</f>
        <v>ए) अनुप कुमार, बी) राकेश कुमार, सी) अजय ठाकुर, डी) मंजीत छिल्लर</v>
      </c>
      <c r="I369" s="5" t="str">
        <f>IFERROR(__xludf.DUMMYFUNCTION("GOOGLETRANSLATE(D369, ""en"", ""hi"")"),"A) अनूप कुमार")</f>
        <v>A) अनूप कुमार</v>
      </c>
    </row>
    <row r="370" ht="22.5" customHeight="1">
      <c r="A370" s="3">
        <v>369.0</v>
      </c>
      <c r="B370" s="4" t="s">
        <v>653</v>
      </c>
      <c r="C370" s="4" t="s">
        <v>654</v>
      </c>
      <c r="D370" s="4" t="s">
        <v>655</v>
      </c>
      <c r="F370" s="5" t="str">
        <f>IFERROR(__xludf.DUMMYFUNCTION("GOOGLETRANSLATE(A370, ""en"", ""hi"")"),"369")</f>
        <v>369</v>
      </c>
      <c r="G370" s="5" t="str">
        <f>IFERROR(__xludf.DUMMYFUNCTION("GOOGLETRANSLATE(B370, ""en"", ""hi"")"),"प्रतिद्वंद्वी को भागने से रोकने के लिए उसे पकड़ कर रखने की क्रिया को कबड्डी में क्या कहते हैं?")</f>
        <v>प्रतिद्वंद्वी को भागने से रोकने के लिए उसे पकड़ कर रखने की क्रिया को कबड्डी में क्या कहते हैं?</v>
      </c>
      <c r="H370" s="5" t="str">
        <f>IFERROR(__xludf.DUMMYFUNCTION("GOOGLETRANSLATE(C370, ""en"", ""hi"")"),"A) लॉक, B) ग्रिप, C) होल्ड, D) पिन")</f>
        <v>A) लॉक, B) ग्रिप, C) होल्ड, D) पिन</v>
      </c>
      <c r="I370" s="5" t="str">
        <f>IFERROR(__xludf.DUMMYFUNCTION("GOOGLETRANSLATE(D370, ""en"", ""hi"")"),"सी) पकड़ो")</f>
        <v>सी) पकड़ो</v>
      </c>
    </row>
    <row r="371" ht="22.5" customHeight="1">
      <c r="A371" s="3">
        <v>370.0</v>
      </c>
      <c r="B371" s="4" t="s">
        <v>656</v>
      </c>
      <c r="C371" s="4" t="s">
        <v>657</v>
      </c>
      <c r="D371" s="4" t="s">
        <v>603</v>
      </c>
      <c r="F371" s="5" t="str">
        <f>IFERROR(__xludf.DUMMYFUNCTION("GOOGLETRANSLATE(A371, ""en"", ""hi"")"),"370")</f>
        <v>370</v>
      </c>
      <c r="G371" s="5" t="str">
        <f>IFERROR(__xludf.DUMMYFUNCTION("GOOGLETRANSLATE(B371, ""en"", ""hi"")"),"कौन सा भारतीय राज्य अपने पारंपरिक कबड्डी टूर्नामेंट के लिए जाना जाता है जिसमें पुरुष और महिला दोनों खिलाड़ी शामिल होते हैं?")</f>
        <v>कौन सा भारतीय राज्य अपने पारंपरिक कबड्डी टूर्नामेंट के लिए जाना जाता है जिसमें पुरुष और महिला दोनों खिलाड़ी शामिल होते हैं?</v>
      </c>
      <c r="H371" s="5" t="str">
        <f>IFERROR(__xludf.DUMMYFUNCTION("GOOGLETRANSLATE(C371, ""en"", ""hi"")"),"A) पंजाब, B) हरियाणा, C) गुजरात, D) महाराष्ट्र")</f>
        <v>A) पंजाब, B) हरियाणा, C) गुजरात, D) महाराष्ट्र</v>
      </c>
      <c r="I371" s="5" t="str">
        <f>IFERROR(__xludf.DUMMYFUNCTION("GOOGLETRANSLATE(D371, ""en"", ""hi"")"),"बी) हरियाणा")</f>
        <v>बी) हरियाणा</v>
      </c>
    </row>
    <row r="372" ht="22.5" customHeight="1">
      <c r="A372" s="3">
        <v>371.0</v>
      </c>
      <c r="B372" s="4" t="s">
        <v>658</v>
      </c>
      <c r="C372" s="4" t="s">
        <v>659</v>
      </c>
      <c r="D372" s="4" t="s">
        <v>95</v>
      </c>
      <c r="F372" s="5" t="str">
        <f>IFERROR(__xludf.DUMMYFUNCTION("GOOGLETRANSLATE(A372, ""en"", ""hi"")"),"371")</f>
        <v>371</v>
      </c>
      <c r="G372" s="5" t="str">
        <f>IFERROR(__xludf.DUMMYFUNCTION("GOOGLETRANSLATE(B372, ""en"", ""hi"")"),"किस खिलाड़ी ने प्रो कबड्डी लीग के एक सीज़न में सबसे अधिक रेड अंक हासिल करने का रिकॉर्ड बनाया है?")</f>
        <v>किस खिलाड़ी ने प्रो कबड्डी लीग के एक सीज़न में सबसे अधिक रेड अंक हासिल करने का रिकॉर्ड बनाया है?</v>
      </c>
      <c r="H372" s="5" t="str">
        <f>IFERROR(__xludf.DUMMYFUNCTION("GOOGLETRANSLATE(C372, ""en"", ""hi"")"),"ए) प्रदीप नरवाल, बी) राहुल चौधरी, सी) सिद्धार्थ देसाई, डी) रिशांक देवाडिगा")</f>
        <v>ए) प्रदीप नरवाल, बी) राहुल चौधरी, सी) सिद्धार्थ देसाई, डी) रिशांक देवाडिगा</v>
      </c>
      <c r="I372" s="5" t="str">
        <f>IFERROR(__xludf.DUMMYFUNCTION("GOOGLETRANSLATE(D372, ""en"", ""hi"")"),"A) प्रदीप नरवाल")</f>
        <v>A) प्रदीप नरवाल</v>
      </c>
    </row>
    <row r="373" ht="22.5" customHeight="1">
      <c r="A373" s="3">
        <v>372.0</v>
      </c>
      <c r="B373" s="4" t="s">
        <v>660</v>
      </c>
      <c r="C373" s="4" t="s">
        <v>661</v>
      </c>
      <c r="D373" s="4" t="s">
        <v>662</v>
      </c>
      <c r="F373" s="5" t="str">
        <f>IFERROR(__xludf.DUMMYFUNCTION("GOOGLETRANSLATE(A373, ""en"", ""hi"")"),"372")</f>
        <v>372</v>
      </c>
      <c r="G373" s="5" t="str">
        <f>IFERROR(__xludf.DUMMYFUNCTION("GOOGLETRANSLATE(B373, ""en"", ""hi"")"),"कबड्डी की उस तकनीक का क्या नाम है जिसमें रेडर प्रतिद्वंद्वी टीम को छूता है और बिना पकड़े गए अपने हाफ में वापस चला जाता है?")</f>
        <v>कबड्डी की उस तकनीक का क्या नाम है जिसमें रेडर प्रतिद्वंद्वी टीम को छूता है और बिना पकड़े गए अपने हाफ में वापस चला जाता है?</v>
      </c>
      <c r="H373" s="5" t="str">
        <f>IFERROR(__xludf.DUMMYFUNCTION("GOOGLETRANSLATE(C373, ""en"", ""hi"")"),"A) छापा, B) चकमा, C) टैग, D) बच निकलना")</f>
        <v>A) छापा, B) चकमा, C) टैग, D) बच निकलना</v>
      </c>
      <c r="I373" s="5" t="str">
        <f>IFERROR(__xludf.DUMMYFUNCTION("GOOGLETRANSLATE(D373, ""en"", ""hi"")"),"ए) छापा")</f>
        <v>ए) छापा</v>
      </c>
    </row>
    <row r="374" ht="22.5" customHeight="1">
      <c r="A374" s="3">
        <v>373.0</v>
      </c>
      <c r="B374" s="4" t="s">
        <v>663</v>
      </c>
      <c r="C374" s="4" t="s">
        <v>664</v>
      </c>
      <c r="D374" s="4" t="s">
        <v>139</v>
      </c>
      <c r="F374" s="5" t="str">
        <f>IFERROR(__xludf.DUMMYFUNCTION("GOOGLETRANSLATE(A374, ""en"", ""hi"")"),"373")</f>
        <v>373</v>
      </c>
      <c r="G374" s="5" t="str">
        <f>IFERROR(__xludf.DUMMYFUNCTION("GOOGLETRANSLATE(B374, ""en"", ""hi"")"),"कौन सा भारतीय कबड्डी खिलाड़ी अपनी लंबी दूरी की टैकल और रक्षात्मक कौशल के लिए प्रसिद्ध है?")</f>
        <v>कौन सा भारतीय कबड्डी खिलाड़ी अपनी लंबी दूरी की टैकल और रक्षात्मक कौशल के लिए प्रसिद्ध है?</v>
      </c>
      <c r="H374" s="5" t="str">
        <f>IFERROR(__xludf.DUMMYFUNCTION("GOOGLETRANSLATE(C374, ""en"", ""hi"")"),"ए) सुरजीत सिंह, बी) मंजीत छिल्लर, सी) नितेश कुमार, डी) विशाल भारद्वाज")</f>
        <v>ए) सुरजीत सिंह, बी) मंजीत छिल्लर, सी) नितेश कुमार, डी) विशाल भारद्वाज</v>
      </c>
      <c r="I374" s="5" t="str">
        <f>IFERROR(__xludf.DUMMYFUNCTION("GOOGLETRANSLATE(D374, ""en"", ""hi"")"),"B) मंजीत छिल्लर")</f>
        <v>B) मंजीत छिल्लर</v>
      </c>
    </row>
    <row r="375" ht="22.5" customHeight="1">
      <c r="A375" s="3">
        <v>374.0</v>
      </c>
      <c r="B375" s="4" t="s">
        <v>665</v>
      </c>
      <c r="C375" s="4" t="s">
        <v>666</v>
      </c>
      <c r="D375" s="4" t="s">
        <v>667</v>
      </c>
      <c r="F375" s="5" t="str">
        <f>IFERROR(__xludf.DUMMYFUNCTION("GOOGLETRANSLATE(A375, ""en"", ""hi"")"),"374")</f>
        <v>374</v>
      </c>
      <c r="G375" s="5" t="str">
        <f>IFERROR(__xludf.DUMMYFUNCTION("GOOGLETRANSLATE(B375, ""en"", ""hi"")"),"कबड्डी राष्ट्रीय चैम्पियनशिप प्रतिवर्ष किस भारतीय शहर में आयोजित की जाती है?")</f>
        <v>कबड्डी राष्ट्रीय चैम्पियनशिप प्रतिवर्ष किस भारतीय शहर में आयोजित की जाती है?</v>
      </c>
      <c r="H375" s="5" t="str">
        <f>IFERROR(__xludf.DUMMYFUNCTION("GOOGLETRANSLATE(C375, ""en"", ""hi"")"),"A) दिल्ली, B) मुंबई, C) बेंगलुरु, D) पटना")</f>
        <v>A) दिल्ली, B) मुंबई, C) बेंगलुरु, D) पटना</v>
      </c>
      <c r="I375" s="5" t="str">
        <f>IFERROR(__xludf.DUMMYFUNCTION("GOOGLETRANSLATE(D375, ""en"", ""hi"")"),"D) पटना")</f>
        <v>D) पटना</v>
      </c>
    </row>
    <row r="376" ht="22.5" customHeight="1">
      <c r="A376" s="3">
        <v>375.0</v>
      </c>
      <c r="B376" s="4" t="s">
        <v>668</v>
      </c>
      <c r="C376" s="4" t="s">
        <v>669</v>
      </c>
      <c r="D376" s="4" t="s">
        <v>169</v>
      </c>
      <c r="F376" s="5" t="str">
        <f>IFERROR(__xludf.DUMMYFUNCTION("GOOGLETRANSLATE(A376, ""en"", ""hi"")"),"375")</f>
        <v>375</v>
      </c>
      <c r="G376" s="5" t="str">
        <f>IFERROR(__xludf.DUMMYFUNCTION("GOOGLETRANSLATE(B376, ""en"", ""hi"")"),"कौन सा कबड्डी टूर्नामेंट अंतरराष्ट्रीय टीमों की विशेषता और विश्व स्तर पर खेल को बढ़ावा देने के लिए जाना जाता है?")</f>
        <v>कौन सा कबड्डी टूर्नामेंट अंतरराष्ट्रीय टीमों की विशेषता और विश्व स्तर पर खेल को बढ़ावा देने के लिए जाना जाता है?</v>
      </c>
      <c r="H376" s="5" t="str">
        <f>IFERROR(__xludf.DUMMYFUNCTION("GOOGLETRANSLATE(C376, ""en"", ""hi"")"),"A) कबड्डी विश्व कप, B) प्रो कबड्डी लीग, C) कबड्डी मास्टर्स, D) एशियाई कबड्डी चैम्पियनशिप")</f>
        <v>A) कबड्डी विश्व कप, B) प्रो कबड्डी लीग, C) कबड्डी मास्टर्स, D) एशियाई कबड्डी चैम्पियनशिप</v>
      </c>
      <c r="I376" s="5" t="str">
        <f>IFERROR(__xludf.DUMMYFUNCTION("GOOGLETRANSLATE(D376, ""en"", ""hi"")"),"C) कबड्डी मास्टर्स")</f>
        <v>C) कबड्डी मास्टर्स</v>
      </c>
    </row>
    <row r="377" ht="22.5" customHeight="1">
      <c r="A377" s="3">
        <v>376.0</v>
      </c>
      <c r="B377" s="4" t="s">
        <v>670</v>
      </c>
      <c r="C377" s="4" t="s">
        <v>671</v>
      </c>
      <c r="D377" s="4" t="s">
        <v>672</v>
      </c>
      <c r="F377" s="5" t="str">
        <f>IFERROR(__xludf.DUMMYFUNCTION("GOOGLETRANSLATE(A377, ""en"", ""hi"")"),"376")</f>
        <v>376</v>
      </c>
      <c r="G377" s="5" t="str">
        <f>IFERROR(__xludf.DUMMYFUNCTION("GOOGLETRANSLATE(B377, ""en"", ""hi"")"),"कबड्डी में रक्षात्मक टीम का प्राथमिक उद्देश्य क्या है?")</f>
        <v>कबड्डी में रक्षात्मक टीम का प्राथमिक उद्देश्य क्या है?</v>
      </c>
      <c r="H377" s="5" t="str">
        <f>IFERROR(__xludf.DUMMYFUNCTION("GOOGLETRANSLATE(C377, ""en"", ""hi"")"),"A) रेडर को टैग करना, B) टैग होने से बचना, C) अंक प्राप्त करना, D) रेडर को रोकना")</f>
        <v>A) रेडर को टैग करना, B) टैग होने से बचना, C) अंक प्राप्त करना, D) रेडर को रोकना</v>
      </c>
      <c r="I377" s="5" t="str">
        <f>IFERROR(__xludf.DUMMYFUNCTION("GOOGLETRANSLATE(D377, ""en"", ""hi"")"),"A) हमलावर को टैग करना")</f>
        <v>A) हमलावर को टैग करना</v>
      </c>
    </row>
    <row r="378" ht="22.5" customHeight="1">
      <c r="A378" s="3">
        <v>377.0</v>
      </c>
      <c r="B378" s="4" t="s">
        <v>673</v>
      </c>
      <c r="C378" s="4" t="s">
        <v>674</v>
      </c>
      <c r="D378" s="4" t="s">
        <v>675</v>
      </c>
      <c r="F378" s="5" t="str">
        <f>IFERROR(__xludf.DUMMYFUNCTION("GOOGLETRANSLATE(A378, ""en"", ""hi"")"),"377")</f>
        <v>377</v>
      </c>
      <c r="G378" s="5" t="str">
        <f>IFERROR(__xludf.DUMMYFUNCTION("GOOGLETRANSLATE(B378, ""en"", ""hi"")"),"किस भारतीय कबड्डी खिलाड़ी को खेल में उनके योगदान के लिए प्रतिष्ठित अर्जुन पुरस्कार से सम्मानित किया गया?")</f>
        <v>किस भारतीय कबड्डी खिलाड़ी को खेल में उनके योगदान के लिए प्रतिष्ठित अर्जुन पुरस्कार से सम्मानित किया गया?</v>
      </c>
      <c r="H378" s="5" t="str">
        <f>IFERROR(__xludf.DUMMYFUNCTION("GOOGLETRANSLATE(C378, ""en"", ""hi"")"),"ए) अनुप कुमार, बी) अजय ठाकुर, सी) मंजीत छिल्लर, डी) राकेश कुमार")</f>
        <v>ए) अनुप कुमार, बी) अजय ठाकुर, सी) मंजीत छिल्लर, डी) राकेश कुमार</v>
      </c>
      <c r="I378" s="5" t="str">
        <f>IFERROR(__xludf.DUMMYFUNCTION("GOOGLETRANSLATE(D378, ""en"", ""hi"")"),"D) राकेश कुमार")</f>
        <v>D) राकेश कुमार</v>
      </c>
    </row>
    <row r="379" ht="22.5" customHeight="1">
      <c r="A379" s="3">
        <v>378.0</v>
      </c>
      <c r="B379" s="4" t="s">
        <v>676</v>
      </c>
      <c r="C379" s="4" t="s">
        <v>36</v>
      </c>
      <c r="D379" s="4" t="s">
        <v>37</v>
      </c>
      <c r="F379" s="5" t="str">
        <f>IFERROR(__xludf.DUMMYFUNCTION("GOOGLETRANSLATE(A379, ""en"", ""hi"")"),"378")</f>
        <v>378</v>
      </c>
      <c r="G379" s="5" t="str">
        <f>IFERROR(__xludf.DUMMYFUNCTION("GOOGLETRANSLATE(B379, ""en"", ""hi"")"),"2019 में कबड्डी विश्व कप की मेजबानी किस देश ने की?")</f>
        <v>2019 में कबड्डी विश्व कप की मेजबानी किस देश ने की?</v>
      </c>
      <c r="H379" s="5" t="str">
        <f>IFERROR(__xludf.DUMMYFUNCTION("GOOGLETRANSLATE(C379, ""en"", ""hi"")"),"A) भारत, B) पाकिस्तान, C) बांग्लादेश, D) नेपाल")</f>
        <v>A) भारत, B) पाकिस्तान, C) बांग्लादेश, D) नेपाल</v>
      </c>
      <c r="I379" s="5" t="str">
        <f>IFERROR(__xludf.DUMMYFUNCTION("GOOGLETRANSLATE(D379, ""en"", ""hi"")"),"ए) भारत")</f>
        <v>ए) भारत</v>
      </c>
    </row>
    <row r="380" ht="22.5" customHeight="1">
      <c r="A380" s="3">
        <v>379.0</v>
      </c>
      <c r="B380" s="4" t="s">
        <v>677</v>
      </c>
      <c r="C380" s="4" t="s">
        <v>678</v>
      </c>
      <c r="D380" s="4" t="s">
        <v>145</v>
      </c>
      <c r="F380" s="5" t="str">
        <f>IFERROR(__xludf.DUMMYFUNCTION("GOOGLETRANSLATE(A380, ""en"", ""hi"")"),"379")</f>
        <v>379</v>
      </c>
      <c r="G380" s="5" t="str">
        <f>IFERROR(__xludf.DUMMYFUNCTION("GOOGLETRANSLATE(B380, ""en"", ""hi"")"),"प्रो कबड्डी लीग का पहला सीज़न किस कबड्डी टीम ने जीता?")</f>
        <v>प्रो कबड्डी लीग का पहला सीज़न किस कबड्डी टीम ने जीता?</v>
      </c>
      <c r="H380" s="5" t="str">
        <f>IFERROR(__xludf.DUMMYFUNCTION("GOOGLETRANSLATE(C380, ""en"", ""hi"")"),"ए) जयपुर पिंक पैंथर्स, बी) यू मुंबा, सी) बेंगलुरु बुल्स, डी) दबंग दिल्ली")</f>
        <v>ए) जयपुर पिंक पैंथर्स, बी) यू मुंबा, सी) बेंगलुरु बुल्स, डी) दबंग दिल्ली</v>
      </c>
      <c r="I380" s="5" t="str">
        <f>IFERROR(__xludf.DUMMYFUNCTION("GOOGLETRANSLATE(D380, ""en"", ""hi"")"),"A) जयपुर पिंक पैंथर्स")</f>
        <v>A) जयपुर पिंक पैंथर्स</v>
      </c>
    </row>
    <row r="381" ht="22.5" customHeight="1">
      <c r="A381" s="3">
        <v>380.0</v>
      </c>
      <c r="B381" s="4" t="s">
        <v>679</v>
      </c>
      <c r="C381" s="4" t="s">
        <v>680</v>
      </c>
      <c r="D381" s="4" t="s">
        <v>681</v>
      </c>
      <c r="F381" s="5" t="str">
        <f>IFERROR(__xludf.DUMMYFUNCTION("GOOGLETRANSLATE(A381, ""en"", ""hi"")"),"380")</f>
        <v>380</v>
      </c>
      <c r="G381" s="5" t="str">
        <f>IFERROR(__xludf.DUMMYFUNCTION("GOOGLETRANSLATE(B381, ""en"", ""hi"")"),"कबड्डी की उस रणनीति का क्या नाम है जिसमें रेडर अधिक से अधिक डिफेंडरों को छूकर अंक अर्जित करने का प्रयास करता है?")</f>
        <v>कबड्डी की उस रणनीति का क्या नाम है जिसमें रेडर अधिक से अधिक डिफेंडरों को छूकर अंक अर्जित करने का प्रयास करता है?</v>
      </c>
      <c r="H381" s="5" t="str">
        <f>IFERROR(__xludf.DUMMYFUNCTION("GOOGLETRANSLATE(C381, ""en"", ""hi"")"),"ए) सुपर रेड, बी) बोनस रेड, सी) डू-ऑर-डाई रेड, डी) टैकल")</f>
        <v>ए) सुपर रेड, बी) बोनस रेड, सी) डू-ऑर-डाई रेड, डी) टैकल</v>
      </c>
      <c r="I381" s="5" t="str">
        <f>IFERROR(__xludf.DUMMYFUNCTION("GOOGLETRANSLATE(D381, ""en"", ""hi"")"),"ए) सुपर रेड")</f>
        <v>ए) सुपर रेड</v>
      </c>
    </row>
    <row r="382" ht="22.5" customHeight="1">
      <c r="A382" s="3">
        <v>381.0</v>
      </c>
      <c r="B382" s="4" t="s">
        <v>682</v>
      </c>
      <c r="C382" s="4" t="s">
        <v>683</v>
      </c>
      <c r="D382" s="4" t="s">
        <v>684</v>
      </c>
      <c r="F382" s="5" t="str">
        <f>IFERROR(__xludf.DUMMYFUNCTION("GOOGLETRANSLATE(A382, ""en"", ""hi"")"),"381")</f>
        <v>381</v>
      </c>
      <c r="G382" s="5" t="str">
        <f>IFERROR(__xludf.DUMMYFUNCTION("GOOGLETRANSLATE(B382, ""en"", ""hi"")"),"कौन सा राज्य अपनी अनूठी कबड्डी परंपरा 'कबड्डी सीमा' के लिए जाना जाता है?")</f>
        <v>कौन सा राज्य अपनी अनूठी कबड्डी परंपरा 'कबड्डी सीमा' के लिए जाना जाता है?</v>
      </c>
      <c r="H382" s="5" t="str">
        <f>IFERROR(__xludf.DUMMYFUNCTION("GOOGLETRANSLATE(C382, ""en"", ""hi"")"),"A) असम, B) त्रिपुरा, C) पश्चिम बंगाल, D) ओडिशा")</f>
        <v>A) असम, B) त्रिपुरा, C) पश्चिम बंगाल, D) ओडिशा</v>
      </c>
      <c r="I382" s="5" t="str">
        <f>IFERROR(__xludf.DUMMYFUNCTION("GOOGLETRANSLATE(D382, ""en"", ""hi"")"),"C) पश्चिम बंगाल")</f>
        <v>C) पश्चिम बंगाल</v>
      </c>
    </row>
    <row r="383" ht="22.5" customHeight="1">
      <c r="A383" s="3">
        <v>382.0</v>
      </c>
      <c r="B383" s="4" t="s">
        <v>685</v>
      </c>
      <c r="C383" s="4" t="s">
        <v>686</v>
      </c>
      <c r="D383" s="4" t="s">
        <v>397</v>
      </c>
      <c r="F383" s="5" t="str">
        <f>IFERROR(__xludf.DUMMYFUNCTION("GOOGLETRANSLATE(A383, ""en"", ""hi"")"),"382")</f>
        <v>382</v>
      </c>
      <c r="G383" s="5" t="str">
        <f>IFERROR(__xludf.DUMMYFUNCTION("GOOGLETRANSLATE(B383, ""en"", ""hi"")"),"कौन सा खिलाड़ी रेडिंग और डिफेंस दोनों में अपने असाधारण कौशल के लिए जाना जाता है, जिससे वह कबड्डी के मैदान पर दोहरा खतरा बन जाता है?")</f>
        <v>कौन सा खिलाड़ी रेडिंग और डिफेंस दोनों में अपने असाधारण कौशल के लिए जाना जाता है, जिससे वह कबड्डी के मैदान पर दोहरा खतरा बन जाता है?</v>
      </c>
      <c r="H383" s="5" t="str">
        <f>IFERROR(__xludf.DUMMYFUNCTION("GOOGLETRANSLATE(C383, ""en"", ""hi"")"),"ए) अजय ठाकुर, बी) रिशांक देवाडिगा, सी) प्रदीप नरवाल, डी) मंजीत छिल्लर")</f>
        <v>ए) अजय ठाकुर, बी) रिशांक देवाडिगा, सी) प्रदीप नरवाल, डी) मंजीत छिल्लर</v>
      </c>
      <c r="I383" s="5" t="str">
        <f>IFERROR(__xludf.DUMMYFUNCTION("GOOGLETRANSLATE(D383, ""en"", ""hi"")"),"D) मंजीत छिल्लर")</f>
        <v>D) मंजीत छिल्लर</v>
      </c>
    </row>
    <row r="384" ht="22.5" customHeight="1">
      <c r="A384" s="3">
        <v>383.0</v>
      </c>
      <c r="B384" s="4" t="s">
        <v>687</v>
      </c>
      <c r="C384" s="4" t="s">
        <v>688</v>
      </c>
      <c r="D384" s="4" t="s">
        <v>689</v>
      </c>
      <c r="F384" s="5" t="str">
        <f>IFERROR(__xludf.DUMMYFUNCTION("GOOGLETRANSLATE(A384, ""en"", ""hi"")"),"383")</f>
        <v>383</v>
      </c>
      <c r="G384" s="5" t="str">
        <f>IFERROR(__xludf.DUMMYFUNCTION("GOOGLETRANSLATE(B384, ""en"", ""hi"")"),"कबड्डी में उस कौशल का नाम क्या है जिसमें डिफेंडर अपने शरीर का उपयोग करके रेडर का रास्ता रोकता है?")</f>
        <v>कबड्डी में उस कौशल का नाम क्या है जिसमें डिफेंडर अपने शरीर का उपयोग करके रेडर का रास्ता रोकता है?</v>
      </c>
      <c r="H384" s="5" t="str">
        <f>IFERROR(__xludf.DUMMYFUNCTION("GOOGLETRANSLATE(C384, ""en"", ""hi"")"),"A) ब्लॉक, B) टैकल, C) होल्ड, D) पिन")</f>
        <v>A) ब्लॉक, B) टैकल, C) होल्ड, D) पिन</v>
      </c>
      <c r="I384" s="5" t="str">
        <f>IFERROR(__xludf.DUMMYFUNCTION("GOOGLETRANSLATE(D384, ""en"", ""hi"")"),"बी) टैकल")</f>
        <v>बी) टैकल</v>
      </c>
    </row>
    <row r="385" ht="22.5" customHeight="1">
      <c r="A385" s="3">
        <v>384.0</v>
      </c>
      <c r="B385" s="4" t="s">
        <v>690</v>
      </c>
      <c r="C385" s="4" t="s">
        <v>691</v>
      </c>
      <c r="D385" s="4" t="s">
        <v>692</v>
      </c>
      <c r="F385" s="5" t="str">
        <f>IFERROR(__xludf.DUMMYFUNCTION("GOOGLETRANSLATE(A385, ""en"", ""hi"")"),"384")</f>
        <v>384</v>
      </c>
      <c r="G385" s="5" t="str">
        <f>IFERROR(__xludf.DUMMYFUNCTION("GOOGLETRANSLATE(B385, ""en"", ""hi"")"),"कबड्डी में रेड मारने और बिना टैकल किए हाफ में वापस लौटने की क्रिया को क्या कहते हैं?")</f>
        <v>कबड्डी में रेड मारने और बिना टैकल किए हाफ में वापस लौटने की क्रिया को क्या कहते हैं?</v>
      </c>
      <c r="H385" s="5" t="str">
        <f>IFERROR(__xludf.DUMMYFUNCTION("GOOGLETRANSLATE(C385, ""en"", ""hi"")"),"ए) सफल छापा, बी) खाली छापा, सी) करो या मरो छापा, डी) बोनस छापा")</f>
        <v>ए) सफल छापा, बी) खाली छापा, सी) करो या मरो छापा, डी) बोनस छापा</v>
      </c>
      <c r="I385" s="5" t="str">
        <f>IFERROR(__xludf.DUMMYFUNCTION("GOOGLETRANSLATE(D385, ""en"", ""hi"")"),"ए) सफल छापेमारी")</f>
        <v>ए) सफल छापेमारी</v>
      </c>
    </row>
    <row r="386" ht="22.5" customHeight="1">
      <c r="A386" s="3">
        <v>385.0</v>
      </c>
      <c r="B386" s="4" t="s">
        <v>693</v>
      </c>
      <c r="C386" s="4" t="s">
        <v>694</v>
      </c>
      <c r="D386" s="4" t="s">
        <v>95</v>
      </c>
      <c r="F386" s="5" t="str">
        <f>IFERROR(__xludf.DUMMYFUNCTION("GOOGLETRANSLATE(A386, ""en"", ""hi"")"),"385")</f>
        <v>385</v>
      </c>
      <c r="G386" s="5" t="str">
        <f>IFERROR(__xludf.DUMMYFUNCTION("GOOGLETRANSLATE(B386, ""en"", ""hi"")"),"किस भारतीय कबड्डी खिलाड़ी के नाम एक कबड्डी विश्व कप में सर्वाधिक अंक बनाने का रिकॉर्ड है?")</f>
        <v>किस भारतीय कबड्डी खिलाड़ी के नाम एक कबड्डी विश्व कप में सर्वाधिक अंक बनाने का रिकॉर्ड है?</v>
      </c>
      <c r="H386" s="5" t="str">
        <f>IFERROR(__xludf.DUMMYFUNCTION("GOOGLETRANSLATE(C386, ""en"", ""hi"")"),"ए) प्रदीप नरवाल, बी) राहुल चौधरी, सी) अनुप कुमार, डी) अजय ठाकुर")</f>
        <v>ए) प्रदीप नरवाल, बी) राहुल चौधरी, सी) अनुप कुमार, डी) अजय ठाकुर</v>
      </c>
      <c r="I386" s="5" t="str">
        <f>IFERROR(__xludf.DUMMYFUNCTION("GOOGLETRANSLATE(D386, ""en"", ""hi"")"),"A) प्रदीप नरवाल")</f>
        <v>A) प्रदीप नरवाल</v>
      </c>
    </row>
    <row r="387" ht="22.5" customHeight="1">
      <c r="A387" s="3">
        <v>386.0</v>
      </c>
      <c r="B387" s="4" t="s">
        <v>695</v>
      </c>
      <c r="C387" s="4" t="s">
        <v>696</v>
      </c>
      <c r="D387" s="4" t="s">
        <v>697</v>
      </c>
      <c r="F387" s="5" t="str">
        <f>IFERROR(__xludf.DUMMYFUNCTION("GOOGLETRANSLATE(A387, ""en"", ""hi"")"),"386")</f>
        <v>386</v>
      </c>
      <c r="G387" s="5" t="str">
        <f>IFERROR(__xludf.DUMMYFUNCTION("GOOGLETRANSLATE(B387, ""en"", ""hi"")"),"कबड्डी टीम में 'कप्तान' का प्राथमिक कार्य क्या है?")</f>
        <v>कबड्डी टीम में 'कप्तान' का प्राथमिक कार्य क्या है?</v>
      </c>
      <c r="H387" s="5" t="str">
        <f>IFERROR(__xludf.DUMMYFUNCTION("GOOGLETRANSLATE(C387, ""en"", ""hi"")"),"A) टीम की रणनीति का नेतृत्व करना, B) अधिकतम अंक प्राप्त करना, C) विरोधियों से निपटना, D) टीम को प्रशिक्षित करना")</f>
        <v>A) टीम की रणनीति का नेतृत्व करना, B) अधिकतम अंक प्राप्त करना, C) विरोधियों से निपटना, D) टीम को प्रशिक्षित करना</v>
      </c>
      <c r="I387" s="5" t="str">
        <f>IFERROR(__xludf.DUMMYFUNCTION("GOOGLETRANSLATE(D387, ""en"", ""hi"")"),"A) टीम की रणनीति का नेतृत्व करना")</f>
        <v>A) टीम की रणनीति का नेतृत्व करना</v>
      </c>
    </row>
    <row r="388" ht="22.5" customHeight="1">
      <c r="A388" s="3">
        <v>387.0</v>
      </c>
      <c r="B388" s="4" t="s">
        <v>698</v>
      </c>
      <c r="C388" s="4" t="s">
        <v>611</v>
      </c>
      <c r="D388" s="4" t="s">
        <v>612</v>
      </c>
      <c r="F388" s="5" t="str">
        <f>IFERROR(__xludf.DUMMYFUNCTION("GOOGLETRANSLATE(A388, ""en"", ""hi"")"),"387")</f>
        <v>387</v>
      </c>
      <c r="G388" s="5" t="str">
        <f>IFERROR(__xludf.DUMMYFUNCTION("GOOGLETRANSLATE(B388, ""en"", ""hi"")"),"अंतर्राष्ट्रीय कबड्डी महासंघ की स्थापना किस वर्ष हुई?")</f>
        <v>अंतर्राष्ट्रीय कबड्डी महासंघ की स्थापना किस वर्ष हुई?</v>
      </c>
      <c r="H388" s="5" t="str">
        <f>IFERROR(__xludf.DUMMYFUNCTION("GOOGLETRANSLATE(C388, ""en"", ""hi"")"),"ए) 2004, बी) 2005, सी) 2006, डी) 2007")</f>
        <v>ए) 2004, बी) 2005, सी) 2006, डी) 2007</v>
      </c>
      <c r="I388" s="5" t="str">
        <f>IFERROR(__xludf.DUMMYFUNCTION("GOOGLETRANSLATE(D388, ""en"", ""hi"")"),"बी) 2005")</f>
        <v>बी) 2005</v>
      </c>
    </row>
    <row r="389" ht="22.5" customHeight="1">
      <c r="A389" s="3">
        <v>388.0</v>
      </c>
      <c r="B389" s="4" t="s">
        <v>699</v>
      </c>
      <c r="C389" s="4" t="s">
        <v>700</v>
      </c>
      <c r="D389" s="4" t="s">
        <v>701</v>
      </c>
      <c r="F389" s="5" t="str">
        <f>IFERROR(__xludf.DUMMYFUNCTION("GOOGLETRANSLATE(A389, ""en"", ""hi"")"),"388")</f>
        <v>388</v>
      </c>
      <c r="G389" s="5" t="str">
        <f>IFERROR(__xludf.DUMMYFUNCTION("GOOGLETRANSLATE(B389, ""en"", ""hi"")"),"कौन सा भारतीय शहर अपने कबड्डी प्रशिक्षण केंद्रों और अकादमियों के लिए जाना जाता है?")</f>
        <v>कौन सा भारतीय शहर अपने कबड्डी प्रशिक्षण केंद्रों और अकादमियों के लिए जाना जाता है?</v>
      </c>
      <c r="H389" s="5" t="str">
        <f>IFERROR(__xludf.DUMMYFUNCTION("GOOGLETRANSLATE(C389, ""en"", ""hi"")"),"A) दिल्ली, B) मुंबई, C) पटना, D) बेंगलुरु")</f>
        <v>A) दिल्ली, B) मुंबई, C) पटना, D) बेंगलुरु</v>
      </c>
      <c r="I389" s="5" t="str">
        <f>IFERROR(__xludf.DUMMYFUNCTION("GOOGLETRANSLATE(D389, ""en"", ""hi"")"),"C) पटना")</f>
        <v>C) पटना</v>
      </c>
    </row>
    <row r="390" ht="22.5" customHeight="1">
      <c r="A390" s="3">
        <v>389.0</v>
      </c>
      <c r="B390" s="4" t="s">
        <v>702</v>
      </c>
      <c r="C390" s="4" t="s">
        <v>703</v>
      </c>
      <c r="D390" s="4" t="s">
        <v>644</v>
      </c>
      <c r="F390" s="5" t="str">
        <f>IFERROR(__xludf.DUMMYFUNCTION("GOOGLETRANSLATE(A390, ""en"", ""hi"")"),"389")</f>
        <v>389</v>
      </c>
      <c r="G390" s="5" t="str">
        <f>IFERROR(__xludf.DUMMYFUNCTION("GOOGLETRANSLATE(B390, ""en"", ""hi"")"),"कबड्डी मैच के लिए प्रयुक्त शब्द क्या है, जहां मैच के अंत में सबसे अधिक अंक वाली टीम जीत जाती है?")</f>
        <v>कबड्डी मैच के लिए प्रयुक्त शब्द क्या है, जहां मैच के अंत में सबसे अधिक अंक वाली टीम जीत जाती है?</v>
      </c>
      <c r="H390" s="5" t="str">
        <f>IFERROR(__xludf.DUMMYFUNCTION("GOOGLETRANSLATE(C390, ""en"", ""hi"")"),"A) नॉकआउट, B) राउंड-रॉबिन, C) लीग, D) उपरोक्त सभी")</f>
        <v>A) नॉकआउट, B) राउंड-रॉबिन, C) लीग, D) उपरोक्त सभी</v>
      </c>
      <c r="I390" s="5" t="str">
        <f>IFERROR(__xludf.DUMMYFUNCTION("GOOGLETRANSLATE(D390, ""en"", ""hi"")"),"D। उपरोक्त सभी")</f>
        <v>D। उपरोक्त सभी</v>
      </c>
    </row>
    <row r="391" ht="22.5" customHeight="1">
      <c r="A391" s="3">
        <v>390.0</v>
      </c>
      <c r="B391" s="4" t="s">
        <v>704</v>
      </c>
      <c r="C391" s="4" t="s">
        <v>36</v>
      </c>
      <c r="D391" s="4" t="s">
        <v>37</v>
      </c>
      <c r="F391" s="5" t="str">
        <f>IFERROR(__xludf.DUMMYFUNCTION("GOOGLETRANSLATE(A391, ""en"", ""hi"")"),"390")</f>
        <v>390</v>
      </c>
      <c r="G391" s="5" t="str">
        <f>IFERROR(__xludf.DUMMYFUNCTION("GOOGLETRANSLATE(B391, ""en"", ""hi"")"),"हाल ही में कबड्डी विश्व कप किस टीम ने जीता?")</f>
        <v>हाल ही में कबड्डी विश्व कप किस टीम ने जीता?</v>
      </c>
      <c r="H391" s="5" t="str">
        <f>IFERROR(__xludf.DUMMYFUNCTION("GOOGLETRANSLATE(C391, ""en"", ""hi"")"),"A) भारत, B) पाकिस्तान, C) बांग्लादेश, D) नेपाल")</f>
        <v>A) भारत, B) पाकिस्तान, C) बांग्लादेश, D) नेपाल</v>
      </c>
      <c r="I391" s="5" t="str">
        <f>IFERROR(__xludf.DUMMYFUNCTION("GOOGLETRANSLATE(D391, ""en"", ""hi"")"),"ए) भारत")</f>
        <v>ए) भारत</v>
      </c>
    </row>
    <row r="392" ht="22.5" customHeight="1">
      <c r="A392" s="3">
        <v>391.0</v>
      </c>
      <c r="B392" s="4" t="s">
        <v>705</v>
      </c>
      <c r="C392" s="4" t="s">
        <v>706</v>
      </c>
      <c r="D392" s="4" t="s">
        <v>707</v>
      </c>
      <c r="F392" s="5" t="str">
        <f>IFERROR(__xludf.DUMMYFUNCTION("GOOGLETRANSLATE(A392, ""en"", ""hi"")"),"391")</f>
        <v>391</v>
      </c>
      <c r="G392" s="5" t="str">
        <f>IFERROR(__xludf.DUMMYFUNCTION("GOOGLETRANSLATE(B392, ""en"", ""hi"")"),"कौन सा भारतीय खिलाड़ी अपनी शक्तिशाली रेडिंग के लिए प्रसिद्ध है और प्रो कबड्डी लीग में एक प्रमुख खिलाड़ी रहा है?")</f>
        <v>कौन सा भारतीय खिलाड़ी अपनी शक्तिशाली रेडिंग के लिए प्रसिद्ध है और प्रो कबड्डी लीग में एक प्रमुख खिलाड़ी रहा है?</v>
      </c>
      <c r="H392" s="5" t="str">
        <f>IFERROR(__xludf.DUMMYFUNCTION("GOOGLETRANSLATE(C392, ""en"", ""hi"")"),"ए) राहुल चौधरी, बी) सिद्धार्थ देसाई, सी) प्रदीप नरवाल, डी) अजय ठाकुर")</f>
        <v>ए) राहुल चौधरी, बी) सिद्धार्थ देसाई, सी) प्रदीप नरवाल, डी) अजय ठाकुर</v>
      </c>
      <c r="I392" s="5" t="str">
        <f>IFERROR(__xludf.DUMMYFUNCTION("GOOGLETRANSLATE(D392, ""en"", ""hi"")"),"C) प्रदीप नरवाल")</f>
        <v>C) प्रदीप नरवाल</v>
      </c>
    </row>
    <row r="393" ht="22.5" customHeight="1">
      <c r="A393" s="3">
        <v>392.0</v>
      </c>
      <c r="B393" s="4" t="s">
        <v>708</v>
      </c>
      <c r="C393" s="4" t="s">
        <v>709</v>
      </c>
      <c r="D393" s="4" t="s">
        <v>549</v>
      </c>
      <c r="F393" s="5" t="str">
        <f>IFERROR(__xludf.DUMMYFUNCTION("GOOGLETRANSLATE(A393, ""en"", ""hi"")"),"392")</f>
        <v>392</v>
      </c>
      <c r="G393" s="5" t="str">
        <f>IFERROR(__xludf.DUMMYFUNCTION("GOOGLETRANSLATE(B393, ""en"", ""hi"")"),"प्रो कबड्डी लीग की फ्रेंचाइजी यू मुम्बा का घर कौन सा शहर है?")</f>
        <v>प्रो कबड्डी लीग की फ्रेंचाइजी यू मुम्बा का घर कौन सा शहर है?</v>
      </c>
      <c r="H393" s="5" t="str">
        <f>IFERROR(__xludf.DUMMYFUNCTION("GOOGLETRANSLATE(C393, ""en"", ""hi"")"),"ए) मुंबई, बी) दिल्ली, सी) बेंगलुरु, डी) चेन्नई")</f>
        <v>ए) मुंबई, बी) दिल्ली, सी) बेंगलुरु, डी) चेन्नई</v>
      </c>
      <c r="I393" s="5" t="str">
        <f>IFERROR(__xludf.DUMMYFUNCTION("GOOGLETRANSLATE(D393, ""en"", ""hi"")"),"ए) मुंबई")</f>
        <v>ए) मुंबई</v>
      </c>
    </row>
    <row r="394" ht="22.5" customHeight="1">
      <c r="A394" s="3">
        <v>393.0</v>
      </c>
      <c r="B394" s="4" t="s">
        <v>710</v>
      </c>
      <c r="C394" s="4" t="s">
        <v>711</v>
      </c>
      <c r="D394" s="4" t="s">
        <v>712</v>
      </c>
      <c r="F394" s="5" t="str">
        <f>IFERROR(__xludf.DUMMYFUNCTION("GOOGLETRANSLATE(A394, ""en"", ""hi"")"),"393")</f>
        <v>393</v>
      </c>
      <c r="G394" s="5" t="str">
        <f>IFERROR(__xludf.DUMMYFUNCTION("GOOGLETRANSLATE(B394, ""en"", ""hi"")"),"कबड्डी में उस रक्षात्मक तकनीक को क्या कहते हैं जिसमें खिलाड़ी हमलावर को रोकने के लिए अपने शरीर का उपयोग करता है?")</f>
        <v>कबड्डी में उस रक्षात्मक तकनीक को क्या कहते हैं जिसमें खिलाड़ी हमलावर को रोकने के लिए अपने शरीर का उपयोग करता है?</v>
      </c>
      <c r="H394" s="5" t="str">
        <f>IFERROR(__xludf.DUMMYFUNCTION("GOOGLETRANSLATE(C394, ""en"", ""hi"")"),"A) टैकल, B) ब्लॉक, C) होल्ड, D) पिन")</f>
        <v>A) टैकल, B) ब्लॉक, C) होल्ड, D) पिन</v>
      </c>
      <c r="I394" s="5" t="str">
        <f>IFERROR(__xludf.DUMMYFUNCTION("GOOGLETRANSLATE(D394, ""en"", ""hi"")"),"ए) टैकल")</f>
        <v>ए) टैकल</v>
      </c>
    </row>
    <row r="395" ht="22.5" customHeight="1">
      <c r="A395" s="3">
        <v>394.0</v>
      </c>
      <c r="B395" s="4" t="s">
        <v>713</v>
      </c>
      <c r="C395" s="4" t="s">
        <v>714</v>
      </c>
      <c r="D395" s="4" t="s">
        <v>546</v>
      </c>
      <c r="F395" s="5" t="str">
        <f>IFERROR(__xludf.DUMMYFUNCTION("GOOGLETRANSLATE(A395, ""en"", ""hi"")"),"394")</f>
        <v>394</v>
      </c>
      <c r="G395" s="5" t="str">
        <f>IFERROR(__xludf.DUMMYFUNCTION("GOOGLETRANSLATE(B395, ""en"", ""hi"")"),"कौन सा भारतीय कबड्डी खिलाड़ी अपनी नवीन रेडिंग तकनीकों के लिए जाना जाता है और प्रो कबड्डी लीग में एक प्रमुख ताकत रहा है?")</f>
        <v>कौन सा भारतीय कबड्डी खिलाड़ी अपनी नवीन रेडिंग तकनीकों के लिए जाना जाता है और प्रो कबड्डी लीग में एक प्रमुख ताकत रहा है?</v>
      </c>
      <c r="H395" s="5" t="str">
        <f>IFERROR(__xludf.DUMMYFUNCTION("GOOGLETRANSLATE(C395, ""en"", ""hi"")"),"ए) अजय ठाकुर, बी) राहुल चौधरी, सी) प्रदीप नरवाल, डी) रिशांक देवाडिगा")</f>
        <v>ए) अजय ठाकुर, बी) राहुल चौधरी, सी) प्रदीप नरवाल, डी) रिशांक देवाडिगा</v>
      </c>
      <c r="I395" s="5" t="str">
        <f>IFERROR(__xludf.DUMMYFUNCTION("GOOGLETRANSLATE(D395, ""en"", ""hi"")"),"बी) राहुल चौधरी")</f>
        <v>बी) राहुल चौधरी</v>
      </c>
    </row>
    <row r="396" ht="22.5" customHeight="1">
      <c r="A396" s="3">
        <v>395.0</v>
      </c>
      <c r="B396" s="4" t="s">
        <v>715</v>
      </c>
      <c r="C396" s="4" t="s">
        <v>716</v>
      </c>
      <c r="D396" s="4" t="s">
        <v>684</v>
      </c>
      <c r="F396" s="5" t="str">
        <f>IFERROR(__xludf.DUMMYFUNCTION("GOOGLETRANSLATE(A396, ""en"", ""hi"")"),"395")</f>
        <v>395</v>
      </c>
      <c r="G396" s="5" t="str">
        <f>IFERROR(__xludf.DUMMYFUNCTION("GOOGLETRANSLATE(B396, ""en"", ""hi"")"),"भारत का कौन सा राज्य वार्षिक कबड्डी टूर्नामेंट 'कबड्डी सीमा' की मेजबानी के लिए जाना जाता है?")</f>
        <v>भारत का कौन सा राज्य वार्षिक कबड्डी टूर्नामेंट 'कबड्डी सीमा' की मेजबानी के लिए जाना जाता है?</v>
      </c>
      <c r="H396" s="5" t="str">
        <f>IFERROR(__xludf.DUMMYFUNCTION("GOOGLETRANSLATE(C396, ""en"", ""hi"")"),"A) बिहार, B) ओडिशा, C) पश्चिम बंगाल, D) गुजरात")</f>
        <v>A) बिहार, B) ओडिशा, C) पश्चिम बंगाल, D) गुजरात</v>
      </c>
      <c r="I396" s="5" t="str">
        <f>IFERROR(__xludf.DUMMYFUNCTION("GOOGLETRANSLATE(D396, ""en"", ""hi"")"),"C) पश्चिम बंगाल")</f>
        <v>C) पश्चिम बंगाल</v>
      </c>
    </row>
    <row r="397" ht="22.5" customHeight="1">
      <c r="A397" s="3">
        <v>396.0</v>
      </c>
      <c r="B397" s="4" t="s">
        <v>717</v>
      </c>
      <c r="C397" s="4" t="s">
        <v>88</v>
      </c>
      <c r="D397" s="4" t="s">
        <v>89</v>
      </c>
      <c r="F397" s="5" t="str">
        <f>IFERROR(__xludf.DUMMYFUNCTION("GOOGLETRANSLATE(A397, ""en"", ""hi"")"),"396")</f>
        <v>396</v>
      </c>
      <c r="G397" s="5" t="str">
        <f>IFERROR(__xludf.DUMMYFUNCTION("GOOGLETRANSLATE(B397, ""en"", ""hi"")"),"प्रो कबड्डी लीग किस वर्ष शुरू हुई?")</f>
        <v>प्रो कबड्डी लीग किस वर्ष शुरू हुई?</v>
      </c>
      <c r="H397" s="5" t="str">
        <f>IFERROR(__xludf.DUMMYFUNCTION("GOOGLETRANSLATE(C397, ""en"", ""hi"")"),"ए) 2012, बी) 2013, सी) 2014, डी) 2015")</f>
        <v>ए) 2012, बी) 2013, सी) 2014, डी) 2015</v>
      </c>
      <c r="I397" s="5" t="str">
        <f>IFERROR(__xludf.DUMMYFUNCTION("GOOGLETRANSLATE(D397, ""en"", ""hi"")"),"सी) 2014")</f>
        <v>सी) 2014</v>
      </c>
    </row>
    <row r="398" ht="22.5" customHeight="1">
      <c r="A398" s="3">
        <v>397.0</v>
      </c>
      <c r="B398" s="4" t="s">
        <v>718</v>
      </c>
      <c r="C398" s="4" t="s">
        <v>719</v>
      </c>
      <c r="D398" s="4" t="s">
        <v>95</v>
      </c>
      <c r="F398" s="5" t="str">
        <f>IFERROR(__xludf.DUMMYFUNCTION("GOOGLETRANSLATE(A398, ""en"", ""hi"")"),"397")</f>
        <v>397</v>
      </c>
      <c r="G398" s="5" t="str">
        <f>IFERROR(__xludf.DUMMYFUNCTION("GOOGLETRANSLATE(B398, ""en"", ""hi"")"),"किस भारतीय कबड्डी खिलाड़ी ने प्रो कबड्डी लीग में कई बार सर्वश्रेष्ठ रेडर का पुरस्कार जीता है?")</f>
        <v>किस भारतीय कबड्डी खिलाड़ी ने प्रो कबड्डी लीग में कई बार सर्वश्रेष्ठ रेडर का पुरस्कार जीता है?</v>
      </c>
      <c r="H398" s="5" t="str">
        <f>IFERROR(__xludf.DUMMYFUNCTION("GOOGLETRANSLATE(C398, ""en"", ""hi"")"),"ए) प्रदीप नरवाल, बी) सिद्धार्थ देसाई, सी) राहुल चौधरी, डी) अजय ठाकुर")</f>
        <v>ए) प्रदीप नरवाल, बी) सिद्धार्थ देसाई, सी) राहुल चौधरी, डी) अजय ठाकुर</v>
      </c>
      <c r="I398" s="5" t="str">
        <f>IFERROR(__xludf.DUMMYFUNCTION("GOOGLETRANSLATE(D398, ""en"", ""hi"")"),"A) प्रदीप नरवाल")</f>
        <v>A) प्रदीप नरवाल</v>
      </c>
    </row>
    <row r="399" ht="22.5" customHeight="1">
      <c r="A399" s="3">
        <v>398.0</v>
      </c>
      <c r="B399" s="4" t="s">
        <v>720</v>
      </c>
      <c r="C399" s="4" t="s">
        <v>627</v>
      </c>
      <c r="D399" s="4" t="s">
        <v>628</v>
      </c>
      <c r="F399" s="5" t="str">
        <f>IFERROR(__xludf.DUMMYFUNCTION("GOOGLETRANSLATE(A399, ""en"", ""hi"")"),"398")</f>
        <v>398</v>
      </c>
      <c r="G399" s="5" t="str">
        <f>IFERROR(__xludf.DUMMYFUNCTION("GOOGLETRANSLATE(B399, ""en"", ""hi"")"),"प्रो कबड्डी लीग में कबड्डी मैच की मानक अवधि क्या है?")</f>
        <v>प्रो कबड्डी लीग में कबड्डी मैच की मानक अवधि क्या है?</v>
      </c>
      <c r="H399" s="5" t="str">
        <f>IFERROR(__xludf.DUMMYFUNCTION("GOOGLETRANSLATE(C399, ""en"", ""hi"")"),"A) 30 मिनट, B) 40 मिनट, C) 50 मिनट, D) 60 मिनट")</f>
        <v>A) 30 मिनट, B) 40 मिनट, C) 50 मिनट, D) 60 मिनट</v>
      </c>
      <c r="I399" s="5" t="str">
        <f>IFERROR(__xludf.DUMMYFUNCTION("GOOGLETRANSLATE(D399, ""en"", ""hi"")"),"बी) 40 मिनट")</f>
        <v>बी) 40 मिनट</v>
      </c>
    </row>
    <row r="400" ht="22.5" customHeight="1">
      <c r="A400" s="3">
        <v>399.0</v>
      </c>
      <c r="B400" s="4" t="s">
        <v>721</v>
      </c>
      <c r="C400" s="4" t="s">
        <v>722</v>
      </c>
      <c r="D400" s="4" t="s">
        <v>113</v>
      </c>
      <c r="F400" s="5" t="str">
        <f>IFERROR(__xludf.DUMMYFUNCTION("GOOGLETRANSLATE(A400, ""en"", ""hi"")"),"399")</f>
        <v>399</v>
      </c>
      <c r="G400" s="5" t="str">
        <f>IFERROR(__xludf.DUMMYFUNCTION("GOOGLETRANSLATE(B400, ""en"", ""hi"")"),"2014 कबड्डी विश्व कप में भारतीय राष्ट्रीय टीम की जीत में किस भारतीय कबड्डी खिलाड़ी की महत्वपूर्ण भूमिका थी?")</f>
        <v>2014 कबड्डी विश्व कप में भारतीय राष्ट्रीय टीम की जीत में किस भारतीय कबड्डी खिलाड़ी की महत्वपूर्ण भूमिका थी?</v>
      </c>
      <c r="H400" s="5" t="str">
        <f>IFERROR(__xludf.DUMMYFUNCTION("GOOGLETRANSLATE(C400, ""en"", ""hi"")"),"ए) अनुप कुमार, बी) राकेश कुमार, सी) प्रदीप नरवाल, डी) मंजीत छिल्लर")</f>
        <v>ए) अनुप कुमार, बी) राकेश कुमार, सी) प्रदीप नरवाल, डी) मंजीत छिल्लर</v>
      </c>
      <c r="I400" s="5" t="str">
        <f>IFERROR(__xludf.DUMMYFUNCTION("GOOGLETRANSLATE(D400, ""en"", ""hi"")"),"A) अनूप कुमार")</f>
        <v>A) अनूप कुमार</v>
      </c>
    </row>
    <row r="401" ht="22.5" customHeight="1">
      <c r="A401" s="3">
        <v>400.0</v>
      </c>
      <c r="B401" s="4" t="s">
        <v>723</v>
      </c>
      <c r="C401" s="4" t="s">
        <v>669</v>
      </c>
      <c r="D401" s="4" t="s">
        <v>169</v>
      </c>
      <c r="F401" s="5" t="str">
        <f>IFERROR(__xludf.DUMMYFUNCTION("GOOGLETRANSLATE(A401, ""en"", ""hi"")"),"400")</f>
        <v>400</v>
      </c>
      <c r="G401" s="5" t="str">
        <f>IFERROR(__xludf.DUMMYFUNCTION("GOOGLETRANSLATE(B401, ""en"", ""hi"")"),"कौन सी लीग कबड्डी को अंतर्राष्ट्रीय दर्शकों तक पहुंचाने के लिए जानी जाती है?")</f>
        <v>कौन सी लीग कबड्डी को अंतर्राष्ट्रीय दर्शकों तक पहुंचाने के लिए जानी जाती है?</v>
      </c>
      <c r="H401" s="5" t="str">
        <f>IFERROR(__xludf.DUMMYFUNCTION("GOOGLETRANSLATE(C401, ""en"", ""hi"")"),"A) कबड्डी विश्व कप, B) प्रो कबड्डी लीग, C) कबड्डी मास्टर्स, D) एशियाई कबड्डी चैम्पियनशिप")</f>
        <v>A) कबड्डी विश्व कप, B) प्रो कबड्डी लीग, C) कबड्डी मास्टर्स, D) एशियाई कबड्डी चैम्पियनशिप</v>
      </c>
      <c r="I401" s="5" t="str">
        <f>IFERROR(__xludf.DUMMYFUNCTION("GOOGLETRANSLATE(D401, ""en"", ""hi"")"),"C) कबड्डी मास्टर्स")</f>
        <v>C) कबड्डी मास्टर्स</v>
      </c>
    </row>
    <row r="402" ht="22.5" customHeight="1">
      <c r="A402" s="3">
        <v>401.0</v>
      </c>
      <c r="B402" s="4" t="s">
        <v>724</v>
      </c>
      <c r="C402" s="4" t="s">
        <v>204</v>
      </c>
      <c r="D402" s="4" t="s">
        <v>205</v>
      </c>
      <c r="F402" s="5" t="str">
        <f>IFERROR(__xludf.DUMMYFUNCTION("GOOGLETRANSLATE(A402, ""en"", ""hi"")"),"401")</f>
        <v>401</v>
      </c>
      <c r="G402" s="5" t="str">
        <f>IFERROR(__xludf.DUMMYFUNCTION("GOOGLETRANSLATE(B402, ""en"", ""hi"")"),"किस राज्य में पारंपरिक कबड्डी शैली को 'सर्कल कबड्डी' के नाम से जाना जाता है?")</f>
        <v>किस राज्य में पारंपरिक कबड्डी शैली को 'सर्कल कबड्डी' के नाम से जाना जाता है?</v>
      </c>
      <c r="H402" s="5" t="str">
        <f>IFERROR(__xludf.DUMMYFUNCTION("GOOGLETRANSLATE(C402, ""en"", ""hi"")"),"A) तमिलनाडु, B) कर्नाटक, C) आंध्र प्रदेश, D) केरल")</f>
        <v>A) तमिलनाडु, B) कर्नाटक, C) आंध्र प्रदेश, D) केरल</v>
      </c>
      <c r="I402" s="5" t="str">
        <f>IFERROR(__xludf.DUMMYFUNCTION("GOOGLETRANSLATE(D402, ""en"", ""hi"")"),"A) तमिलनाडु")</f>
        <v>A) तमिलनाडु</v>
      </c>
    </row>
    <row r="403" ht="22.5" customHeight="1">
      <c r="A403" s="3">
        <v>402.0</v>
      </c>
      <c r="B403" s="4" t="s">
        <v>725</v>
      </c>
      <c r="C403" s="4" t="s">
        <v>726</v>
      </c>
      <c r="D403" s="4" t="s">
        <v>727</v>
      </c>
      <c r="F403" s="5" t="str">
        <f>IFERROR(__xludf.DUMMYFUNCTION("GOOGLETRANSLATE(A403, ""en"", ""hi"")"),"402")</f>
        <v>402</v>
      </c>
      <c r="G403" s="5" t="str">
        <f>IFERROR(__xludf.DUMMYFUNCTION("GOOGLETRANSLATE(B403, ""en"", ""hi"")"),"कबड्डी की वह तकनीक क्या है जिसमें डिफेंडर रेडर के अपने हाफ में लौटने से पहले उसे पकड़ने का प्रयास करता है?")</f>
        <v>कबड्डी की वह तकनीक क्या है जिसमें डिफेंडर रेडर के अपने हाफ में लौटने से पहले उसे पकड़ने का प्रयास करता है?</v>
      </c>
      <c r="H403" s="5" t="str">
        <f>IFERROR(__xludf.DUMMYFUNCTION("GOOGLETRANSLATE(C403, ""en"", ""hi"")"),"A) ब्लॉक, B) होल्ड, C) टैकल, D) पिन")</f>
        <v>A) ब्लॉक, B) होल्ड, C) टैकल, D) पिन</v>
      </c>
      <c r="I403" s="5" t="str">
        <f>IFERROR(__xludf.DUMMYFUNCTION("GOOGLETRANSLATE(D403, ""en"", ""hi"")"),"सी) टैकल")</f>
        <v>सी) टैकल</v>
      </c>
    </row>
    <row r="404" ht="22.5" customHeight="1">
      <c r="A404" s="3">
        <v>403.0</v>
      </c>
      <c r="B404" s="4" t="s">
        <v>728</v>
      </c>
      <c r="C404" s="4" t="s">
        <v>729</v>
      </c>
      <c r="D404" s="4" t="s">
        <v>95</v>
      </c>
      <c r="F404" s="5" t="str">
        <f>IFERROR(__xludf.DUMMYFUNCTION("GOOGLETRANSLATE(A404, ""en"", ""hi"")"),"403")</f>
        <v>403</v>
      </c>
      <c r="G404" s="5" t="str">
        <f>IFERROR(__xludf.DUMMYFUNCTION("GOOGLETRANSLATE(B404, ""en"", ""hi"")"),"प्रो कबड्डी लीग के इतिहास में सर्वाधिक अंक बनाने वाला खिलाड़ी कौन है?")</f>
        <v>प्रो कबड्डी लीग के इतिहास में सर्वाधिक अंक बनाने वाला खिलाड़ी कौन है?</v>
      </c>
      <c r="H404" s="5" t="str">
        <f>IFERROR(__xludf.DUMMYFUNCTION("GOOGLETRANSLATE(C404, ""en"", ""hi"")"),"ए) प्रदीप नरवाल, बी) राहुल चौधरी, सी) सिद्धार्थ देसाई, डी) अजय ठाकुर")</f>
        <v>ए) प्रदीप नरवाल, बी) राहुल चौधरी, सी) सिद्धार्थ देसाई, डी) अजय ठाकुर</v>
      </c>
      <c r="I404" s="5" t="str">
        <f>IFERROR(__xludf.DUMMYFUNCTION("GOOGLETRANSLATE(D404, ""en"", ""hi"")"),"A) प्रदीप नरवाल")</f>
        <v>A) प्रदीप नरवाल</v>
      </c>
    </row>
    <row r="405" ht="22.5" customHeight="1">
      <c r="A405" s="3">
        <v>404.0</v>
      </c>
      <c r="B405" s="4" t="s">
        <v>730</v>
      </c>
      <c r="C405" s="4" t="s">
        <v>664</v>
      </c>
      <c r="D405" s="4" t="s">
        <v>731</v>
      </c>
      <c r="F405" s="5" t="str">
        <f>IFERROR(__xludf.DUMMYFUNCTION("GOOGLETRANSLATE(A405, ""en"", ""hi"")"),"404")</f>
        <v>404</v>
      </c>
      <c r="G405" s="5" t="str">
        <f>IFERROR(__xludf.DUMMYFUNCTION("GOOGLETRANSLATE(B405, ""en"", ""hi"")"),"कौन सा भारतीय कबड्डी खिलाड़ी अपनी नवीन रक्षात्मक रणनीतियों के लिए जाना जाता है?")</f>
        <v>कौन सा भारतीय कबड्डी खिलाड़ी अपनी नवीन रक्षात्मक रणनीतियों के लिए जाना जाता है?</v>
      </c>
      <c r="H405" s="5" t="str">
        <f>IFERROR(__xludf.DUMMYFUNCTION("GOOGLETRANSLATE(C405, ""en"", ""hi"")"),"ए) सुरजीत सिंह, बी) मंजीत छिल्लर, सी) नितेश कुमार, डी) विशाल भारद्वाज")</f>
        <v>ए) सुरजीत सिंह, बी) मंजीत छिल्लर, सी) नितेश कुमार, डी) विशाल भारद्वाज</v>
      </c>
      <c r="I405" s="5" t="str">
        <f>IFERROR(__xludf.DUMMYFUNCTION("GOOGLETRANSLATE(D405, ""en"", ""hi"")"),"A) सुरजीत सिंह")</f>
        <v>A) सुरजीत सिंह</v>
      </c>
    </row>
    <row r="406" ht="22.5" customHeight="1">
      <c r="A406" s="3">
        <v>405.0</v>
      </c>
      <c r="B406" s="4" t="s">
        <v>732</v>
      </c>
      <c r="C406" s="4" t="s">
        <v>733</v>
      </c>
      <c r="D406" s="4" t="s">
        <v>474</v>
      </c>
      <c r="F406" s="5" t="str">
        <f>IFERROR(__xludf.DUMMYFUNCTION("GOOGLETRANSLATE(A406, ""en"", ""hi"")"),"405")</f>
        <v>405</v>
      </c>
      <c r="G406" s="5" t="str">
        <f>IFERROR(__xludf.DUMMYFUNCTION("GOOGLETRANSLATE(B406, ""en"", ""hi"")"),"कौन सा शहर मजबूत कबड्डी संस्कृति और स्थानीय टूर्नामेंटों की मेजबानी के लिए जाना जाता है?")</f>
        <v>कौन सा शहर मजबूत कबड्डी संस्कृति और स्थानीय टूर्नामेंटों की मेजबानी के लिए जाना जाता है?</v>
      </c>
      <c r="H406" s="5" t="str">
        <f>IFERROR(__xludf.DUMMYFUNCTION("GOOGLETRANSLATE(C406, ""en"", ""hi"")"),"A) पटना, B) बेंगलुरु, C) मुंबई, D) दिल्ली")</f>
        <v>A) पटना, B) बेंगलुरु, C) मुंबई, D) दिल्ली</v>
      </c>
      <c r="I406" s="5" t="str">
        <f>IFERROR(__xludf.DUMMYFUNCTION("GOOGLETRANSLATE(D406, ""en"", ""hi"")"),"ए) पटना")</f>
        <v>ए) पटना</v>
      </c>
    </row>
    <row r="407" ht="22.5" customHeight="1">
      <c r="A407" s="3">
        <v>406.0</v>
      </c>
      <c r="B407" s="4" t="s">
        <v>734</v>
      </c>
      <c r="C407" s="4" t="s">
        <v>735</v>
      </c>
      <c r="D407" s="4" t="s">
        <v>603</v>
      </c>
      <c r="F407" s="5" t="str">
        <f>IFERROR(__xludf.DUMMYFUNCTION("GOOGLETRANSLATE(A407, ""en"", ""hi"")"),"406")</f>
        <v>406</v>
      </c>
      <c r="G407" s="5" t="str">
        <f>IFERROR(__xludf.DUMMYFUNCTION("GOOGLETRANSLATE(B407, ""en"", ""hi"")"),"किस भारतीय राज्य में 'कबड्डी महोत्सव' नामक कबड्डी टूर्नामेंट होता है जो बड़ी संख्या में दर्शकों को आकर्षित करता है?")</f>
        <v>किस भारतीय राज्य में 'कबड्डी महोत्सव' नामक कबड्डी टूर्नामेंट होता है जो बड़ी संख्या में दर्शकों को आकर्षित करता है?</v>
      </c>
      <c r="H407" s="5" t="str">
        <f>IFERROR(__xludf.DUMMYFUNCTION("GOOGLETRANSLATE(C407, ""en"", ""hi"")"),"ए) पंजाब, बी) हरियाणा, सी) उत्तर प्रदेश, डी) राजस्थान")</f>
        <v>ए) पंजाब, बी) हरियाणा, सी) उत्तर प्रदेश, डी) राजस्थान</v>
      </c>
      <c r="I407" s="5" t="str">
        <f>IFERROR(__xludf.DUMMYFUNCTION("GOOGLETRANSLATE(D407, ""en"", ""hi"")"),"बी) हरियाणा")</f>
        <v>बी) हरियाणा</v>
      </c>
    </row>
    <row r="408" ht="22.5" customHeight="1">
      <c r="A408" s="3">
        <v>407.0</v>
      </c>
      <c r="B408" s="4" t="s">
        <v>736</v>
      </c>
      <c r="C408" s="4" t="s">
        <v>737</v>
      </c>
      <c r="D408" s="4" t="s">
        <v>738</v>
      </c>
      <c r="F408" s="5" t="str">
        <f>IFERROR(__xludf.DUMMYFUNCTION("GOOGLETRANSLATE(A408, ""en"", ""hi"")"),"407")</f>
        <v>407</v>
      </c>
      <c r="G408" s="5" t="str">
        <f>IFERROR(__xludf.DUMMYFUNCTION("GOOGLETRANSLATE(B408, ""en"", ""hi"")"),"कबड्डी में रेडर की प्राथमिक भूमिका क्या है?")</f>
        <v>कबड्डी में रेडर की प्राथमिक भूमिका क्या है?</v>
      </c>
      <c r="H408" s="5" t="str">
        <f>IFERROR(__xludf.DUMMYFUNCTION("GOOGLETRANSLATE(C408, ""en"", ""hi"")"),"A) टैकल से बचाव करना, B) विरोधियों को छूकर अंक अर्जित करना, C) खेल की रणनीति बनाना, D) टीम को प्रशिक्षित करना")</f>
        <v>A) टैकल से बचाव करना, B) विरोधियों को छूकर अंक अर्जित करना, C) खेल की रणनीति बनाना, D) टीम को प्रशिक्षित करना</v>
      </c>
      <c r="I408" s="5" t="str">
        <f>IFERROR(__xludf.DUMMYFUNCTION("GOOGLETRANSLATE(D408, ""en"", ""hi"")"),"बी) विरोधियों को छूकर अंक अर्जित करना")</f>
        <v>बी) विरोधियों को छूकर अंक अर्जित करना</v>
      </c>
    </row>
    <row r="409" ht="22.5" customHeight="1">
      <c r="A409" s="3">
        <v>408.0</v>
      </c>
      <c r="B409" s="4" t="s">
        <v>739</v>
      </c>
      <c r="C409" s="4" t="s">
        <v>740</v>
      </c>
      <c r="D409" s="4" t="s">
        <v>195</v>
      </c>
      <c r="F409" s="5" t="str">
        <f>IFERROR(__xludf.DUMMYFUNCTION("GOOGLETRANSLATE(A409, ""en"", ""hi"")"),"408")</f>
        <v>408</v>
      </c>
      <c r="G409" s="5" t="str">
        <f>IFERROR(__xludf.DUMMYFUNCTION("GOOGLETRANSLATE(B409, ""en"", ""hi"")"),"कौन सा खिलाड़ी रेडिंग और डिफेंस दोनों में अपने असाधारण कौशल के लिए जाना जाता है, जिससे वह मैदान पर दोहरा खतरा बन जाता है?")</f>
        <v>कौन सा खिलाड़ी रेडिंग और डिफेंस दोनों में अपने असाधारण कौशल के लिए जाना जाता है, जिससे वह मैदान पर दोहरा खतरा बन जाता है?</v>
      </c>
      <c r="H409" s="5" t="str">
        <f>IFERROR(__xludf.DUMMYFUNCTION("GOOGLETRANSLATE(C409, ""en"", ""hi"")"),"ए) मंजीत छिल्लर, बी) अनुप कुमार, सी) प्रदीप नरवाल, डी) राहुल चौधरी")</f>
        <v>ए) मंजीत छिल्लर, बी) अनुप कुमार, सी) प्रदीप नरवाल, डी) राहुल चौधरी</v>
      </c>
      <c r="I409" s="5" t="str">
        <f>IFERROR(__xludf.DUMMYFUNCTION("GOOGLETRANSLATE(D409, ""en"", ""hi"")"),"A) मंजीत छिल्लर")</f>
        <v>A) मंजीत छिल्लर</v>
      </c>
    </row>
    <row r="410" ht="22.5" customHeight="1">
      <c r="A410" s="3">
        <v>409.0</v>
      </c>
      <c r="B410" s="4" t="s">
        <v>741</v>
      </c>
      <c r="C410" s="4" t="s">
        <v>659</v>
      </c>
      <c r="D410" s="4" t="s">
        <v>95</v>
      </c>
      <c r="F410" s="5" t="str">
        <f>IFERROR(__xludf.DUMMYFUNCTION("GOOGLETRANSLATE(A410, ""en"", ""hi"")"),"409")</f>
        <v>409</v>
      </c>
      <c r="G410" s="5" t="str">
        <f>IFERROR(__xludf.DUMMYFUNCTION("GOOGLETRANSLATE(B410, ""en"", ""hi"")"),"प्रो कबड्डी लीग के एक सत्र में सबसे अधिक सफल रेड का रिकॉर्ड किस भारतीय कबड्डी खिलाड़ी के नाम है?")</f>
        <v>प्रो कबड्डी लीग के एक सत्र में सबसे अधिक सफल रेड का रिकॉर्ड किस भारतीय कबड्डी खिलाड़ी के नाम है?</v>
      </c>
      <c r="H410" s="5" t="str">
        <f>IFERROR(__xludf.DUMMYFUNCTION("GOOGLETRANSLATE(C410, ""en"", ""hi"")"),"ए) प्रदीप नरवाल, बी) राहुल चौधरी, सी) सिद्धार्थ देसाई, डी) रिशांक देवाडिगा")</f>
        <v>ए) प्रदीप नरवाल, बी) राहुल चौधरी, सी) सिद्धार्थ देसाई, डी) रिशांक देवाडिगा</v>
      </c>
      <c r="I410" s="5" t="str">
        <f>IFERROR(__xludf.DUMMYFUNCTION("GOOGLETRANSLATE(D410, ""en"", ""hi"")"),"A) प्रदीप नरवाल")</f>
        <v>A) प्रदीप नरवाल</v>
      </c>
    </row>
    <row r="411" ht="22.5" customHeight="1">
      <c r="A411" s="3">
        <v>410.0</v>
      </c>
      <c r="B411" s="4" t="s">
        <v>742</v>
      </c>
      <c r="C411" s="4" t="s">
        <v>743</v>
      </c>
      <c r="D411" s="4" t="s">
        <v>474</v>
      </c>
      <c r="F411" s="5" t="str">
        <f>IFERROR(__xludf.DUMMYFUNCTION("GOOGLETRANSLATE(A411, ""en"", ""hi"")"),"410")</f>
        <v>410</v>
      </c>
      <c r="G411" s="5" t="str">
        <f>IFERROR(__xludf.DUMMYFUNCTION("GOOGLETRANSLATE(B411, ""en"", ""hi"")"),"वार्षिक कबड्डी राष्ट्रीय चैम्पियनशिप पारंपरिक रूप से किस शहर में आयोजित की जाती है?")</f>
        <v>वार्षिक कबड्डी राष्ट्रीय चैम्पियनशिप पारंपरिक रूप से किस शहर में आयोजित की जाती है?</v>
      </c>
      <c r="H411" s="5" t="str">
        <f>IFERROR(__xludf.DUMMYFUNCTION("GOOGLETRANSLATE(C411, ""en"", ""hi"")"),"A) पटना, B) मुंबई, C) दिल्ली, D) बेंगलुरु")</f>
        <v>A) पटना, B) मुंबई, C) दिल्ली, D) बेंगलुरु</v>
      </c>
      <c r="I411" s="5" t="str">
        <f>IFERROR(__xludf.DUMMYFUNCTION("GOOGLETRANSLATE(D411, ""en"", ""hi"")"),"ए) पटना")</f>
        <v>ए) पटना</v>
      </c>
    </row>
    <row r="412" ht="22.5" customHeight="1">
      <c r="A412" s="3">
        <v>411.0</v>
      </c>
      <c r="B412" s="4" t="s">
        <v>744</v>
      </c>
      <c r="C412" s="4" t="s">
        <v>745</v>
      </c>
      <c r="D412" s="4" t="s">
        <v>625</v>
      </c>
      <c r="F412" s="5" t="str">
        <f>IFERROR(__xludf.DUMMYFUNCTION("GOOGLETRANSLATE(A412, ""en"", ""hi"")"),"411")</f>
        <v>411</v>
      </c>
      <c r="G412" s="5" t="str">
        <f>IFERROR(__xludf.DUMMYFUNCTION("GOOGLETRANSLATE(B412, ""en"", ""hi"")"),"कौन सा भारतीय राज्य अपनी अनूठी कबड्डी शैली 'कबड्डी सीमा' के लिए जाना जाता है?")</f>
        <v>कौन सा भारतीय राज्य अपनी अनूठी कबड्डी शैली 'कबड्डी सीमा' के लिए जाना जाता है?</v>
      </c>
      <c r="H412" s="5" t="str">
        <f>IFERROR(__xludf.DUMMYFUNCTION("GOOGLETRANSLATE(C412, ""en"", ""hi"")"),"ए) पंजाब, बी) बिहार, सी) ओडिशा, डी) कर्नाटक")</f>
        <v>ए) पंजाब, बी) बिहार, सी) ओडिशा, डी) कर्नाटक</v>
      </c>
      <c r="I412" s="5" t="str">
        <f>IFERROR(__xludf.DUMMYFUNCTION("GOOGLETRANSLATE(D412, ""en"", ""hi"")"),"बी) बिहार")</f>
        <v>बी) बिहार</v>
      </c>
    </row>
    <row r="413" ht="22.5" customHeight="1">
      <c r="A413" s="3">
        <v>412.0</v>
      </c>
      <c r="B413" s="4" t="s">
        <v>746</v>
      </c>
      <c r="C413" s="4" t="s">
        <v>502</v>
      </c>
      <c r="D413" s="4" t="s">
        <v>131</v>
      </c>
      <c r="F413" s="5" t="str">
        <f>IFERROR(__xludf.DUMMYFUNCTION("GOOGLETRANSLATE(A413, ""en"", ""hi"")"),"412")</f>
        <v>412</v>
      </c>
      <c r="G413" s="5" t="str">
        <f>IFERROR(__xludf.DUMMYFUNCTION("GOOGLETRANSLATE(B413, ""en"", ""hi"")"),"भारत में कबड्डी को एक खेल के रूप में विकसित करने में योगदान के लिए किस खिलाड़ी को जाना जाता है?")</f>
        <v>भारत में कबड्डी को एक खेल के रूप में विकसित करने में योगदान के लिए किस खिलाड़ी को जाना जाता है?</v>
      </c>
      <c r="H413" s="5" t="str">
        <f>IFERROR(__xludf.DUMMYFUNCTION("GOOGLETRANSLATE(C413, ""en"", ""hi"")"),"ए) राकेश कुमार, बी) अनुप कुमार, सी) अजय ठाकुर, डी) मंजीत छिल्लर")</f>
        <v>ए) राकेश कुमार, बी) अनुप कुमार, सी) अजय ठाकुर, डी) मंजीत छिल्लर</v>
      </c>
      <c r="I413" s="5" t="str">
        <f>IFERROR(__xludf.DUMMYFUNCTION("GOOGLETRANSLATE(D413, ""en"", ""hi"")"),"बी) अनूप कुमार")</f>
        <v>बी) अनूप कुमार</v>
      </c>
    </row>
    <row r="414" ht="22.5" customHeight="1">
      <c r="A414" s="3">
        <v>413.0</v>
      </c>
      <c r="B414" s="4" t="s">
        <v>747</v>
      </c>
      <c r="C414" s="4" t="s">
        <v>748</v>
      </c>
      <c r="D414" s="4" t="s">
        <v>749</v>
      </c>
      <c r="F414" s="5" t="str">
        <f>IFERROR(__xludf.DUMMYFUNCTION("GOOGLETRANSLATE(A414, ""en"", ""hi"")"),"413")</f>
        <v>413</v>
      </c>
      <c r="G414" s="5" t="str">
        <f>IFERROR(__xludf.DUMMYFUNCTION("GOOGLETRANSLATE(B414, ""en"", ""hi"")"),"किस देश ने कबड्डी में महत्वपूर्ण रुचि दिखाई है और उसकी टीमें अंतर्राष्ट्रीय टूर्नामेंटों में भाग ले रही हैं?")</f>
        <v>किस देश ने कबड्डी में महत्वपूर्ण रुचि दिखाई है और उसकी टीमें अंतर्राष्ट्रीय टूर्नामेंटों में भाग ले रही हैं?</v>
      </c>
      <c r="H414" s="5" t="str">
        <f>IFERROR(__xludf.DUMMYFUNCTION("GOOGLETRANSLATE(C414, ""en"", ""hi"")"),"A) पाकिस्तान, B) बांग्लादेश, C) नेपाल, D) श्रीलंका")</f>
        <v>A) पाकिस्तान, B) बांग्लादेश, C) नेपाल, D) श्रीलंका</v>
      </c>
      <c r="I414" s="5" t="str">
        <f>IFERROR(__xludf.DUMMYFUNCTION("GOOGLETRANSLATE(D414, ""en"", ""hi"")"),"A) पाकिस्तान")</f>
        <v>A) पाकिस्तान</v>
      </c>
    </row>
    <row r="415" ht="22.5" customHeight="1">
      <c r="A415" s="3">
        <v>414.0</v>
      </c>
      <c r="B415" s="4" t="s">
        <v>750</v>
      </c>
      <c r="C415" s="4" t="s">
        <v>751</v>
      </c>
      <c r="D415" s="4" t="s">
        <v>752</v>
      </c>
      <c r="F415" s="5" t="str">
        <f>IFERROR(__xludf.DUMMYFUNCTION("GOOGLETRANSLATE(A415, ""en"", ""hi"")"),"414")</f>
        <v>414</v>
      </c>
      <c r="G415" s="5" t="str">
        <f>IFERROR(__xludf.DUMMYFUNCTION("GOOGLETRANSLATE(B415, ""en"", ""hi"")"),"किस भारतीय कबड्डी खिलाड़ी ने प्रो कबड्डी लीग में कई बार 'बेस्ट डिफेंडर' का पुरस्कार जीता है?")</f>
        <v>किस भारतीय कबड्डी खिलाड़ी ने प्रो कबड्डी लीग में कई बार 'बेस्ट डिफेंडर' का पुरस्कार जीता है?</v>
      </c>
      <c r="H415" s="5" t="str">
        <f>IFERROR(__xludf.DUMMYFUNCTION("GOOGLETRANSLATE(C415, ""en"", ""hi"")"),"ए) मंजीत छिल्लर, बी) सुरजीत सिंह, सी) नितेश कुमार, डी) विशाल भारद्वाज")</f>
        <v>ए) मंजीत छिल्लर, बी) सुरजीत सिंह, सी) नितेश कुमार, डी) विशाल भारद्वाज</v>
      </c>
      <c r="I415" s="5" t="str">
        <f>IFERROR(__xludf.DUMMYFUNCTION("GOOGLETRANSLATE(D415, ""en"", ""hi"")"),"बी) सुरजीत सिंह")</f>
        <v>बी) सुरजीत सिंह</v>
      </c>
    </row>
    <row r="416" ht="22.5" customHeight="1">
      <c r="A416" s="3">
        <v>415.0</v>
      </c>
      <c r="B416" s="4" t="s">
        <v>753</v>
      </c>
      <c r="C416" s="4" t="s">
        <v>754</v>
      </c>
      <c r="D416" s="4" t="s">
        <v>16</v>
      </c>
      <c r="F416" s="5" t="str">
        <f>IFERROR(__xludf.DUMMYFUNCTION("GOOGLETRANSLATE(A416, ""en"", ""hi"")"),"415")</f>
        <v>415</v>
      </c>
      <c r="G416" s="5" t="str">
        <f>IFERROR(__xludf.DUMMYFUNCTION("GOOGLETRANSLATE(B416, ""en"", ""hi"")"),"एशियाई खेलों में कबड्डी को किस वर्ष शामिल किया गया?")</f>
        <v>एशियाई खेलों में कबड्डी को किस वर्ष शामिल किया गया?</v>
      </c>
      <c r="H416" s="5" t="str">
        <f>IFERROR(__xludf.DUMMYFUNCTION("GOOGLETRANSLATE(C416, ""en"", ""hi"")"),"ए) 1954, बी) 1962, सी) 1970, डी) 1982")</f>
        <v>ए) 1954, बी) 1962, सी) 1970, डी) 1982</v>
      </c>
      <c r="I416" s="5" t="str">
        <f>IFERROR(__xludf.DUMMYFUNCTION("GOOGLETRANSLATE(D416, ""en"", ""hi"")"),"बी) 1962")</f>
        <v>बी) 1962</v>
      </c>
    </row>
    <row r="417" ht="22.5" customHeight="1">
      <c r="A417" s="3">
        <v>416.0</v>
      </c>
      <c r="B417" s="4" t="s">
        <v>755</v>
      </c>
      <c r="C417" s="4" t="s">
        <v>756</v>
      </c>
      <c r="D417" s="4" t="s">
        <v>233</v>
      </c>
      <c r="F417" s="5" t="str">
        <f>IFERROR(__xludf.DUMMYFUNCTION("GOOGLETRANSLATE(A417, ""en"", ""hi"")"),"416")</f>
        <v>416</v>
      </c>
      <c r="G417" s="5" t="str">
        <f>IFERROR(__xludf.DUMMYFUNCTION("GOOGLETRANSLATE(B417, ""en"", ""hi"")"),"आधुनिक कबड्डी के संस्थापकों में से एक किसे माना जाता है?")</f>
        <v>आधुनिक कबड्डी के संस्थापकों में से एक किसे माना जाता है?</v>
      </c>
      <c r="H417" s="5" t="str">
        <f>IFERROR(__xludf.DUMMYFUNCTION("GOOGLETRANSLATE(C417, ""en"", ""hi"")"),"ए) गुलाम मोहम्मद, बी) बलवान सिंह, सी) लाला अमरनाथ, डी) मोहम्मद अली")</f>
        <v>ए) गुलाम मोहम्मद, बी) बलवान सिंह, सी) लाला अमरनाथ, डी) मोहम्मद अली</v>
      </c>
      <c r="I417" s="5" t="str">
        <f>IFERROR(__xludf.DUMMYFUNCTION("GOOGLETRANSLATE(D417, ""en"", ""hi"")"),"बी) बलवान सिंह")</f>
        <v>बी) बलवान सिंह</v>
      </c>
    </row>
    <row r="418" ht="22.5" customHeight="1">
      <c r="A418" s="3">
        <v>417.0</v>
      </c>
      <c r="B418" s="4" t="s">
        <v>757</v>
      </c>
      <c r="C418" s="4" t="s">
        <v>758</v>
      </c>
      <c r="D418" s="4" t="s">
        <v>66</v>
      </c>
      <c r="F418" s="5" t="str">
        <f>IFERROR(__xludf.DUMMYFUNCTION("GOOGLETRANSLATE(A418, ""en"", ""hi"")"),"417")</f>
        <v>417</v>
      </c>
      <c r="G418" s="5" t="str">
        <f>IFERROR(__xludf.DUMMYFUNCTION("GOOGLETRANSLATE(B418, ""en"", ""hi"")"),"कौन सा भारतीय राज्य 'कबड्डी मेला' नामक अपने पारंपरिक कबड्डी टूर्नामेंट के लिए प्रसिद्ध है?")</f>
        <v>कौन सा भारतीय राज्य 'कबड्डी मेला' नामक अपने पारंपरिक कबड्डी टूर्नामेंट के लिए प्रसिद्ध है?</v>
      </c>
      <c r="H418" s="5" t="str">
        <f>IFERROR(__xludf.DUMMYFUNCTION("GOOGLETRANSLATE(C418, ""en"", ""hi"")"),"A) पंजाब, B) हरियाणा, C) गुजरात, D) कर्नाटक")</f>
        <v>A) पंजाब, B) हरियाणा, C) गुजरात, D) कर्नाटक</v>
      </c>
      <c r="I418" s="5" t="str">
        <f>IFERROR(__xludf.DUMMYFUNCTION("GOOGLETRANSLATE(D418, ""en"", ""hi"")"),"A) पंजाब")</f>
        <v>A) पंजाब</v>
      </c>
    </row>
    <row r="419" ht="22.5" customHeight="1">
      <c r="A419" s="3">
        <v>418.0</v>
      </c>
      <c r="B419" s="4" t="s">
        <v>759</v>
      </c>
      <c r="C419" s="4" t="s">
        <v>760</v>
      </c>
      <c r="D419" s="4" t="s">
        <v>761</v>
      </c>
      <c r="F419" s="5" t="str">
        <f>IFERROR(__xludf.DUMMYFUNCTION("GOOGLETRANSLATE(A419, ""en"", ""hi"")"),"418")</f>
        <v>418</v>
      </c>
      <c r="G419" s="5" t="str">
        <f>IFERROR(__xludf.DUMMYFUNCTION("GOOGLETRANSLATE(B419, ""en"", ""hi"")"),"1990 के दशक में कबड्डी के नियमों में क्या महत्वपूर्ण परिवर्तन हुआ?")</f>
        <v>1990 के दशक में कबड्डी के नियमों में क्या महत्वपूर्ण परिवर्तन हुआ?</v>
      </c>
      <c r="H419" s="5" t="str">
        <f>IFERROR(__xludf.DUMMYFUNCTION("GOOGLETRANSLATE(C419, ""en"", ""hi"")"),"ए) 7-खिलाड़ी प्रारूप का परिचय, बी) 'कैच' नियम को हटाना, सी) 2 हाफ से 4 क्वार्टर में परिवर्तन, डी) बोनस अंक प्रणाली का कार्यान्वयन")</f>
        <v>ए) 7-खिलाड़ी प्रारूप का परिचय, बी) 'कैच' नियम को हटाना, सी) 2 हाफ से 4 क्वार्टर में परिवर्तन, डी) बोनस अंक प्रणाली का कार्यान्वयन</v>
      </c>
      <c r="I419" s="5" t="str">
        <f>IFERROR(__xludf.DUMMYFUNCTION("GOOGLETRANSLATE(D419, ""en"", ""hi"")"),"डी) बोनस अंक प्रणाली का कार्यान्वयन")</f>
        <v>डी) बोनस अंक प्रणाली का कार्यान्वयन</v>
      </c>
    </row>
    <row r="420" ht="22.5" customHeight="1">
      <c r="A420" s="3">
        <v>419.0</v>
      </c>
      <c r="B420" s="4" t="s">
        <v>762</v>
      </c>
      <c r="C420" s="4" t="s">
        <v>763</v>
      </c>
      <c r="D420" s="4" t="s">
        <v>131</v>
      </c>
      <c r="F420" s="5" t="str">
        <f>IFERROR(__xludf.DUMMYFUNCTION("GOOGLETRANSLATE(A420, ""en"", ""hi"")"),"419")</f>
        <v>419</v>
      </c>
      <c r="G420" s="5" t="str">
        <f>IFERROR(__xludf.DUMMYFUNCTION("GOOGLETRANSLATE(B420, ""en"", ""hi"")"),"2004 के कबड्डी विश्व कप में किस खिलाड़ी ने भारत को जीत दिलाई?")</f>
        <v>2004 के कबड्डी विश्व कप में किस खिलाड़ी ने भारत को जीत दिलाई?</v>
      </c>
      <c r="H420" s="5" t="str">
        <f>IFERROR(__xludf.DUMMYFUNCTION("GOOGLETRANSLATE(C420, ""en"", ""hi"")"),"ए) राकेश कुमार, बी) अनुप कुमार, सी) प्रदीप नरवाल, डी) अजय ठाकुर")</f>
        <v>ए) राकेश कुमार, बी) अनुप कुमार, सी) प्रदीप नरवाल, डी) अजय ठाकुर</v>
      </c>
      <c r="I420" s="5" t="str">
        <f>IFERROR(__xludf.DUMMYFUNCTION("GOOGLETRANSLATE(D420, ""en"", ""hi"")"),"बी) अनूप कुमार")</f>
        <v>बी) अनूप कुमार</v>
      </c>
    </row>
    <row r="421" ht="22.5" customHeight="1">
      <c r="A421" s="3">
        <v>420.0</v>
      </c>
      <c r="B421" s="4" t="s">
        <v>764</v>
      </c>
      <c r="C421" s="4" t="s">
        <v>765</v>
      </c>
      <c r="D421" s="4" t="s">
        <v>766</v>
      </c>
      <c r="F421" s="5" t="str">
        <f>IFERROR(__xludf.DUMMYFUNCTION("GOOGLETRANSLATE(A421, ""en"", ""hi"")"),"420")</f>
        <v>420</v>
      </c>
      <c r="G421" s="5" t="str">
        <f>IFERROR(__xludf.DUMMYFUNCTION("GOOGLETRANSLATE(B421, ""en"", ""hi"")"),"2004 में पहली बार कबड्डी विश्व कप का आयोजन किस शहर में हुआ था?")</f>
        <v>2004 में पहली बार कबड्डी विश्व कप का आयोजन किस शहर में हुआ था?</v>
      </c>
      <c r="H421" s="5" t="str">
        <f>IFERROR(__xludf.DUMMYFUNCTION("GOOGLETRANSLATE(C421, ""en"", ""hi"")"),"ए) पटना, बी) मुंबई, सी) दिल्ली, डी) जयपुर")</f>
        <v>ए) पटना, बी) मुंबई, सी) दिल्ली, डी) जयपुर</v>
      </c>
      <c r="I421" s="5" t="str">
        <f>IFERROR(__xludf.DUMMYFUNCTION("GOOGLETRANSLATE(D421, ""en"", ""hi"")"),"C) दिल्ली")</f>
        <v>C) दिल्ली</v>
      </c>
    </row>
    <row r="422" ht="22.5" customHeight="1">
      <c r="A422" s="3">
        <v>421.0</v>
      </c>
      <c r="B422" s="4" t="s">
        <v>767</v>
      </c>
      <c r="C422" s="4" t="s">
        <v>763</v>
      </c>
      <c r="D422" s="4" t="s">
        <v>503</v>
      </c>
      <c r="F422" s="5" t="str">
        <f>IFERROR(__xludf.DUMMYFUNCTION("GOOGLETRANSLATE(A422, ""en"", ""hi"")"),"421")</f>
        <v>421</v>
      </c>
      <c r="G422" s="5" t="str">
        <f>IFERROR(__xludf.DUMMYFUNCTION("GOOGLETRANSLATE(B422, ""en"", ""hi"")"),"वह महान कबड्डी खिलाड़ी कौन है जो खेल में अपने योगदान और विभिन्न टीमों में अपनी कोचिंग भूमिका के लिए जाना जाता है?")</f>
        <v>वह महान कबड्डी खिलाड़ी कौन है जो खेल में अपने योगदान और विभिन्न टीमों में अपनी कोचिंग भूमिका के लिए जाना जाता है?</v>
      </c>
      <c r="H422" s="5" t="str">
        <f>IFERROR(__xludf.DUMMYFUNCTION("GOOGLETRANSLATE(C422, ""en"", ""hi"")"),"ए) राकेश कुमार, बी) अनुप कुमार, सी) प्रदीप नरवाल, डी) अजय ठाकुर")</f>
        <v>ए) राकेश कुमार, बी) अनुप कुमार, सी) प्रदीप नरवाल, डी) अजय ठाकुर</v>
      </c>
      <c r="I422" s="5" t="str">
        <f>IFERROR(__xludf.DUMMYFUNCTION("GOOGLETRANSLATE(D422, ""en"", ""hi"")"),"A) राकेश कुमार")</f>
        <v>A) राकेश कुमार</v>
      </c>
    </row>
    <row r="423" ht="22.5" customHeight="1">
      <c r="A423" s="3">
        <v>422.0</v>
      </c>
      <c r="B423" s="4" t="s">
        <v>768</v>
      </c>
      <c r="C423" s="4" t="s">
        <v>769</v>
      </c>
      <c r="D423" s="4" t="s">
        <v>205</v>
      </c>
      <c r="F423" s="5" t="str">
        <f>IFERROR(__xludf.DUMMYFUNCTION("GOOGLETRANSLATE(A423, ""en"", ""hi"")"),"422")</f>
        <v>422</v>
      </c>
      <c r="G423" s="5" t="str">
        <f>IFERROR(__xludf.DUMMYFUNCTION("GOOGLETRANSLATE(B423, ""en"", ""hi"")"),"भारत में कौन सा राज्य पारंपरिक कबड्डी शैली 'सर्कल कबड्डी' का घर है?")</f>
        <v>भारत में कौन सा राज्य पारंपरिक कबड्डी शैली 'सर्कल कबड्डी' का घर है?</v>
      </c>
      <c r="H423" s="5" t="str">
        <f>IFERROR(__xludf.DUMMYFUNCTION("GOOGLETRANSLATE(C423, ""en"", ""hi"")"),"A) तमिलनाडु, B) आंध्र प्रदेश, C) कर्नाटक, D) केरल")</f>
        <v>A) तमिलनाडु, B) आंध्र प्रदेश, C) कर्नाटक, D) केरल</v>
      </c>
      <c r="I423" s="5" t="str">
        <f>IFERROR(__xludf.DUMMYFUNCTION("GOOGLETRANSLATE(D423, ""en"", ""hi"")"),"A) तमिलनाडु")</f>
        <v>A) तमिलनाडु</v>
      </c>
    </row>
    <row r="424" ht="22.5" customHeight="1">
      <c r="A424" s="3">
        <v>423.0</v>
      </c>
      <c r="B424" s="4" t="s">
        <v>770</v>
      </c>
      <c r="C424" s="4" t="s">
        <v>771</v>
      </c>
      <c r="D424" s="4" t="s">
        <v>772</v>
      </c>
      <c r="F424" s="5" t="str">
        <f>IFERROR(__xludf.DUMMYFUNCTION("GOOGLETRANSLATE(A424, ""en"", ""hi"")"),"423")</f>
        <v>423</v>
      </c>
      <c r="G424" s="5" t="str">
        <f>IFERROR(__xludf.DUMMYFUNCTION("GOOGLETRANSLATE(B424, ""en"", ""hi"")"),"दक्षिण एशियाई खेलों में कबड्डी की शुरुआत किस वर्ष हुई?")</f>
        <v>दक्षिण एशियाई खेलों में कबड्डी की शुरुआत किस वर्ष हुई?</v>
      </c>
      <c r="H424" s="5" t="str">
        <f>IFERROR(__xludf.DUMMYFUNCTION("GOOGLETRANSLATE(C424, ""en"", ""hi"")"),"ए) 1984, बी) 1986, सी) 1988, डी) 1990")</f>
        <v>ए) 1984, बी) 1986, सी) 1988, डी) 1990</v>
      </c>
      <c r="I424" s="5" t="str">
        <f>IFERROR(__xludf.DUMMYFUNCTION("GOOGLETRANSLATE(D424, ""en"", ""hi"")"),"बी) 1986")</f>
        <v>बी) 1986</v>
      </c>
    </row>
    <row r="425" ht="22.5" customHeight="1">
      <c r="A425" s="3">
        <v>424.0</v>
      </c>
      <c r="B425" s="4" t="s">
        <v>773</v>
      </c>
      <c r="C425" s="4" t="s">
        <v>678</v>
      </c>
      <c r="D425" s="4" t="s">
        <v>145</v>
      </c>
      <c r="F425" s="5" t="str">
        <f>IFERROR(__xludf.DUMMYFUNCTION("GOOGLETRANSLATE(A425, ""en"", ""hi"")"),"424")</f>
        <v>424</v>
      </c>
      <c r="G425" s="5" t="str">
        <f>IFERROR(__xludf.DUMMYFUNCTION("GOOGLETRANSLATE(B425, ""en"", ""hi"")"),"2014 में किस कबड्डी टीम ने प्रथम प्रो कबड्डी लीग चैंपियनशिप जीती?")</f>
        <v>2014 में किस कबड्डी टीम ने प्रथम प्रो कबड्डी लीग चैंपियनशिप जीती?</v>
      </c>
      <c r="H425" s="5" t="str">
        <f>IFERROR(__xludf.DUMMYFUNCTION("GOOGLETRANSLATE(C425, ""en"", ""hi"")"),"ए) जयपुर पिंक पैंथर्स, बी) यू मुंबा, सी) बेंगलुरु बुल्स, डी) दबंग दिल्ली")</f>
        <v>ए) जयपुर पिंक पैंथर्स, बी) यू मुंबा, सी) बेंगलुरु बुल्स, डी) दबंग दिल्ली</v>
      </c>
      <c r="I425" s="5" t="str">
        <f>IFERROR(__xludf.DUMMYFUNCTION("GOOGLETRANSLATE(D425, ""en"", ""hi"")"),"A) जयपुर पिंक पैंथर्स")</f>
        <v>A) जयपुर पिंक पैंथर्स</v>
      </c>
    </row>
    <row r="426" ht="22.5" customHeight="1">
      <c r="A426" s="3">
        <v>425.0</v>
      </c>
      <c r="B426" s="4" t="s">
        <v>774</v>
      </c>
      <c r="C426" s="4" t="s">
        <v>694</v>
      </c>
      <c r="D426" s="4" t="s">
        <v>775</v>
      </c>
      <c r="F426" s="5" t="str">
        <f>IFERROR(__xludf.DUMMYFUNCTION("GOOGLETRANSLATE(A426, ""en"", ""hi"")"),"425")</f>
        <v>425</v>
      </c>
      <c r="G426" s="5" t="str">
        <f>IFERROR(__xludf.DUMMYFUNCTION("GOOGLETRANSLATE(B426, ""en"", ""hi"")"),"कौन सा उल्लेखनीय कबड्डी खिलाड़ी अपने असाधारण रेडिंग कौशल और मैदान पर नेतृत्व के लिए जाना जाता है?")</f>
        <v>कौन सा उल्लेखनीय कबड्डी खिलाड़ी अपने असाधारण रेडिंग कौशल और मैदान पर नेतृत्व के लिए जाना जाता है?</v>
      </c>
      <c r="H426" s="5" t="str">
        <f>IFERROR(__xludf.DUMMYFUNCTION("GOOGLETRANSLATE(C426, ""en"", ""hi"")"),"ए) प्रदीप नरवाल, बी) राहुल चौधरी, सी) अनुप कुमार, डी) अजय ठाकुर")</f>
        <v>ए) प्रदीप नरवाल, बी) राहुल चौधरी, सी) अनुप कुमार, डी) अजय ठाकुर</v>
      </c>
      <c r="I426" s="5" t="str">
        <f>IFERROR(__xludf.DUMMYFUNCTION("GOOGLETRANSLATE(D426, ""en"", ""hi"")"),"C) अनूप कुमार")</f>
        <v>C) अनूप कुमार</v>
      </c>
    </row>
    <row r="427" ht="22.5" customHeight="1">
      <c r="A427" s="3">
        <v>426.0</v>
      </c>
      <c r="B427" s="4" t="s">
        <v>776</v>
      </c>
      <c r="C427" s="4" t="s">
        <v>777</v>
      </c>
      <c r="D427" s="4" t="s">
        <v>113</v>
      </c>
      <c r="F427" s="5" t="str">
        <f>IFERROR(__xludf.DUMMYFUNCTION("GOOGLETRANSLATE(A427, ""en"", ""hi"")"),"426")</f>
        <v>426</v>
      </c>
      <c r="G427" s="5" t="str">
        <f>IFERROR(__xludf.DUMMYFUNCTION("GOOGLETRANSLATE(B427, ""en"", ""hi"")"),"वह भारतीय कबड्डी खिलाड़ी कौन है जिसके नेतृत्व में भारतीय टीम ने 2016 कबड्डी विश्व कप जीता?")</f>
        <v>वह भारतीय कबड्डी खिलाड़ी कौन है जिसके नेतृत्व में भारतीय टीम ने 2016 कबड्डी विश्व कप जीता?</v>
      </c>
      <c r="H427" s="5" t="str">
        <f>IFERROR(__xludf.DUMMYFUNCTION("GOOGLETRANSLATE(C427, ""en"", ""hi"")"),"ए) अनुप कुमार, बी) राकेश कुमार, सी) प्रदीप नरवाल, डी) अजय ठाकुर")</f>
        <v>ए) अनुप कुमार, बी) राकेश कुमार, सी) प्रदीप नरवाल, डी) अजय ठाकुर</v>
      </c>
      <c r="I427" s="5" t="str">
        <f>IFERROR(__xludf.DUMMYFUNCTION("GOOGLETRANSLATE(D427, ""en"", ""hi"")"),"A) अनूप कुमार")</f>
        <v>A) अनूप कुमार</v>
      </c>
    </row>
    <row r="428" ht="22.5" customHeight="1">
      <c r="A428" s="3">
        <v>427.0</v>
      </c>
      <c r="B428" s="4" t="s">
        <v>778</v>
      </c>
      <c r="C428" s="4" t="s">
        <v>779</v>
      </c>
      <c r="D428" s="4" t="s">
        <v>603</v>
      </c>
      <c r="F428" s="5" t="str">
        <f>IFERROR(__xludf.DUMMYFUNCTION("GOOGLETRANSLATE(A428, ""en"", ""hi"")"),"427")</f>
        <v>427</v>
      </c>
      <c r="G428" s="5" t="str">
        <f>IFERROR(__xludf.DUMMYFUNCTION("GOOGLETRANSLATE(B428, ""en"", ""hi"")"),"किस भारतीय राज्य में कबड्डी की मजबूत परंपरा है और नियमित रूप से स्थानीय और राज्य स्तरीय टूर्नामेंट आयोजित किए जाते हैं?")</f>
        <v>किस भारतीय राज्य में कबड्डी की मजबूत परंपरा है और नियमित रूप से स्थानीय और राज्य स्तरीय टूर्नामेंट आयोजित किए जाते हैं?</v>
      </c>
      <c r="H428" s="5" t="str">
        <f>IFERROR(__xludf.DUMMYFUNCTION("GOOGLETRANSLATE(C428, ""en"", ""hi"")"),"ए) पंजाब, बी) हरियाणा, सी) बिहार, डी) उत्तर प्रदेश")</f>
        <v>ए) पंजाब, बी) हरियाणा, सी) बिहार, डी) उत्तर प्रदेश</v>
      </c>
      <c r="I428" s="5" t="str">
        <f>IFERROR(__xludf.DUMMYFUNCTION("GOOGLETRANSLATE(D428, ""en"", ""hi"")"),"बी) हरियाणा")</f>
        <v>बी) हरियाणा</v>
      </c>
    </row>
    <row r="429" ht="22.5" customHeight="1">
      <c r="A429" s="3">
        <v>428.0</v>
      </c>
      <c r="B429" s="4" t="s">
        <v>780</v>
      </c>
      <c r="C429" s="4" t="s">
        <v>659</v>
      </c>
      <c r="D429" s="4" t="s">
        <v>95</v>
      </c>
      <c r="F429" s="5" t="str">
        <f>IFERROR(__xludf.DUMMYFUNCTION("GOOGLETRANSLATE(A429, ""en"", ""hi"")"),"428")</f>
        <v>428</v>
      </c>
      <c r="G429" s="5" t="str">
        <f>IFERROR(__xludf.DUMMYFUNCTION("GOOGLETRANSLATE(B429, ""en"", ""hi"")"),"कौन सा भारतीय कबड्डी खिलाड़ी प्रो कबड्डी लीग में अपने रिकॉर्ड तोड़ प्रदर्शन के लिए जाना जाता है?")</f>
        <v>कौन सा भारतीय कबड्डी खिलाड़ी प्रो कबड्डी लीग में अपने रिकॉर्ड तोड़ प्रदर्शन के लिए जाना जाता है?</v>
      </c>
      <c r="H429" s="5" t="str">
        <f>IFERROR(__xludf.DUMMYFUNCTION("GOOGLETRANSLATE(C429, ""en"", ""hi"")"),"ए) प्रदीप नरवाल, बी) राहुल चौधरी, सी) सिद्धार्थ देसाई, डी) रिशांक देवाडिगा")</f>
        <v>ए) प्रदीप नरवाल, बी) राहुल चौधरी, सी) सिद्धार्थ देसाई, डी) रिशांक देवाडिगा</v>
      </c>
      <c r="I429" s="5" t="str">
        <f>IFERROR(__xludf.DUMMYFUNCTION("GOOGLETRANSLATE(D429, ""en"", ""hi"")"),"A) प्रदीप नरवाल")</f>
        <v>A) प्रदीप नरवाल</v>
      </c>
    </row>
    <row r="430" ht="22.5" customHeight="1">
      <c r="A430" s="3">
        <v>429.0</v>
      </c>
      <c r="B430" s="4" t="s">
        <v>781</v>
      </c>
      <c r="C430" s="4" t="s">
        <v>782</v>
      </c>
      <c r="D430" s="4" t="s">
        <v>474</v>
      </c>
      <c r="F430" s="5" t="str">
        <f>IFERROR(__xludf.DUMMYFUNCTION("GOOGLETRANSLATE(A430, ""en"", ""hi"")"),"429")</f>
        <v>429</v>
      </c>
      <c r="G430" s="5" t="str">
        <f>IFERROR(__xludf.DUMMYFUNCTION("GOOGLETRANSLATE(B430, ""en"", ""hi"")"),"कौन सा भारतीय शहर अपनी कबड्डी अकादमियों के लिए प्रसिद्ध है और जिसने कई शीर्ष खिलाड़ी पैदा किए हैं?")</f>
        <v>कौन सा भारतीय शहर अपनी कबड्डी अकादमियों के लिए प्रसिद्ध है और जिसने कई शीर्ष खिलाड़ी पैदा किए हैं?</v>
      </c>
      <c r="H430" s="5" t="str">
        <f>IFERROR(__xludf.DUMMYFUNCTION("GOOGLETRANSLATE(C430, ""en"", ""hi"")"),"A) पटना, B) दिल्ली, C) मुंबई, D) बेंगलुरु")</f>
        <v>A) पटना, B) दिल्ली, C) मुंबई, D) बेंगलुरु</v>
      </c>
      <c r="I430" s="5" t="str">
        <f>IFERROR(__xludf.DUMMYFUNCTION("GOOGLETRANSLATE(D430, ""en"", ""hi"")"),"ए) पटना")</f>
        <v>ए) पटना</v>
      </c>
    </row>
    <row r="431" ht="22.5" customHeight="1">
      <c r="A431" s="3">
        <v>430.0</v>
      </c>
      <c r="B431" s="4" t="s">
        <v>783</v>
      </c>
      <c r="C431" s="4" t="s">
        <v>784</v>
      </c>
      <c r="D431" s="4" t="s">
        <v>139</v>
      </c>
      <c r="F431" s="5" t="str">
        <f>IFERROR(__xludf.DUMMYFUNCTION("GOOGLETRANSLATE(A431, ""en"", ""hi"")"),"430")</f>
        <v>430</v>
      </c>
      <c r="G431" s="5" t="str">
        <f>IFERROR(__xludf.DUMMYFUNCTION("GOOGLETRANSLATE(B431, ""en"", ""hi"")"),"वह भारतीय कबड्डी खिलाड़ी कौन है जो अपने रक्षात्मक कौशल और नेतृत्व गुणों के लिए प्रसिद्ध है?")</f>
        <v>वह भारतीय कबड्डी खिलाड़ी कौन है जो अपने रक्षात्मक कौशल और नेतृत्व गुणों के लिए प्रसिद्ध है?</v>
      </c>
      <c r="H431" s="5" t="str">
        <f>IFERROR(__xludf.DUMMYFUNCTION("GOOGLETRANSLATE(C431, ""en"", ""hi"")"),"ए) सुरजीत सिंह, बी) मंजीत छिल्लर, सी) विशाल भारद्वाज, डी) नितेश कुमार")</f>
        <v>ए) सुरजीत सिंह, बी) मंजीत छिल्लर, सी) विशाल भारद्वाज, डी) नितेश कुमार</v>
      </c>
      <c r="I431" s="5" t="str">
        <f>IFERROR(__xludf.DUMMYFUNCTION("GOOGLETRANSLATE(D431, ""en"", ""hi"")"),"B) मंजीत छिल्लर")</f>
        <v>B) मंजीत छिल्लर</v>
      </c>
    </row>
    <row r="432" ht="22.5" customHeight="1">
      <c r="A432" s="3">
        <v>431.0</v>
      </c>
      <c r="B432" s="4" t="s">
        <v>785</v>
      </c>
      <c r="C432" s="4" t="s">
        <v>786</v>
      </c>
      <c r="D432" s="4" t="s">
        <v>787</v>
      </c>
      <c r="F432" s="5" t="str">
        <f>IFERROR(__xludf.DUMMYFUNCTION("GOOGLETRANSLATE(A432, ""en"", ""hi"")"),"431")</f>
        <v>431</v>
      </c>
      <c r="G432" s="5" t="str">
        <f>IFERROR(__xludf.DUMMYFUNCTION("GOOGLETRANSLATE(B432, ""en"", ""hi"")"),"कबड्डी के इतिहास में 2016 में कौन सी महत्वपूर्ण घटना घटी?")</f>
        <v>कबड्डी के इतिहास में 2016 में कौन सी महत्वपूर्ण घटना घटी?</v>
      </c>
      <c r="H432" s="5" t="str">
        <f>IFERROR(__xludf.DUMMYFUNCTION("GOOGLETRANSLATE(C432, ""en"", ""hi"")"),"A) कबड्डी मास्टर्स का शुभारंभ, B) एशियाई खेलों में कबड्डी की शुरुआत, C) प्रो कबड्डी लीग का तीसरा सीज़न, D) कबड्डी विश्व कप की स्थापना")</f>
        <v>A) कबड्डी मास्टर्स का शुभारंभ, B) एशियाई खेलों में कबड्डी की शुरुआत, C) प्रो कबड्डी लीग का तीसरा सीज़न, D) कबड्डी विश्व कप की स्थापना</v>
      </c>
      <c r="I432" s="5" t="str">
        <f>IFERROR(__xludf.DUMMYFUNCTION("GOOGLETRANSLATE(D432, ""en"", ""hi"")"),"C) प्रो कबड्डी लीग का तीसरा सीज़न")</f>
        <v>C) प्रो कबड्डी लीग का तीसरा सीज़न</v>
      </c>
    </row>
    <row r="433" ht="22.5" customHeight="1">
      <c r="A433" s="3">
        <v>432.0</v>
      </c>
      <c r="B433" s="4" t="s">
        <v>788</v>
      </c>
      <c r="C433" s="4" t="s">
        <v>678</v>
      </c>
      <c r="D433" s="4" t="s">
        <v>789</v>
      </c>
      <c r="F433" s="5" t="str">
        <f>IFERROR(__xludf.DUMMYFUNCTION("GOOGLETRANSLATE(A433, ""en"", ""hi"")"),"432")</f>
        <v>432</v>
      </c>
      <c r="G433" s="5" t="str">
        <f>IFERROR(__xludf.DUMMYFUNCTION("GOOGLETRANSLATE(B433, ""en"", ""hi"")"),"प्रो कबड्डी लीग के पहले सीज़न में किस भारतीय कबड्डी टीम ने सबसे अधिक मैच जीते?")</f>
        <v>प्रो कबड्डी लीग के पहले सीज़न में किस भारतीय कबड्डी टीम ने सबसे अधिक मैच जीते?</v>
      </c>
      <c r="H433" s="5" t="str">
        <f>IFERROR(__xludf.DUMMYFUNCTION("GOOGLETRANSLATE(C433, ""en"", ""hi"")"),"ए) जयपुर पिंक पैंथर्स, बी) यू मुंबा, सी) बेंगलुरु बुल्स, डी) दबंग दिल्ली")</f>
        <v>ए) जयपुर पिंक पैंथर्स, बी) यू मुंबा, सी) बेंगलुरु बुल्स, डी) दबंग दिल्ली</v>
      </c>
      <c r="I433" s="5" t="str">
        <f>IFERROR(__xludf.DUMMYFUNCTION("GOOGLETRANSLATE(D433, ""en"", ""hi"")"),"बी) यू मुंबई")</f>
        <v>बी) यू मुंबई</v>
      </c>
    </row>
    <row r="434" ht="22.5" customHeight="1">
      <c r="A434" s="3">
        <v>433.0</v>
      </c>
      <c r="B434" s="4" t="s">
        <v>790</v>
      </c>
      <c r="C434" s="4" t="s">
        <v>791</v>
      </c>
      <c r="D434" s="4" t="s">
        <v>792</v>
      </c>
      <c r="F434" s="5" t="str">
        <f>IFERROR(__xludf.DUMMYFUNCTION("GOOGLETRANSLATE(A434, ""en"", ""hi"")"),"433")</f>
        <v>433</v>
      </c>
      <c r="G434" s="5" t="str">
        <f>IFERROR(__xludf.DUMMYFUNCTION("GOOGLETRANSLATE(B434, ""en"", ""hi"")"),"भारतीय राज्य पंजाब में कौन सा पारंपरिक कबड्डी टूर्नामेंट प्रतिवर्ष आयोजित किया जाता है?")</f>
        <v>भारतीय राज्य पंजाब में कौन सा पारंपरिक कबड्डी टूर्नामेंट प्रतिवर्ष आयोजित किया जाता है?</v>
      </c>
      <c r="H434" s="5" t="str">
        <f>IFERROR(__xludf.DUMMYFUNCTION("GOOGLETRANSLATE(C434, ""en"", ""hi"")"),"A) कबड्डी मेला, B) कबड्डी सीमा, C) कबड्डी महोत्सव, D) कबड्डी चैम्पियनशिप")</f>
        <v>A) कबड्डी मेला, B) कबड्डी सीमा, C) कबड्डी महोत्सव, D) कबड्डी चैम्पियनशिप</v>
      </c>
      <c r="I434" s="5" t="str">
        <f>IFERROR(__xludf.DUMMYFUNCTION("GOOGLETRANSLATE(D434, ""en"", ""hi"")"),"A) कबड्डी मेला")</f>
        <v>A) कबड्डी मेला</v>
      </c>
    </row>
    <row r="435" ht="22.5" customHeight="1">
      <c r="A435" s="3">
        <v>434.0</v>
      </c>
      <c r="B435" s="4" t="s">
        <v>793</v>
      </c>
      <c r="C435" s="4" t="s">
        <v>794</v>
      </c>
      <c r="D435" s="4" t="s">
        <v>795</v>
      </c>
      <c r="F435" s="5" t="str">
        <f>IFERROR(__xludf.DUMMYFUNCTION("GOOGLETRANSLATE(A435, ""en"", ""hi"")"),"434")</f>
        <v>434</v>
      </c>
      <c r="G435" s="5" t="str">
        <f>IFERROR(__xludf.DUMMYFUNCTION("GOOGLETRANSLATE(B435, ""en"", ""hi"")"),"एशियाई खेलों में कबड्डी को नियमित खेल के रूप में किस वर्ष शामिल किया गया?")</f>
        <v>एशियाई खेलों में कबड्डी को नियमित खेल के रूप में किस वर्ष शामिल किया गया?</v>
      </c>
      <c r="H435" s="5" t="str">
        <f>IFERROR(__xludf.DUMMYFUNCTION("GOOGLETRANSLATE(C435, ""en"", ""hi"")"),"ए) 1962, बी) 1970, सी) 1986, डी) 1990")</f>
        <v>ए) 1962, बी) 1970, सी) 1986, डी) 1990</v>
      </c>
      <c r="I435" s="5" t="str">
        <f>IFERROR(__xludf.DUMMYFUNCTION("GOOGLETRANSLATE(D435, ""en"", ""hi"")"),"ए) 1962")</f>
        <v>ए) 1962</v>
      </c>
    </row>
    <row r="436" ht="22.5" customHeight="1">
      <c r="A436" s="3">
        <v>435.0</v>
      </c>
      <c r="B436" s="4" t="s">
        <v>796</v>
      </c>
      <c r="C436" s="4" t="s">
        <v>432</v>
      </c>
      <c r="D436" s="4" t="s">
        <v>797</v>
      </c>
      <c r="F436" s="5" t="str">
        <f>IFERROR(__xludf.DUMMYFUNCTION("GOOGLETRANSLATE(A436, ""en"", ""hi"")"),"435")</f>
        <v>435</v>
      </c>
      <c r="G436" s="5" t="str">
        <f>IFERROR(__xludf.DUMMYFUNCTION("GOOGLETRANSLATE(B436, ""en"", ""hi"")"),"किस भारतीय राज्य में 'कबड्डी फेस्ट' के नाम से एक कबड्डी टूर्नामेंट आयोजित होता है?")</f>
        <v>किस भारतीय राज्य में 'कबड्डी फेस्ट' के नाम से एक कबड्डी टूर्नामेंट आयोजित होता है?</v>
      </c>
      <c r="H436" s="5" t="str">
        <f>IFERROR(__xludf.DUMMYFUNCTION("GOOGLETRANSLATE(C436, ""en"", ""hi"")"),"A) कर्नाटक, B) तमिलनाडु, C) आंध्र प्रदेश, D) केरल")</f>
        <v>A) कर्नाटक, B) तमिलनाडु, C) आंध्र प्रदेश, D) केरल</v>
      </c>
      <c r="I436" s="5" t="str">
        <f>IFERROR(__xludf.DUMMYFUNCTION("GOOGLETRANSLATE(D436, ""en"", ""hi"")"),"C) आंध्र प्रदेश")</f>
        <v>C) आंध्र प्रदेश</v>
      </c>
    </row>
    <row r="437" ht="22.5" customHeight="1">
      <c r="A437" s="3">
        <v>436.0</v>
      </c>
      <c r="B437" s="4" t="s">
        <v>798</v>
      </c>
      <c r="C437" s="4" t="s">
        <v>714</v>
      </c>
      <c r="D437" s="4" t="s">
        <v>707</v>
      </c>
      <c r="F437" s="5" t="str">
        <f>IFERROR(__xludf.DUMMYFUNCTION("GOOGLETRANSLATE(A437, ""en"", ""hi"")"),"436")</f>
        <v>436</v>
      </c>
      <c r="G437" s="5" t="str">
        <f>IFERROR(__xludf.DUMMYFUNCTION("GOOGLETRANSLATE(B437, ""en"", ""hi"")"),"कौन सा उल्लेखनीय खिलाड़ी अपनी नवीन रेडिंग तकनीकों के लिए जाना जाता है और भारतीय कबड्डी में एक प्रमुख व्यक्ति रहा है?")</f>
        <v>कौन सा उल्लेखनीय खिलाड़ी अपनी नवीन रेडिंग तकनीकों के लिए जाना जाता है और भारतीय कबड्डी में एक प्रमुख व्यक्ति रहा है?</v>
      </c>
      <c r="H437" s="5" t="str">
        <f>IFERROR(__xludf.DUMMYFUNCTION("GOOGLETRANSLATE(C437, ""en"", ""hi"")"),"ए) अजय ठाकुर, बी) राहुल चौधरी, सी) प्रदीप नरवाल, डी) रिशांक देवाडिगा")</f>
        <v>ए) अजय ठाकुर, बी) राहुल चौधरी, सी) प्रदीप नरवाल, डी) रिशांक देवाडिगा</v>
      </c>
      <c r="I437" s="5" t="str">
        <f>IFERROR(__xludf.DUMMYFUNCTION("GOOGLETRANSLATE(D437, ""en"", ""hi"")"),"C) प्रदीप नरवाल")</f>
        <v>C) प्रदीप नरवाल</v>
      </c>
    </row>
    <row r="438" ht="22.5" customHeight="1">
      <c r="A438" s="3">
        <v>437.0</v>
      </c>
      <c r="B438" s="4" t="s">
        <v>799</v>
      </c>
      <c r="C438" s="4" t="s">
        <v>657</v>
      </c>
      <c r="D438" s="4" t="s">
        <v>13</v>
      </c>
      <c r="F438" s="5" t="str">
        <f>IFERROR(__xludf.DUMMYFUNCTION("GOOGLETRANSLATE(A438, ""en"", ""hi"")"),"437")</f>
        <v>437</v>
      </c>
      <c r="G438" s="5" t="str">
        <f>IFERROR(__xludf.DUMMYFUNCTION("GOOGLETRANSLATE(B438, ""en"", ""hi"")"),"भारत के किस राज्य में पारंपरिक कबड्डी शैली है जिसमें एक अनोखी छापा मारने की पद्धति शामिल है जिसे 'घातक कबड्डी' के नाम से जाना जाता है?")</f>
        <v>भारत के किस राज्य में पारंपरिक कबड्डी शैली है जिसमें एक अनोखी छापा मारने की पद्धति शामिल है जिसे 'घातक कबड्डी' के नाम से जाना जाता है?</v>
      </c>
      <c r="H438" s="5" t="str">
        <f>IFERROR(__xludf.DUMMYFUNCTION("GOOGLETRANSLATE(C438, ""en"", ""hi"")"),"A) पंजाब, B) हरियाणा, C) गुजरात, D) महाराष्ट्र")</f>
        <v>A) पंजाब, B) हरियाणा, C) गुजरात, D) महाराष्ट्र</v>
      </c>
      <c r="I438" s="5" t="str">
        <f>IFERROR(__xludf.DUMMYFUNCTION("GOOGLETRANSLATE(D438, ""en"", ""hi"")"),"D) महाराष्ट्र")</f>
        <v>D) महाराष्ट्र</v>
      </c>
    </row>
    <row r="439" ht="22.5" customHeight="1">
      <c r="A439" s="3">
        <v>438.0</v>
      </c>
      <c r="B439" s="4" t="s">
        <v>800</v>
      </c>
      <c r="C439" s="4" t="s">
        <v>801</v>
      </c>
      <c r="D439" s="4" t="s">
        <v>131</v>
      </c>
      <c r="F439" s="5" t="str">
        <f>IFERROR(__xludf.DUMMYFUNCTION("GOOGLETRANSLATE(A439, ""en"", ""hi"")"),"438")</f>
        <v>438</v>
      </c>
      <c r="G439" s="5" t="str">
        <f>IFERROR(__xludf.DUMMYFUNCTION("GOOGLETRANSLATE(B439, ""en"", ""hi"")"),"प्रो कबड्डी लीग में अपनी उपलब्धियों और कई सत्रों में अपनी टीम को जीत दिलाने के लिए जाने जाने वाले भारतीय कबड्डी खिलाड़ी कौन हैं?")</f>
        <v>प्रो कबड्डी लीग में अपनी उपलब्धियों और कई सत्रों में अपनी टीम को जीत दिलाने के लिए जाने जाने वाले भारतीय कबड्डी खिलाड़ी कौन हैं?</v>
      </c>
      <c r="H439" s="5" t="str">
        <f>IFERROR(__xludf.DUMMYFUNCTION("GOOGLETRANSLATE(C439, ""en"", ""hi"")"),"ए) मंजीत छिल्लर, बी) अनुप कुमार, सी) प्रदीप नरवाल, डी) अजय ठाकुर")</f>
        <v>ए) मंजीत छिल्लर, बी) अनुप कुमार, सी) प्रदीप नरवाल, डी) अजय ठाकुर</v>
      </c>
      <c r="I439" s="5" t="str">
        <f>IFERROR(__xludf.DUMMYFUNCTION("GOOGLETRANSLATE(D439, ""en"", ""hi"")"),"बी) अनूप कुमार")</f>
        <v>बी) अनूप कुमार</v>
      </c>
    </row>
    <row r="440" ht="22.5" customHeight="1">
      <c r="A440" s="3">
        <v>439.0</v>
      </c>
      <c r="B440" s="4" t="s">
        <v>802</v>
      </c>
      <c r="C440" s="4" t="s">
        <v>803</v>
      </c>
      <c r="D440" s="4" t="s">
        <v>131</v>
      </c>
      <c r="F440" s="5" t="str">
        <f>IFERROR(__xludf.DUMMYFUNCTION("GOOGLETRANSLATE(A440, ""en"", ""hi"")"),"439")</f>
        <v>439</v>
      </c>
      <c r="G440" s="5" t="str">
        <f>IFERROR(__xludf.DUMMYFUNCTION("GOOGLETRANSLATE(B440, ""en"", ""hi"")"),"कौन सा भारतीय कबड्डी खिलाड़ी उच्च दांव वाले मैचों के दौरान अपने नेतृत्व और सामरिक कौशल के लिए जाना जाता है?")</f>
        <v>कौन सा भारतीय कबड्डी खिलाड़ी उच्च दांव वाले मैचों के दौरान अपने नेतृत्व और सामरिक कौशल के लिए जाना जाता है?</v>
      </c>
      <c r="H440" s="5" t="str">
        <f>IFERROR(__xludf.DUMMYFUNCTION("GOOGLETRANSLATE(C440, ""en"", ""hi"")"),"ए) राकेश कुमार, बी) अनुप कुमार, सी) प्रदीप नरवाल, डी) राहुल चौधरी")</f>
        <v>ए) राकेश कुमार, बी) अनुप कुमार, सी) प्रदीप नरवाल, डी) राहुल चौधरी</v>
      </c>
      <c r="I440" s="5" t="str">
        <f>IFERROR(__xludf.DUMMYFUNCTION("GOOGLETRANSLATE(D440, ""en"", ""hi"")"),"बी) अनूप कुमार")</f>
        <v>बी) अनूप कुमार</v>
      </c>
    </row>
    <row r="441" ht="22.5" customHeight="1">
      <c r="A441" s="3">
        <v>440.0</v>
      </c>
      <c r="B441" s="4" t="s">
        <v>804</v>
      </c>
      <c r="C441" s="4" t="s">
        <v>678</v>
      </c>
      <c r="D441" s="4" t="s">
        <v>789</v>
      </c>
      <c r="F441" s="5" t="str">
        <f>IFERROR(__xludf.DUMMYFUNCTION("GOOGLETRANSLATE(A441, ""en"", ""hi"")"),"440")</f>
        <v>440</v>
      </c>
      <c r="G441" s="5" t="str">
        <f>IFERROR(__xludf.DUMMYFUNCTION("GOOGLETRANSLATE(B441, ""en"", ""hi"")"),"कौन सी भारतीय कबड्डी टीम अपनी मजबूत रक्षात्मक रणनीतियों के लिए जानी जाती है और प्रो कबड्डी लीग में कई खिताब जीत चुकी है?")</f>
        <v>कौन सी भारतीय कबड्डी टीम अपनी मजबूत रक्षात्मक रणनीतियों के लिए जानी जाती है और प्रो कबड्डी लीग में कई खिताब जीत चुकी है?</v>
      </c>
      <c r="H441" s="5" t="str">
        <f>IFERROR(__xludf.DUMMYFUNCTION("GOOGLETRANSLATE(C441, ""en"", ""hi"")"),"ए) जयपुर पिंक पैंथर्स, बी) यू मुंबा, सी) बेंगलुरु बुल्स, डी) दबंग दिल्ली")</f>
        <v>ए) जयपुर पिंक पैंथर्स, बी) यू मुंबा, सी) बेंगलुरु बुल्स, डी) दबंग दिल्ली</v>
      </c>
      <c r="I441" s="5" t="str">
        <f>IFERROR(__xludf.DUMMYFUNCTION("GOOGLETRANSLATE(D441, ""en"", ""hi"")"),"बी) यू मुंबई")</f>
        <v>बी) यू मुंबई</v>
      </c>
    </row>
    <row r="442" ht="22.5" customHeight="1">
      <c r="A442" s="3">
        <v>441.0</v>
      </c>
      <c r="B442" s="4" t="s">
        <v>805</v>
      </c>
      <c r="C442" s="4" t="s">
        <v>743</v>
      </c>
      <c r="D442" s="4" t="s">
        <v>474</v>
      </c>
      <c r="F442" s="5" t="str">
        <f>IFERROR(__xludf.DUMMYFUNCTION("GOOGLETRANSLATE(A442, ""en"", ""hi"")"),"441")</f>
        <v>441</v>
      </c>
      <c r="G442" s="5" t="str">
        <f>IFERROR(__xludf.DUMMYFUNCTION("GOOGLETRANSLATE(B442, ""en"", ""hi"")"),"कौन सा शहर अपने प्रमुख कबड्डी खिलाड़ियों के लिए जाना जाता है और वहां कबड्डी संस्कृति मजबूत है?")</f>
        <v>कौन सा शहर अपने प्रमुख कबड्डी खिलाड़ियों के लिए जाना जाता है और वहां कबड्डी संस्कृति मजबूत है?</v>
      </c>
      <c r="H442" s="5" t="str">
        <f>IFERROR(__xludf.DUMMYFUNCTION("GOOGLETRANSLATE(C442, ""en"", ""hi"")"),"A) पटना, B) मुंबई, C) दिल्ली, D) बेंगलुरु")</f>
        <v>A) पटना, B) मुंबई, C) दिल्ली, D) बेंगलुरु</v>
      </c>
      <c r="I442" s="5" t="str">
        <f>IFERROR(__xludf.DUMMYFUNCTION("GOOGLETRANSLATE(D442, ""en"", ""hi"")"),"ए) पटना")</f>
        <v>ए) पटना</v>
      </c>
    </row>
    <row r="443" ht="22.5" customHeight="1">
      <c r="A443" s="3">
        <v>442.0</v>
      </c>
      <c r="B443" s="4" t="s">
        <v>806</v>
      </c>
      <c r="C443" s="4" t="s">
        <v>807</v>
      </c>
      <c r="D443" s="4" t="s">
        <v>808</v>
      </c>
      <c r="F443" s="5" t="str">
        <f>IFERROR(__xludf.DUMMYFUNCTION("GOOGLETRANSLATE(A443, ""en"", ""hi"")"),"442")</f>
        <v>442</v>
      </c>
      <c r="G443" s="5" t="str">
        <f>IFERROR(__xludf.DUMMYFUNCTION("GOOGLETRANSLATE(B443, ""en"", ""hi"")"),"पंजाब में आयोजित होने वाले वार्षिक कबड्डी टूर्नामेंट का नाम क्या है जिसमें देश भर से टीमें भाग लेती हैं?")</f>
        <v>पंजाब में आयोजित होने वाले वार्षिक कबड्डी टूर्नामेंट का नाम क्या है जिसमें देश भर से टीमें भाग लेती हैं?</v>
      </c>
      <c r="H443" s="5" t="str">
        <f>IFERROR(__xludf.DUMMYFUNCTION("GOOGLETRANSLATE(C443, ""en"", ""hi"")"),"A) कबड्डी महोत्सव, B) कबड्डी चैम्पियनशिप, C) कबड्डी मेला, D) कबड्डी सीमा")</f>
        <v>A) कबड्डी महोत्सव, B) कबड्डी चैम्पियनशिप, C) कबड्डी मेला, D) कबड्डी सीमा</v>
      </c>
      <c r="I443" s="5" t="str">
        <f>IFERROR(__xludf.DUMMYFUNCTION("GOOGLETRANSLATE(D443, ""en"", ""hi"")"),"C) कबड्डी मेला")</f>
        <v>C) कबड्डी मेला</v>
      </c>
    </row>
    <row r="444" ht="22.5" customHeight="1">
      <c r="A444" s="3">
        <v>443.0</v>
      </c>
      <c r="B444" s="4" t="s">
        <v>809</v>
      </c>
      <c r="C444" s="4" t="s">
        <v>664</v>
      </c>
      <c r="D444" s="4" t="s">
        <v>731</v>
      </c>
      <c r="F444" s="5" t="str">
        <f>IFERROR(__xludf.DUMMYFUNCTION("GOOGLETRANSLATE(A444, ""en"", ""hi"")"),"443")</f>
        <v>443</v>
      </c>
      <c r="G444" s="5" t="str">
        <f>IFERROR(__xludf.DUMMYFUNCTION("GOOGLETRANSLATE(B444, ""en"", ""hi"")"),"प्रो कबड्डी लीग के एक सत्र में किस भारतीय कबड्डी खिलाड़ी ने सबसे अधिक सफल टैकल किए हैं?")</f>
        <v>प्रो कबड्डी लीग के एक सत्र में किस भारतीय कबड्डी खिलाड़ी ने सबसे अधिक सफल टैकल किए हैं?</v>
      </c>
      <c r="H444" s="5" t="str">
        <f>IFERROR(__xludf.DUMMYFUNCTION("GOOGLETRANSLATE(C444, ""en"", ""hi"")"),"ए) सुरजीत सिंह, बी) मंजीत छिल्लर, सी) नितेश कुमार, डी) विशाल भारद्वाज")</f>
        <v>ए) सुरजीत सिंह, बी) मंजीत छिल्लर, सी) नितेश कुमार, डी) विशाल भारद्वाज</v>
      </c>
      <c r="I444" s="5" t="str">
        <f>IFERROR(__xludf.DUMMYFUNCTION("GOOGLETRANSLATE(D444, ""en"", ""hi"")"),"A) सुरजीत सिंह")</f>
        <v>A) सुरजीत सिंह</v>
      </c>
    </row>
    <row r="445" ht="22.5" customHeight="1">
      <c r="A445" s="3">
        <v>444.0</v>
      </c>
      <c r="B445" s="4" t="s">
        <v>810</v>
      </c>
      <c r="C445" s="4" t="s">
        <v>769</v>
      </c>
      <c r="D445" s="4" t="s">
        <v>811</v>
      </c>
      <c r="F445" s="5" t="str">
        <f>IFERROR(__xludf.DUMMYFUNCTION("GOOGLETRANSLATE(A445, ""en"", ""hi"")"),"444")</f>
        <v>444</v>
      </c>
      <c r="G445" s="5" t="str">
        <f>IFERROR(__xludf.DUMMYFUNCTION("GOOGLETRANSLATE(B445, ""en"", ""hi"")"),"भारत का कौन सा राज्य 'चकदे कबड्डी' नामक अपनी अनूठी कबड्डी शैली के लिए जाना जाता है?")</f>
        <v>भारत का कौन सा राज्य 'चकदे कबड्डी' नामक अपनी अनूठी कबड्डी शैली के लिए जाना जाता है?</v>
      </c>
      <c r="H445" s="5" t="str">
        <f>IFERROR(__xludf.DUMMYFUNCTION("GOOGLETRANSLATE(C445, ""en"", ""hi"")"),"A) तमिलनाडु, B) आंध्र प्रदेश, C) कर्नाटक, D) केरल")</f>
        <v>A) तमिलनाडु, B) आंध्र प्रदेश, C) कर्नाटक, D) केरल</v>
      </c>
      <c r="I445" s="5" t="str">
        <f>IFERROR(__xludf.DUMMYFUNCTION("GOOGLETRANSLATE(D445, ""en"", ""hi"")"),"बी) आंध्र प्रदेश")</f>
        <v>बी) आंध्र प्रदेश</v>
      </c>
    </row>
    <row r="446" ht="22.5" customHeight="1">
      <c r="A446" s="3">
        <v>445.0</v>
      </c>
      <c r="B446" s="4" t="s">
        <v>812</v>
      </c>
      <c r="C446" s="4" t="s">
        <v>813</v>
      </c>
      <c r="D446" s="4" t="s">
        <v>814</v>
      </c>
      <c r="F446" s="5" t="str">
        <f>IFERROR(__xludf.DUMMYFUNCTION("GOOGLETRANSLATE(A446, ""en"", ""hi"")"),"445")</f>
        <v>445</v>
      </c>
      <c r="G446" s="5" t="str">
        <f>IFERROR(__xludf.DUMMYFUNCTION("GOOGLETRANSLATE(B446, ""en"", ""hi"")"),"किस वर्ष कबड्डी भारतीय स्कूल खेलों में एक प्रमुख खेल बन गया?")</f>
        <v>किस वर्ष कबड्डी भारतीय स्कूल खेलों में एक प्रमुख खेल बन गया?</v>
      </c>
      <c r="H446" s="5" t="str">
        <f>IFERROR(__xludf.DUMMYFUNCTION("GOOGLETRANSLATE(C446, ""en"", ""hi"")"),"ए) 1980, बी) 1990, सी) 2000, डी) 2010")</f>
        <v>ए) 1980, बी) 1990, सी) 2000, डी) 2010</v>
      </c>
      <c r="I446" s="5" t="str">
        <f>IFERROR(__xludf.DUMMYFUNCTION("GOOGLETRANSLATE(D446, ""en"", ""hi"")"),"बी) 1990")</f>
        <v>बी) 1990</v>
      </c>
    </row>
    <row r="447" ht="22.5" customHeight="1">
      <c r="A447" s="3">
        <v>446.0</v>
      </c>
      <c r="B447" s="4" t="s">
        <v>815</v>
      </c>
      <c r="C447" s="4" t="s">
        <v>816</v>
      </c>
      <c r="D447" s="4" t="s">
        <v>491</v>
      </c>
      <c r="F447" s="5" t="str">
        <f>IFERROR(__xludf.DUMMYFUNCTION("GOOGLETRANSLATE(A447, ""en"", ""hi"")"),"446")</f>
        <v>446</v>
      </c>
      <c r="G447" s="5" t="str">
        <f>IFERROR(__xludf.DUMMYFUNCTION("GOOGLETRANSLATE(B447, ""en"", ""hi"")"),"प्रो कबड्डी लीग में अपने उत्कृष्ट रेडिंग कौशल और लगातार प्रदर्शन के लिए जाने जाने वाले भारतीय कबड्डी खिलाड़ी कौन हैं?")</f>
        <v>प्रो कबड्डी लीग में अपने उत्कृष्ट रेडिंग कौशल और लगातार प्रदर्शन के लिए जाने जाने वाले भारतीय कबड्डी खिलाड़ी कौन हैं?</v>
      </c>
      <c r="H447" s="5" t="str">
        <f>IFERROR(__xludf.DUMMYFUNCTION("GOOGLETRANSLATE(C447, ""en"", ""hi"")"),"ए) राहुल चौधरी, बी) प्रदीप नरवाल, सी) अजय ठाकुर, डी) रिशांक देवाडिगा")</f>
        <v>ए) राहुल चौधरी, बी) प्रदीप नरवाल, सी) अजय ठाकुर, डी) रिशांक देवाडिगा</v>
      </c>
      <c r="I447" s="5" t="str">
        <f>IFERROR(__xludf.DUMMYFUNCTION("GOOGLETRANSLATE(D447, ""en"", ""hi"")"),"B) प्रदीप नरवाल")</f>
        <v>B) प्रदीप नरवाल</v>
      </c>
    </row>
    <row r="448" ht="22.5" customHeight="1">
      <c r="A448" s="3">
        <v>447.0</v>
      </c>
      <c r="B448" s="4" t="s">
        <v>817</v>
      </c>
      <c r="C448" s="4" t="s">
        <v>818</v>
      </c>
      <c r="D448" s="4" t="s">
        <v>819</v>
      </c>
      <c r="F448" s="5" t="str">
        <f>IFERROR(__xludf.DUMMYFUNCTION("GOOGLETRANSLATE(A448, ""en"", ""hi"")"),"447")</f>
        <v>447</v>
      </c>
      <c r="G448" s="5" t="str">
        <f>IFERROR(__xludf.DUMMYFUNCTION("GOOGLETRANSLATE(B448, ""en"", ""hi"")"),"भारतीय राज्य हरियाणा में प्रतिवर्ष कौन सा उल्लेखनीय कबड्डी टूर्नामेंट आयोजित किया जाता है?")</f>
        <v>भारतीय राज्य हरियाणा में प्रतिवर्ष कौन सा उल्लेखनीय कबड्डी टूर्नामेंट आयोजित किया जाता है?</v>
      </c>
      <c r="H448" s="5" t="str">
        <f>IFERROR(__xludf.DUMMYFUNCTION("GOOGLETRANSLATE(C448, ""en"", ""hi"")"),"A) कबड्डी चैंपियनशिप, B) कबड्डी महोत्सव, C) कबड्डी मेला, D) कबड्डी सीमा")</f>
        <v>A) कबड्डी चैंपियनशिप, B) कबड्डी महोत्सव, C) कबड्डी मेला, D) कबड्डी सीमा</v>
      </c>
      <c r="I448" s="5" t="str">
        <f>IFERROR(__xludf.DUMMYFUNCTION("GOOGLETRANSLATE(D448, ""en"", ""hi"")"),"ए) कबड्डी चैंपियनशिप")</f>
        <v>ए) कबड्डी चैंपियनशिप</v>
      </c>
    </row>
    <row r="449" ht="22.5" customHeight="1">
      <c r="A449" s="3">
        <v>448.0</v>
      </c>
      <c r="B449" s="4" t="s">
        <v>820</v>
      </c>
      <c r="C449" s="4" t="s">
        <v>782</v>
      </c>
      <c r="D449" s="4" t="s">
        <v>474</v>
      </c>
      <c r="F449" s="5" t="str">
        <f>IFERROR(__xludf.DUMMYFUNCTION("GOOGLETRANSLATE(A449, ""en"", ""hi"")"),"448")</f>
        <v>448</v>
      </c>
      <c r="G449" s="5" t="str">
        <f>IFERROR(__xludf.DUMMYFUNCTION("GOOGLETRANSLATE(B449, ""en"", ""hi"")"),"किस भारतीय शहर ने कई प्रमुख कबड्डी खिलाड़ी पैदा किए हैं और इस खेल की एक मजबूत परंपरा है?")</f>
        <v>किस भारतीय शहर ने कई प्रमुख कबड्डी खिलाड़ी पैदा किए हैं और इस खेल की एक मजबूत परंपरा है?</v>
      </c>
      <c r="H449" s="5" t="str">
        <f>IFERROR(__xludf.DUMMYFUNCTION("GOOGLETRANSLATE(C449, ""en"", ""hi"")"),"A) पटना, B) दिल्ली, C) मुंबई, D) बेंगलुरु")</f>
        <v>A) पटना, B) दिल्ली, C) मुंबई, D) बेंगलुरु</v>
      </c>
      <c r="I449" s="5" t="str">
        <f>IFERROR(__xludf.DUMMYFUNCTION("GOOGLETRANSLATE(D449, ""en"", ""hi"")"),"ए) पटना")</f>
        <v>ए) पटना</v>
      </c>
    </row>
    <row r="450" ht="22.5" customHeight="1">
      <c r="A450" s="3">
        <v>449.0</v>
      </c>
      <c r="B450" s="4" t="s">
        <v>821</v>
      </c>
      <c r="C450" s="4" t="s">
        <v>822</v>
      </c>
      <c r="D450" s="4" t="s">
        <v>823</v>
      </c>
      <c r="F450" s="5" t="str">
        <f>IFERROR(__xludf.DUMMYFUNCTION("GOOGLETRANSLATE(A450, ""en"", ""hi"")"),"449")</f>
        <v>449</v>
      </c>
      <c r="G450" s="5" t="str">
        <f>IFERROR(__xludf.DUMMYFUNCTION("GOOGLETRANSLATE(B450, ""en"", ""hi"")"),"कौन सा पारंपरिक कबड्डी कार्यक्रम भारतीय राज्य पंजाब में प्रतिवर्ष आयोजित किया जाता है और इसमें विभिन्न क्षेत्रों की टीमें भाग लेती हैं?")</f>
        <v>कौन सा पारंपरिक कबड्डी कार्यक्रम भारतीय राज्य पंजाब में प्रतिवर्ष आयोजित किया जाता है और इसमें विभिन्न क्षेत्रों की टीमें भाग लेती हैं?</v>
      </c>
      <c r="H450" s="5" t="str">
        <f>IFERROR(__xludf.DUMMYFUNCTION("GOOGLETRANSLATE(C450, ""en"", ""hi"")"),"A) कबड्डी उत्सव, B) कबड्डी मेला, C) कबड्डी चैम्पियनशिप, D) कबड्डी टूर्नामेंट")</f>
        <v>A) कबड्डी उत्सव, B) कबड्डी मेला, C) कबड्डी चैम्पियनशिप, D) कबड्डी टूर्नामेंट</v>
      </c>
      <c r="I450" s="5" t="str">
        <f>IFERROR(__xludf.DUMMYFUNCTION("GOOGLETRANSLATE(D450, ""en"", ""hi"")"),"बी) कबड्डी मेला")</f>
        <v>बी) कबड्डी मेला</v>
      </c>
    </row>
    <row r="451" ht="22.5" customHeight="1">
      <c r="A451" s="3">
        <v>450.0</v>
      </c>
      <c r="B451" s="4" t="s">
        <v>824</v>
      </c>
      <c r="C451" s="4" t="s">
        <v>803</v>
      </c>
      <c r="D451" s="4" t="s">
        <v>131</v>
      </c>
      <c r="F451" s="5" t="str">
        <f>IFERROR(__xludf.DUMMYFUNCTION("GOOGLETRANSLATE(A451, ""en"", ""hi"")"),"450")</f>
        <v>450</v>
      </c>
      <c r="G451" s="5" t="str">
        <f>IFERROR(__xludf.DUMMYFUNCTION("GOOGLETRANSLATE(B451, ""en"", ""hi"")"),"कौन सा कबड्डी खिलाड़ी अपने असाधारण कौशल और भारतीय राष्ट्रीय टीम में योगदान के लिए जाना जाता है?")</f>
        <v>कौन सा कबड्डी खिलाड़ी अपने असाधारण कौशल और भारतीय राष्ट्रीय टीम में योगदान के लिए जाना जाता है?</v>
      </c>
      <c r="H451" s="5" t="str">
        <f>IFERROR(__xludf.DUMMYFUNCTION("GOOGLETRANSLATE(C451, ""en"", ""hi"")"),"ए) राकेश कुमार, बी) अनुप कुमार, सी) प्रदीप नरवाल, डी) राहुल चौधरी")</f>
        <v>ए) राकेश कुमार, बी) अनुप कुमार, सी) प्रदीप नरवाल, डी) राहुल चौधरी</v>
      </c>
      <c r="I451" s="5" t="str">
        <f>IFERROR(__xludf.DUMMYFUNCTION("GOOGLETRANSLATE(D451, ""en"", ""hi"")"),"बी) अनूप कुमार")</f>
        <v>बी) अनूप कुमार</v>
      </c>
    </row>
    <row r="452" ht="22.5" customHeight="1">
      <c r="A452" s="3">
        <v>451.0</v>
      </c>
      <c r="B452" s="4" t="s">
        <v>825</v>
      </c>
      <c r="C452" s="4" t="s">
        <v>779</v>
      </c>
      <c r="D452" s="4" t="s">
        <v>826</v>
      </c>
      <c r="F452" s="5" t="str">
        <f>IFERROR(__xludf.DUMMYFUNCTION("GOOGLETRANSLATE(A452, ""en"", ""hi"")"),"451")</f>
        <v>451</v>
      </c>
      <c r="G452" s="5" t="str">
        <f>IFERROR(__xludf.DUMMYFUNCTION("GOOGLETRANSLATE(B452, ""en"", ""hi"")"),"कौन सा भारतीय राज्य 'ग्रामीण कबड्डी' के नाम से जानी जाने वाली कबड्डी की अनूठी शैली के लिए प्रसिद्ध है?")</f>
        <v>कौन सा भारतीय राज्य 'ग्रामीण कबड्डी' के नाम से जानी जाने वाली कबड्डी की अनूठी शैली के लिए प्रसिद्ध है?</v>
      </c>
      <c r="H452" s="5" t="str">
        <f>IFERROR(__xludf.DUMMYFUNCTION("GOOGLETRANSLATE(C452, ""en"", ""hi"")"),"ए) पंजाब, बी) हरियाणा, सी) बिहार, डी) उत्तर प्रदेश")</f>
        <v>ए) पंजाब, बी) हरियाणा, सी) बिहार, डी) उत्तर प्रदेश</v>
      </c>
      <c r="I452" s="5" t="str">
        <f>IFERROR(__xludf.DUMMYFUNCTION("GOOGLETRANSLATE(D452, ""en"", ""hi"")"),"C) बिहार")</f>
        <v>C) बिहार</v>
      </c>
    </row>
    <row r="453" ht="22.5" customHeight="1">
      <c r="A453" s="3">
        <v>452.0</v>
      </c>
      <c r="B453" s="4" t="s">
        <v>827</v>
      </c>
      <c r="C453" s="4" t="s">
        <v>828</v>
      </c>
      <c r="D453" s="4" t="s">
        <v>829</v>
      </c>
      <c r="F453" s="5" t="str">
        <f>IFERROR(__xludf.DUMMYFUNCTION("GOOGLETRANSLATE(A453, ""en"", ""hi"")"),"452")</f>
        <v>452</v>
      </c>
      <c r="G453" s="5" t="str">
        <f>IFERROR(__xludf.DUMMYFUNCTION("GOOGLETRANSLATE(B453, ""en"", ""hi"")"),"कबड्डी किस वर्ष भारतीय स्कूल खेल महासंघ में एक आधिकारिक खेल बन गया?")</f>
        <v>कबड्डी किस वर्ष भारतीय स्कूल खेल महासंघ में एक आधिकारिक खेल बन गया?</v>
      </c>
      <c r="H453" s="5" t="str">
        <f>IFERROR(__xludf.DUMMYFUNCTION("GOOGLETRANSLATE(C453, ""en"", ""hi"")"),"ए) 1995, बी) 2000, सी) 2005, डी) 2010")</f>
        <v>ए) 1995, बी) 2000, सी) 2005, डी) 2010</v>
      </c>
      <c r="I453" s="5" t="str">
        <f>IFERROR(__xludf.DUMMYFUNCTION("GOOGLETRANSLATE(D453, ""en"", ""hi"")"),"बी) 2000")</f>
        <v>बी) 2000</v>
      </c>
    </row>
    <row r="454" ht="22.5" customHeight="1">
      <c r="A454" s="3">
        <v>453.0</v>
      </c>
      <c r="B454" s="4" t="s">
        <v>830</v>
      </c>
      <c r="C454" s="4" t="s">
        <v>714</v>
      </c>
      <c r="D454" s="4" t="s">
        <v>214</v>
      </c>
      <c r="F454" s="5" t="str">
        <f>IFERROR(__xludf.DUMMYFUNCTION("GOOGLETRANSLATE(A454, ""en"", ""hi"")"),"453")</f>
        <v>453</v>
      </c>
      <c r="G454" s="5" t="str">
        <f>IFERROR(__xludf.DUMMYFUNCTION("GOOGLETRANSLATE(B454, ""en"", ""hi"")"),"कौन सा कबड्डी खिलाड़ी अपनी रणनीतिक रेडिंग के लिए जाना जाता है और जिसने प्रो कबड्डी लीग पर महत्वपूर्ण प्रभाव डाला है?")</f>
        <v>कौन सा कबड्डी खिलाड़ी अपनी रणनीतिक रेडिंग के लिए जाना जाता है और जिसने प्रो कबड्डी लीग पर महत्वपूर्ण प्रभाव डाला है?</v>
      </c>
      <c r="H454" s="5" t="str">
        <f>IFERROR(__xludf.DUMMYFUNCTION("GOOGLETRANSLATE(C454, ""en"", ""hi"")"),"ए) अजय ठाकुर, बी) राहुल चौधरी, सी) प्रदीप नरवाल, डी) रिशांक देवाडिगा")</f>
        <v>ए) अजय ठाकुर, बी) राहुल चौधरी, सी) प्रदीप नरवाल, डी) रिशांक देवाडिगा</v>
      </c>
      <c r="I454" s="5" t="str">
        <f>IFERROR(__xludf.DUMMYFUNCTION("GOOGLETRANSLATE(D454, ""en"", ""hi"")"),"A) अजय ठाकुर")</f>
        <v>A) अजय ठाकुर</v>
      </c>
    </row>
    <row r="455" ht="22.5" customHeight="1">
      <c r="A455" s="3">
        <v>454.0</v>
      </c>
      <c r="B455" s="4" t="s">
        <v>831</v>
      </c>
      <c r="C455" s="4" t="s">
        <v>782</v>
      </c>
      <c r="D455" s="4" t="s">
        <v>236</v>
      </c>
      <c r="F455" s="5" t="str">
        <f>IFERROR(__xludf.DUMMYFUNCTION("GOOGLETRANSLATE(A455, ""en"", ""hi"")"),"454")</f>
        <v>454</v>
      </c>
      <c r="G455" s="5" t="str">
        <f>IFERROR(__xludf.DUMMYFUNCTION("GOOGLETRANSLATE(B455, ""en"", ""hi"")"),"2016 में कबड्डी विश्व कप की मेजबानी किस शहर ने की?")</f>
        <v>2016 में कबड्डी विश्व कप की मेजबानी किस शहर ने की?</v>
      </c>
      <c r="H455" s="5" t="str">
        <f>IFERROR(__xludf.DUMMYFUNCTION("GOOGLETRANSLATE(C455, ""en"", ""hi"")"),"A) पटना, B) दिल्ली, C) मुंबई, D) बेंगलुरु")</f>
        <v>A) पटना, B) दिल्ली, C) मुंबई, D) बेंगलुरु</v>
      </c>
      <c r="I455" s="5" t="str">
        <f>IFERROR(__xludf.DUMMYFUNCTION("GOOGLETRANSLATE(D455, ""en"", ""hi"")"),"बी) दिल्ली")</f>
        <v>बी) दिल्ली</v>
      </c>
    </row>
    <row r="456" ht="22.5" customHeight="1">
      <c r="A456" s="3">
        <v>455.0</v>
      </c>
      <c r="B456" s="4" t="s">
        <v>832</v>
      </c>
      <c r="C456" s="4" t="s">
        <v>833</v>
      </c>
      <c r="D456" s="4" t="s">
        <v>195</v>
      </c>
      <c r="F456" s="5" t="str">
        <f>IFERROR(__xludf.DUMMYFUNCTION("GOOGLETRANSLATE(A456, ""en"", ""hi"")"),"455")</f>
        <v>455</v>
      </c>
      <c r="G456" s="5" t="str">
        <f>IFERROR(__xludf.DUMMYFUNCTION("GOOGLETRANSLATE(B456, ""en"", ""hi"")"),"प्रो कबड्डी लीग में अपने उल्लेखनीय रक्षात्मक कौशल और नेतृत्व के लिए जाने जाने वाले भारतीय कबड्डी खिलाड़ी कौन हैं?")</f>
        <v>प्रो कबड्डी लीग में अपने उल्लेखनीय रक्षात्मक कौशल और नेतृत्व के लिए जाने जाने वाले भारतीय कबड्डी खिलाड़ी कौन हैं?</v>
      </c>
      <c r="H456" s="5" t="str">
        <f>IFERROR(__xludf.DUMMYFUNCTION("GOOGLETRANSLATE(C456, ""en"", ""hi"")"),"ए) मंजीत छिल्लर, बी) सुरजीत सिंह, सी) विशाल भारद्वाज, डी) नितेश कुमार")</f>
        <v>ए) मंजीत छिल्लर, बी) सुरजीत सिंह, सी) विशाल भारद्वाज, डी) नितेश कुमार</v>
      </c>
      <c r="I456" s="5" t="str">
        <f>IFERROR(__xludf.DUMMYFUNCTION("GOOGLETRANSLATE(D456, ""en"", ""hi"")"),"A) मंजीत छिल्लर")</f>
        <v>A) मंजीत छिल्लर</v>
      </c>
    </row>
    <row r="457" ht="22.5" customHeight="1">
      <c r="A457" s="3">
        <v>456.0</v>
      </c>
      <c r="B457" s="4" t="s">
        <v>834</v>
      </c>
      <c r="C457" s="4" t="s">
        <v>769</v>
      </c>
      <c r="D457" s="4" t="s">
        <v>811</v>
      </c>
      <c r="F457" s="5" t="str">
        <f>IFERROR(__xludf.DUMMYFUNCTION("GOOGLETRANSLATE(A457, ""en"", ""hi"")"),"456")</f>
        <v>456</v>
      </c>
      <c r="G457" s="5" t="str">
        <f>IFERROR(__xludf.DUMMYFUNCTION("GOOGLETRANSLATE(B457, ""en"", ""hi"")"),"किस भारतीय राज्य में पारंपरिक कबड्डी टूर्नामेंट है जो अपनी प्रतिस्पर्धी भावना और उच्च स्तरीय खेल के लिए जाना जाता है?")</f>
        <v>किस भारतीय राज्य में पारंपरिक कबड्डी टूर्नामेंट है जो अपनी प्रतिस्पर्धी भावना और उच्च स्तरीय खेल के लिए जाना जाता है?</v>
      </c>
      <c r="H457" s="5" t="str">
        <f>IFERROR(__xludf.DUMMYFUNCTION("GOOGLETRANSLATE(C457, ""en"", ""hi"")"),"A) तमिलनाडु, B) आंध्र प्रदेश, C) कर्नाटक, D) केरल")</f>
        <v>A) तमिलनाडु, B) आंध्र प्रदेश, C) कर्नाटक, D) केरल</v>
      </c>
      <c r="I457" s="5" t="str">
        <f>IFERROR(__xludf.DUMMYFUNCTION("GOOGLETRANSLATE(D457, ""en"", ""hi"")"),"बी) आंध्र प्रदेश")</f>
        <v>बी) आंध्र प्रदेश</v>
      </c>
    </row>
    <row r="458" ht="22.5" customHeight="1">
      <c r="A458" s="3">
        <v>457.0</v>
      </c>
      <c r="B458" s="4" t="s">
        <v>835</v>
      </c>
      <c r="C458" s="4" t="s">
        <v>836</v>
      </c>
      <c r="D458" s="4" t="s">
        <v>837</v>
      </c>
      <c r="F458" s="5" t="str">
        <f>IFERROR(__xludf.DUMMYFUNCTION("GOOGLETRANSLATE(A458, ""en"", ""hi"")"),"457")</f>
        <v>457</v>
      </c>
      <c r="G458" s="5" t="str">
        <f>IFERROR(__xludf.DUMMYFUNCTION("GOOGLETRANSLATE(B458, ""en"", ""hi"")"),"प्रो कबड्डी लीग में 'सुपर टैकल' की अवधारणा किस वर्ष शुरू की गई?")</f>
        <v>प्रो कबड्डी लीग में 'सुपर टैकल' की अवधारणा किस वर्ष शुरू की गई?</v>
      </c>
      <c r="H458" s="5" t="str">
        <f>IFERROR(__xludf.DUMMYFUNCTION("GOOGLETRANSLATE(C458, ""en"", ""hi"")"),"ए) 2014, बी) 2015, सी) 2016, डी) 2017")</f>
        <v>ए) 2014, बी) 2015, सी) 2016, डी) 2017</v>
      </c>
      <c r="I458" s="5" t="str">
        <f>IFERROR(__xludf.DUMMYFUNCTION("GOOGLETRANSLATE(D458, ""en"", ""hi"")"),"बी) 2015")</f>
        <v>बी) 2015</v>
      </c>
    </row>
    <row r="459" ht="22.5" customHeight="1">
      <c r="A459" s="3">
        <v>458.0</v>
      </c>
      <c r="B459" s="4" t="s">
        <v>838</v>
      </c>
      <c r="C459" s="4" t="s">
        <v>659</v>
      </c>
      <c r="D459" s="4" t="s">
        <v>95</v>
      </c>
      <c r="F459" s="5" t="str">
        <f>IFERROR(__xludf.DUMMYFUNCTION("GOOGLETRANSLATE(A459, ""en"", ""hi"")"),"458")</f>
        <v>458</v>
      </c>
      <c r="G459" s="5" t="str">
        <f>IFERROR(__xludf.DUMMYFUNCTION("GOOGLETRANSLATE(B459, ""en"", ""hi"")"),"प्रो कबड्डी लीग के एक सत्र में किस उल्लेखनीय कबड्डी खिलाड़ी ने सर्वाधिक अंक अर्जित किए हैं?")</f>
        <v>प्रो कबड्डी लीग के एक सत्र में किस उल्लेखनीय कबड्डी खिलाड़ी ने सर्वाधिक अंक अर्जित किए हैं?</v>
      </c>
      <c r="H459" s="5" t="str">
        <f>IFERROR(__xludf.DUMMYFUNCTION("GOOGLETRANSLATE(C459, ""en"", ""hi"")"),"ए) प्रदीप नरवाल, बी) राहुल चौधरी, सी) सिद्धार्थ देसाई, डी) रिशांक देवाडिगा")</f>
        <v>ए) प्रदीप नरवाल, बी) राहुल चौधरी, सी) सिद्धार्थ देसाई, डी) रिशांक देवाडिगा</v>
      </c>
      <c r="I459" s="5" t="str">
        <f>IFERROR(__xludf.DUMMYFUNCTION("GOOGLETRANSLATE(D459, ""en"", ""hi"")"),"A) प्रदीप नरवाल")</f>
        <v>A) प्रदीप नरवाल</v>
      </c>
    </row>
    <row r="460" ht="22.5" customHeight="1">
      <c r="A460" s="3">
        <v>459.0</v>
      </c>
      <c r="B460" s="4" t="s">
        <v>839</v>
      </c>
      <c r="C460" s="4" t="s">
        <v>782</v>
      </c>
      <c r="D460" s="4" t="s">
        <v>474</v>
      </c>
      <c r="F460" s="5" t="str">
        <f>IFERROR(__xludf.DUMMYFUNCTION("GOOGLETRANSLATE(A460, ""en"", ""hi"")"),"459")</f>
        <v>459</v>
      </c>
      <c r="G460" s="5" t="str">
        <f>IFERROR(__xludf.DUMMYFUNCTION("GOOGLETRANSLATE(B460, ""en"", ""hi"")"),"कौन सा भारतीय शहर युवा प्रतिभाओं को प्रशिक्षण देने के लिए प्रसिद्ध कबड्डी अकादमी का घर है?")</f>
        <v>कौन सा भारतीय शहर युवा प्रतिभाओं को प्रशिक्षण देने के लिए प्रसिद्ध कबड्डी अकादमी का घर है?</v>
      </c>
      <c r="H460" s="5" t="str">
        <f>IFERROR(__xludf.DUMMYFUNCTION("GOOGLETRANSLATE(C460, ""en"", ""hi"")"),"A) पटना, B) दिल्ली, C) मुंबई, D) बेंगलुरु")</f>
        <v>A) पटना, B) दिल्ली, C) मुंबई, D) बेंगलुरु</v>
      </c>
      <c r="I460" s="5" t="str">
        <f>IFERROR(__xludf.DUMMYFUNCTION("GOOGLETRANSLATE(D460, ""en"", ""hi"")"),"ए) पटना")</f>
        <v>ए) पटना</v>
      </c>
    </row>
    <row r="461" ht="22.5" customHeight="1">
      <c r="A461" s="3">
        <v>460.0</v>
      </c>
      <c r="B461" s="4" t="s">
        <v>840</v>
      </c>
      <c r="C461" s="4" t="s">
        <v>841</v>
      </c>
      <c r="D461" s="4" t="s">
        <v>842</v>
      </c>
      <c r="F461" s="5" t="str">
        <f>IFERROR(__xludf.DUMMYFUNCTION("GOOGLETRANSLATE(A461, ""en"", ""hi"")"),"460")</f>
        <v>460</v>
      </c>
      <c r="G461" s="5" t="str">
        <f>IFERROR(__xludf.DUMMYFUNCTION("GOOGLETRANSLATE(B461, ""en"", ""hi"")"),"भारत के किस राज्य में पारंपरिक कबड्डी शैली को 'घातक कबड्डी' के नाम से जाना जाता है?")</f>
        <v>भारत के किस राज्य में पारंपरिक कबड्डी शैली को 'घातक कबड्डी' के नाम से जाना जाता है?</v>
      </c>
      <c r="H461" s="5" t="str">
        <f>IFERROR(__xludf.DUMMYFUNCTION("GOOGLETRANSLATE(C461, ""en"", ""hi"")"),"A) पंजाब, B) हरियाणा, C) महाराष्ट्र, D) गुजरात")</f>
        <v>A) पंजाब, B) हरियाणा, C) महाराष्ट्र, D) गुजरात</v>
      </c>
      <c r="I461" s="5" t="str">
        <f>IFERROR(__xludf.DUMMYFUNCTION("GOOGLETRANSLATE(D461, ""en"", ""hi"")"),"C) महाराष्ट्र")</f>
        <v>C) महाराष्ट्र</v>
      </c>
    </row>
    <row r="462" ht="22.5" customHeight="1">
      <c r="A462" s="3">
        <v>461.0</v>
      </c>
      <c r="B462" s="4" t="s">
        <v>843</v>
      </c>
      <c r="C462" s="4" t="s">
        <v>803</v>
      </c>
      <c r="D462" s="4" t="s">
        <v>503</v>
      </c>
      <c r="F462" s="5" t="str">
        <f>IFERROR(__xludf.DUMMYFUNCTION("GOOGLETRANSLATE(A462, ""en"", ""hi"")"),"461")</f>
        <v>461</v>
      </c>
      <c r="G462" s="5" t="str">
        <f>IFERROR(__xludf.DUMMYFUNCTION("GOOGLETRANSLATE(B462, ""en"", ""hi"")"),"किस कबड्डी खिलाड़ी को खेल में उनके असाधारण योगदान के लिए मान्यता दी गई है और उन्होंने उभरते खिलाड़ियों के लिए एक संरक्षक के रूप में काम किया है?")</f>
        <v>किस कबड्डी खिलाड़ी को खेल में उनके असाधारण योगदान के लिए मान्यता दी गई है और उन्होंने उभरते खिलाड़ियों के लिए एक संरक्षक के रूप में काम किया है?</v>
      </c>
      <c r="H462" s="5" t="str">
        <f>IFERROR(__xludf.DUMMYFUNCTION("GOOGLETRANSLATE(C462, ""en"", ""hi"")"),"ए) राकेश कुमार, बी) अनुप कुमार, सी) प्रदीप नरवाल, डी) राहुल चौधरी")</f>
        <v>ए) राकेश कुमार, बी) अनुप कुमार, सी) प्रदीप नरवाल, डी) राहुल चौधरी</v>
      </c>
      <c r="I462" s="5" t="str">
        <f>IFERROR(__xludf.DUMMYFUNCTION("GOOGLETRANSLATE(D462, ""en"", ""hi"")"),"A) राकेश कुमार")</f>
        <v>A) राकेश कुमार</v>
      </c>
    </row>
    <row r="463" ht="22.5" customHeight="1">
      <c r="A463" s="3">
        <v>462.0</v>
      </c>
      <c r="B463" s="4" t="s">
        <v>844</v>
      </c>
      <c r="C463" s="4" t="s">
        <v>845</v>
      </c>
      <c r="D463" s="4" t="s">
        <v>95</v>
      </c>
      <c r="F463" s="5" t="str">
        <f>IFERROR(__xludf.DUMMYFUNCTION("GOOGLETRANSLATE(A463, ""en"", ""hi"")"),"462")</f>
        <v>462</v>
      </c>
      <c r="G463" s="5" t="str">
        <f>IFERROR(__xludf.DUMMYFUNCTION("GOOGLETRANSLATE(B463, ""en"", ""hi"")"),"कौन सा भारतीय कबड्डी खिलाड़ी अपनी असाधारण रेडिंग क्षमता के लिए जाना जाता है और उसने कई 'प्लेयर ऑफ द मैच' पुरस्कार जीते हैं?")</f>
        <v>कौन सा भारतीय कबड्डी खिलाड़ी अपनी असाधारण रेडिंग क्षमता के लिए जाना जाता है और उसने कई 'प्लेयर ऑफ द मैच' पुरस्कार जीते हैं?</v>
      </c>
      <c r="H463" s="5" t="str">
        <f>IFERROR(__xludf.DUMMYFUNCTION("GOOGLETRANSLATE(C463, ""en"", ""hi"")"),"ए) प्रदीप नरवाल, बी) राहुल चौधरी, सी) अजय ठाकुर, डी) रिशांक देवाडिगा")</f>
        <v>ए) प्रदीप नरवाल, बी) राहुल चौधरी, सी) अजय ठाकुर, डी) रिशांक देवाडिगा</v>
      </c>
      <c r="I463" s="5" t="str">
        <f>IFERROR(__xludf.DUMMYFUNCTION("GOOGLETRANSLATE(D463, ""en"", ""hi"")"),"A) प्रदीप नरवाल")</f>
        <v>A) प्रदीप नरवाल</v>
      </c>
    </row>
    <row r="464" ht="22.5" customHeight="1">
      <c r="A464" s="3">
        <v>463.0</v>
      </c>
      <c r="B464" s="4" t="s">
        <v>846</v>
      </c>
      <c r="C464" s="4" t="s">
        <v>847</v>
      </c>
      <c r="D464" s="4" t="s">
        <v>543</v>
      </c>
      <c r="F464" s="5" t="str">
        <f>IFERROR(__xludf.DUMMYFUNCTION("GOOGLETRANSLATE(A464, ""en"", ""hi"")"),"463")</f>
        <v>463</v>
      </c>
      <c r="G464" s="5" t="str">
        <f>IFERROR(__xludf.DUMMYFUNCTION("GOOGLETRANSLATE(B464, ""en"", ""hi"")"),"कबड्डी विश्व कप 2016 किस भारतीय शहर में आयोजित किया जाएगा और यह अपने उच्च स्तरीय मैचों तथा अंतर्राष्ट्रीय भागीदारी के लिए जाना जाता है?")</f>
        <v>कबड्डी विश्व कप 2016 किस भारतीय शहर में आयोजित किया जाएगा और यह अपने उच्च स्तरीय मैचों तथा अंतर्राष्ट्रीय भागीदारी के लिए जाना जाता है?</v>
      </c>
      <c r="H464" s="5" t="str">
        <f>IFERROR(__xludf.DUMMYFUNCTION("GOOGLETRANSLATE(C464, ""en"", ""hi"")"),"A) दिल्ली, B) पटना, C) मुंबई, D) बेंगलुरु")</f>
        <v>A) दिल्ली, B) पटना, C) मुंबई, D) बेंगलुरु</v>
      </c>
      <c r="I464" s="5" t="str">
        <f>IFERROR(__xludf.DUMMYFUNCTION("GOOGLETRANSLATE(D464, ""en"", ""hi"")"),"ए) दिल्ली")</f>
        <v>ए) दिल्ली</v>
      </c>
    </row>
    <row r="465" ht="22.5" customHeight="1">
      <c r="A465" s="3">
        <v>464.0</v>
      </c>
      <c r="B465" s="4" t="s">
        <v>848</v>
      </c>
      <c r="C465" s="4" t="s">
        <v>740</v>
      </c>
      <c r="D465" s="4" t="s">
        <v>195</v>
      </c>
      <c r="F465" s="5" t="str">
        <f>IFERROR(__xludf.DUMMYFUNCTION("GOOGLETRANSLATE(A465, ""en"", ""hi"")"),"464")</f>
        <v>464</v>
      </c>
      <c r="G465" s="5" t="str">
        <f>IFERROR(__xludf.DUMMYFUNCTION("GOOGLETRANSLATE(B465, ""en"", ""hi"")"),"प्रो कबड्डी लीग में रेडिंग और डिफेंस दोनों में अपने असाधारण कौशल के लिए किस उल्लेखनीय खिलाड़ी को जाना जाता है?")</f>
        <v>प्रो कबड्डी लीग में रेडिंग और डिफेंस दोनों में अपने असाधारण कौशल के लिए किस उल्लेखनीय खिलाड़ी को जाना जाता है?</v>
      </c>
      <c r="H465" s="5" t="str">
        <f>IFERROR(__xludf.DUMMYFUNCTION("GOOGLETRANSLATE(C465, ""en"", ""hi"")"),"ए) मंजीत छिल्लर, बी) अनुप कुमार, सी) प्रदीप नरवाल, डी) राहुल चौधरी")</f>
        <v>ए) मंजीत छिल्लर, बी) अनुप कुमार, सी) प्रदीप नरवाल, डी) राहुल चौधरी</v>
      </c>
      <c r="I465" s="5" t="str">
        <f>IFERROR(__xludf.DUMMYFUNCTION("GOOGLETRANSLATE(D465, ""en"", ""hi"")"),"A) मंजीत छिल्लर")</f>
        <v>A) मंजीत छिल्लर</v>
      </c>
    </row>
    <row r="466" ht="22.5" customHeight="1">
      <c r="A466" s="3">
        <v>465.0</v>
      </c>
      <c r="B466" s="4" t="s">
        <v>849</v>
      </c>
      <c r="C466" s="4" t="s">
        <v>779</v>
      </c>
      <c r="D466" s="4" t="s">
        <v>603</v>
      </c>
      <c r="F466" s="5" t="str">
        <f>IFERROR(__xludf.DUMMYFUNCTION("GOOGLETRANSLATE(A466, ""en"", ""hi"")"),"465")</f>
        <v>465</v>
      </c>
      <c r="G466" s="5" t="str">
        <f>IFERROR(__xludf.DUMMYFUNCTION("GOOGLETRANSLATE(B466, ""en"", ""hi"")"),"कौन सा भारतीय राज्य अपनी जीवंत कबड्डी संस्कृति और लगातार स्थानीय टूर्नामेंटों के लिए जाना जाता है?")</f>
        <v>कौन सा भारतीय राज्य अपनी जीवंत कबड्डी संस्कृति और लगातार स्थानीय टूर्नामेंटों के लिए जाना जाता है?</v>
      </c>
      <c r="H466" s="5" t="str">
        <f>IFERROR(__xludf.DUMMYFUNCTION("GOOGLETRANSLATE(C466, ""en"", ""hi"")"),"ए) पंजाब, बी) हरियाणा, सी) बिहार, डी) उत्तर प्रदेश")</f>
        <v>ए) पंजाब, बी) हरियाणा, सी) बिहार, डी) उत्तर प्रदेश</v>
      </c>
      <c r="I466" s="5" t="str">
        <f>IFERROR(__xludf.DUMMYFUNCTION("GOOGLETRANSLATE(D466, ""en"", ""hi"")"),"बी) हरियाणा")</f>
        <v>बी) हरियाणा</v>
      </c>
    </row>
    <row r="467" ht="22.5" customHeight="1">
      <c r="A467" s="3">
        <v>466.0</v>
      </c>
      <c r="B467" s="4" t="s">
        <v>850</v>
      </c>
      <c r="C467" s="4" t="s">
        <v>678</v>
      </c>
      <c r="D467" s="4" t="s">
        <v>789</v>
      </c>
      <c r="F467" s="5" t="str">
        <f>IFERROR(__xludf.DUMMYFUNCTION("GOOGLETRANSLATE(A467, ""en"", ""hi"")"),"466")</f>
        <v>466</v>
      </c>
      <c r="G467" s="5" t="str">
        <f>IFERROR(__xludf.DUMMYFUNCTION("GOOGLETRANSLATE(B467, ""en"", ""hi"")"),"कौन सी कबड्डी टीम अपनी मजबूत रक्षात्मक रणनीतियों के लिए प्रसिद्ध है और प्रो कबड्डी लीग में कई खिताब जीत चुकी है?")</f>
        <v>कौन सी कबड्डी टीम अपनी मजबूत रक्षात्मक रणनीतियों के लिए प्रसिद्ध है और प्रो कबड्डी लीग में कई खिताब जीत चुकी है?</v>
      </c>
      <c r="H467" s="5" t="str">
        <f>IFERROR(__xludf.DUMMYFUNCTION("GOOGLETRANSLATE(C467, ""en"", ""hi"")"),"ए) जयपुर पिंक पैंथर्स, बी) यू मुंबा, सी) बेंगलुरु बुल्स, डी) दबंग दिल्ली")</f>
        <v>ए) जयपुर पिंक पैंथर्स, बी) यू मुंबा, सी) बेंगलुरु बुल्स, डी) दबंग दिल्ली</v>
      </c>
      <c r="I467" s="5" t="str">
        <f>IFERROR(__xludf.DUMMYFUNCTION("GOOGLETRANSLATE(D467, ""en"", ""hi"")"),"बी) यू मुंबई")</f>
        <v>बी) यू मुंबई</v>
      </c>
    </row>
    <row r="468" ht="22.5" customHeight="1">
      <c r="A468" s="3">
        <v>467.0</v>
      </c>
      <c r="B468" s="4" t="s">
        <v>851</v>
      </c>
      <c r="C468" s="4" t="s">
        <v>803</v>
      </c>
      <c r="D468" s="4" t="s">
        <v>503</v>
      </c>
      <c r="F468" s="5" t="str">
        <f>IFERROR(__xludf.DUMMYFUNCTION("GOOGLETRANSLATE(A468, ""en"", ""hi"")"),"467")</f>
        <v>467</v>
      </c>
      <c r="G468" s="5" t="str">
        <f>IFERROR(__xludf.DUMMYFUNCTION("GOOGLETRANSLATE(B468, ""en"", ""hi"")"),"वह कबड्डी खिलाड़ी कौन है जो अपनी कोचिंग और मार्गदर्शन भूमिकाओं के माध्यम से खेल पर महत्वपूर्ण प्रभाव डालने के लिए जाना जाता है?")</f>
        <v>वह कबड्डी खिलाड़ी कौन है जो अपनी कोचिंग और मार्गदर्शन भूमिकाओं के माध्यम से खेल पर महत्वपूर्ण प्रभाव डालने के लिए जाना जाता है?</v>
      </c>
      <c r="H468" s="5" t="str">
        <f>IFERROR(__xludf.DUMMYFUNCTION("GOOGLETRANSLATE(C468, ""en"", ""hi"")"),"ए) राकेश कुमार, बी) अनुप कुमार, सी) प्रदीप नरवाल, डी) राहुल चौधरी")</f>
        <v>ए) राकेश कुमार, बी) अनुप कुमार, सी) प्रदीप नरवाल, डी) राहुल चौधरी</v>
      </c>
      <c r="I468" s="5" t="str">
        <f>IFERROR(__xludf.DUMMYFUNCTION("GOOGLETRANSLATE(D468, ""en"", ""hi"")"),"A) राकेश कुमार")</f>
        <v>A) राकेश कुमार</v>
      </c>
    </row>
    <row r="469" ht="22.5" customHeight="1">
      <c r="A469" s="3">
        <v>468.0</v>
      </c>
      <c r="B469" s="4" t="s">
        <v>852</v>
      </c>
      <c r="C469" s="4" t="s">
        <v>432</v>
      </c>
      <c r="D469" s="4" t="s">
        <v>116</v>
      </c>
      <c r="F469" s="5" t="str">
        <f>IFERROR(__xludf.DUMMYFUNCTION("GOOGLETRANSLATE(A469, ""en"", ""hi"")"),"468")</f>
        <v>468</v>
      </c>
      <c r="G469" s="5" t="str">
        <f>IFERROR(__xludf.DUMMYFUNCTION("GOOGLETRANSLATE(B469, ""en"", ""hi"")"),"कौन सा भारतीय राज्य अपने पारंपरिक कबड्डी टूर्नामेंट के लिए प्रसिद्ध है जिसमें स्थानीय और क्षेत्रीय टीमें भाग लेती हैं?")</f>
        <v>कौन सा भारतीय राज्य अपने पारंपरिक कबड्डी टूर्नामेंट के लिए प्रसिद्ध है जिसमें स्थानीय और क्षेत्रीय टीमें भाग लेती हैं?</v>
      </c>
      <c r="H469" s="5" t="str">
        <f>IFERROR(__xludf.DUMMYFUNCTION("GOOGLETRANSLATE(C469, ""en"", ""hi"")"),"A) कर्नाटक, B) तमिलनाडु, C) आंध्र प्रदेश, D) केरल")</f>
        <v>A) कर्नाटक, B) तमिलनाडु, C) आंध्र प्रदेश, D) केरल</v>
      </c>
      <c r="I469" s="5" t="str">
        <f>IFERROR(__xludf.DUMMYFUNCTION("GOOGLETRANSLATE(D469, ""en"", ""hi"")"),"A) कर्नाटक")</f>
        <v>A) कर्नाटक</v>
      </c>
    </row>
    <row r="470" ht="22.5" customHeight="1">
      <c r="A470" s="3">
        <v>469.0</v>
      </c>
      <c r="B470" s="4" t="s">
        <v>853</v>
      </c>
      <c r="C470" s="4" t="s">
        <v>854</v>
      </c>
      <c r="D470" s="4" t="s">
        <v>855</v>
      </c>
      <c r="F470" s="5" t="str">
        <f>IFERROR(__xludf.DUMMYFUNCTION("GOOGLETRANSLATE(A470, ""en"", ""hi"")"),"469")</f>
        <v>469</v>
      </c>
      <c r="G470" s="5" t="str">
        <f>IFERROR(__xludf.DUMMYFUNCTION("GOOGLETRANSLATE(B470, ""en"", ""hi"")"),"अंतर्राष्ट्रीय कबड्डी टूर्नामेंट, कबड्डी मास्टर्स की शुरुआत किस वर्ष हुई?")</f>
        <v>अंतर्राष्ट्रीय कबड्डी टूर्नामेंट, कबड्डी मास्टर्स की शुरुआत किस वर्ष हुई?</v>
      </c>
      <c r="H470" s="5" t="str">
        <f>IFERROR(__xludf.DUMMYFUNCTION("GOOGLETRANSLATE(C470, ""en"", ""hi"")"),"ए) 2015, बी) 2016, सी) 2017, डी) 2018")</f>
        <v>ए) 2015, बी) 2016, सी) 2017, डी) 2018</v>
      </c>
      <c r="I470" s="5" t="str">
        <f>IFERROR(__xludf.DUMMYFUNCTION("GOOGLETRANSLATE(D470, ""en"", ""hi"")"),"बी) 2016")</f>
        <v>बी) 2016</v>
      </c>
    </row>
    <row r="471" ht="22.5" customHeight="1">
      <c r="A471" s="3">
        <v>470.0</v>
      </c>
      <c r="B471" s="4" t="s">
        <v>856</v>
      </c>
      <c r="C471" s="4" t="s">
        <v>857</v>
      </c>
      <c r="D471" s="4" t="s">
        <v>95</v>
      </c>
      <c r="F471" s="5" t="str">
        <f>IFERROR(__xludf.DUMMYFUNCTION("GOOGLETRANSLATE(A471, ""en"", ""hi"")"),"470")</f>
        <v>470</v>
      </c>
      <c r="G471" s="5" t="str">
        <f>IFERROR(__xludf.DUMMYFUNCTION("GOOGLETRANSLATE(B471, ""en"", ""hi"")"),"कौन सा कबड्डी खिलाड़ी अपनी रेडिंग क्षमता के लिए प्रसिद्ध है और प्रो कबड्डी लीग में 'रेड मास्टर' का खिताब हासिल कर चुका है?")</f>
        <v>कौन सा कबड्डी खिलाड़ी अपनी रेडिंग क्षमता के लिए प्रसिद्ध है और प्रो कबड्डी लीग में 'रेड मास्टर' का खिताब हासिल कर चुका है?</v>
      </c>
      <c r="H471" s="5" t="str">
        <f>IFERROR(__xludf.DUMMYFUNCTION("GOOGLETRANSLATE(C471, ""en"", ""hi"")"),"ए) प्रदीप नरवाल, बी) राहुल चौधरी, सी) अजय ठाकुर, डी) सिद्धार्थ देसाई")</f>
        <v>ए) प्रदीप नरवाल, बी) राहुल चौधरी, सी) अजय ठाकुर, डी) सिद्धार्थ देसाई</v>
      </c>
      <c r="I471" s="5" t="str">
        <f>IFERROR(__xludf.DUMMYFUNCTION("GOOGLETRANSLATE(D471, ""en"", ""hi"")"),"A) प्रदीप नरवाल")</f>
        <v>A) प्रदीप नरवाल</v>
      </c>
    </row>
    <row r="472" ht="22.5" customHeight="1">
      <c r="A472" s="3">
        <v>471.0</v>
      </c>
      <c r="B472" s="4" t="s">
        <v>858</v>
      </c>
      <c r="C472" s="4" t="s">
        <v>782</v>
      </c>
      <c r="D472" s="4" t="s">
        <v>474</v>
      </c>
      <c r="F472" s="5" t="str">
        <f>IFERROR(__xludf.DUMMYFUNCTION("GOOGLETRANSLATE(A472, ""en"", ""hi"")"),"471")</f>
        <v>471</v>
      </c>
      <c r="G472" s="5" t="str">
        <f>IFERROR(__xludf.DUMMYFUNCTION("GOOGLETRANSLATE(B472, ""en"", ""hi"")"),"कौन सा भारतीय शहर अपनी कबड्डी अकादमियों और प्रशिक्षण सुविधाओं के लिए जाना जाता है जो युवा प्रतिभाओं को पोषित करती हैं?")</f>
        <v>कौन सा भारतीय शहर अपनी कबड्डी अकादमियों और प्रशिक्षण सुविधाओं के लिए जाना जाता है जो युवा प्रतिभाओं को पोषित करती हैं?</v>
      </c>
      <c r="H472" s="5" t="str">
        <f>IFERROR(__xludf.DUMMYFUNCTION("GOOGLETRANSLATE(C472, ""en"", ""hi"")"),"A) पटना, B) दिल्ली, C) मुंबई, D) बेंगलुरु")</f>
        <v>A) पटना, B) दिल्ली, C) मुंबई, D) बेंगलुरु</v>
      </c>
      <c r="I472" s="5" t="str">
        <f>IFERROR(__xludf.DUMMYFUNCTION("GOOGLETRANSLATE(D472, ""en"", ""hi"")"),"ए) पटना")</f>
        <v>ए) पटना</v>
      </c>
    </row>
    <row r="473" ht="22.5" customHeight="1">
      <c r="A473" s="3">
        <v>472.0</v>
      </c>
      <c r="B473" s="4" t="s">
        <v>859</v>
      </c>
      <c r="C473" s="4" t="s">
        <v>860</v>
      </c>
      <c r="D473" s="4" t="s">
        <v>861</v>
      </c>
      <c r="F473" s="5" t="str">
        <f>IFERROR(__xludf.DUMMYFUNCTION("GOOGLETRANSLATE(A473, ""en"", ""hi"")"),"472")</f>
        <v>472</v>
      </c>
      <c r="G473" s="5" t="str">
        <f>IFERROR(__xludf.DUMMYFUNCTION("GOOGLETRANSLATE(B473, ""en"", ""hi"")"),"भारत के किस राज्य में पारंपरिक कबड्डी शैली 'सीमा कबड्डी' कहलाती है?")</f>
        <v>भारत के किस राज्य में पारंपरिक कबड्डी शैली 'सीमा कबड्डी' कहलाती है?</v>
      </c>
      <c r="H473" s="5" t="str">
        <f>IFERROR(__xludf.DUMMYFUNCTION("GOOGLETRANSLATE(C473, ""en"", ""hi"")"),"A) पंजाब, B) हरियाणा, C) बिहार, D) गुजरात")</f>
        <v>A) पंजाब, B) हरियाणा, C) बिहार, D) गुजरात</v>
      </c>
      <c r="I473" s="5" t="str">
        <f>IFERROR(__xludf.DUMMYFUNCTION("GOOGLETRANSLATE(D473, ""en"", ""hi"")"),"D) गुजरात")</f>
        <v>D) गुजरात</v>
      </c>
    </row>
    <row r="474" ht="22.5" customHeight="1">
      <c r="A474" s="3">
        <v>473.0</v>
      </c>
      <c r="B474" s="4" t="s">
        <v>862</v>
      </c>
      <c r="C474" s="4" t="s">
        <v>803</v>
      </c>
      <c r="D474" s="4" t="s">
        <v>131</v>
      </c>
      <c r="F474" s="5" t="str">
        <f>IFERROR(__xludf.DUMMYFUNCTION("GOOGLETRANSLATE(A474, ""en"", ""hi"")"),"473")</f>
        <v>473</v>
      </c>
      <c r="G474" s="5" t="str">
        <f>IFERROR(__xludf.DUMMYFUNCTION("GOOGLETRANSLATE(B474, ""en"", ""hi"")"),"भारत में कबड्डी के विकास में उनके उत्कृष्ट योगदान और उनके नेतृत्व कौशल के लिए किस खिलाड़ी को मान्यता दी गई है?")</f>
        <v>भारत में कबड्डी के विकास में उनके उत्कृष्ट योगदान और उनके नेतृत्व कौशल के लिए किस खिलाड़ी को मान्यता दी गई है?</v>
      </c>
      <c r="H474" s="5" t="str">
        <f>IFERROR(__xludf.DUMMYFUNCTION("GOOGLETRANSLATE(C474, ""en"", ""hi"")"),"ए) राकेश कुमार, बी) अनुप कुमार, सी) प्रदीप नरवाल, डी) राहुल चौधरी")</f>
        <v>ए) राकेश कुमार, बी) अनुप कुमार, सी) प्रदीप नरवाल, डी) राहुल चौधरी</v>
      </c>
      <c r="I474" s="5" t="str">
        <f>IFERROR(__xludf.DUMMYFUNCTION("GOOGLETRANSLATE(D474, ""en"", ""hi"")"),"बी) अनूप कुमार")</f>
        <v>बी) अनूप कुमार</v>
      </c>
    </row>
    <row r="475" ht="22.5" customHeight="1">
      <c r="A475" s="3">
        <v>474.0</v>
      </c>
      <c r="B475" s="4" t="s">
        <v>863</v>
      </c>
      <c r="C475" s="4" t="s">
        <v>769</v>
      </c>
      <c r="D475" s="4" t="s">
        <v>811</v>
      </c>
      <c r="F475" s="5" t="str">
        <f>IFERROR(__xludf.DUMMYFUNCTION("GOOGLETRANSLATE(A475, ""en"", ""hi"")"),"474")</f>
        <v>474</v>
      </c>
      <c r="G475" s="5" t="str">
        <f>IFERROR(__xludf.DUMMYFUNCTION("GOOGLETRANSLATE(B475, ""en"", ""hi"")"),"कौन सा भारतीय राज्य 'कबड्डी सीमा' नामक कबड्डी टूर्नामेंट के लिए प्रसिद्ध है?")</f>
        <v>कौन सा भारतीय राज्य 'कबड्डी सीमा' नामक कबड्डी टूर्नामेंट के लिए प्रसिद्ध है?</v>
      </c>
      <c r="H475" s="5" t="str">
        <f>IFERROR(__xludf.DUMMYFUNCTION("GOOGLETRANSLATE(C475, ""en"", ""hi"")"),"A) तमिलनाडु, B) आंध्र प्रदेश, C) कर्नाटक, D) केरल")</f>
        <v>A) तमिलनाडु, B) आंध्र प्रदेश, C) कर्नाटक, D) केरल</v>
      </c>
      <c r="I475" s="5" t="str">
        <f>IFERROR(__xludf.DUMMYFUNCTION("GOOGLETRANSLATE(D475, ""en"", ""hi"")"),"बी) आंध्र प्रदेश")</f>
        <v>बी) आंध्र प्रदेश</v>
      </c>
    </row>
    <row r="476" ht="22.5" customHeight="1">
      <c r="A476" s="3">
        <v>475.0</v>
      </c>
      <c r="B476" s="4" t="s">
        <v>864</v>
      </c>
      <c r="C476" s="4" t="s">
        <v>836</v>
      </c>
      <c r="D476" s="4" t="s">
        <v>837</v>
      </c>
      <c r="F476" s="5" t="str">
        <f>IFERROR(__xludf.DUMMYFUNCTION("GOOGLETRANSLATE(A476, ""en"", ""hi"")"),"475")</f>
        <v>475</v>
      </c>
      <c r="G476" s="5" t="str">
        <f>IFERROR(__xludf.DUMMYFUNCTION("GOOGLETRANSLATE(B476, ""en"", ""hi"")"),"प्रो कबड्डी लीग ने 'एलिमिनेशन राउंड' प्रारूप किस वर्ष लागू किया?")</f>
        <v>प्रो कबड्डी लीग ने 'एलिमिनेशन राउंड' प्रारूप किस वर्ष लागू किया?</v>
      </c>
      <c r="H476" s="5" t="str">
        <f>IFERROR(__xludf.DUMMYFUNCTION("GOOGLETRANSLATE(C476, ""en"", ""hi"")"),"ए) 2014, बी) 2015, सी) 2016, डी) 2017")</f>
        <v>ए) 2014, बी) 2015, सी) 2016, डी) 2017</v>
      </c>
      <c r="I476" s="5" t="str">
        <f>IFERROR(__xludf.DUMMYFUNCTION("GOOGLETRANSLATE(D476, ""en"", ""hi"")"),"बी) 2015")</f>
        <v>बी) 2015</v>
      </c>
    </row>
    <row r="477" ht="22.5" customHeight="1">
      <c r="A477" s="3">
        <v>476.0</v>
      </c>
      <c r="B477" s="4" t="s">
        <v>865</v>
      </c>
      <c r="C477" s="4" t="s">
        <v>845</v>
      </c>
      <c r="D477" s="4" t="s">
        <v>95</v>
      </c>
      <c r="F477" s="5" t="str">
        <f>IFERROR(__xludf.DUMMYFUNCTION("GOOGLETRANSLATE(A477, ""en"", ""hi"")"),"476")</f>
        <v>476</v>
      </c>
      <c r="G477" s="5" t="str">
        <f>IFERROR(__xludf.DUMMYFUNCTION("GOOGLETRANSLATE(B477, ""en"", ""hi"")"),"कौन सा कबड्डी खिलाड़ी प्रो कबड्डी लीग में अपने असाधारण प्रदर्शन के लिए जाना जाता है और उसने कई बार 'बेस्ट रेडर' का पुरस्कार जीता है?")</f>
        <v>कौन सा कबड्डी खिलाड़ी प्रो कबड्डी लीग में अपने असाधारण प्रदर्शन के लिए जाना जाता है और उसने कई बार 'बेस्ट रेडर' का पुरस्कार जीता है?</v>
      </c>
      <c r="H477" s="5" t="str">
        <f>IFERROR(__xludf.DUMMYFUNCTION("GOOGLETRANSLATE(C477, ""en"", ""hi"")"),"ए) प्रदीप नरवाल, बी) राहुल चौधरी, सी) अजय ठाकुर, डी) रिशांक देवाडिगा")</f>
        <v>ए) प्रदीप नरवाल, बी) राहुल चौधरी, सी) अजय ठाकुर, डी) रिशांक देवाडिगा</v>
      </c>
      <c r="I477" s="5" t="str">
        <f>IFERROR(__xludf.DUMMYFUNCTION("GOOGLETRANSLATE(D477, ""en"", ""hi"")"),"A) प्रदीप नरवाल")</f>
        <v>A) प्रदीप नरवाल</v>
      </c>
    </row>
    <row r="478" ht="22.5" customHeight="1">
      <c r="A478" s="3">
        <v>477.0</v>
      </c>
      <c r="B478" s="4" t="s">
        <v>866</v>
      </c>
      <c r="C478" s="4" t="s">
        <v>782</v>
      </c>
      <c r="D478" s="4" t="s">
        <v>474</v>
      </c>
      <c r="F478" s="5" t="str">
        <f>IFERROR(__xludf.DUMMYFUNCTION("GOOGLETRANSLATE(A478, ""en"", ""hi"")"),"477")</f>
        <v>477</v>
      </c>
      <c r="G478" s="5" t="str">
        <f>IFERROR(__xludf.DUMMYFUNCTION("GOOGLETRANSLATE(B478, ""en"", ""hi"")"),"कौन सा शहर कबड्डी के विकास में अपने महत्वपूर्ण योगदान के लिए जाना जाता है और जिसने कई शीर्ष खिलाड़ी पैदा किए हैं?")</f>
        <v>कौन सा शहर कबड्डी के विकास में अपने महत्वपूर्ण योगदान के लिए जाना जाता है और जिसने कई शीर्ष खिलाड़ी पैदा किए हैं?</v>
      </c>
      <c r="H478" s="5" t="str">
        <f>IFERROR(__xludf.DUMMYFUNCTION("GOOGLETRANSLATE(C478, ""en"", ""hi"")"),"A) पटना, B) दिल्ली, C) मुंबई, D) बेंगलुरु")</f>
        <v>A) पटना, B) दिल्ली, C) मुंबई, D) बेंगलुरु</v>
      </c>
      <c r="I478" s="5" t="str">
        <f>IFERROR(__xludf.DUMMYFUNCTION("GOOGLETRANSLATE(D478, ""en"", ""hi"")"),"ए) पटना")</f>
        <v>ए) पटना</v>
      </c>
    </row>
    <row r="479" ht="22.5" customHeight="1">
      <c r="A479" s="3">
        <v>478.0</v>
      </c>
      <c r="B479" s="4" t="s">
        <v>867</v>
      </c>
      <c r="C479" s="4" t="s">
        <v>868</v>
      </c>
      <c r="D479" s="4" t="s">
        <v>823</v>
      </c>
      <c r="F479" s="5" t="str">
        <f>IFERROR(__xludf.DUMMYFUNCTION("GOOGLETRANSLATE(A479, ""en"", ""hi"")"),"478")</f>
        <v>478</v>
      </c>
      <c r="G479" s="5" t="str">
        <f>IFERROR(__xludf.DUMMYFUNCTION("GOOGLETRANSLATE(B479, ""en"", ""hi"")"),"कौन सा भारतीय कबड्डी टूर्नामेंट विभिन्न राज्यों की टीमों को शामिल करता है और अपने प्रतिस्पर्धी मैचों के लिए जाना जाता है?")</f>
        <v>कौन सा भारतीय कबड्डी टूर्नामेंट विभिन्न राज्यों की टीमों को शामिल करता है और अपने प्रतिस्पर्धी मैचों के लिए जाना जाता है?</v>
      </c>
      <c r="H479" s="5" t="str">
        <f>IFERROR(__xludf.DUMMYFUNCTION("GOOGLETRANSLATE(C479, ""en"", ""hi"")"),"A) कबड्डी उत्सव, B) कबड्डी मेला, C) कबड्डी चैम्पियनशिप, D) कबड्डी सीमा")</f>
        <v>A) कबड्डी उत्सव, B) कबड्डी मेला, C) कबड्डी चैम्पियनशिप, D) कबड्डी सीमा</v>
      </c>
      <c r="I479" s="5" t="str">
        <f>IFERROR(__xludf.DUMMYFUNCTION("GOOGLETRANSLATE(D479, ""en"", ""hi"")"),"बी) कबड्डी मेला")</f>
        <v>बी) कबड्डी मेला</v>
      </c>
    </row>
    <row r="480" ht="22.5" customHeight="1">
      <c r="A480" s="3">
        <v>479.0</v>
      </c>
      <c r="B480" s="4" t="s">
        <v>869</v>
      </c>
      <c r="C480" s="4" t="s">
        <v>740</v>
      </c>
      <c r="D480" s="4" t="s">
        <v>131</v>
      </c>
      <c r="F480" s="5" t="str">
        <f>IFERROR(__xludf.DUMMYFUNCTION("GOOGLETRANSLATE(A480, ""en"", ""hi"")"),"479")</f>
        <v>479</v>
      </c>
      <c r="G480" s="5" t="str">
        <f>IFERROR(__xludf.DUMMYFUNCTION("GOOGLETRANSLATE(B480, ""en"", ""hi"")"),"कौन सा भारतीय कबड्डी खिलाड़ी हाई-प्रोफाइल मैचों के दौरान अपने नेतृत्व और सामरिक कौशल के लिए जाना जाता है?")</f>
        <v>कौन सा भारतीय कबड्डी खिलाड़ी हाई-प्रोफाइल मैचों के दौरान अपने नेतृत्व और सामरिक कौशल के लिए जाना जाता है?</v>
      </c>
      <c r="H480" s="5" t="str">
        <f>IFERROR(__xludf.DUMMYFUNCTION("GOOGLETRANSLATE(C480, ""en"", ""hi"")"),"ए) मंजीत छिल्लर, बी) अनुप कुमार, सी) प्रदीप नरवाल, डी) राहुल चौधरी")</f>
        <v>ए) मंजीत छिल्लर, बी) अनुप कुमार, सी) प्रदीप नरवाल, डी) राहुल चौधरी</v>
      </c>
      <c r="I480" s="5" t="str">
        <f>IFERROR(__xludf.DUMMYFUNCTION("GOOGLETRANSLATE(D480, ""en"", ""hi"")"),"बी) अनूप कुमार")</f>
        <v>बी) अनूप कुमार</v>
      </c>
    </row>
    <row r="481" ht="22.5" customHeight="1">
      <c r="A481" s="3">
        <v>480.0</v>
      </c>
      <c r="B481" s="4" t="s">
        <v>870</v>
      </c>
      <c r="C481" s="4" t="s">
        <v>204</v>
      </c>
      <c r="D481" s="4" t="s">
        <v>205</v>
      </c>
      <c r="F481" s="5" t="str">
        <f>IFERROR(__xludf.DUMMYFUNCTION("GOOGLETRANSLATE(A481, ""en"", ""hi"")"),"480")</f>
        <v>480</v>
      </c>
      <c r="G481" s="5" t="str">
        <f>IFERROR(__xludf.DUMMYFUNCTION("GOOGLETRANSLATE(B481, ""en"", ""hi"")"),"भारत का कौन सा राज्य 'सर्कल कबड्डी' नामक अपनी अनूठी कबड्डी शैली के लिए जाना जाता है?")</f>
        <v>भारत का कौन सा राज्य 'सर्कल कबड्डी' नामक अपनी अनूठी कबड्डी शैली के लिए जाना जाता है?</v>
      </c>
      <c r="H481" s="5" t="str">
        <f>IFERROR(__xludf.DUMMYFUNCTION("GOOGLETRANSLATE(C481, ""en"", ""hi"")"),"A) तमिलनाडु, B) कर्नाटक, C) आंध्र प्रदेश, D) केरल")</f>
        <v>A) तमिलनाडु, B) कर्नाटक, C) आंध्र प्रदेश, D) केरल</v>
      </c>
      <c r="I481" s="5" t="str">
        <f>IFERROR(__xludf.DUMMYFUNCTION("GOOGLETRANSLATE(D481, ""en"", ""hi"")"),"A) तमिलनाडु")</f>
        <v>A) तमिलनाडु</v>
      </c>
    </row>
    <row r="482" ht="22.5" customHeight="1">
      <c r="A482" s="3">
        <v>481.0</v>
      </c>
      <c r="B482" s="4" t="s">
        <v>871</v>
      </c>
      <c r="C482" s="4" t="s">
        <v>828</v>
      </c>
      <c r="D482" s="4" t="s">
        <v>829</v>
      </c>
      <c r="F482" s="5" t="str">
        <f>IFERROR(__xludf.DUMMYFUNCTION("GOOGLETRANSLATE(A482, ""en"", ""hi"")"),"481")</f>
        <v>481</v>
      </c>
      <c r="G482" s="5" t="str">
        <f>IFERROR(__xludf.DUMMYFUNCTION("GOOGLETRANSLATE(B482, ""en"", ""hi"")"),"कबड्डी को भारतीय स्कूल खेलों में नियमित खेल के रूप में किस वर्ष शामिल किया गया?")</f>
        <v>कबड्डी को भारतीय स्कूल खेलों में नियमित खेल के रूप में किस वर्ष शामिल किया गया?</v>
      </c>
      <c r="H482" s="5" t="str">
        <f>IFERROR(__xludf.DUMMYFUNCTION("GOOGLETRANSLATE(C482, ""en"", ""hi"")"),"ए) 1995, बी) 2000, सी) 2005, डी) 2010")</f>
        <v>ए) 1995, बी) 2000, सी) 2005, डी) 2010</v>
      </c>
      <c r="I482" s="5" t="str">
        <f>IFERROR(__xludf.DUMMYFUNCTION("GOOGLETRANSLATE(D482, ""en"", ""hi"")"),"बी) 2000")</f>
        <v>बी) 2000</v>
      </c>
    </row>
    <row r="483" ht="22.5" customHeight="1">
      <c r="A483" s="3">
        <v>482.0</v>
      </c>
      <c r="B483" s="4" t="s">
        <v>872</v>
      </c>
      <c r="C483" s="4" t="s">
        <v>714</v>
      </c>
      <c r="D483" s="4" t="s">
        <v>707</v>
      </c>
      <c r="F483" s="5" t="str">
        <f>IFERROR(__xludf.DUMMYFUNCTION("GOOGLETRANSLATE(A483, ""en"", ""hi"")"),"482")</f>
        <v>482</v>
      </c>
      <c r="G483" s="5" t="str">
        <f>IFERROR(__xludf.DUMMYFUNCTION("GOOGLETRANSLATE(B483, ""en"", ""hi"")"),"कौन सा कबड्डी खिलाड़ी अपनी नवीन रेडिंग तकनीकों के लिए जाना जाता है और उसने खेल पर महत्वपूर्ण प्रभाव डाला है?")</f>
        <v>कौन सा कबड्डी खिलाड़ी अपनी नवीन रेडिंग तकनीकों के लिए जाना जाता है और उसने खेल पर महत्वपूर्ण प्रभाव डाला है?</v>
      </c>
      <c r="H483" s="5" t="str">
        <f>IFERROR(__xludf.DUMMYFUNCTION("GOOGLETRANSLATE(C483, ""en"", ""hi"")"),"ए) अजय ठाकुर, बी) राहुल चौधरी, सी) प्रदीप नरवाल, डी) रिशांक देवाडिगा")</f>
        <v>ए) अजय ठाकुर, बी) राहुल चौधरी, सी) प्रदीप नरवाल, डी) रिशांक देवाडिगा</v>
      </c>
      <c r="I483" s="5" t="str">
        <f>IFERROR(__xludf.DUMMYFUNCTION("GOOGLETRANSLATE(D483, ""en"", ""hi"")"),"C) प्रदीप नरवाल")</f>
        <v>C) प्रदीप नरवाल</v>
      </c>
    </row>
    <row r="484" ht="22.5" customHeight="1">
      <c r="A484" s="3">
        <v>483.0</v>
      </c>
      <c r="B484" s="4" t="s">
        <v>873</v>
      </c>
      <c r="C484" s="4" t="s">
        <v>847</v>
      </c>
      <c r="D484" s="4" t="s">
        <v>543</v>
      </c>
      <c r="F484" s="5" t="str">
        <f>IFERROR(__xludf.DUMMYFUNCTION("GOOGLETRANSLATE(A484, ""en"", ""hi"")"),"483")</f>
        <v>483</v>
      </c>
      <c r="G484" s="5" t="str">
        <f>IFERROR(__xludf.DUMMYFUNCTION("GOOGLETRANSLATE(B484, ""en"", ""hi"")"),"किस भारतीय शहर ने 2016 में कबड्डी विश्व कप की मेजबानी की और इस खेल में अपने योगदान के लिए जाना जाता है?")</f>
        <v>किस भारतीय शहर ने 2016 में कबड्डी विश्व कप की मेजबानी की और इस खेल में अपने योगदान के लिए जाना जाता है?</v>
      </c>
      <c r="H484" s="5" t="str">
        <f>IFERROR(__xludf.DUMMYFUNCTION("GOOGLETRANSLATE(C484, ""en"", ""hi"")"),"A) दिल्ली, B) पटना, C) मुंबई, D) बेंगलुरु")</f>
        <v>A) दिल्ली, B) पटना, C) मुंबई, D) बेंगलुरु</v>
      </c>
      <c r="I484" s="5" t="str">
        <f>IFERROR(__xludf.DUMMYFUNCTION("GOOGLETRANSLATE(D484, ""en"", ""hi"")"),"ए) दिल्ली")</f>
        <v>ए) दिल्ली</v>
      </c>
    </row>
    <row r="485" ht="22.5" customHeight="1">
      <c r="A485" s="3">
        <v>484.0</v>
      </c>
      <c r="B485" s="4" t="s">
        <v>874</v>
      </c>
      <c r="C485" s="4" t="s">
        <v>875</v>
      </c>
      <c r="D485" s="4" t="s">
        <v>150</v>
      </c>
      <c r="F485" s="5" t="str">
        <f>IFERROR(__xludf.DUMMYFUNCTION("GOOGLETRANSLATE(A485, ""en"", ""hi"")"),"484")</f>
        <v>484</v>
      </c>
      <c r="G485" s="5" t="str">
        <f>IFERROR(__xludf.DUMMYFUNCTION("GOOGLETRANSLATE(B485, ""en"", ""hi"")"),"भारत का कौन सा राज्य 'कबड्डी चैंपियनशिप' टूर्नामेंट का घर है, जो देश भर से टीमों को आकर्षित करता है?")</f>
        <v>भारत का कौन सा राज्य 'कबड्डी चैंपियनशिप' टूर्नामेंट का घर है, जो देश भर से टीमों को आकर्षित करता है?</v>
      </c>
      <c r="H485" s="5" t="str">
        <f>IFERROR(__xludf.DUMMYFUNCTION("GOOGLETRANSLATE(C485, ""en"", ""hi"")"),"A) हरियाणा, B) पंजाब, C) कर्नाटक, D) तमिलनाडु")</f>
        <v>A) हरियाणा, B) पंजाब, C) कर्नाटक, D) तमिलनाडु</v>
      </c>
      <c r="I485" s="5" t="str">
        <f>IFERROR(__xludf.DUMMYFUNCTION("GOOGLETRANSLATE(D485, ""en"", ""hi"")"),"A) हरियाणा")</f>
        <v>A) हरियाणा</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1.25"/>
    <col customWidth="1" min="7" max="8" width="37.63"/>
    <col customWidth="1" min="9" max="9" width="18.0"/>
  </cols>
  <sheetData>
    <row r="1" ht="22.5" customHeight="1">
      <c r="A1" s="1" t="s">
        <v>0</v>
      </c>
      <c r="B1" s="1" t="s">
        <v>1</v>
      </c>
      <c r="C1" s="1" t="s">
        <v>2</v>
      </c>
      <c r="D1" s="1" t="s">
        <v>3</v>
      </c>
      <c r="F1" s="1" t="s">
        <v>4</v>
      </c>
      <c r="G1" s="1" t="s">
        <v>5</v>
      </c>
      <c r="H1" s="1" t="s">
        <v>6</v>
      </c>
      <c r="I1" s="1" t="s">
        <v>7</v>
      </c>
    </row>
    <row r="2" ht="22.5" customHeight="1">
      <c r="A2" s="3">
        <v>1.0</v>
      </c>
      <c r="B2" s="4" t="s">
        <v>876</v>
      </c>
      <c r="C2" s="4" t="s">
        <v>877</v>
      </c>
      <c r="D2" s="4" t="s">
        <v>878</v>
      </c>
      <c r="F2" s="4" t="str">
        <f>IFERROR(__xludf.DUMMYFUNCTION("GOOGLETRANSLATE(A2, ""en"", ""hi"")"),"1")</f>
        <v>1</v>
      </c>
      <c r="G2" s="4" t="str">
        <f>IFERROR(__xludf.DUMMYFUNCTION("GOOGLETRANSLATE(B2, ""en"", ""hi"")"),"प्रथम आधिकारिक विश्व शतरंज चैंपियन किसे माना जाता है?")</f>
        <v>प्रथम आधिकारिक विश्व शतरंज चैंपियन किसे माना जाता है?</v>
      </c>
      <c r="H2" s="4" t="str">
        <f>IFERROR(__xludf.DUMMYFUNCTION("GOOGLETRANSLATE(C2, ""en"", ""hi"")"),"ए) पॉल मॉर्फी, बी) विल्हेम स्टीनित्ज़, सी) इमानुएल लास्कर, डी) जोस राउल कैपब्लांका")</f>
        <v>ए) पॉल मॉर्फी, बी) विल्हेम स्टीनित्ज़, सी) इमानुएल लास्कर, डी) जोस राउल कैपब्लांका</v>
      </c>
      <c r="I2" s="4" t="str">
        <f>IFERROR(__xludf.DUMMYFUNCTION("GOOGLETRANSLATE(D2, ""en"", ""hi"")"),"बी) विल्हेम स्टाइनिट्ज़")</f>
        <v>बी) विल्हेम स्टाइनिट्ज़</v>
      </c>
    </row>
    <row r="3" ht="22.5" customHeight="1">
      <c r="A3" s="3">
        <v>2.0</v>
      </c>
      <c r="B3" s="4" t="s">
        <v>879</v>
      </c>
      <c r="C3" s="4" t="s">
        <v>880</v>
      </c>
      <c r="D3" s="4" t="s">
        <v>881</v>
      </c>
      <c r="F3" s="4" t="str">
        <f>IFERROR(__xludf.DUMMYFUNCTION("GOOGLETRANSLATE(A3, ""en"", ""hi"")"),"2")</f>
        <v>2</v>
      </c>
      <c r="G3" s="4" t="str">
        <f>IFERROR(__xludf.DUMMYFUNCTION("GOOGLETRANSLATE(B3, ""en"", ""hi"")"),"प्रथम आधिकारिक विश्व शतरंज चैंपियनशिप किस वर्ष आयोजित हुई थी?")</f>
        <v>प्रथम आधिकारिक विश्व शतरंज चैंपियनशिप किस वर्ष आयोजित हुई थी?</v>
      </c>
      <c r="H3" s="4" t="str">
        <f>IFERROR(__xludf.DUMMYFUNCTION("GOOGLETRANSLATE(C3, ""en"", ""hi"")"),"ए) 1886, बी) 1894, सी) 1901, डी) 1910")</f>
        <v>ए) 1886, बी) 1894, सी) 1901, डी) 1910</v>
      </c>
      <c r="I3" s="4" t="str">
        <f>IFERROR(__xludf.DUMMYFUNCTION("GOOGLETRANSLATE(D3, ""en"", ""hi"")"),"ए) 1886")</f>
        <v>ए) 1886</v>
      </c>
    </row>
    <row r="4" ht="22.5" customHeight="1">
      <c r="A4" s="3">
        <v>3.0</v>
      </c>
      <c r="B4" s="4" t="s">
        <v>882</v>
      </c>
      <c r="C4" s="4" t="s">
        <v>883</v>
      </c>
      <c r="D4" s="4" t="s">
        <v>884</v>
      </c>
      <c r="F4" s="4" t="str">
        <f>IFERROR(__xludf.DUMMYFUNCTION("GOOGLETRANSLATE(A4, ""en"", ""hi"")"),"3")</f>
        <v>3</v>
      </c>
      <c r="G4" s="4" t="str">
        <f>IFERROR(__xludf.DUMMYFUNCTION("GOOGLETRANSLATE(B4, ""en"", ""hi"")"),"1886 में पहली आधिकारिक विश्व शतरंज चैंपियनशिप किस शहर में आयोजित की गई थी?")</f>
        <v>1886 में पहली आधिकारिक विश्व शतरंज चैंपियनशिप किस शहर में आयोजित की गई थी?</v>
      </c>
      <c r="H4" s="4" t="str">
        <f>IFERROR(__xludf.DUMMYFUNCTION("GOOGLETRANSLATE(C4, ""en"", ""hi"")"),"A) न्यूयॉर्क, B) लंदन, C) वियना, D) पेरिस")</f>
        <v>A) न्यूयॉर्क, B) लंदन, C) वियना, D) पेरिस</v>
      </c>
      <c r="I4" s="4" t="str">
        <f>IFERROR(__xludf.DUMMYFUNCTION("GOOGLETRANSLATE(D4, ""en"", ""hi"")"),"ए) न्यूयॉर्क")</f>
        <v>ए) न्यूयॉर्क</v>
      </c>
    </row>
    <row r="5" ht="22.5" customHeight="1">
      <c r="A5" s="3">
        <v>4.0</v>
      </c>
      <c r="B5" s="4" t="s">
        <v>885</v>
      </c>
      <c r="C5" s="4" t="s">
        <v>886</v>
      </c>
      <c r="D5" s="4" t="s">
        <v>887</v>
      </c>
      <c r="F5" s="4" t="str">
        <f>IFERROR(__xludf.DUMMYFUNCTION("GOOGLETRANSLATE(A5, ""en"", ""hi"")"),"4")</f>
        <v>4</v>
      </c>
      <c r="G5" s="4" t="str">
        <f>IFERROR(__xludf.DUMMYFUNCTION("GOOGLETRANSLATE(B5, ""en"", ""hi"")"),"1985 में गैरी कास्पारोव ने किसे हराकर सबसे कम उम्र के विश्व शतरंज चैंपियन बने?")</f>
        <v>1985 में गैरी कास्पारोव ने किसे हराकर सबसे कम उम्र के विश्व शतरंज चैंपियन बने?</v>
      </c>
      <c r="H5" s="4" t="str">
        <f>IFERROR(__xludf.DUMMYFUNCTION("GOOGLETRANSLATE(C5, ""en"", ""hi"")"),"ए) अनातोली कार्पोव, बी) बॉबी फिशर, सी) मिखाइल ताल, डी) विक्टर कोरचनोई")</f>
        <v>ए) अनातोली कार्पोव, बी) बॉबी फिशर, सी) मिखाइल ताल, डी) विक्टर कोरचनोई</v>
      </c>
      <c r="I5" s="4" t="str">
        <f>IFERROR(__xludf.DUMMYFUNCTION("GOOGLETRANSLATE(D5, ""en"", ""hi"")"),"A) अनातोली कार्पोव")</f>
        <v>A) अनातोली कार्पोव</v>
      </c>
    </row>
    <row r="6" ht="22.5" customHeight="1">
      <c r="A6" s="3">
        <v>5.0</v>
      </c>
      <c r="B6" s="4" t="s">
        <v>888</v>
      </c>
      <c r="C6" s="4" t="s">
        <v>889</v>
      </c>
      <c r="D6" s="4" t="s">
        <v>890</v>
      </c>
      <c r="F6" s="4" t="str">
        <f>IFERROR(__xludf.DUMMYFUNCTION("GOOGLETRANSLATE(A6, ""en"", ""hi"")"),"5")</f>
        <v>5</v>
      </c>
      <c r="G6" s="4" t="str">
        <f>IFERROR(__xludf.DUMMYFUNCTION("GOOGLETRANSLATE(B6, ""en"", ""hi"")"),"कौन सा प्रसिद्ध शतरंज खिलाड़ी 1851 में खेले गए 'इम्मोर्टल गेम' के लिए जाना जाता है?")</f>
        <v>कौन सा प्रसिद्ध शतरंज खिलाड़ी 1851 में खेले गए 'इम्मोर्टल गेम' के लिए जाना जाता है?</v>
      </c>
      <c r="H6" s="4" t="str">
        <f>IFERROR(__xludf.DUMMYFUNCTION("GOOGLETRANSLATE(C6, ""en"", ""hi"")"),"ए) एडॉल्फ एंडरसन, बी) पॉल मॉर्फी, सी) मिखाइल चिगोरिन, डी) विल्हेम स्टीनित्ज़")</f>
        <v>ए) एडॉल्फ एंडरसन, बी) पॉल मॉर्फी, सी) मिखाइल चिगोरिन, डी) विल्हेम स्टीनित्ज़</v>
      </c>
      <c r="I6" s="4" t="str">
        <f>IFERROR(__xludf.DUMMYFUNCTION("GOOGLETRANSLATE(D6, ""en"", ""hi"")"),"A) एडॉल्फ एंडरसन")</f>
        <v>A) एडॉल्फ एंडरसन</v>
      </c>
    </row>
    <row r="7" ht="22.5" customHeight="1">
      <c r="A7" s="3">
        <v>6.0</v>
      </c>
      <c r="B7" s="4" t="s">
        <v>891</v>
      </c>
      <c r="C7" s="4" t="s">
        <v>892</v>
      </c>
      <c r="D7" s="4" t="s">
        <v>893</v>
      </c>
      <c r="F7" s="4" t="str">
        <f>IFERROR(__xludf.DUMMYFUNCTION("GOOGLETRANSLATE(A7, ""en"", ""hi"")"),"6")</f>
        <v>6</v>
      </c>
      <c r="G7" s="4" t="str">
        <f>IFERROR(__xludf.DUMMYFUNCTION("GOOGLETRANSLATE(B7, ""en"", ""hi"")"),"विश्व शतरंज चैंपियनशिप जीतने वाला पहला अमेरिकी कौन था?")</f>
        <v>विश्व शतरंज चैंपियनशिप जीतने वाला पहला अमेरिकी कौन था?</v>
      </c>
      <c r="H7" s="4" t="str">
        <f>IFERROR(__xludf.DUMMYFUNCTION("GOOGLETRANSLATE(C7, ""en"", ""hi"")"),"ए) पॉल मॉर्फी, बी) बॉबी फिशर, सी) फ्रैंक मार्शल, डी) सैमुअल रेशेव्स्की")</f>
        <v>ए) पॉल मॉर्फी, बी) बॉबी फिशर, सी) फ्रैंक मार्शल, डी) सैमुअल रेशेव्स्की</v>
      </c>
      <c r="I7" s="4" t="str">
        <f>IFERROR(__xludf.DUMMYFUNCTION("GOOGLETRANSLATE(D7, ""en"", ""hi"")"),"बी) बॉबी फिशर")</f>
        <v>बी) बॉबी फिशर</v>
      </c>
    </row>
    <row r="8" ht="22.5" customHeight="1">
      <c r="A8" s="3">
        <v>7.0</v>
      </c>
      <c r="B8" s="4" t="s">
        <v>894</v>
      </c>
      <c r="C8" s="4" t="s">
        <v>895</v>
      </c>
      <c r="D8" s="4" t="s">
        <v>896</v>
      </c>
      <c r="F8" s="4" t="str">
        <f>IFERROR(__xludf.DUMMYFUNCTION("GOOGLETRANSLATE(A8, ""en"", ""hi"")"),"7")</f>
        <v>7</v>
      </c>
      <c r="G8" s="4" t="str">
        <f>IFERROR(__xludf.DUMMYFUNCTION("GOOGLETRANSLATE(B8, ""en"", ""hi"")"),"किस देश ने सर्वाधिक विश्व शतरंज चैंपियन पैदा किये हैं?")</f>
        <v>किस देश ने सर्वाधिक विश्व शतरंज चैंपियन पैदा किये हैं?</v>
      </c>
      <c r="H8" s="4" t="str">
        <f>IFERROR(__xludf.DUMMYFUNCTION("GOOGLETRANSLATE(C8, ""en"", ""hi"")"),"A) रूस, B) जर्मनी, C) अमेरिका, D) भारत")</f>
        <v>A) रूस, B) जर्मनी, C) अमेरिका, D) भारत</v>
      </c>
      <c r="I8" s="4" t="str">
        <f>IFERROR(__xludf.DUMMYFUNCTION("GOOGLETRANSLATE(D8, ""en"", ""hi"")"),"ए) रूस")</f>
        <v>ए) रूस</v>
      </c>
    </row>
    <row r="9" ht="22.5" customHeight="1">
      <c r="A9" s="3">
        <v>8.0</v>
      </c>
      <c r="B9" s="4" t="s">
        <v>897</v>
      </c>
      <c r="C9" s="4" t="s">
        <v>898</v>
      </c>
      <c r="D9" s="4" t="s">
        <v>899</v>
      </c>
      <c r="F9" s="4" t="str">
        <f>IFERROR(__xludf.DUMMYFUNCTION("GOOGLETRANSLATE(A9, ""en"", ""hi"")"),"8")</f>
        <v>8</v>
      </c>
      <c r="G9" s="4" t="str">
        <f>IFERROR(__xludf.DUMMYFUNCTION("GOOGLETRANSLATE(B9, ""en"", ""hi"")"),"प्रथम आधिकारिक महिला विश्व शतरंज चैंपियन कौन थी?")</f>
        <v>प्रथम आधिकारिक महिला विश्व शतरंज चैंपियन कौन थी?</v>
      </c>
      <c r="H9" s="4" t="str">
        <f>IFERROR(__xludf.DUMMYFUNCTION("GOOGLETRANSLATE(C9, ""en"", ""hi"")"),"ए) नोना गैप्रिंडाश्विली, बी) माइया चिबुरदानिडेज़, सी) वेरा मेनचिक, डी) सुसान पोल्गर")</f>
        <v>ए) नोना गैप्रिंडाश्विली, बी) माइया चिबुरदानिडेज़, सी) वेरा मेनचिक, डी) सुसान पोल्गर</v>
      </c>
      <c r="I9" s="4" t="str">
        <f>IFERROR(__xludf.DUMMYFUNCTION("GOOGLETRANSLATE(D9, ""en"", ""hi"")"),"C) वेरा मेनचिक")</f>
        <v>C) वेरा मेनचिक</v>
      </c>
    </row>
    <row r="10" ht="22.5" customHeight="1">
      <c r="A10" s="3">
        <v>9.0</v>
      </c>
      <c r="B10" s="4" t="s">
        <v>900</v>
      </c>
      <c r="C10" s="4" t="s">
        <v>901</v>
      </c>
      <c r="D10" s="4" t="s">
        <v>902</v>
      </c>
      <c r="F10" s="4" t="str">
        <f>IFERROR(__xludf.DUMMYFUNCTION("GOOGLETRANSLATE(A10, ""en"", ""hi"")"),"9")</f>
        <v>9</v>
      </c>
      <c r="G10" s="4" t="str">
        <f>IFERROR(__xludf.DUMMYFUNCTION("GOOGLETRANSLATE(B10, ""en"", ""hi"")"),"फेडरेशन इंटरनेशनेल डेस एचेक्स (FIDE) की स्थापना किस वर्ष हुई थी?")</f>
        <v>फेडरेशन इंटरनेशनेल डेस एचेक्स (FIDE) की स्थापना किस वर्ष हुई थी?</v>
      </c>
      <c r="H10" s="4" t="str">
        <f>IFERROR(__xludf.DUMMYFUNCTION("GOOGLETRANSLATE(C10, ""en"", ""hi"")"),"ए) 1920, बी) 1924, सी) 1930, डी) 1945")</f>
        <v>ए) 1920, बी) 1924, सी) 1930, डी) 1945</v>
      </c>
      <c r="I10" s="4" t="str">
        <f>IFERROR(__xludf.DUMMYFUNCTION("GOOGLETRANSLATE(D10, ""en"", ""hi"")"),"बी) 1924")</f>
        <v>बी) 1924</v>
      </c>
    </row>
    <row r="11" ht="22.5" customHeight="1">
      <c r="A11" s="3">
        <v>10.0</v>
      </c>
      <c r="B11" s="4" t="s">
        <v>903</v>
      </c>
      <c r="C11" s="4" t="s">
        <v>904</v>
      </c>
      <c r="D11" s="4" t="s">
        <v>905</v>
      </c>
      <c r="F11" s="4" t="str">
        <f>IFERROR(__xludf.DUMMYFUNCTION("GOOGLETRANSLATE(A11, ""en"", ""hi"")"),"10")</f>
        <v>10</v>
      </c>
      <c r="G11" s="4" t="str">
        <f>IFERROR(__xludf.DUMMYFUNCTION("GOOGLETRANSLATE(B11, ""en"", ""hi"")"),"मानक शतरंज टूर्नामेंट समय नियंत्रण के तहत विश्व शतरंज चैंपियन को हराने वाला पहला कंप्यूटर कौन था?")</f>
        <v>मानक शतरंज टूर्नामेंट समय नियंत्रण के तहत विश्व शतरंज चैंपियन को हराने वाला पहला कंप्यूटर कौन था?</v>
      </c>
      <c r="H11" s="4" t="str">
        <f>IFERROR(__xludf.DUMMYFUNCTION("GOOGLETRANSLATE(C11, ""en"", ""hi"")"),"A) डीप ब्लू, B) स्टॉकफिश, C) अल्फाज़ीरो, D) फ्रिट्ज़")</f>
        <v>A) डीप ब्लू, B) स्टॉकफिश, C) अल्फाज़ीरो, D) फ्रिट्ज़</v>
      </c>
      <c r="I11" s="4" t="str">
        <f>IFERROR(__xludf.DUMMYFUNCTION("GOOGLETRANSLATE(D11, ""en"", ""hi"")"),"A) गहरा नीला")</f>
        <v>A) गहरा नीला</v>
      </c>
    </row>
    <row r="12" ht="22.5" customHeight="1">
      <c r="A12" s="3">
        <v>11.0</v>
      </c>
      <c r="B12" s="4" t="s">
        <v>906</v>
      </c>
      <c r="C12" s="4" t="s">
        <v>907</v>
      </c>
      <c r="D12" s="4" t="s">
        <v>908</v>
      </c>
      <c r="F12" s="4" t="str">
        <f>IFERROR(__xludf.DUMMYFUNCTION("GOOGLETRANSLATE(A12, ""en"", ""hi"")"),"11")</f>
        <v>11</v>
      </c>
      <c r="G12" s="4" t="str">
        <f>IFERROR(__xludf.DUMMYFUNCTION("GOOGLETRANSLATE(B12, ""en"", ""hi"")"),"किस विश्व शतरंज चैंपियन को 'रीगा का जादूगर' उपनाम दिया गया था?")</f>
        <v>किस विश्व शतरंज चैंपियन को 'रीगा का जादूगर' उपनाम दिया गया था?</v>
      </c>
      <c r="H12" s="4" t="str">
        <f>IFERROR(__xludf.DUMMYFUNCTION("GOOGLETRANSLATE(C12, ""en"", ""hi"")"),"ए) मिखाइल ताल, बी) गैरी कास्परोव, सी) बोरिस स्पैस्की, डी) अनातोली कारपोव")</f>
        <v>ए) मिखाइल ताल, बी) गैरी कास्परोव, सी) बोरिस स्पैस्की, डी) अनातोली कारपोव</v>
      </c>
      <c r="I12" s="4" t="str">
        <f>IFERROR(__xludf.DUMMYFUNCTION("GOOGLETRANSLATE(D12, ""en"", ""hi"")"),"A) मिखाइल ताल")</f>
        <v>A) मिखाइल ताल</v>
      </c>
    </row>
    <row r="13" ht="22.5" customHeight="1">
      <c r="A13" s="3">
        <v>12.0</v>
      </c>
      <c r="B13" s="4" t="s">
        <v>909</v>
      </c>
      <c r="C13" s="4" t="s">
        <v>910</v>
      </c>
      <c r="D13" s="4" t="s">
        <v>911</v>
      </c>
      <c r="F13" s="4" t="str">
        <f>IFERROR(__xludf.DUMMYFUNCTION("GOOGLETRANSLATE(A13, ""en"", ""hi"")"),"12")</f>
        <v>12</v>
      </c>
      <c r="G13" s="4" t="str">
        <f>IFERROR(__xludf.DUMMYFUNCTION("GOOGLETRANSLATE(B13, ""en"", ""hi"")"),"कौन सा शतरंज खिलाड़ी 1956 में खेले गए 'गेम ऑफ द सेंचुरी' के लिए जाना जाता है?")</f>
        <v>कौन सा शतरंज खिलाड़ी 1956 में खेले गए 'गेम ऑफ द सेंचुरी' के लिए जाना जाता है?</v>
      </c>
      <c r="H13" s="4" t="str">
        <f>IFERROR(__xludf.DUMMYFUNCTION("GOOGLETRANSLATE(C13, ""en"", ""hi"")"),"ए) बॉबी फिशर, बी) गैरी कास्पारोव, सी) मिखाइल ताल, डी) अनातोली कारपोव")</f>
        <v>ए) बॉबी फिशर, बी) गैरी कास्पारोव, सी) मिखाइल ताल, डी) अनातोली कारपोव</v>
      </c>
      <c r="I13" s="4" t="str">
        <f>IFERROR(__xludf.DUMMYFUNCTION("GOOGLETRANSLATE(D13, ""en"", ""hi"")"),"A) बॉबी फिशर")</f>
        <v>A) बॉबी फिशर</v>
      </c>
    </row>
    <row r="14" ht="22.5" customHeight="1">
      <c r="A14" s="3">
        <v>13.0</v>
      </c>
      <c r="B14" s="4" t="s">
        <v>912</v>
      </c>
      <c r="C14" s="4" t="s">
        <v>913</v>
      </c>
      <c r="D14" s="4" t="s">
        <v>914</v>
      </c>
      <c r="F14" s="4" t="str">
        <f>IFERROR(__xludf.DUMMYFUNCTION("GOOGLETRANSLATE(A14, ""en"", ""hi"")"),"13")</f>
        <v>13</v>
      </c>
      <c r="G14" s="4" t="str">
        <f>IFERROR(__xludf.DUMMYFUNCTION("GOOGLETRANSLATE(B14, ""en"", ""hi"")"),"1975 में अनातोली कार्पोव ने किस विश्व शतरंज चैंपियन को इसलिए गद्दी से उतार दिया था क्योंकि चैलेंजर ने अपना खिताब बचाने से इनकार कर दिया था?")</f>
        <v>1975 में अनातोली कार्पोव ने किस विश्व शतरंज चैंपियन को इसलिए गद्दी से उतार दिया था क्योंकि चैलेंजर ने अपना खिताब बचाने से इनकार कर दिया था?</v>
      </c>
      <c r="H14" s="4" t="str">
        <f>IFERROR(__xludf.DUMMYFUNCTION("GOOGLETRANSLATE(C14, ""en"", ""hi"")"),"A) मिखाइल बोट्विननिक, B) बोरिस स्पैस्की, C) बॉबी फिशर, D) तिगरान पेट्रोसियन")</f>
        <v>A) मिखाइल बोट्विननिक, B) बोरिस स्पैस्की, C) बॉबी फिशर, D) तिगरान पेट्रोसियन</v>
      </c>
      <c r="I14" s="4" t="str">
        <f>IFERROR(__xludf.DUMMYFUNCTION("GOOGLETRANSLATE(D14, ""en"", ""hi"")"),"C) बॉबी फिशर")</f>
        <v>C) बॉबी फिशर</v>
      </c>
    </row>
    <row r="15" ht="22.5" customHeight="1">
      <c r="A15" s="3">
        <v>14.0</v>
      </c>
      <c r="B15" s="4" t="s">
        <v>915</v>
      </c>
      <c r="C15" s="4" t="s">
        <v>916</v>
      </c>
      <c r="D15" s="4" t="s">
        <v>917</v>
      </c>
      <c r="F15" s="4" t="str">
        <f>IFERROR(__xludf.DUMMYFUNCTION("GOOGLETRANSLATE(A15, ""en"", ""hi"")"),"14")</f>
        <v>14</v>
      </c>
      <c r="G15" s="4" t="str">
        <f>IFERROR(__xludf.DUMMYFUNCTION("GOOGLETRANSLATE(B15, ""en"", ""hi"")"),"FIDE नियमों के तहत आयोजित पहला आधिकारिक विश्व शतरंज चैम्पियनशिप मैच किसने जीता?")</f>
        <v>FIDE नियमों के तहत आयोजित पहला आधिकारिक विश्व शतरंज चैम्पियनशिप मैच किसने जीता?</v>
      </c>
      <c r="H15" s="4" t="str">
        <f>IFERROR(__xludf.DUMMYFUNCTION("GOOGLETRANSLATE(C15, ""en"", ""hi"")"),"ए) जोस राउल कैपब्लांका, बी) अलेक्जेंडर अलेखिन, सी) मैक्स यूवे, डी) मिखाइल बोट्वनिक")</f>
        <v>ए) जोस राउल कैपब्लांका, बी) अलेक्जेंडर अलेखिन, सी) मैक्स यूवे, डी) मिखाइल बोट्वनिक</v>
      </c>
      <c r="I15" s="4" t="str">
        <f>IFERROR(__xludf.DUMMYFUNCTION("GOOGLETRANSLATE(D15, ""en"", ""hi"")"),"D) मिखाइल बोट्विननिक")</f>
        <v>D) मिखाइल बोट्विननिक</v>
      </c>
    </row>
    <row r="16" ht="22.5" customHeight="1">
      <c r="A16" s="3">
        <v>15.0</v>
      </c>
      <c r="B16" s="4" t="s">
        <v>918</v>
      </c>
      <c r="C16" s="4" t="s">
        <v>919</v>
      </c>
      <c r="D16" s="4" t="s">
        <v>920</v>
      </c>
      <c r="F16" s="4" t="str">
        <f>IFERROR(__xludf.DUMMYFUNCTION("GOOGLETRANSLATE(A16, ""en"", ""hi"")"),"15")</f>
        <v>15</v>
      </c>
      <c r="G16" s="4" t="str">
        <f>IFERROR(__xludf.DUMMYFUNCTION("GOOGLETRANSLATE(B16, ""en"", ""hi"")"),"किस शतरंज खिलाड़ी को उसकी गहन गणनाओं के लिए 'शतरंज मशीन' के नाम से जाना जाता था?")</f>
        <v>किस शतरंज खिलाड़ी को उसकी गहन गणनाओं के लिए 'शतरंज मशीन' के नाम से जाना जाता था?</v>
      </c>
      <c r="H16" s="4" t="str">
        <f>IFERROR(__xludf.DUMMYFUNCTION("GOOGLETRANSLATE(C16, ""en"", ""hi"")"),"ए) अनातोली कारपोव, बी) गैरी कास्परोव, सी) जोस राउल कैपबेलैंका, डी) मिखाइल ताल")</f>
        <v>ए) अनातोली कारपोव, बी) गैरी कास्परोव, सी) जोस राउल कैपबेलैंका, डी) मिखाइल ताल</v>
      </c>
      <c r="I16" s="4" t="str">
        <f>IFERROR(__xludf.DUMMYFUNCTION("GOOGLETRANSLATE(D16, ""en"", ""hi"")"),"C) जोस राउल कैपब्लैंका")</f>
        <v>C) जोस राउल कैपब्लैंका</v>
      </c>
    </row>
    <row r="17" ht="22.5" customHeight="1">
      <c r="A17" s="3">
        <v>16.0</v>
      </c>
      <c r="B17" s="4" t="s">
        <v>921</v>
      </c>
      <c r="C17" s="4" t="s">
        <v>922</v>
      </c>
      <c r="D17" s="4" t="s">
        <v>923</v>
      </c>
      <c r="F17" s="4" t="str">
        <f>IFERROR(__xludf.DUMMYFUNCTION("GOOGLETRANSLATE(A17, ""en"", ""hi"")"),"16")</f>
        <v>16</v>
      </c>
      <c r="G17" s="4" t="str">
        <f>IFERROR(__xludf.DUMMYFUNCTION("GOOGLETRANSLATE(B17, ""en"", ""hi"")"),"किस पूर्व विश्व शतरंज चैंपियन को अपने देश से निर्वासित कर दिया गया था और उन्होंने अपना अधिकांश जीवन पेरिस में बिताया?")</f>
        <v>किस पूर्व विश्व शतरंज चैंपियन को अपने देश से निर्वासित कर दिया गया था और उन्होंने अपना अधिकांश जीवन पेरिस में बिताया?</v>
      </c>
      <c r="H17" s="4" t="str">
        <f>IFERROR(__xludf.DUMMYFUNCTION("GOOGLETRANSLATE(C17, ""en"", ""hi"")"),"ए) अलेक्जेंडर अलेखिन, बी) विल्हेम स्टीनित्ज़, सी) इमानुएल लास्कर, डी) मैक्स यूवे")</f>
        <v>ए) अलेक्जेंडर अलेखिन, बी) विल्हेम स्टीनित्ज़, सी) इमानुएल लास्कर, डी) मैक्स यूवे</v>
      </c>
      <c r="I17" s="4" t="str">
        <f>IFERROR(__xludf.DUMMYFUNCTION("GOOGLETRANSLATE(D17, ""en"", ""hi"")"),"A) अलेक्जेंडर अलेखिन")</f>
        <v>A) अलेक्जेंडर अलेखिन</v>
      </c>
    </row>
    <row r="18" ht="22.5" customHeight="1">
      <c r="A18" s="3">
        <v>17.0</v>
      </c>
      <c r="B18" s="4" t="s">
        <v>924</v>
      </c>
      <c r="C18" s="4" t="s">
        <v>925</v>
      </c>
      <c r="D18" s="4" t="s">
        <v>926</v>
      </c>
      <c r="F18" s="4" t="str">
        <f>IFERROR(__xludf.DUMMYFUNCTION("GOOGLETRANSLATE(A18, ""en"", ""hi"")"),"17")</f>
        <v>17</v>
      </c>
      <c r="G18" s="4" t="str">
        <f>IFERROR(__xludf.DUMMYFUNCTION("GOOGLETRANSLATE(B18, ""en"", ""hi"")"),"विश्व शतरंज चैम्पियनशिप चक्र में प्रतिस्पर्धा करने वाली पहली महिला शतरंज खिलाड़ी कौन थी?")</f>
        <v>विश्व शतरंज चैम्पियनशिप चक्र में प्रतिस्पर्धा करने वाली पहली महिला शतरंज खिलाड़ी कौन थी?</v>
      </c>
      <c r="H18" s="4" t="str">
        <f>IFERROR(__xludf.DUMMYFUNCTION("GOOGLETRANSLATE(C18, ""en"", ""hi"")"),"ए) नोना गैप्रिंडाश्विली, बी) माइया चिबर्डनिडेज़, सी) जुडिट पोल्गर, डी) सुसान पोल्गर")</f>
        <v>ए) नोना गैप्रिंडाश्विली, बी) माइया चिबर्डनिडेज़, सी) जुडिट पोल्गर, डी) सुसान पोल्गर</v>
      </c>
      <c r="I18" s="4" t="str">
        <f>IFERROR(__xludf.DUMMYFUNCTION("GOOGLETRANSLATE(D18, ""en"", ""hi"")"),"C) जुडिट पोल्गर")</f>
        <v>C) जुडिट पोल्गर</v>
      </c>
    </row>
    <row r="19" ht="22.5" customHeight="1">
      <c r="A19" s="3">
        <v>18.0</v>
      </c>
      <c r="B19" s="4" t="s">
        <v>927</v>
      </c>
      <c r="C19" s="4" t="s">
        <v>928</v>
      </c>
      <c r="D19" s="4" t="s">
        <v>923</v>
      </c>
      <c r="F19" s="4" t="str">
        <f>IFERROR(__xludf.DUMMYFUNCTION("GOOGLETRANSLATE(A19, ""en"", ""hi"")"),"18")</f>
        <v>18</v>
      </c>
      <c r="G19" s="4" t="str">
        <f>IFERROR(__xludf.DUMMYFUNCTION("GOOGLETRANSLATE(B19, ""en"", ""hi"")"),"1927 में जोस राउल कैपब्लांका को हराकर विश्व शतरंज चैंपियनशिप किसने जीती?")</f>
        <v>1927 में जोस राउल कैपब्लांका को हराकर विश्व शतरंज चैंपियनशिप किसने जीती?</v>
      </c>
      <c r="H19" s="4" t="str">
        <f>IFERROR(__xludf.DUMMYFUNCTION("GOOGLETRANSLATE(C19, ""en"", ""hi"")"),"ए) अलेक्जेंडर अलेखिन, बी) मैक्स यूवे, सी) इमानुएल लास्कर, डी) मिखाइल बोट्वनिक")</f>
        <v>ए) अलेक्जेंडर अलेखिन, बी) मैक्स यूवे, सी) इमानुएल लास्कर, डी) मिखाइल बोट्वनिक</v>
      </c>
      <c r="I19" s="4" t="str">
        <f>IFERROR(__xludf.DUMMYFUNCTION("GOOGLETRANSLATE(D19, ""en"", ""hi"")"),"A) अलेक्जेंडर अलेखिन")</f>
        <v>A) अलेक्जेंडर अलेखिन</v>
      </c>
    </row>
    <row r="20" ht="22.5" customHeight="1">
      <c r="A20" s="3">
        <v>19.0</v>
      </c>
      <c r="B20" s="4" t="s">
        <v>929</v>
      </c>
      <c r="C20" s="4" t="s">
        <v>930</v>
      </c>
      <c r="D20" s="4" t="s">
        <v>931</v>
      </c>
      <c r="F20" s="4" t="str">
        <f>IFERROR(__xludf.DUMMYFUNCTION("GOOGLETRANSLATE(A20, ""en"", ""hi"")"),"19")</f>
        <v>19</v>
      </c>
      <c r="G20" s="4" t="str">
        <f>IFERROR(__xludf.DUMMYFUNCTION("GOOGLETRANSLATE(B20, ""en"", ""hi"")"),"कौन सा विश्व शतरंज चैंपियन 'शतरंज को कला' की अवधारणा को प्रस्तुत करने के लिए जाना जाता है?")</f>
        <v>कौन सा विश्व शतरंज चैंपियन 'शतरंज को कला' की अवधारणा को प्रस्तुत करने के लिए जाना जाता है?</v>
      </c>
      <c r="H20" s="4" t="str">
        <f>IFERROR(__xludf.DUMMYFUNCTION("GOOGLETRANSLATE(C20, ""en"", ""hi"")"),"ए) मिखाइल ताल, बी) अलेक्जेंडर अलेखिन, सी) गैरी कास्पारोव, डी) इमानुएल लास्कर")</f>
        <v>ए) मिखाइल ताल, बी) अलेक्जेंडर अलेखिन, सी) गैरी कास्पारोव, डी) इमानुएल लास्कर</v>
      </c>
      <c r="I20" s="4" t="str">
        <f>IFERROR(__xludf.DUMMYFUNCTION("GOOGLETRANSLATE(D20, ""en"", ""hi"")"),"बी) अलेक्जेंडर अलेखिन")</f>
        <v>बी) अलेक्जेंडर अलेखिन</v>
      </c>
    </row>
    <row r="21" ht="22.5" customHeight="1">
      <c r="A21" s="3">
        <v>20.0</v>
      </c>
      <c r="B21" s="4" t="s">
        <v>932</v>
      </c>
      <c r="C21" s="4" t="s">
        <v>933</v>
      </c>
      <c r="D21" s="4" t="s">
        <v>934</v>
      </c>
      <c r="F21" s="4" t="str">
        <f>IFERROR(__xludf.DUMMYFUNCTION("GOOGLETRANSLATE(A21, ""en"", ""hi"")"),"20")</f>
        <v>20</v>
      </c>
      <c r="G21" s="4" t="str">
        <f>IFERROR(__xludf.DUMMYFUNCTION("GOOGLETRANSLATE(B21, ""en"", ""hi"")"),"विश्व शतरंज खिताब खोने के बाद उसे पुनः प्राप्त करने वाले पहले विश्व शतरंज चैंपियन कौन थे?")</f>
        <v>विश्व शतरंज खिताब खोने के बाद उसे पुनः प्राप्त करने वाले पहले विश्व शतरंज चैंपियन कौन थे?</v>
      </c>
      <c r="H21" s="4" t="str">
        <f>IFERROR(__xludf.DUMMYFUNCTION("GOOGLETRANSLATE(C21, ""en"", ""hi"")"),"ए) इमानुएल लास्कर, बी) मिखाइल बोट्वनिक, सी) अनातोली कारपोव, डी) गैरी कास्परोव")</f>
        <v>ए) इमानुएल लास्कर, बी) मिखाइल बोट्वनिक, सी) अनातोली कारपोव, डी) गैरी कास्परोव</v>
      </c>
      <c r="I21" s="4" t="str">
        <f>IFERROR(__xludf.DUMMYFUNCTION("GOOGLETRANSLATE(D21, ""en"", ""hi"")"),"B) मिखाइल बोट्विननिक")</f>
        <v>B) मिखाइल बोट्विननिक</v>
      </c>
    </row>
    <row r="22" ht="22.5" customHeight="1">
      <c r="A22" s="3">
        <v>21.0</v>
      </c>
      <c r="B22" s="4" t="s">
        <v>935</v>
      </c>
      <c r="C22" s="4" t="s">
        <v>936</v>
      </c>
      <c r="D22" s="4" t="s">
        <v>937</v>
      </c>
      <c r="F22" s="4" t="str">
        <f>IFERROR(__xludf.DUMMYFUNCTION("GOOGLETRANSLATE(A22, ""en"", ""hi"")"),"21")</f>
        <v>21</v>
      </c>
      <c r="G22" s="4" t="str">
        <f>IFERROR(__xludf.DUMMYFUNCTION("GOOGLETRANSLATE(B22, ""en"", ""hi"")"),"ऐतिहासिक स्पैस्की बनाम फिशर विश्व शतरंज चैम्पियनशिप मैच किस वर्ष हुआ था?")</f>
        <v>ऐतिहासिक स्पैस्की बनाम फिशर विश्व शतरंज चैम्पियनशिप मैच किस वर्ष हुआ था?</v>
      </c>
      <c r="H22" s="4" t="str">
        <f>IFERROR(__xludf.DUMMYFUNCTION("GOOGLETRANSLATE(C22, ""en"", ""hi"")"),"ए) 1969, बी) 1972, सी) 1975, डी) 1978")</f>
        <v>ए) 1969, बी) 1972, सी) 1975, डी) 1978</v>
      </c>
      <c r="I22" s="4" t="str">
        <f>IFERROR(__xludf.DUMMYFUNCTION("GOOGLETRANSLATE(D22, ""en"", ""hi"")"),"बी) 1972")</f>
        <v>बी) 1972</v>
      </c>
    </row>
    <row r="23" ht="22.5" customHeight="1">
      <c r="A23" s="3">
        <v>22.0</v>
      </c>
      <c r="B23" s="4" t="s">
        <v>938</v>
      </c>
      <c r="C23" s="4" t="s">
        <v>939</v>
      </c>
      <c r="D23" s="4" t="s">
        <v>940</v>
      </c>
      <c r="F23" s="4" t="str">
        <f>IFERROR(__xludf.DUMMYFUNCTION("GOOGLETRANSLATE(A23, ""en"", ""hi"")"),"22")</f>
        <v>22</v>
      </c>
      <c r="G23" s="4" t="str">
        <f>IFERROR(__xludf.DUMMYFUNCTION("GOOGLETRANSLATE(B23, ""en"", ""hi"")"),"कौन सा सोवियत विश्व शतरंज चैंपियन विक्टर कोर्चनोई के साथ अपनी प्रतिद्वंद्विता के लिए जाना जाता था?")</f>
        <v>कौन सा सोवियत विश्व शतरंज चैंपियन विक्टर कोर्चनोई के साथ अपनी प्रतिद्वंद्विता के लिए जाना जाता था?</v>
      </c>
      <c r="H23" s="4" t="str">
        <f>IFERROR(__xludf.DUMMYFUNCTION("GOOGLETRANSLATE(C23, ""en"", ""hi"")"),"ए) मिखाइल बोट्वनिक, बी) अनातोली कार्पोव, सी) गैरी कास्परोव, डी) बोरिस स्पैस्की")</f>
        <v>ए) मिखाइल बोट्वनिक, बी) अनातोली कार्पोव, सी) गैरी कास्परोव, डी) बोरिस स्पैस्की</v>
      </c>
      <c r="I23" s="4" t="str">
        <f>IFERROR(__xludf.DUMMYFUNCTION("GOOGLETRANSLATE(D23, ""en"", ""hi"")"),"बी) अनातोली कार्पोव")</f>
        <v>बी) अनातोली कार्पोव</v>
      </c>
    </row>
    <row r="24" ht="22.5" customHeight="1">
      <c r="A24" s="3">
        <v>23.0</v>
      </c>
      <c r="B24" s="4" t="s">
        <v>941</v>
      </c>
      <c r="C24" s="4" t="s">
        <v>942</v>
      </c>
      <c r="D24" s="4" t="s">
        <v>943</v>
      </c>
      <c r="F24" s="4" t="str">
        <f>IFERROR(__xludf.DUMMYFUNCTION("GOOGLETRANSLATE(A24, ""en"", ""hi"")"),"23")</f>
        <v>23</v>
      </c>
      <c r="G24" s="4" t="str">
        <f>IFERROR(__xludf.DUMMYFUNCTION("GOOGLETRANSLATE(B24, ""en"", ""hi"")"),"1993 में विश्व शतरंज चैंपियनशिप किसने जीती, जिससे शतरंज की दुनिया में विभाजन पैदा हो गया?")</f>
        <v>1993 में विश्व शतरंज चैंपियनशिप किसने जीती, जिससे शतरंज की दुनिया में विभाजन पैदा हो गया?</v>
      </c>
      <c r="H24" s="4" t="str">
        <f>IFERROR(__xludf.DUMMYFUNCTION("GOOGLETRANSLATE(C24, ""en"", ""hi"")"),"ए) गैरी कास्परोव, बी) अनातोली कार्पोव, सी) निगेल शॉर्ट, डी) व्लादिमीर क्रैमनिक")</f>
        <v>ए) गैरी कास्परोव, बी) अनातोली कार्पोव, सी) निगेल शॉर्ट, डी) व्लादिमीर क्रैमनिक</v>
      </c>
      <c r="I24" s="4" t="str">
        <f>IFERROR(__xludf.DUMMYFUNCTION("GOOGLETRANSLATE(D24, ""en"", ""hi"")"),"A) गैरी कास्पारोव")</f>
        <v>A) गैरी कास्पारोव</v>
      </c>
    </row>
    <row r="25" ht="22.5" customHeight="1">
      <c r="A25" s="3">
        <v>24.0</v>
      </c>
      <c r="B25" s="4" t="s">
        <v>944</v>
      </c>
      <c r="C25" s="4" t="s">
        <v>945</v>
      </c>
      <c r="D25" s="4" t="s">
        <v>943</v>
      </c>
      <c r="F25" s="4" t="str">
        <f>IFERROR(__xludf.DUMMYFUNCTION("GOOGLETRANSLATE(A25, ""en"", ""hi"")"),"24")</f>
        <v>24</v>
      </c>
      <c r="G25" s="4" t="str">
        <f>IFERROR(__xludf.DUMMYFUNCTION("GOOGLETRANSLATE(B25, ""en"", ""hi"")"),"कौन सा शतरंज खिलाड़ी जूनियर और सीनियर दोनों विश्व शतरंज चैंपियनशिप जीतने वाला पहला खिलाड़ी था?")</f>
        <v>कौन सा शतरंज खिलाड़ी जूनियर और सीनियर दोनों विश्व शतरंज चैंपियनशिप जीतने वाला पहला खिलाड़ी था?</v>
      </c>
      <c r="H25" s="4" t="str">
        <f>IFERROR(__xludf.DUMMYFUNCTION("GOOGLETRANSLATE(C25, ""en"", ""hi"")"),"ए) गैरी कास्पारोव, बी) अनातोली कार्पोव, सी) बोरिस स्पैस्की, डी) विश्वनाथन आनंद")</f>
        <v>ए) गैरी कास्पारोव, बी) अनातोली कार्पोव, सी) बोरिस स्पैस्की, डी) विश्वनाथन आनंद</v>
      </c>
      <c r="I25" s="4" t="str">
        <f>IFERROR(__xludf.DUMMYFUNCTION("GOOGLETRANSLATE(D25, ""en"", ""hi"")"),"A) गैरी कास्पारोव")</f>
        <v>A) गैरी कास्पारोव</v>
      </c>
    </row>
    <row r="26" ht="22.5" customHeight="1">
      <c r="A26" s="3">
        <v>25.0</v>
      </c>
      <c r="B26" s="4" t="s">
        <v>946</v>
      </c>
      <c r="C26" s="4" t="s">
        <v>947</v>
      </c>
      <c r="D26" s="4" t="s">
        <v>948</v>
      </c>
      <c r="F26" s="4" t="str">
        <f>IFERROR(__xludf.DUMMYFUNCTION("GOOGLETRANSLATE(A26, ""en"", ""hi"")"),"25")</f>
        <v>25</v>
      </c>
      <c r="G26" s="4" t="str">
        <f>IFERROR(__xludf.DUMMYFUNCTION("GOOGLETRANSLATE(B26, ""en"", ""hi"")"),"2000 विश्व शतरंज चैंपियनशिप में गैरी कास्पारोव को किसने हराया?")</f>
        <v>2000 विश्व शतरंज चैंपियनशिप में गैरी कास्पारोव को किसने हराया?</v>
      </c>
      <c r="H26" s="4" t="str">
        <f>IFERROR(__xludf.DUMMYFUNCTION("GOOGLETRANSLATE(C26, ""en"", ""hi"")"),"ए) व्लादिमीर क्रैमनिक, बी) विश्वनाथन आनंद, सी) अनातोली कारपोव, डी) वेसेलिन टोपालोव")</f>
        <v>ए) व्लादिमीर क्रैमनिक, बी) विश्वनाथन आनंद, सी) अनातोली कारपोव, डी) वेसेलिन टोपालोव</v>
      </c>
      <c r="I26" s="4" t="str">
        <f>IFERROR(__xludf.DUMMYFUNCTION("GOOGLETRANSLATE(D26, ""en"", ""hi"")"),"A) व्लादिमीर क्रैमनिक")</f>
        <v>A) व्लादिमीर क्रैमनिक</v>
      </c>
    </row>
    <row r="27" ht="22.5" customHeight="1">
      <c r="A27" s="3">
        <v>26.0</v>
      </c>
      <c r="B27" s="4" t="s">
        <v>949</v>
      </c>
      <c r="C27" s="4" t="s">
        <v>950</v>
      </c>
      <c r="D27" s="4" t="s">
        <v>908</v>
      </c>
      <c r="F27" s="4" t="str">
        <f>IFERROR(__xludf.DUMMYFUNCTION("GOOGLETRANSLATE(A27, ""en"", ""hi"")"),"26")</f>
        <v>26</v>
      </c>
      <c r="G27" s="4" t="str">
        <f>IFERROR(__xludf.DUMMYFUNCTION("GOOGLETRANSLATE(B27, ""en"", ""hi"")"),"कौन सा शतरंज खिलाड़ी अपने शानदार बलिदान और आक्रामक शैली के लिए जाना जाता था, जिससे उसे 'रीगा का जादूगर' उपनाम मिला?")</f>
        <v>कौन सा शतरंज खिलाड़ी अपने शानदार बलिदान और आक्रामक शैली के लिए जाना जाता था, जिससे उसे 'रीगा का जादूगर' उपनाम मिला?</v>
      </c>
      <c r="H27" s="4" t="str">
        <f>IFERROR(__xludf.DUMMYFUNCTION("GOOGLETRANSLATE(C27, ""en"", ""hi"")"),"ए) मिखाइल ताल, बी) गैरी कास्पारोव, सी) बोरिस स्पैस्की, डी) इमानुएल लास्कर")</f>
        <v>ए) मिखाइल ताल, बी) गैरी कास्पारोव, सी) बोरिस स्पैस्की, डी) इमानुएल लास्कर</v>
      </c>
      <c r="I27" s="4" t="str">
        <f>IFERROR(__xludf.DUMMYFUNCTION("GOOGLETRANSLATE(D27, ""en"", ""hi"")"),"A) मिखाइल ताल")</f>
        <v>A) मिखाइल ताल</v>
      </c>
    </row>
    <row r="28" ht="22.5" customHeight="1">
      <c r="A28" s="3">
        <v>27.0</v>
      </c>
      <c r="B28" s="4" t="s">
        <v>951</v>
      </c>
      <c r="C28" s="4" t="s">
        <v>952</v>
      </c>
      <c r="D28" s="4" t="s">
        <v>953</v>
      </c>
      <c r="F28" s="4" t="str">
        <f>IFERROR(__xludf.DUMMYFUNCTION("GOOGLETRANSLATE(A28, ""en"", ""hi"")"),"27")</f>
        <v>27</v>
      </c>
      <c r="G28" s="4" t="str">
        <f>IFERROR(__xludf.DUMMYFUNCTION("GOOGLETRANSLATE(B28, ""en"", ""hi"")"),"भारत का पहला विश्व शतरंज चैंपियन कौन था?")</f>
        <v>भारत का पहला विश्व शतरंज चैंपियन कौन था?</v>
      </c>
      <c r="H28" s="4" t="str">
        <f>IFERROR(__xludf.DUMMYFUNCTION("GOOGLETRANSLATE(C28, ""en"", ""hi"")"),"ए) कृष्णन शशिकिरण, बी) विश्वनाथन आनंद, सी) पेंटाला हरिकृष्णा, डी) परिमार्जन नेगी")</f>
        <v>ए) कृष्णन शशिकिरण, बी) विश्वनाथन आनंद, सी) पेंटाला हरिकृष्णा, डी) परिमार्जन नेगी</v>
      </c>
      <c r="I28" s="4" t="str">
        <f>IFERROR(__xludf.DUMMYFUNCTION("GOOGLETRANSLATE(D28, ""en"", ""hi"")"),"B) विश्वनाथन आनंद")</f>
        <v>B) विश्वनाथन आनंद</v>
      </c>
    </row>
    <row r="29" ht="22.5" customHeight="1">
      <c r="A29" s="3">
        <v>28.0</v>
      </c>
      <c r="B29" s="4" t="s">
        <v>954</v>
      </c>
      <c r="C29" s="4" t="s">
        <v>925</v>
      </c>
      <c r="D29" s="4" t="s">
        <v>926</v>
      </c>
      <c r="F29" s="4" t="str">
        <f>IFERROR(__xludf.DUMMYFUNCTION("GOOGLETRANSLATE(A29, ""en"", ""hi"")"),"28")</f>
        <v>28</v>
      </c>
      <c r="G29" s="4" t="str">
        <f>IFERROR(__xludf.DUMMYFUNCTION("GOOGLETRANSLATE(B29, ""en"", ""hi"")"),"कौन सी शतरंज खिलाड़ी FIDE द्वारा ग्रैंडमास्टर की उपाधि से सम्मानित होने वाली पहली महिला थी?")</f>
        <v>कौन सी शतरंज खिलाड़ी FIDE द्वारा ग्रैंडमास्टर की उपाधि से सम्मानित होने वाली पहली महिला थी?</v>
      </c>
      <c r="H29" s="4" t="str">
        <f>IFERROR(__xludf.DUMMYFUNCTION("GOOGLETRANSLATE(C29, ""en"", ""hi"")"),"ए) नोना गैप्रिंडाश्विली, बी) माइया चिबर्डनिडेज़, सी) जुडिट पोल्गर, डी) सुसान पोल्गर")</f>
        <v>ए) नोना गैप्रिंडाश्विली, बी) माइया चिबर्डनिडेज़, सी) जुडिट पोल्गर, डी) सुसान पोल्गर</v>
      </c>
      <c r="I29" s="4" t="str">
        <f>IFERROR(__xludf.DUMMYFUNCTION("GOOGLETRANSLATE(D29, ""en"", ""hi"")"),"C) जुडिट पोल्गर")</f>
        <v>C) जुडिट पोल्गर</v>
      </c>
    </row>
    <row r="30" ht="22.5" customHeight="1">
      <c r="A30" s="3">
        <v>29.0</v>
      </c>
      <c r="B30" s="4" t="s">
        <v>955</v>
      </c>
      <c r="C30" s="4" t="s">
        <v>956</v>
      </c>
      <c r="D30" s="4" t="s">
        <v>911</v>
      </c>
      <c r="F30" s="4" t="str">
        <f>IFERROR(__xludf.DUMMYFUNCTION("GOOGLETRANSLATE(A30, ""en"", ""hi"")"),"29")</f>
        <v>29</v>
      </c>
      <c r="G30" s="4" t="str">
        <f>IFERROR(__xludf.DUMMYFUNCTION("GOOGLETRANSLATE(B30, ""en"", ""hi"")"),"फ़ोरफ़िट द्वारा ख़िताब गँवाने वाला पहला विश्व शतरंज चैंपियन कौन था?")</f>
        <v>फ़ोरफ़िट द्वारा ख़िताब गँवाने वाला पहला विश्व शतरंज चैंपियन कौन था?</v>
      </c>
      <c r="H30" s="4" t="str">
        <f>IFERROR(__xludf.DUMMYFUNCTION("GOOGLETRANSLATE(C30, ""en"", ""hi"")"),"ए) बॉबी फिशर, बी) विल्हेम स्टीनित्ज़, सी) जोस राउल कैपब्लांका, डी) मिखाइल बोट्वनिक")</f>
        <v>ए) बॉबी फिशर, बी) विल्हेम स्टीनित्ज़, सी) जोस राउल कैपब्लांका, डी) मिखाइल बोट्वनिक</v>
      </c>
      <c r="I30" s="4" t="str">
        <f>IFERROR(__xludf.DUMMYFUNCTION("GOOGLETRANSLATE(D30, ""en"", ""hi"")"),"A) बॉबी फिशर")</f>
        <v>A) बॉबी फिशर</v>
      </c>
    </row>
    <row r="31" ht="22.5" customHeight="1">
      <c r="A31" s="3">
        <v>30.0</v>
      </c>
      <c r="B31" s="4" t="s">
        <v>957</v>
      </c>
      <c r="C31" s="4" t="s">
        <v>958</v>
      </c>
      <c r="D31" s="4" t="s">
        <v>959</v>
      </c>
      <c r="F31" s="4" t="str">
        <f>IFERROR(__xludf.DUMMYFUNCTION("GOOGLETRANSLATE(A31, ""en"", ""hi"")"),"30")</f>
        <v>30</v>
      </c>
      <c r="G31" s="4" t="str">
        <f>IFERROR(__xludf.DUMMYFUNCTION("GOOGLETRANSLATE(B31, ""en"", ""hi"")"),"स्पैस्की और फिशर के बीच प्रसिद्ध 1972 विश्व शतरंज चैम्पियनशिप मैच की मेजबानी किस शहर ने की थी?")</f>
        <v>स्पैस्की और फिशर के बीच प्रसिद्ध 1972 विश्व शतरंज चैम्पियनशिप मैच की मेजबानी किस शहर ने की थी?</v>
      </c>
      <c r="H31" s="4" t="str">
        <f>IFERROR(__xludf.DUMMYFUNCTION("GOOGLETRANSLATE(C31, ""en"", ""hi"")"),"A) रेक्जाविक, B) मॉस्को, C) न्यूयॉर्क, D) लंदन")</f>
        <v>A) रेक्जाविक, B) मॉस्को, C) न्यूयॉर्क, D) लंदन</v>
      </c>
      <c r="I31" s="4" t="str">
        <f>IFERROR(__xludf.DUMMYFUNCTION("GOOGLETRANSLATE(D31, ""en"", ""hi"")"),"ए) रेक्जाविक")</f>
        <v>ए) रेक्जाविक</v>
      </c>
    </row>
    <row r="32" ht="22.5" customHeight="1">
      <c r="A32" s="3">
        <v>31.0</v>
      </c>
      <c r="B32" s="4" t="s">
        <v>960</v>
      </c>
      <c r="C32" s="4" t="s">
        <v>961</v>
      </c>
      <c r="D32" s="4" t="s">
        <v>962</v>
      </c>
      <c r="F32" s="4" t="str">
        <f>IFERROR(__xludf.DUMMYFUNCTION("GOOGLETRANSLATE(A32, ""en"", ""hi"")"),"31")</f>
        <v>31</v>
      </c>
      <c r="G32" s="4" t="str">
        <f>IFERROR(__xludf.DUMMYFUNCTION("GOOGLETRANSLATE(B32, ""en"", ""hi"")"),"विदेशी देश में खिताबी मुकाबला खेलने वाला पहला विश्व शतरंज चैंपियन कौन था?")</f>
        <v>विदेशी देश में खिताबी मुकाबला खेलने वाला पहला विश्व शतरंज चैंपियन कौन था?</v>
      </c>
      <c r="H32" s="4" t="str">
        <f>IFERROR(__xludf.DUMMYFUNCTION("GOOGLETRANSLATE(C32, ""en"", ""hi"")"),"ए) विल्हेम स्टीनित्ज़, बी) इमानुएल लास्कर, सी) जोस राउल कैपबेलैंका, डी) अलेक्जेंडर अलेखिन")</f>
        <v>ए) विल्हेम स्टीनित्ज़, बी) इमानुएल लास्कर, सी) जोस राउल कैपबेलैंका, डी) अलेक्जेंडर अलेखिन</v>
      </c>
      <c r="I32" s="4" t="str">
        <f>IFERROR(__xludf.DUMMYFUNCTION("GOOGLETRANSLATE(D32, ""en"", ""hi"")"),"A) विल्हेम स्टाइनिट्ज़")</f>
        <v>A) विल्हेम स्टाइनिट्ज़</v>
      </c>
    </row>
    <row r="33" ht="22.5" customHeight="1">
      <c r="A33" s="3">
        <v>32.0</v>
      </c>
      <c r="B33" s="4" t="s">
        <v>963</v>
      </c>
      <c r="C33" s="4" t="s">
        <v>964</v>
      </c>
      <c r="D33" s="4" t="s">
        <v>914</v>
      </c>
      <c r="F33" s="4" t="str">
        <f>IFERROR(__xludf.DUMMYFUNCTION("GOOGLETRANSLATE(A33, ""en"", ""hi"")"),"32")</f>
        <v>32</v>
      </c>
      <c r="G33" s="4" t="str">
        <f>IFERROR(__xludf.DUMMYFUNCTION("GOOGLETRANSLATE(B33, ""en"", ""hi"")"),"कौन सा विश्व शतरंज चैंपियन रुय लोपेज़ ओपनिंग पर अपने व्यापक कार्य के लिए जाना जाता था?")</f>
        <v>कौन सा विश्व शतरंज चैंपियन रुय लोपेज़ ओपनिंग पर अपने व्यापक कार्य के लिए जाना जाता था?</v>
      </c>
      <c r="H33" s="4" t="str">
        <f>IFERROR(__xludf.DUMMYFUNCTION("GOOGLETRANSLATE(C33, ""en"", ""hi"")"),"ए) जोस राउल कैपब्लांका, बी) इमानुएल लास्कर, सी) बॉबी फिशर, डी) गैरी कास्परोव")</f>
        <v>ए) जोस राउल कैपब्लांका, बी) इमानुएल लास्कर, सी) बॉबी फिशर, डी) गैरी कास्परोव</v>
      </c>
      <c r="I33" s="4" t="str">
        <f>IFERROR(__xludf.DUMMYFUNCTION("GOOGLETRANSLATE(D33, ""en"", ""hi"")"),"C) बॉबी फिशर")</f>
        <v>C) बॉबी फिशर</v>
      </c>
    </row>
    <row r="34" ht="22.5" customHeight="1">
      <c r="A34" s="3">
        <v>33.0</v>
      </c>
      <c r="B34" s="4" t="s">
        <v>965</v>
      </c>
      <c r="C34" s="4" t="s">
        <v>966</v>
      </c>
      <c r="D34" s="4" t="s">
        <v>967</v>
      </c>
      <c r="F34" s="4" t="str">
        <f>IFERROR(__xludf.DUMMYFUNCTION("GOOGLETRANSLATE(A34, ""en"", ""hi"")"),"33")</f>
        <v>33</v>
      </c>
      <c r="G34" s="4" t="str">
        <f>IFERROR(__xludf.DUMMYFUNCTION("GOOGLETRANSLATE(B34, ""en"", ""hi"")"),"कौन सा विश्व शतरंज चैंपियन अंतिम खेलों में अपनी दक्षता के लिए जाना जाता था, जिससे उसे 'शतरंज मशीन' की उपाधि मिली?")</f>
        <v>कौन सा विश्व शतरंज चैंपियन अंतिम खेलों में अपनी दक्षता के लिए जाना जाता था, जिससे उसे 'शतरंज मशीन' की उपाधि मिली?</v>
      </c>
      <c r="H34" s="4" t="str">
        <f>IFERROR(__xludf.DUMMYFUNCTION("GOOGLETRANSLATE(C34, ""en"", ""hi"")"),"ए) जोस राउल कैपब्लांका, बी) अनातोली कार्पोव, सी) गैरी कास्पारोव, डी) इमानुएल लास्कर")</f>
        <v>ए) जोस राउल कैपब्लांका, बी) अनातोली कार्पोव, सी) गैरी कास्पारोव, डी) इमानुएल लास्कर</v>
      </c>
      <c r="I34" s="4" t="str">
        <f>IFERROR(__xludf.DUMMYFUNCTION("GOOGLETRANSLATE(D34, ""en"", ""hi"")"),"A) जोस राउल कैपब्लैंका")</f>
        <v>A) जोस राउल कैपब्लैंका</v>
      </c>
    </row>
    <row r="35" ht="22.5" customHeight="1">
      <c r="A35" s="3">
        <v>34.0</v>
      </c>
      <c r="B35" s="4" t="s">
        <v>968</v>
      </c>
      <c r="C35" s="4" t="s">
        <v>969</v>
      </c>
      <c r="D35" s="4" t="s">
        <v>923</v>
      </c>
      <c r="F35" s="4" t="str">
        <f>IFERROR(__xludf.DUMMYFUNCTION("GOOGLETRANSLATE(A35, ""en"", ""hi"")"),"34")</f>
        <v>34</v>
      </c>
      <c r="G35" s="4" t="str">
        <f>IFERROR(__xludf.DUMMYFUNCTION("GOOGLETRANSLATE(B35, ""en"", ""hi"")"),"कौन सा विश्व शतरंज चैंपियन खिताब अपने पास रखते हुए मरने वाला पहला व्यक्ति था?")</f>
        <v>कौन सा विश्व शतरंज चैंपियन खिताब अपने पास रखते हुए मरने वाला पहला व्यक्ति था?</v>
      </c>
      <c r="H35" s="4" t="str">
        <f>IFERROR(__xludf.DUMMYFUNCTION("GOOGLETRANSLATE(C35, ""en"", ""hi"")"),"A) अलेक्जेंडर अलेखिन, B) मिखाइल ताल, C) इमानुएल लास्कर, D) बोरिस स्पैस्की")</f>
        <v>A) अलेक्जेंडर अलेखिन, B) मिखाइल ताल, C) इमानुएल लास्कर, D) बोरिस स्पैस्की</v>
      </c>
      <c r="I35" s="4" t="str">
        <f>IFERROR(__xludf.DUMMYFUNCTION("GOOGLETRANSLATE(D35, ""en"", ""hi"")"),"A) अलेक्जेंडर अलेखिन")</f>
        <v>A) अलेक्जेंडर अलेखिन</v>
      </c>
    </row>
    <row r="36" ht="22.5" customHeight="1">
      <c r="A36" s="3">
        <v>35.0</v>
      </c>
      <c r="B36" s="4" t="s">
        <v>970</v>
      </c>
      <c r="C36" s="4" t="s">
        <v>971</v>
      </c>
      <c r="D36" s="4" t="s">
        <v>972</v>
      </c>
      <c r="F36" s="4" t="str">
        <f>IFERROR(__xludf.DUMMYFUNCTION("GOOGLETRANSLATE(A36, ""en"", ""hi"")"),"35")</f>
        <v>35</v>
      </c>
      <c r="G36" s="4" t="str">
        <f>IFERROR(__xludf.DUMMYFUNCTION("GOOGLETRANSLATE(B36, ""en"", ""hi"")"),"बॉबी फिशर से पहले अंतिम गैर-सोवियत विश्व शतरंज चैंपियन कौन था?")</f>
        <v>बॉबी फिशर से पहले अंतिम गैर-सोवियत विश्व शतरंज चैंपियन कौन था?</v>
      </c>
      <c r="H36" s="4" t="str">
        <f>IFERROR(__xludf.DUMMYFUNCTION("GOOGLETRANSLATE(C36, ""en"", ""hi"")"),"ए) जोस राउल कैपब्लांका, बी) मैक्स यूवे, सी) मिखाइल बोट्वनिक, डी) बोरिस स्पैस्की")</f>
        <v>ए) जोस राउल कैपब्लांका, बी) मैक्स यूवे, सी) मिखाइल बोट्वनिक, डी) बोरिस स्पैस्की</v>
      </c>
      <c r="I36" s="4" t="str">
        <f>IFERROR(__xludf.DUMMYFUNCTION("GOOGLETRANSLATE(D36, ""en"", ""hi"")"),"बी) मैक्स यूवे")</f>
        <v>बी) मैक्स यूवे</v>
      </c>
    </row>
    <row r="37" ht="22.5" customHeight="1">
      <c r="A37" s="3">
        <v>36.0</v>
      </c>
      <c r="B37" s="4" t="s">
        <v>973</v>
      </c>
      <c r="C37" s="4" t="s">
        <v>974</v>
      </c>
      <c r="D37" s="4" t="s">
        <v>943</v>
      </c>
      <c r="F37" s="4" t="str">
        <f>IFERROR(__xludf.DUMMYFUNCTION("GOOGLETRANSLATE(A37, ""en"", ""hi"")"),"36")</f>
        <v>36</v>
      </c>
      <c r="G37" s="4" t="str">
        <f>IFERROR(__xludf.DUMMYFUNCTION("GOOGLETRANSLATE(B37, ""en"", ""hi"")"),"कौन सा विश्व शतरंज चैंपियन किंग्स इंडियन डिफेंस में अपने योगदान के लिए जाना जाता था?")</f>
        <v>कौन सा विश्व शतरंज चैंपियन किंग्स इंडियन डिफेंस में अपने योगदान के लिए जाना जाता था?</v>
      </c>
      <c r="H37" s="4" t="str">
        <f>IFERROR(__xludf.DUMMYFUNCTION("GOOGLETRANSLATE(C37, ""en"", ""hi"")"),"ए) गैरी कास्पारोव, बी) बॉबी फिशर, सी) मिखाइल बोट्वनिक, डी) तिगरान पेट्रोसियन")</f>
        <v>ए) गैरी कास्पारोव, बी) बॉबी फिशर, सी) मिखाइल बोट्वनिक, डी) तिगरान पेट्रोसियन</v>
      </c>
      <c r="I37" s="4" t="str">
        <f>IFERROR(__xludf.DUMMYFUNCTION("GOOGLETRANSLATE(D37, ""en"", ""hi"")"),"A) गैरी कास्पारोव")</f>
        <v>A) गैरी कास्पारोव</v>
      </c>
    </row>
    <row r="38" ht="22.5" customHeight="1">
      <c r="A38" s="3">
        <v>37.0</v>
      </c>
      <c r="B38" s="4" t="s">
        <v>975</v>
      </c>
      <c r="C38" s="4" t="s">
        <v>976</v>
      </c>
      <c r="D38" s="4" t="s">
        <v>977</v>
      </c>
      <c r="F38" s="4" t="str">
        <f>IFERROR(__xludf.DUMMYFUNCTION("GOOGLETRANSLATE(A38, ""en"", ""hi"")"),"37")</f>
        <v>37</v>
      </c>
      <c r="G38" s="4" t="str">
        <f>IFERROR(__xludf.DUMMYFUNCTION("GOOGLETRANSLATE(B38, ""en"", ""hi"")"),"20वीं सदी में जन्म लेने वाला पहला विश्व शतरंज चैंपियन कौन था?")</f>
        <v>20वीं सदी में जन्म लेने वाला पहला विश्व शतरंज चैंपियन कौन था?</v>
      </c>
      <c r="H38" s="4" t="str">
        <f>IFERROR(__xludf.DUMMYFUNCTION("GOOGLETRANSLATE(C38, ""en"", ""hi"")"),"ए) जोस राउल कैपब्लांका, बी) अलेक्जेंडर अलेखिन, सी) मिखाइल बोट्वनिक, डी) अनातोली कारपोव")</f>
        <v>ए) जोस राउल कैपब्लांका, बी) अलेक्जेंडर अलेखिन, सी) मिखाइल बोट्वनिक, डी) अनातोली कारपोव</v>
      </c>
      <c r="I38" s="4" t="str">
        <f>IFERROR(__xludf.DUMMYFUNCTION("GOOGLETRANSLATE(D38, ""en"", ""hi"")"),"C) मिखाइल बोट्विननिक")</f>
        <v>C) मिखाइल बोट्विननिक</v>
      </c>
    </row>
    <row r="39" ht="22.5" customHeight="1">
      <c r="A39" s="3">
        <v>38.0</v>
      </c>
      <c r="B39" s="4" t="s">
        <v>978</v>
      </c>
      <c r="C39" s="4" t="s">
        <v>979</v>
      </c>
      <c r="D39" s="4" t="s">
        <v>980</v>
      </c>
      <c r="F39" s="4" t="str">
        <f>IFERROR(__xludf.DUMMYFUNCTION("GOOGLETRANSLATE(A39, ""en"", ""hi"")"),"38")</f>
        <v>38</v>
      </c>
      <c r="G39" s="4" t="str">
        <f>IFERROR(__xludf.DUMMYFUNCTION("GOOGLETRANSLATE(B39, ""en"", ""hi"")"),"कौन सा विश्व शतरंज चैंपियन सबसे लंबे समय तक 27 वर्षों तक खिताब अपने पास रखने के लिए जाना जाता है?")</f>
        <v>कौन सा विश्व शतरंज चैंपियन सबसे लंबे समय तक 27 वर्षों तक खिताब अपने पास रखने के लिए जाना जाता है?</v>
      </c>
      <c r="H39" s="4" t="str">
        <f>IFERROR(__xludf.DUMMYFUNCTION("GOOGLETRANSLATE(C39, ""en"", ""hi"")"),"ए) इमानुएल लास्कर, बी) गैरी कास्परोव, सी) अनातोली कारपोव, डी) जोस राउल कैपबेलैंका")</f>
        <v>ए) इमानुएल लास्कर, बी) गैरी कास्परोव, सी) अनातोली कारपोव, डी) जोस राउल कैपबेलैंका</v>
      </c>
      <c r="I39" s="4" t="str">
        <f>IFERROR(__xludf.DUMMYFUNCTION("GOOGLETRANSLATE(D39, ""en"", ""hi"")"),"A) इमानुएल लास्कर")</f>
        <v>A) इमानुएल लास्कर</v>
      </c>
    </row>
    <row r="40" ht="22.5" customHeight="1">
      <c r="A40" s="3">
        <v>39.0</v>
      </c>
      <c r="B40" s="4" t="s">
        <v>981</v>
      </c>
      <c r="C40" s="4" t="s">
        <v>982</v>
      </c>
      <c r="D40" s="4" t="s">
        <v>972</v>
      </c>
      <c r="F40" s="4" t="str">
        <f>IFERROR(__xludf.DUMMYFUNCTION("GOOGLETRANSLATE(A40, ""en"", ""hi"")"),"39")</f>
        <v>39</v>
      </c>
      <c r="G40" s="4" t="str">
        <f>IFERROR(__xludf.DUMMYFUNCTION("GOOGLETRANSLATE(B40, ""en"", ""hi"")"),"कौन सा विश्व शतरंज चैंपियन एक गणितज्ञ था और उसने अंतर समीकरणों पर एक पुस्तक लिखी थी?")</f>
        <v>कौन सा विश्व शतरंज चैंपियन एक गणितज्ञ था और उसने अंतर समीकरणों पर एक पुस्तक लिखी थी?</v>
      </c>
      <c r="H40" s="4" t="str">
        <f>IFERROR(__xludf.DUMMYFUNCTION("GOOGLETRANSLATE(C40, ""en"", ""hi"")"),"ए) इमानुएल लास्कर, बी) मैक्स यूवे, सी) मिखाइल बोट्वनिक, डी) अलेक्जेंडर अलेखिन")</f>
        <v>ए) इमानुएल लास्कर, बी) मैक्स यूवे, सी) मिखाइल बोट्वनिक, डी) अलेक्जेंडर अलेखिन</v>
      </c>
      <c r="I40" s="4" t="str">
        <f>IFERROR(__xludf.DUMMYFUNCTION("GOOGLETRANSLATE(D40, ""en"", ""hi"")"),"बी) मैक्स यूवे")</f>
        <v>बी) मैक्स यूवे</v>
      </c>
    </row>
    <row r="41" ht="22.5" customHeight="1">
      <c r="A41" s="3">
        <v>40.0</v>
      </c>
      <c r="B41" s="4" t="s">
        <v>983</v>
      </c>
      <c r="C41" s="4" t="s">
        <v>984</v>
      </c>
      <c r="D41" s="4" t="s">
        <v>985</v>
      </c>
      <c r="F41" s="4" t="str">
        <f>IFERROR(__xludf.DUMMYFUNCTION("GOOGLETRANSLATE(A41, ""en"", ""hi"")"),"40")</f>
        <v>40</v>
      </c>
      <c r="G41" s="4" t="str">
        <f>IFERROR(__xludf.DUMMYFUNCTION("GOOGLETRANSLATE(B41, ""en"", ""hi"")"),"कौन सा विश्व शतरंज चैंपियन एक प्रशिक्षित इंजीनियर भी था और उसने विद्युत उपकरणों के डिजाइन में योगदान दिया था?")</f>
        <v>कौन सा विश्व शतरंज चैंपियन एक प्रशिक्षित इंजीनियर भी था और उसने विद्युत उपकरणों के डिजाइन में योगदान दिया था?</v>
      </c>
      <c r="H41" s="4" t="str">
        <f>IFERROR(__xludf.DUMMYFUNCTION("GOOGLETRANSLATE(C41, ""en"", ""hi"")"),"ए) मिखाइल बोट्वनिक, बी) अनातोली कार्पोव, सी) गैरी कास्पारोव, डी) अलेक्जेंडर अलेखिन")</f>
        <v>ए) मिखाइल बोट्वनिक, बी) अनातोली कार्पोव, सी) गैरी कास्पारोव, डी) अलेक्जेंडर अलेखिन</v>
      </c>
      <c r="I41" s="4" t="str">
        <f>IFERROR(__xludf.DUMMYFUNCTION("GOOGLETRANSLATE(D41, ""en"", ""hi"")"),"A) मिखाइल बोट्विननिक")</f>
        <v>A) मिखाइल बोट्विननिक</v>
      </c>
    </row>
    <row r="42" ht="22.5" customHeight="1">
      <c r="A42" s="3">
        <v>41.0</v>
      </c>
      <c r="B42" s="4" t="s">
        <v>986</v>
      </c>
      <c r="C42" s="4" t="s">
        <v>987</v>
      </c>
      <c r="D42" s="4" t="s">
        <v>988</v>
      </c>
      <c r="F42" s="4" t="str">
        <f>IFERROR(__xludf.DUMMYFUNCTION("GOOGLETRANSLATE(A42, ""en"", ""hi"")"),"41")</f>
        <v>41</v>
      </c>
      <c r="G42" s="4" t="str">
        <f>IFERROR(__xludf.DUMMYFUNCTION("GOOGLETRANSLATE(B42, ""en"", ""hi"")"),"कौन सा विश्व शतरंज चैंपियन मिखाइल बोट्विननिक के साथ अपनी प्रतिद्वंद्विता के लिए जाना जाता था और उसका राजनीति में करियर था?")</f>
        <v>कौन सा विश्व शतरंज चैंपियन मिखाइल बोट्विननिक के साथ अपनी प्रतिद्वंद्विता के लिए जाना जाता था और उसका राजनीति में करियर था?</v>
      </c>
      <c r="H42" s="4" t="str">
        <f>IFERROR(__xludf.DUMMYFUNCTION("GOOGLETRANSLATE(C42, ""en"", ""hi"")"),"ए) तिगरान पेट्रोसियन, बी) बोरिस स्पैस्की, सी) मैक्स यूवे, डी) अलेक्जेंडर अलेखिन")</f>
        <v>ए) तिगरान पेट्रोसियन, बी) बोरिस स्पैस्की, सी) मैक्स यूवे, डी) अलेक्जेंडर अलेखिन</v>
      </c>
      <c r="I42" s="4" t="str">
        <f>IFERROR(__xludf.DUMMYFUNCTION("GOOGLETRANSLATE(D42, ""en"", ""hi"")"),"A) तिगरान पेट्रोसियन")</f>
        <v>A) तिगरान पेट्रोसियन</v>
      </c>
    </row>
    <row r="43" ht="22.5" customHeight="1">
      <c r="A43" s="3">
        <v>42.0</v>
      </c>
      <c r="B43" s="4" t="s">
        <v>989</v>
      </c>
      <c r="C43" s="4" t="s">
        <v>990</v>
      </c>
      <c r="D43" s="4" t="s">
        <v>911</v>
      </c>
      <c r="F43" s="4" t="str">
        <f>IFERROR(__xludf.DUMMYFUNCTION("GOOGLETRANSLATE(A43, ""en"", ""hi"")"),"42")</f>
        <v>42</v>
      </c>
      <c r="G43" s="4" t="str">
        <f>IFERROR(__xludf.DUMMYFUNCTION("GOOGLETRANSLATE(B43, ""en"", ""hi"")"),"कौन सा विश्व शतरंज चैंपियन शतरंज साहित्य में अपने योगदान के लिए जाना जाता था, जिसमें 'माई 60 मेमोरेबल गेम्स' पुस्तक भी शामिल है?")</f>
        <v>कौन सा विश्व शतरंज चैंपियन शतरंज साहित्य में अपने योगदान के लिए जाना जाता था, जिसमें 'माई 60 मेमोरेबल गेम्स' पुस्तक भी शामिल है?</v>
      </c>
      <c r="H43" s="4" t="str">
        <f>IFERROR(__xludf.DUMMYFUNCTION("GOOGLETRANSLATE(C43, ""en"", ""hi"")"),"ए) बॉबी फिशर, बी) गैरी कास्परोव, सी) मिखाइल ताल, डी) जोस राउल कैपब्लांका")</f>
        <v>ए) बॉबी फिशर, बी) गैरी कास्परोव, सी) मिखाइल ताल, डी) जोस राउल कैपब्लांका</v>
      </c>
      <c r="I43" s="4" t="str">
        <f>IFERROR(__xludf.DUMMYFUNCTION("GOOGLETRANSLATE(D43, ""en"", ""hi"")"),"A) बॉबी फिशर")</f>
        <v>A) बॉबी फिशर</v>
      </c>
    </row>
    <row r="44" ht="22.5" customHeight="1">
      <c r="A44" s="3">
        <v>43.0</v>
      </c>
      <c r="B44" s="4" t="s">
        <v>991</v>
      </c>
      <c r="C44" s="4" t="s">
        <v>992</v>
      </c>
      <c r="D44" s="4" t="s">
        <v>977</v>
      </c>
      <c r="F44" s="4" t="str">
        <f>IFERROR(__xludf.DUMMYFUNCTION("GOOGLETRANSLATE(A44, ""en"", ""hi"")"),"43")</f>
        <v>43</v>
      </c>
      <c r="G44" s="4" t="str">
        <f>IFERROR(__xludf.DUMMYFUNCTION("GOOGLETRANSLATE(B44, ""en"", ""hi"")"),"कौन सा विश्व शतरंज चैंपियन अपने प्रशिक्षण कार्यक्रम के भाग के रूप में मनोवैज्ञानिक तैयारी शुरू करने वाला पहला व्यक्ति था?")</f>
        <v>कौन सा विश्व शतरंज चैंपियन अपने प्रशिक्षण कार्यक्रम के भाग के रूप में मनोवैज्ञानिक तैयारी शुरू करने वाला पहला व्यक्ति था?</v>
      </c>
      <c r="H44" s="4" t="str">
        <f>IFERROR(__xludf.DUMMYFUNCTION("GOOGLETRANSLATE(C44, ""en"", ""hi"")"),"ए) गैरी कास्पारोव, बी) अनातोली कार्पोव, सी) मिखाइल बोट्वनिक, डी) इमानुएल लास्कर")</f>
        <v>ए) गैरी कास्पारोव, बी) अनातोली कार्पोव, सी) मिखाइल बोट्वनिक, डी) इमानुएल लास्कर</v>
      </c>
      <c r="I44" s="4" t="str">
        <f>IFERROR(__xludf.DUMMYFUNCTION("GOOGLETRANSLATE(D44, ""en"", ""hi"")"),"C) मिखाइल बोट्विननिक")</f>
        <v>C) मिखाइल बोट्विननिक</v>
      </c>
    </row>
    <row r="45" ht="22.5" customHeight="1">
      <c r="A45" s="3">
        <v>44.0</v>
      </c>
      <c r="B45" s="4" t="s">
        <v>993</v>
      </c>
      <c r="C45" s="4" t="s">
        <v>994</v>
      </c>
      <c r="D45" s="4" t="s">
        <v>995</v>
      </c>
      <c r="F45" s="4" t="str">
        <f>IFERROR(__xludf.DUMMYFUNCTION("GOOGLETRANSLATE(A45, ""en"", ""hi"")"),"44")</f>
        <v>44</v>
      </c>
      <c r="G45" s="4" t="str">
        <f>IFERROR(__xludf.DUMMYFUNCTION("GOOGLETRANSLATE(B45, ""en"", ""hi"")"),"कैंडिडेट्स टूर्नामेंट में भाग लेने वाले पहले विश्व शतरंज चैंपियन कौन थे?")</f>
        <v>कैंडिडेट्स टूर्नामेंट में भाग लेने वाले पहले विश्व शतरंज चैंपियन कौन थे?</v>
      </c>
      <c r="H45" s="4" t="str">
        <f>IFERROR(__xludf.DUMMYFUNCTION("GOOGLETRANSLATE(C45, ""en"", ""hi"")"),"ए) विल्हेम स्टीनित्ज़, बी) इमानुएल लास्कर, सी) अलेक्जेंडर अलेखिन, डी) जोस राउल कैपब्लांका")</f>
        <v>ए) विल्हेम स्टीनित्ज़, बी) इमानुएल लास्कर, सी) अलेक्जेंडर अलेखिन, डी) जोस राउल कैपब्लांका</v>
      </c>
      <c r="I45" s="4" t="str">
        <f>IFERROR(__xludf.DUMMYFUNCTION("GOOGLETRANSLATE(D45, ""en"", ""hi"")"),"C) अलेक्जेंडर अलेखिन")</f>
        <v>C) अलेक्जेंडर अलेखिन</v>
      </c>
    </row>
    <row r="46" ht="22.5" customHeight="1">
      <c r="A46" s="3">
        <v>45.0</v>
      </c>
      <c r="B46" s="4" t="s">
        <v>996</v>
      </c>
      <c r="C46" s="4" t="s">
        <v>997</v>
      </c>
      <c r="D46" s="4" t="s">
        <v>985</v>
      </c>
      <c r="F46" s="4" t="str">
        <f>IFERROR(__xludf.DUMMYFUNCTION("GOOGLETRANSLATE(A46, ""en"", ""hi"")"),"45")</f>
        <v>45</v>
      </c>
      <c r="G46" s="4" t="str">
        <f>IFERROR(__xludf.DUMMYFUNCTION("GOOGLETRANSLATE(B46, ""en"", ""hi"")"),"कौन सा विश्व शतरंज चैंपियन एक उल्लेखनीय रसायनज्ञ भी था, जो सिंथेटिक सामग्रियों पर अपने काम के लिए जाना जाता था?")</f>
        <v>कौन सा विश्व शतरंज चैंपियन एक उल्लेखनीय रसायनज्ञ भी था, जो सिंथेटिक सामग्रियों पर अपने काम के लिए जाना जाता था?</v>
      </c>
      <c r="H46" s="4" t="str">
        <f>IFERROR(__xludf.DUMMYFUNCTION("GOOGLETRANSLATE(C46, ""en"", ""hi"")"),"ए) मिखाइल बोट्वनिक, बी) इमानुएल लास्कर, सी) अनातोली कारपोव, डी) बोरिस स्पैस्की")</f>
        <v>ए) मिखाइल बोट्वनिक, बी) इमानुएल लास्कर, सी) अनातोली कारपोव, डी) बोरिस स्पैस्की</v>
      </c>
      <c r="I46" s="4" t="str">
        <f>IFERROR(__xludf.DUMMYFUNCTION("GOOGLETRANSLATE(D46, ""en"", ""hi"")"),"A) मिखाइल बोट्विननिक")</f>
        <v>A) मिखाइल बोट्विननिक</v>
      </c>
    </row>
    <row r="47" ht="22.5" customHeight="1">
      <c r="A47" s="3">
        <v>46.0</v>
      </c>
      <c r="B47" s="4" t="s">
        <v>998</v>
      </c>
      <c r="C47" s="4" t="s">
        <v>999</v>
      </c>
      <c r="D47" s="4" t="s">
        <v>934</v>
      </c>
      <c r="F47" s="4" t="str">
        <f>IFERROR(__xludf.DUMMYFUNCTION("GOOGLETRANSLATE(A47, ""en"", ""hi"")"),"46")</f>
        <v>46</v>
      </c>
      <c r="G47" s="4" t="str">
        <f>IFERROR(__xludf.DUMMYFUNCTION("GOOGLETRANSLATE(B47, ""en"", ""hi"")"),"कौन सा विश्व शतरंज चैंपियन शतरंज इंजन के विकास में अपने योगदान के लिए जाना जाता था?")</f>
        <v>कौन सा विश्व शतरंज चैंपियन शतरंज इंजन के विकास में अपने योगदान के लिए जाना जाता था?</v>
      </c>
      <c r="H47" s="4" t="str">
        <f>IFERROR(__xludf.DUMMYFUNCTION("GOOGLETRANSLATE(C47, ""en"", ""hi"")"),"ए) गैरी कास्पारोव, बी) मिखाइल बोट्वनिक, सी) अनातोली कारपोव, डी) व्लादिमीर क्रैमनिक")</f>
        <v>ए) गैरी कास्पारोव, बी) मिखाइल बोट्वनिक, सी) अनातोली कारपोव, डी) व्लादिमीर क्रैमनिक</v>
      </c>
      <c r="I47" s="4" t="str">
        <f>IFERROR(__xludf.DUMMYFUNCTION("GOOGLETRANSLATE(D47, ""en"", ""hi"")"),"B) मिखाइल बोट्विननिक")</f>
        <v>B) मिखाइल बोट्विननिक</v>
      </c>
    </row>
    <row r="48" ht="22.5" customHeight="1">
      <c r="A48" s="3">
        <v>47.0</v>
      </c>
      <c r="B48" s="4" t="s">
        <v>1000</v>
      </c>
      <c r="C48" s="4" t="s">
        <v>947</v>
      </c>
      <c r="D48" s="4" t="s">
        <v>948</v>
      </c>
      <c r="F48" s="4" t="str">
        <f>IFERROR(__xludf.DUMMYFUNCTION("GOOGLETRANSLATE(A48, ""en"", ""hi"")"),"47")</f>
        <v>47</v>
      </c>
      <c r="G48" s="4" t="str">
        <f>IFERROR(__xludf.DUMMYFUNCTION("GOOGLETRANSLATE(B48, ""en"", ""hi"")"),"किस विश्व शतरंज चैंपियन ने 2000 विश्व शतरंज चैंपियनशिप में गैरी कास्पारोव को हराया था?")</f>
        <v>किस विश्व शतरंज चैंपियन ने 2000 विश्व शतरंज चैंपियनशिप में गैरी कास्पारोव को हराया था?</v>
      </c>
      <c r="H48" s="4" t="str">
        <f>IFERROR(__xludf.DUMMYFUNCTION("GOOGLETRANSLATE(C48, ""en"", ""hi"")"),"ए) व्लादिमीर क्रैमनिक, बी) विश्वनाथन आनंद, सी) अनातोली कारपोव, डी) वेसेलिन टोपालोव")</f>
        <v>ए) व्लादिमीर क्रैमनिक, बी) विश्वनाथन आनंद, सी) अनातोली कारपोव, डी) वेसेलिन टोपालोव</v>
      </c>
      <c r="I48" s="4" t="str">
        <f>IFERROR(__xludf.DUMMYFUNCTION("GOOGLETRANSLATE(D48, ""en"", ""hi"")"),"A) व्लादिमीर क्रैमनिक")</f>
        <v>A) व्लादिमीर क्रैमनिक</v>
      </c>
    </row>
    <row r="49" ht="22.5" customHeight="1">
      <c r="A49" s="3">
        <v>48.0</v>
      </c>
      <c r="B49" s="4" t="s">
        <v>1001</v>
      </c>
      <c r="C49" s="4" t="s">
        <v>1002</v>
      </c>
      <c r="D49" s="4" t="s">
        <v>943</v>
      </c>
      <c r="F49" s="4" t="str">
        <f>IFERROR(__xludf.DUMMYFUNCTION("GOOGLETRANSLATE(A49, ""en"", ""hi"")"),"48")</f>
        <v>48</v>
      </c>
      <c r="G49" s="4" t="str">
        <f>IFERROR(__xludf.DUMMYFUNCTION("GOOGLETRANSLATE(B49, ""en"", ""hi"")"),"सोवियत संघ के विघटन के बाद कौन सा विश्व शतरंज चैंपियन यह खिताब जीतने वाला पहला व्यक्ति था?")</f>
        <v>सोवियत संघ के विघटन के बाद कौन सा विश्व शतरंज चैंपियन यह खिताब जीतने वाला पहला व्यक्ति था?</v>
      </c>
      <c r="H49" s="4" t="str">
        <f>IFERROR(__xludf.DUMMYFUNCTION("GOOGLETRANSLATE(C49, ""en"", ""hi"")"),"ए) गैरी कास्पारोव, बी) अनातोली कार्पोव, सी) व्लादिमीर क्रैमनिक, डी) बोरिस स्पैस्की")</f>
        <v>ए) गैरी कास्पारोव, बी) अनातोली कार्पोव, सी) व्लादिमीर क्रैमनिक, डी) बोरिस स्पैस्की</v>
      </c>
      <c r="I49" s="4" t="str">
        <f>IFERROR(__xludf.DUMMYFUNCTION("GOOGLETRANSLATE(D49, ""en"", ""hi"")"),"A) गैरी कास्पारोव")</f>
        <v>A) गैरी कास्पारोव</v>
      </c>
    </row>
    <row r="50" ht="22.5" customHeight="1">
      <c r="A50" s="3">
        <v>49.0</v>
      </c>
      <c r="B50" s="4" t="s">
        <v>1003</v>
      </c>
      <c r="C50" s="4" t="s">
        <v>1004</v>
      </c>
      <c r="D50" s="4" t="s">
        <v>1005</v>
      </c>
      <c r="F50" s="4" t="str">
        <f>IFERROR(__xludf.DUMMYFUNCTION("GOOGLETRANSLATE(A50, ""en"", ""hi"")"),"49")</f>
        <v>49</v>
      </c>
      <c r="G50" s="4" t="str">
        <f>IFERROR(__xludf.DUMMYFUNCTION("GOOGLETRANSLATE(B50, ""en"", ""hi"")"),"FIDE महासभा के निर्णय से अपना खिताब खोने वाला पहला विश्व शतरंज चैंपियन कौन था?")</f>
        <v>FIDE महासभा के निर्णय से अपना खिताब खोने वाला पहला विश्व शतरंज चैंपियन कौन था?</v>
      </c>
      <c r="H50" s="4" t="str">
        <f>IFERROR(__xludf.DUMMYFUNCTION("GOOGLETRANSLATE(C50, ""en"", ""hi"")"),"ए) अनातोली कार्पोव, बी) गैरी कास्परोव, सी) व्लादिमीर क्रैमनिक, डी) बॉबी फिशर")</f>
        <v>ए) अनातोली कार्पोव, बी) गैरी कास्परोव, सी) व्लादिमीर क्रैमनिक, डी) बॉबी फिशर</v>
      </c>
      <c r="I50" s="4" t="str">
        <f>IFERROR(__xludf.DUMMYFUNCTION("GOOGLETRANSLATE(D50, ""en"", ""hi"")"),"D) बॉबी फिशर")</f>
        <v>D) बॉबी फिशर</v>
      </c>
    </row>
    <row r="51" ht="22.5" customHeight="1">
      <c r="A51" s="3">
        <v>50.0</v>
      </c>
      <c r="B51" s="4" t="s">
        <v>1006</v>
      </c>
      <c r="C51" s="4" t="s">
        <v>1007</v>
      </c>
      <c r="D51" s="4" t="s">
        <v>985</v>
      </c>
      <c r="F51" s="4" t="str">
        <f>IFERROR(__xludf.DUMMYFUNCTION("GOOGLETRANSLATE(A51, ""en"", ""hi"")"),"50")</f>
        <v>50</v>
      </c>
      <c r="G51" s="4" t="str">
        <f>IFERROR(__xludf.DUMMYFUNCTION("GOOGLETRANSLATE(B51, ""en"", ""hi"")"),"कौन सा विश्व शतरंज चैंपियन शतरंज के सिद्धांत में अपने योगदान के लिए जाना जाता था, जिसमें क्वीन्स गैम्बिट डिक्लाइन्ड का विकास भी शामिल था?")</f>
        <v>कौन सा विश्व शतरंज चैंपियन शतरंज के सिद्धांत में अपने योगदान के लिए जाना जाता था, जिसमें क्वीन्स गैम्बिट डिक्लाइन्ड का विकास भी शामिल था?</v>
      </c>
      <c r="H51" s="4" t="str">
        <f>IFERROR(__xludf.DUMMYFUNCTION("GOOGLETRANSLATE(C51, ""en"", ""hi"")"),"ए) मिखाइल बोट्वनिक, बी) जोस राउल कैपब्लांका, सी) गैरी कास्पारोव, डी) तिगरान पेट्रोसियन")</f>
        <v>ए) मिखाइल बोट्वनिक, बी) जोस राउल कैपब्लांका, सी) गैरी कास्पारोव, डी) तिगरान पेट्रोसियन</v>
      </c>
      <c r="I51" s="4" t="str">
        <f>IFERROR(__xludf.DUMMYFUNCTION("GOOGLETRANSLATE(D51, ""en"", ""hi"")"),"A) मिखाइल बोट्विननिक")</f>
        <v>A) मिखाइल बोट्विननिक</v>
      </c>
    </row>
    <row r="52" ht="22.5" customHeight="1">
      <c r="A52" s="3">
        <v>51.0</v>
      </c>
      <c r="B52" s="4" t="s">
        <v>1008</v>
      </c>
      <c r="C52" s="4" t="s">
        <v>1009</v>
      </c>
      <c r="D52" s="4" t="s">
        <v>943</v>
      </c>
      <c r="F52" s="4" t="str">
        <f>IFERROR(__xludf.DUMMYFUNCTION("GOOGLETRANSLATE(A52, ""en"", ""hi"")"),"51")</f>
        <v>51</v>
      </c>
      <c r="G52" s="4" t="str">
        <f>IFERROR(__xludf.DUMMYFUNCTION("GOOGLETRANSLATE(B52, ""en"", ""hi"")"),"कौन सा विश्व शतरंज चैंपियन किसी अन्य विश्व चैंपियन की व्यापक जीवनी लिखने वाला पहला व्यक्ति था?")</f>
        <v>कौन सा विश्व शतरंज चैंपियन किसी अन्य विश्व चैंपियन की व्यापक जीवनी लिखने वाला पहला व्यक्ति था?</v>
      </c>
      <c r="H52" s="4" t="str">
        <f>IFERROR(__xludf.DUMMYFUNCTION("GOOGLETRANSLATE(C52, ""en"", ""hi"")"),"ए) गैरी कास्पारोव, बी) इमानुएल लास्कर, सी) अनातोली कारपोव, डी) व्लादिमीर क्रैमनिक")</f>
        <v>ए) गैरी कास्पारोव, बी) इमानुएल लास्कर, सी) अनातोली कारपोव, डी) व्लादिमीर क्रैमनिक</v>
      </c>
      <c r="I52" s="4" t="str">
        <f>IFERROR(__xludf.DUMMYFUNCTION("GOOGLETRANSLATE(D52, ""en"", ""hi"")"),"A) गैरी कास्पारोव")</f>
        <v>A) गैरी कास्पारोव</v>
      </c>
    </row>
    <row r="53" ht="22.5" customHeight="1">
      <c r="A53" s="3">
        <v>52.0</v>
      </c>
      <c r="B53" s="4" t="s">
        <v>1010</v>
      </c>
      <c r="C53" s="4" t="s">
        <v>982</v>
      </c>
      <c r="D53" s="4" t="s">
        <v>972</v>
      </c>
      <c r="F53" s="4" t="str">
        <f>IFERROR(__xludf.DUMMYFUNCTION("GOOGLETRANSLATE(A53, ""en"", ""hi"")"),"52")</f>
        <v>52</v>
      </c>
      <c r="G53" s="4" t="str">
        <f>IFERROR(__xludf.DUMMYFUNCTION("GOOGLETRANSLATE(B53, ""en"", ""hi"")"),"कौन सा विश्व शतरंज चैंपियन एक वकील भी था और उसने कानूनी मामलों पर विस्तार से लिखा था?")</f>
        <v>कौन सा विश्व शतरंज चैंपियन एक वकील भी था और उसने कानूनी मामलों पर विस्तार से लिखा था?</v>
      </c>
      <c r="H53" s="4" t="str">
        <f>IFERROR(__xludf.DUMMYFUNCTION("GOOGLETRANSLATE(C53, ""en"", ""hi"")"),"ए) इमानुएल लास्कर, बी) मैक्स यूवे, सी) मिखाइल बोट्वनिक, डी) अलेक्जेंडर अलेखिन")</f>
        <v>ए) इमानुएल लास्कर, बी) मैक्स यूवे, सी) मिखाइल बोट्वनिक, डी) अलेक्जेंडर अलेखिन</v>
      </c>
      <c r="I53" s="4" t="str">
        <f>IFERROR(__xludf.DUMMYFUNCTION("GOOGLETRANSLATE(D53, ""en"", ""hi"")"),"बी) मैक्स यूवे")</f>
        <v>बी) मैक्स यूवे</v>
      </c>
    </row>
    <row r="54" ht="22.5" customHeight="1">
      <c r="A54" s="3">
        <v>53.0</v>
      </c>
      <c r="B54" s="4" t="s">
        <v>1011</v>
      </c>
      <c r="C54" s="4" t="s">
        <v>1012</v>
      </c>
      <c r="D54" s="4" t="s">
        <v>988</v>
      </c>
      <c r="F54" s="4" t="str">
        <f>IFERROR(__xludf.DUMMYFUNCTION("GOOGLETRANSLATE(A54, ""en"", ""hi"")"),"53")</f>
        <v>53</v>
      </c>
      <c r="G54" s="4" t="str">
        <f>IFERROR(__xludf.DUMMYFUNCTION("GOOGLETRANSLATE(B54, ""en"", ""hi"")"),"कौन सा विश्व शतरंज चैंपियन अपनी गहरी स्थितिगत समझ और शतरंज में प्रोफिलैक्सिस के सिद्धांत में योगदान के लिए जाना जाता है?")</f>
        <v>कौन सा विश्व शतरंज चैंपियन अपनी गहरी स्थितिगत समझ और शतरंज में प्रोफिलैक्सिस के सिद्धांत में योगदान के लिए जाना जाता है?</v>
      </c>
      <c r="H54" s="4" t="str">
        <f>IFERROR(__xludf.DUMMYFUNCTION("GOOGLETRANSLATE(C54, ""en"", ""hi"")"),"ए) तिगरान पेट्रोसियन, बी) अनातोली कार्पोव, सी) गैरी कास्पारोव, डी) मिखाइल बोट्वनिक")</f>
        <v>ए) तिगरान पेट्रोसियन, बी) अनातोली कार्पोव, सी) गैरी कास्पारोव, डी) मिखाइल बोट्वनिक</v>
      </c>
      <c r="I54" s="4" t="str">
        <f>IFERROR(__xludf.DUMMYFUNCTION("GOOGLETRANSLATE(D54, ""en"", ""hi"")"),"A) तिगरान पेट्रोसियन")</f>
        <v>A) तिगरान पेट्रोसियन</v>
      </c>
    </row>
    <row r="55" ht="22.5" customHeight="1">
      <c r="A55" s="3">
        <v>54.0</v>
      </c>
      <c r="B55" s="4" t="s">
        <v>1013</v>
      </c>
      <c r="C55" s="4" t="s">
        <v>1014</v>
      </c>
      <c r="D55" s="4" t="s">
        <v>943</v>
      </c>
      <c r="F55" s="4" t="str">
        <f>IFERROR(__xludf.DUMMYFUNCTION("GOOGLETRANSLATE(A55, ""en"", ""hi"")"),"54")</f>
        <v>54</v>
      </c>
      <c r="G55" s="4" t="str">
        <f>IFERROR(__xludf.DUMMYFUNCTION("GOOGLETRANSLATE(B55, ""en"", ""hi"")"),"कौन सा विश्व शतरंज चैंपियन सिसिलियन डिफेंस, विशेष रूप से नजडोर्फ वेरिएशन में अपने योगदान के लिए जाना जाता था?")</f>
        <v>कौन सा विश्व शतरंज चैंपियन सिसिलियन डिफेंस, विशेष रूप से नजडोर्फ वेरिएशन में अपने योगदान के लिए जाना जाता था?</v>
      </c>
      <c r="H55" s="4" t="str">
        <f>IFERROR(__xludf.DUMMYFUNCTION("GOOGLETRANSLATE(C55, ""en"", ""hi"")"),"ए) गैरी कास्परोव, बी) बॉबी फिशर, सी) मिखाइल ताल, डी) जोस राउल कैपब्लांका")</f>
        <v>ए) गैरी कास्परोव, बी) बॉबी फिशर, सी) मिखाइल ताल, डी) जोस राउल कैपब्लांका</v>
      </c>
      <c r="I55" s="4" t="str">
        <f>IFERROR(__xludf.DUMMYFUNCTION("GOOGLETRANSLATE(D55, ""en"", ""hi"")"),"A) गैरी कास्पारोव")</f>
        <v>A) गैरी कास्पारोव</v>
      </c>
    </row>
    <row r="56" ht="22.5" customHeight="1">
      <c r="A56" s="3">
        <v>55.0</v>
      </c>
      <c r="B56" s="4" t="s">
        <v>1015</v>
      </c>
      <c r="C56" s="4" t="s">
        <v>1016</v>
      </c>
      <c r="D56" s="4" t="s">
        <v>977</v>
      </c>
      <c r="F56" s="4" t="str">
        <f>IFERROR(__xludf.DUMMYFUNCTION("GOOGLETRANSLATE(A56, ""en"", ""hi"")"),"55")</f>
        <v>55</v>
      </c>
      <c r="G56" s="4" t="str">
        <f>IFERROR(__xludf.DUMMYFUNCTION("GOOGLETRANSLATE(B56, ""en"", ""hi"")"),"कैंडिडेट्स टूर्नामेंट में जीत के बाद अपना खिताब दोबारा हासिल करने वाला पहला विश्व शतरंज चैंपियन कौन था?")</f>
        <v>कैंडिडेट्स टूर्नामेंट में जीत के बाद अपना खिताब दोबारा हासिल करने वाला पहला विश्व शतरंज चैंपियन कौन था?</v>
      </c>
      <c r="H56" s="4" t="str">
        <f>IFERROR(__xludf.DUMMYFUNCTION("GOOGLETRANSLATE(C56, ""en"", ""hi"")"),"ए) इमानुएल लास्कर, बी) अलेक्जेंडर अलेखिन, सी) मिखाइल बोट्वनिक, डी) अनातोली कारपोव")</f>
        <v>ए) इमानुएल लास्कर, बी) अलेक्जेंडर अलेखिन, सी) मिखाइल बोट्वनिक, डी) अनातोली कारपोव</v>
      </c>
      <c r="I56" s="4" t="str">
        <f>IFERROR(__xludf.DUMMYFUNCTION("GOOGLETRANSLATE(D56, ""en"", ""hi"")"),"C) मिखाइल बोट्विननिक")</f>
        <v>C) मिखाइल बोट्विननिक</v>
      </c>
    </row>
    <row r="57" ht="22.5" customHeight="1">
      <c r="A57" s="3">
        <v>56.0</v>
      </c>
      <c r="B57" s="4" t="s">
        <v>1017</v>
      </c>
      <c r="C57" s="4" t="s">
        <v>1018</v>
      </c>
      <c r="D57" s="4" t="s">
        <v>887</v>
      </c>
      <c r="F57" s="4" t="str">
        <f>IFERROR(__xludf.DUMMYFUNCTION("GOOGLETRANSLATE(A57, ""en"", ""hi"")"),"56")</f>
        <v>56</v>
      </c>
      <c r="G57" s="4" t="str">
        <f>IFERROR(__xludf.DUMMYFUNCTION("GOOGLETRANSLATE(B57, ""en"", ""hi"")"),"डिफ़ॉल्ट रूप से खिताबी मुकाबला जीतने वाले पहले विश्व शतरंज चैंपियन कौन थे?")</f>
        <v>डिफ़ॉल्ट रूप से खिताबी मुकाबला जीतने वाले पहले विश्व शतरंज चैंपियन कौन थे?</v>
      </c>
      <c r="H57" s="4" t="str">
        <f>IFERROR(__xludf.DUMMYFUNCTION("GOOGLETRANSLATE(C57, ""en"", ""hi"")"),"ए) अनातोली कार्पोव, बी) गैरी कास्परोव, सी) बॉबी फिशर, डी) मिखाइल ताल")</f>
        <v>ए) अनातोली कार्पोव, बी) गैरी कास्परोव, सी) बॉबी फिशर, डी) मिखाइल ताल</v>
      </c>
      <c r="I57" s="4" t="str">
        <f>IFERROR(__xludf.DUMMYFUNCTION("GOOGLETRANSLATE(D57, ""en"", ""hi"")"),"A) अनातोली कार्पोव")</f>
        <v>A) अनातोली कार्पोव</v>
      </c>
    </row>
    <row r="58" ht="22.5" customHeight="1">
      <c r="A58" s="3">
        <v>57.0</v>
      </c>
      <c r="B58" s="4" t="s">
        <v>1019</v>
      </c>
      <c r="C58" s="4" t="s">
        <v>1020</v>
      </c>
      <c r="D58" s="4" t="s">
        <v>1021</v>
      </c>
      <c r="F58" s="4" t="str">
        <f>IFERROR(__xludf.DUMMYFUNCTION("GOOGLETRANSLATE(A58, ""en"", ""hi"")"),"57")</f>
        <v>57</v>
      </c>
      <c r="G58" s="4" t="str">
        <f>IFERROR(__xludf.DUMMYFUNCTION("GOOGLETRANSLATE(B58, ""en"", ""hi"")"),"कौन सा विश्व शतरंज चैंपियन खिताब अपने पास रखते हुए संन्यास लेने वाला पहला खिलाड़ी था?")</f>
        <v>कौन सा विश्व शतरंज चैंपियन खिताब अपने पास रखते हुए संन्यास लेने वाला पहला खिलाड़ी था?</v>
      </c>
      <c r="H58" s="4" t="str">
        <f>IFERROR(__xludf.DUMMYFUNCTION("GOOGLETRANSLATE(C58, ""en"", ""hi"")"),"ए) इमानुएल लास्कर, बी) जोस राउल कैपब्लांका, सी) अनातोली कारपोव, डी) गैरी कास्परोव")</f>
        <v>ए) इमानुएल लास्कर, बी) जोस राउल कैपब्लांका, सी) अनातोली कारपोव, डी) गैरी कास्परोव</v>
      </c>
      <c r="I58" s="4" t="str">
        <f>IFERROR(__xludf.DUMMYFUNCTION("GOOGLETRANSLATE(D58, ""en"", ""hi"")"),"D) गैरी कास्परोव")</f>
        <v>D) गैरी कास्परोव</v>
      </c>
    </row>
    <row r="59" ht="22.5" customHeight="1">
      <c r="A59" s="3">
        <v>58.0</v>
      </c>
      <c r="B59" s="4" t="s">
        <v>1022</v>
      </c>
      <c r="C59" s="4" t="s">
        <v>933</v>
      </c>
      <c r="D59" s="4" t="s">
        <v>934</v>
      </c>
      <c r="F59" s="4" t="str">
        <f>IFERROR(__xludf.DUMMYFUNCTION("GOOGLETRANSLATE(A59, ""en"", ""hi"")"),"58")</f>
        <v>58</v>
      </c>
      <c r="G59" s="4" t="str">
        <f>IFERROR(__xludf.DUMMYFUNCTION("GOOGLETRANSLATE(B59, ""en"", ""hi"")"),"कौन सा विश्व शतरंज चैंपियन खिताब खोने के बाद उसे पुनः प्राप्त करने वाला पहला व्यक्ति था?")</f>
        <v>कौन सा विश्व शतरंज चैंपियन खिताब खोने के बाद उसे पुनः प्राप्त करने वाला पहला व्यक्ति था?</v>
      </c>
      <c r="H59" s="4" t="str">
        <f>IFERROR(__xludf.DUMMYFUNCTION("GOOGLETRANSLATE(C59, ""en"", ""hi"")"),"ए) इमानुएल लास्कर, बी) मिखाइल बोट्वनिक, सी) अनातोली कारपोव, डी) गैरी कास्परोव")</f>
        <v>ए) इमानुएल लास्कर, बी) मिखाइल बोट्वनिक, सी) अनातोली कारपोव, डी) गैरी कास्परोव</v>
      </c>
      <c r="I59" s="4" t="str">
        <f>IFERROR(__xludf.DUMMYFUNCTION("GOOGLETRANSLATE(D59, ""en"", ""hi"")"),"B) मिखाइल बोट्विननिक")</f>
        <v>B) मिखाइल बोट्विननिक</v>
      </c>
    </row>
    <row r="60" ht="22.5" customHeight="1">
      <c r="A60" s="3">
        <v>59.0</v>
      </c>
      <c r="B60" s="4" t="s">
        <v>1023</v>
      </c>
      <c r="C60" s="4" t="s">
        <v>1024</v>
      </c>
      <c r="D60" s="4" t="s">
        <v>917</v>
      </c>
      <c r="F60" s="4" t="str">
        <f>IFERROR(__xludf.DUMMYFUNCTION("GOOGLETRANSLATE(A60, ""en"", ""hi"")"),"59")</f>
        <v>59</v>
      </c>
      <c r="G60" s="4" t="str">
        <f>IFERROR(__xludf.DUMMYFUNCTION("GOOGLETRANSLATE(B60, ""en"", ""hi"")"),"FIDE द्वारा ग्रैंडमास्टर की उपाधि से सम्मानित होने वाले पहले विश्व शतरंज चैंपियन कौन थे?")</f>
        <v>FIDE द्वारा ग्रैंडमास्टर की उपाधि से सम्मानित होने वाले पहले विश्व शतरंज चैंपियन कौन थे?</v>
      </c>
      <c r="H60" s="4" t="str">
        <f>IFERROR(__xludf.DUMMYFUNCTION("GOOGLETRANSLATE(C60,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60" s="4" t="str">
        <f>IFERROR(__xludf.DUMMYFUNCTION("GOOGLETRANSLATE(D60, ""en"", ""hi"")"),"D) मिखाइल बोट्विननिक")</f>
        <v>D) मिखाइल बोट्विननिक</v>
      </c>
    </row>
    <row r="61" ht="22.5" customHeight="1">
      <c r="A61" s="3">
        <v>60.0</v>
      </c>
      <c r="B61" s="4" t="s">
        <v>973</v>
      </c>
      <c r="C61" s="4" t="s">
        <v>974</v>
      </c>
      <c r="D61" s="4" t="s">
        <v>943</v>
      </c>
      <c r="F61" s="4" t="str">
        <f>IFERROR(__xludf.DUMMYFUNCTION("GOOGLETRANSLATE(A61, ""en"", ""hi"")"),"60")</f>
        <v>60</v>
      </c>
      <c r="G61" s="4" t="str">
        <f>IFERROR(__xludf.DUMMYFUNCTION("GOOGLETRANSLATE(B61, ""en"", ""hi"")"),"कौन सा विश्व शतरंज चैंपियन किंग्स इंडियन डिफेंस में अपने योगदान के लिए जाना जाता था?")</f>
        <v>कौन सा विश्व शतरंज चैंपियन किंग्स इंडियन डिफेंस में अपने योगदान के लिए जाना जाता था?</v>
      </c>
      <c r="H61" s="4" t="str">
        <f>IFERROR(__xludf.DUMMYFUNCTION("GOOGLETRANSLATE(C61, ""en"", ""hi"")"),"ए) गैरी कास्पारोव, बी) बॉबी फिशर, सी) मिखाइल बोट्वनिक, डी) तिगरान पेट्रोसियन")</f>
        <v>ए) गैरी कास्पारोव, बी) बॉबी फिशर, सी) मिखाइल बोट्वनिक, डी) तिगरान पेट्रोसियन</v>
      </c>
      <c r="I61" s="4" t="str">
        <f>IFERROR(__xludf.DUMMYFUNCTION("GOOGLETRANSLATE(D61, ""en"", ""hi"")"),"A) गैरी कास्पारोव")</f>
        <v>A) गैरी कास्पारोव</v>
      </c>
    </row>
    <row r="62" ht="22.5" customHeight="1">
      <c r="A62" s="3">
        <v>61.0</v>
      </c>
      <c r="B62" s="4" t="s">
        <v>1025</v>
      </c>
      <c r="C62" s="4" t="s">
        <v>1026</v>
      </c>
      <c r="D62" s="4" t="s">
        <v>917</v>
      </c>
      <c r="F62" s="4" t="str">
        <f>IFERROR(__xludf.DUMMYFUNCTION("GOOGLETRANSLATE(A62, ""en"", ""hi"")"),"61")</f>
        <v>61</v>
      </c>
      <c r="G62" s="4" t="str">
        <f>IFERROR(__xludf.DUMMYFUNCTION("GOOGLETRANSLATE(B62, ""en"", ""hi"")"),"कौन सा विश्व शतरंज चैंपियन मैच के बजाय टूर्नामेंट में खिताब जीतने वाला पहला व्यक्ति था?")</f>
        <v>कौन सा विश्व शतरंज चैंपियन मैच के बजाय टूर्नामेंट में खिताब जीतने वाला पहला व्यक्ति था?</v>
      </c>
      <c r="H62" s="4" t="str">
        <f>IFERROR(__xludf.DUMMYFUNCTION("GOOGLETRANSLATE(C62, ""en"", ""hi"")"),"ए) विल्हेम स्टीनित्ज़, बी) जोस राउल कैपब्लांका, सी) मैक्स यूवे, डी) मिखाइल बोट्वनिक")</f>
        <v>ए) विल्हेम स्टीनित्ज़, बी) जोस राउल कैपब्लांका, सी) मैक्स यूवे, डी) मिखाइल बोट्वनिक</v>
      </c>
      <c r="I62" s="4" t="str">
        <f>IFERROR(__xludf.DUMMYFUNCTION("GOOGLETRANSLATE(D62, ""en"", ""hi"")"),"D) मिखाइल बोट्विननिक")</f>
        <v>D) मिखाइल बोट्विननिक</v>
      </c>
    </row>
    <row r="63" ht="22.5" customHeight="1">
      <c r="A63" s="3">
        <v>62.0</v>
      </c>
      <c r="B63" s="4" t="s">
        <v>1027</v>
      </c>
      <c r="C63" s="4" t="s">
        <v>1028</v>
      </c>
      <c r="D63" s="4" t="s">
        <v>917</v>
      </c>
      <c r="F63" s="4" t="str">
        <f>IFERROR(__xludf.DUMMYFUNCTION("GOOGLETRANSLATE(A63, ""en"", ""hi"")"),"62")</f>
        <v>62</v>
      </c>
      <c r="G63" s="4" t="str">
        <f>IFERROR(__xludf.DUMMYFUNCTION("GOOGLETRANSLATE(B63, ""en"", ""hi"")"),"एलो रेटिंग प्रणाली की शुरुआत के बाद कौन सा विश्व शतरंज चैंपियन यह खिताब जीतने वाला पहला व्यक्ति था?")</f>
        <v>एलो रेटिंग प्रणाली की शुरुआत के बाद कौन सा विश्व शतरंज चैंपियन यह खिताब जीतने वाला पहला व्यक्ति था?</v>
      </c>
      <c r="H63" s="4" t="str">
        <f>IFERROR(__xludf.DUMMYFUNCTION("GOOGLETRANSLATE(C63, ""en"", ""hi"")"),"ए) बॉबी फिशर, बी) अनातोली कार्पोव, सी) गैरी कास्पारोव, डी) मिखाइल बोट्वनिक")</f>
        <v>ए) बॉबी फिशर, बी) अनातोली कार्पोव, सी) गैरी कास्पारोव, डी) मिखाइल बोट्वनिक</v>
      </c>
      <c r="I63" s="4" t="str">
        <f>IFERROR(__xludf.DUMMYFUNCTION("GOOGLETRANSLATE(D63, ""en"", ""hi"")"),"D) मिखाइल बोट्विननिक")</f>
        <v>D) मिखाइल बोट्विननिक</v>
      </c>
    </row>
    <row r="64" ht="22.5" customHeight="1">
      <c r="A64" s="3">
        <v>63.0</v>
      </c>
      <c r="B64" s="4" t="s">
        <v>1029</v>
      </c>
      <c r="C64" s="4" t="s">
        <v>1030</v>
      </c>
      <c r="D64" s="4" t="s">
        <v>977</v>
      </c>
      <c r="F64" s="4" t="str">
        <f>IFERROR(__xludf.DUMMYFUNCTION("GOOGLETRANSLATE(A64, ""en"", ""hi"")"),"63")</f>
        <v>63</v>
      </c>
      <c r="G64" s="4" t="str">
        <f>IFERROR(__xludf.DUMMYFUNCTION("GOOGLETRANSLATE(B64, ""en"", ""hi"")"),"पुनर्मैच में अपना खिताब हारने वाला पहला विश्व शतरंज चैंपियन कौन था?")</f>
        <v>पुनर्मैच में अपना खिताब हारने वाला पहला विश्व शतरंज चैंपियन कौन था?</v>
      </c>
      <c r="H64" s="4" t="str">
        <f>IFERROR(__xludf.DUMMYFUNCTION("GOOGLETRANSLATE(C64, ""en"", ""hi"")"),"ए) जोस राउल कैपब्लांका, बी) मैक्स यूवे, सी) मिखाइल बोट्वनिक, डी) अलेक्जेंडर अलेखिन")</f>
        <v>ए) जोस राउल कैपब्लांका, बी) मैक्स यूवे, सी) मिखाइल बोट्वनिक, डी) अलेक्जेंडर अलेखिन</v>
      </c>
      <c r="I64" s="4" t="str">
        <f>IFERROR(__xludf.DUMMYFUNCTION("GOOGLETRANSLATE(D64, ""en"", ""hi"")"),"C) मिखाइल बोट्विननिक")</f>
        <v>C) मिखाइल बोट्विननिक</v>
      </c>
    </row>
    <row r="65" ht="22.5" customHeight="1">
      <c r="A65" s="3">
        <v>64.0</v>
      </c>
      <c r="B65" s="4" t="s">
        <v>1031</v>
      </c>
      <c r="C65" s="4" t="s">
        <v>1016</v>
      </c>
      <c r="D65" s="4" t="s">
        <v>977</v>
      </c>
      <c r="F65" s="4" t="str">
        <f>IFERROR(__xludf.DUMMYFUNCTION("GOOGLETRANSLATE(A65, ""en"", ""hi"")"),"64")</f>
        <v>64</v>
      </c>
      <c r="G65" s="4" t="str">
        <f>IFERROR(__xludf.DUMMYFUNCTION("GOOGLETRANSLATE(B65, ""en"", ""hi"")"),"कैंडिडेट्स टूर्नामेंट जीतने के बाद खिताब जीतने वाला पहला विश्व शतरंज चैंपियन कौन था?")</f>
        <v>कैंडिडेट्स टूर्नामेंट जीतने के बाद खिताब जीतने वाला पहला विश्व शतरंज चैंपियन कौन था?</v>
      </c>
      <c r="H65" s="4" t="str">
        <f>IFERROR(__xludf.DUMMYFUNCTION("GOOGLETRANSLATE(C65, ""en"", ""hi"")"),"ए) इमानुएल लास्कर, बी) अलेक्जेंडर अलेखिन, सी) मिखाइल बोट्वनिक, डी) अनातोली कारपोव")</f>
        <v>ए) इमानुएल लास्कर, बी) अलेक्जेंडर अलेखिन, सी) मिखाइल बोट्वनिक, डी) अनातोली कारपोव</v>
      </c>
      <c r="I65" s="4" t="str">
        <f>IFERROR(__xludf.DUMMYFUNCTION("GOOGLETRANSLATE(D65, ""en"", ""hi"")"),"C) मिखाइल बोट्विननिक")</f>
        <v>C) मिखाइल बोट्विननिक</v>
      </c>
    </row>
    <row r="66" ht="22.5" customHeight="1">
      <c r="A66" s="3">
        <v>65.0</v>
      </c>
      <c r="B66" s="4" t="s">
        <v>1032</v>
      </c>
      <c r="C66" s="4" t="s">
        <v>1033</v>
      </c>
      <c r="D66" s="4" t="s">
        <v>1034</v>
      </c>
      <c r="F66" s="4" t="str">
        <f>IFERROR(__xludf.DUMMYFUNCTION("GOOGLETRANSLATE(A66, ""en"", ""hi"")"),"65")</f>
        <v>65</v>
      </c>
      <c r="G66" s="4" t="str">
        <f>IFERROR(__xludf.DUMMYFUNCTION("GOOGLETRANSLATE(B66, ""en"", ""hi"")"),"टाईब्रेक द्वारा तय किये गए मैच में अपना खिताब हारने वाला पहला विश्व शतरंज चैंपियन कौन था?")</f>
        <v>टाईब्रेक द्वारा तय किये गए मैच में अपना खिताब हारने वाला पहला विश्व शतरंज चैंपियन कौन था?</v>
      </c>
      <c r="H66" s="4" t="str">
        <f>IFERROR(__xludf.DUMMYFUNCTION("GOOGLETRANSLATE(C66, ""en"", ""hi"")"),"ए) गैरी कास्परोव, बी) अनातोली कार्पोव, सी) व्लादिमीर क्रैमनिक, डी) विश्वनाथन आनंद")</f>
        <v>ए) गैरी कास्परोव, बी) अनातोली कार्पोव, सी) व्लादिमीर क्रैमनिक, डी) विश्वनाथन आनंद</v>
      </c>
      <c r="I66" s="4" t="str">
        <f>IFERROR(__xludf.DUMMYFUNCTION("GOOGLETRANSLATE(D66, ""en"", ""hi"")"),"D) विश्वनाथन आनंद")</f>
        <v>D) विश्वनाथन आनंद</v>
      </c>
    </row>
    <row r="67" ht="22.5" customHeight="1">
      <c r="A67" s="3">
        <v>66.0</v>
      </c>
      <c r="B67" s="4" t="s">
        <v>1035</v>
      </c>
      <c r="C67" s="4" t="s">
        <v>933</v>
      </c>
      <c r="D67" s="4" t="s">
        <v>934</v>
      </c>
      <c r="F67" s="4" t="str">
        <f>IFERROR(__xludf.DUMMYFUNCTION("GOOGLETRANSLATE(A67, ""en"", ""hi"")"),"66")</f>
        <v>66</v>
      </c>
      <c r="G67" s="4" t="str">
        <f>IFERROR(__xludf.DUMMYFUNCTION("GOOGLETRANSLATE(B67, ""en"", ""hi"")"),"कौन सा विश्व शतरंज चैंपियन पुनर्मैच के बाद अपना खिताब पुनः प्राप्त करने वाला पहला व्यक्ति था?")</f>
        <v>कौन सा विश्व शतरंज चैंपियन पुनर्मैच के बाद अपना खिताब पुनः प्राप्त करने वाला पहला व्यक्ति था?</v>
      </c>
      <c r="H67" s="4" t="str">
        <f>IFERROR(__xludf.DUMMYFUNCTION("GOOGLETRANSLATE(C67, ""en"", ""hi"")"),"ए) इमानुएल लास्कर, बी) मिखाइल बोट्वनिक, सी) अनातोली कारपोव, डी) गैरी कास्परोव")</f>
        <v>ए) इमानुएल लास्कर, बी) मिखाइल बोट्वनिक, सी) अनातोली कारपोव, डी) गैरी कास्परोव</v>
      </c>
      <c r="I67" s="4" t="str">
        <f>IFERROR(__xludf.DUMMYFUNCTION("GOOGLETRANSLATE(D67, ""en"", ""hi"")"),"B) मिखाइल बोट्विननिक")</f>
        <v>B) मिखाइल बोट्विननिक</v>
      </c>
    </row>
    <row r="68" ht="22.5" customHeight="1">
      <c r="A68" s="3">
        <v>67.0</v>
      </c>
      <c r="B68" s="4" t="s">
        <v>1003</v>
      </c>
      <c r="C68" s="4" t="s">
        <v>1004</v>
      </c>
      <c r="D68" s="4" t="s">
        <v>1005</v>
      </c>
      <c r="F68" s="4" t="str">
        <f>IFERROR(__xludf.DUMMYFUNCTION("GOOGLETRANSLATE(A68, ""en"", ""hi"")"),"67")</f>
        <v>67</v>
      </c>
      <c r="G68" s="4" t="str">
        <f>IFERROR(__xludf.DUMMYFUNCTION("GOOGLETRANSLATE(B68, ""en"", ""hi"")"),"FIDE महासभा के निर्णय से अपना खिताब खोने वाला पहला विश्व शतरंज चैंपियन कौन था?")</f>
        <v>FIDE महासभा के निर्णय से अपना खिताब खोने वाला पहला विश्व शतरंज चैंपियन कौन था?</v>
      </c>
      <c r="H68" s="4" t="str">
        <f>IFERROR(__xludf.DUMMYFUNCTION("GOOGLETRANSLATE(C68, ""en"", ""hi"")"),"ए) अनातोली कार्पोव, बी) गैरी कास्परोव, सी) व्लादिमीर क्रैमनिक, डी) बॉबी फिशर")</f>
        <v>ए) अनातोली कार्पोव, बी) गैरी कास्परोव, सी) व्लादिमीर क्रैमनिक, डी) बॉबी फिशर</v>
      </c>
      <c r="I68" s="4" t="str">
        <f>IFERROR(__xludf.DUMMYFUNCTION("GOOGLETRANSLATE(D68, ""en"", ""hi"")"),"D) बॉबी फिशर")</f>
        <v>D) बॉबी फिशर</v>
      </c>
    </row>
    <row r="69" ht="22.5" customHeight="1">
      <c r="A69" s="3">
        <v>68.0</v>
      </c>
      <c r="B69" s="4" t="s">
        <v>1036</v>
      </c>
      <c r="C69" s="4" t="s">
        <v>933</v>
      </c>
      <c r="D69" s="4" t="s">
        <v>934</v>
      </c>
      <c r="F69" s="4" t="str">
        <f>IFERROR(__xludf.DUMMYFUNCTION("GOOGLETRANSLATE(A69, ""en"", ""hi"")"),"68")</f>
        <v>68</v>
      </c>
      <c r="G69" s="4" t="str">
        <f>IFERROR(__xludf.DUMMYFUNCTION("GOOGLETRANSLATE(B69, ""en"", ""hi"")"),"कौन सा विश्व शतरंज चैंपियन मैच में हारने के बाद खिताब दोबारा हासिल करने वाला पहला खिलाड़ी था?")</f>
        <v>कौन सा विश्व शतरंज चैंपियन मैच में हारने के बाद खिताब दोबारा हासिल करने वाला पहला खिलाड़ी था?</v>
      </c>
      <c r="H69" s="4" t="str">
        <f>IFERROR(__xludf.DUMMYFUNCTION("GOOGLETRANSLATE(C69, ""en"", ""hi"")"),"ए) इमानुएल लास्कर, बी) मिखाइल बोट्वनिक, सी) अनातोली कारपोव, डी) गैरी कास्परोव")</f>
        <v>ए) इमानुएल लास्कर, बी) मिखाइल बोट्वनिक, सी) अनातोली कारपोव, डी) गैरी कास्परोव</v>
      </c>
      <c r="I69" s="4" t="str">
        <f>IFERROR(__xludf.DUMMYFUNCTION("GOOGLETRANSLATE(D69, ""en"", ""hi"")"),"B) मिखाइल बोट्विननिक")</f>
        <v>B) मिखाइल बोट्विननिक</v>
      </c>
    </row>
    <row r="70" ht="22.5" customHeight="1">
      <c r="A70" s="3">
        <v>69.0</v>
      </c>
      <c r="B70" s="4" t="s">
        <v>1037</v>
      </c>
      <c r="C70" s="4" t="s">
        <v>1018</v>
      </c>
      <c r="D70" s="4" t="s">
        <v>887</v>
      </c>
      <c r="F70" s="4" t="str">
        <f>IFERROR(__xludf.DUMMYFUNCTION("GOOGLETRANSLATE(A70, ""en"", ""hi"")"),"69")</f>
        <v>69</v>
      </c>
      <c r="G70" s="4" t="str">
        <f>IFERROR(__xludf.DUMMYFUNCTION("GOOGLETRANSLATE(B70, ""en"", ""hi"")"),"डिफ़ॉल्ट रूप से अपना खिताब खोने वाला पहला विश्व शतरंज चैंपियन कौन था?")</f>
        <v>डिफ़ॉल्ट रूप से अपना खिताब खोने वाला पहला विश्व शतरंज चैंपियन कौन था?</v>
      </c>
      <c r="H70" s="4" t="str">
        <f>IFERROR(__xludf.DUMMYFUNCTION("GOOGLETRANSLATE(C70, ""en"", ""hi"")"),"ए) अनातोली कार्पोव, बी) गैरी कास्परोव, सी) बॉबी फिशर, डी) मिखाइल ताल")</f>
        <v>ए) अनातोली कार्पोव, बी) गैरी कास्परोव, सी) बॉबी फिशर, डी) मिखाइल ताल</v>
      </c>
      <c r="I70" s="4" t="str">
        <f>IFERROR(__xludf.DUMMYFUNCTION("GOOGLETRANSLATE(D70, ""en"", ""hi"")"),"A) अनातोली कार्पोव")</f>
        <v>A) अनातोली कार्पोव</v>
      </c>
    </row>
    <row r="71" ht="22.5" customHeight="1">
      <c r="A71" s="3">
        <v>70.0</v>
      </c>
      <c r="B71" s="4" t="s">
        <v>1019</v>
      </c>
      <c r="C71" s="4" t="s">
        <v>1020</v>
      </c>
      <c r="D71" s="4" t="s">
        <v>1021</v>
      </c>
      <c r="F71" s="4" t="str">
        <f>IFERROR(__xludf.DUMMYFUNCTION("GOOGLETRANSLATE(A71, ""en"", ""hi"")"),"70")</f>
        <v>70</v>
      </c>
      <c r="G71" s="4" t="str">
        <f>IFERROR(__xludf.DUMMYFUNCTION("GOOGLETRANSLATE(B71, ""en"", ""hi"")"),"कौन सा विश्व शतरंज चैंपियन खिताब अपने पास रखते हुए संन्यास लेने वाला पहला खिलाड़ी था?")</f>
        <v>कौन सा विश्व शतरंज चैंपियन खिताब अपने पास रखते हुए संन्यास लेने वाला पहला खिलाड़ी था?</v>
      </c>
      <c r="H71" s="4" t="str">
        <f>IFERROR(__xludf.DUMMYFUNCTION("GOOGLETRANSLATE(C71, ""en"", ""hi"")"),"ए) इमानुएल लास्कर, बी) जोस राउल कैपब्लांका, सी) अनातोली कारपोव, डी) गैरी कास्परोव")</f>
        <v>ए) इमानुएल लास्कर, बी) जोस राउल कैपब्लांका, सी) अनातोली कारपोव, डी) गैरी कास्परोव</v>
      </c>
      <c r="I71" s="4" t="str">
        <f>IFERROR(__xludf.DUMMYFUNCTION("GOOGLETRANSLATE(D71, ""en"", ""hi"")"),"D) गैरी कास्परोव")</f>
        <v>D) गैरी कास्परोव</v>
      </c>
    </row>
    <row r="72" ht="22.5" customHeight="1">
      <c r="A72" s="3">
        <v>71.0</v>
      </c>
      <c r="B72" s="4" t="s">
        <v>1036</v>
      </c>
      <c r="C72" s="4" t="s">
        <v>933</v>
      </c>
      <c r="D72" s="4" t="s">
        <v>934</v>
      </c>
      <c r="F72" s="4" t="str">
        <f>IFERROR(__xludf.DUMMYFUNCTION("GOOGLETRANSLATE(A72, ""en"", ""hi"")"),"71")</f>
        <v>71</v>
      </c>
      <c r="G72" s="4" t="str">
        <f>IFERROR(__xludf.DUMMYFUNCTION("GOOGLETRANSLATE(B72, ""en"", ""hi"")"),"कौन सा विश्व शतरंज चैंपियन मैच में हारने के बाद खिताब दोबारा हासिल करने वाला पहला खिलाड़ी था?")</f>
        <v>कौन सा विश्व शतरंज चैंपियन मैच में हारने के बाद खिताब दोबारा हासिल करने वाला पहला खिलाड़ी था?</v>
      </c>
      <c r="H72" s="4" t="str">
        <f>IFERROR(__xludf.DUMMYFUNCTION("GOOGLETRANSLATE(C72, ""en"", ""hi"")"),"ए) इमानुएल लास्कर, बी) मिखाइल बोट्वनिक, सी) अनातोली कारपोव, डी) गैरी कास्परोव")</f>
        <v>ए) इमानुएल लास्कर, बी) मिखाइल बोट्वनिक, सी) अनातोली कारपोव, डी) गैरी कास्परोव</v>
      </c>
      <c r="I72" s="4" t="str">
        <f>IFERROR(__xludf.DUMMYFUNCTION("GOOGLETRANSLATE(D72, ""en"", ""hi"")"),"B) मिखाइल बोट्विननिक")</f>
        <v>B) मिखाइल बोट्विननिक</v>
      </c>
    </row>
    <row r="73" ht="22.5" customHeight="1">
      <c r="A73" s="3">
        <v>72.0</v>
      </c>
      <c r="B73" s="4" t="s">
        <v>1023</v>
      </c>
      <c r="C73" s="4" t="s">
        <v>1024</v>
      </c>
      <c r="D73" s="4" t="s">
        <v>917</v>
      </c>
      <c r="F73" s="4" t="str">
        <f>IFERROR(__xludf.DUMMYFUNCTION("GOOGLETRANSLATE(A73, ""en"", ""hi"")"),"72")</f>
        <v>72</v>
      </c>
      <c r="G73" s="4" t="str">
        <f>IFERROR(__xludf.DUMMYFUNCTION("GOOGLETRANSLATE(B73, ""en"", ""hi"")"),"FIDE द्वारा ग्रैंडमास्टर की उपाधि से सम्मानित होने वाले पहले विश्व शतरंज चैंपियन कौन थे?")</f>
        <v>FIDE द्वारा ग्रैंडमास्टर की उपाधि से सम्मानित होने वाले पहले विश्व शतरंज चैंपियन कौन थे?</v>
      </c>
      <c r="H73" s="4" t="str">
        <f>IFERROR(__xludf.DUMMYFUNCTION("GOOGLETRANSLATE(C73,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73" s="4" t="str">
        <f>IFERROR(__xludf.DUMMYFUNCTION("GOOGLETRANSLATE(D73, ""en"", ""hi"")"),"D) मिखाइल बोट्विननिक")</f>
        <v>D) मिखाइल बोट्विननिक</v>
      </c>
    </row>
    <row r="74" ht="22.5" customHeight="1">
      <c r="A74" s="3">
        <v>73.0</v>
      </c>
      <c r="B74" s="4" t="s">
        <v>973</v>
      </c>
      <c r="C74" s="4" t="s">
        <v>974</v>
      </c>
      <c r="D74" s="4" t="s">
        <v>943</v>
      </c>
      <c r="F74" s="4" t="str">
        <f>IFERROR(__xludf.DUMMYFUNCTION("GOOGLETRANSLATE(A74, ""en"", ""hi"")"),"73")</f>
        <v>73</v>
      </c>
      <c r="G74" s="4" t="str">
        <f>IFERROR(__xludf.DUMMYFUNCTION("GOOGLETRANSLATE(B74, ""en"", ""hi"")"),"कौन सा विश्व शतरंज चैंपियन किंग्स इंडियन डिफेंस में अपने योगदान के लिए जाना जाता था?")</f>
        <v>कौन सा विश्व शतरंज चैंपियन किंग्स इंडियन डिफेंस में अपने योगदान के लिए जाना जाता था?</v>
      </c>
      <c r="H74" s="4" t="str">
        <f>IFERROR(__xludf.DUMMYFUNCTION("GOOGLETRANSLATE(C74, ""en"", ""hi"")"),"ए) गैरी कास्पारोव, बी) बॉबी फिशर, सी) मिखाइल बोट्वनिक, डी) तिगरान पेट्रोसियन")</f>
        <v>ए) गैरी कास्पारोव, बी) बॉबी फिशर, सी) मिखाइल बोट्वनिक, डी) तिगरान पेट्रोसियन</v>
      </c>
      <c r="I74" s="4" t="str">
        <f>IFERROR(__xludf.DUMMYFUNCTION("GOOGLETRANSLATE(D74, ""en"", ""hi"")"),"A) गैरी कास्पारोव")</f>
        <v>A) गैरी कास्पारोव</v>
      </c>
    </row>
    <row r="75" ht="22.5" customHeight="1">
      <c r="A75" s="3">
        <v>74.0</v>
      </c>
      <c r="B75" s="4" t="s">
        <v>1025</v>
      </c>
      <c r="C75" s="4" t="s">
        <v>1026</v>
      </c>
      <c r="D75" s="4" t="s">
        <v>917</v>
      </c>
      <c r="F75" s="4" t="str">
        <f>IFERROR(__xludf.DUMMYFUNCTION("GOOGLETRANSLATE(A75, ""en"", ""hi"")"),"74")</f>
        <v>74</v>
      </c>
      <c r="G75" s="4" t="str">
        <f>IFERROR(__xludf.DUMMYFUNCTION("GOOGLETRANSLATE(B75, ""en"", ""hi"")"),"कौन सा विश्व शतरंज चैंपियन मैच के बजाय टूर्नामेंट में खिताब जीतने वाला पहला व्यक्ति था?")</f>
        <v>कौन सा विश्व शतरंज चैंपियन मैच के बजाय टूर्नामेंट में खिताब जीतने वाला पहला व्यक्ति था?</v>
      </c>
      <c r="H75" s="4" t="str">
        <f>IFERROR(__xludf.DUMMYFUNCTION("GOOGLETRANSLATE(C75, ""en"", ""hi"")"),"ए) विल्हेम स्टीनित्ज़, बी) जोस राउल कैपब्लांका, सी) मैक्स यूवे, डी) मिखाइल बोट्वनिक")</f>
        <v>ए) विल्हेम स्टीनित्ज़, बी) जोस राउल कैपब्लांका, सी) मैक्स यूवे, डी) मिखाइल बोट्वनिक</v>
      </c>
      <c r="I75" s="4" t="str">
        <f>IFERROR(__xludf.DUMMYFUNCTION("GOOGLETRANSLATE(D75, ""en"", ""hi"")"),"D) मिखाइल बोट्विननिक")</f>
        <v>D) मिखाइल बोट्विननिक</v>
      </c>
    </row>
    <row r="76" ht="22.5" customHeight="1">
      <c r="A76" s="3">
        <v>75.0</v>
      </c>
      <c r="B76" s="4" t="s">
        <v>1027</v>
      </c>
      <c r="C76" s="4" t="s">
        <v>1028</v>
      </c>
      <c r="D76" s="4" t="s">
        <v>917</v>
      </c>
      <c r="F76" s="4" t="str">
        <f>IFERROR(__xludf.DUMMYFUNCTION("GOOGLETRANSLATE(A76, ""en"", ""hi"")"),"75")</f>
        <v>75</v>
      </c>
      <c r="G76" s="4" t="str">
        <f>IFERROR(__xludf.DUMMYFUNCTION("GOOGLETRANSLATE(B76, ""en"", ""hi"")"),"एलो रेटिंग प्रणाली की शुरुआत के बाद कौन सा विश्व शतरंज चैंपियन यह खिताब जीतने वाला पहला व्यक्ति था?")</f>
        <v>एलो रेटिंग प्रणाली की शुरुआत के बाद कौन सा विश्व शतरंज चैंपियन यह खिताब जीतने वाला पहला व्यक्ति था?</v>
      </c>
      <c r="H76" s="4" t="str">
        <f>IFERROR(__xludf.DUMMYFUNCTION("GOOGLETRANSLATE(C76, ""en"", ""hi"")"),"ए) बॉबी फिशर, बी) अनातोली कार्पोव, सी) गैरी कास्पारोव, डी) मिखाइल बोट्वनिक")</f>
        <v>ए) बॉबी फिशर, बी) अनातोली कार्पोव, सी) गैरी कास्पारोव, डी) मिखाइल बोट्वनिक</v>
      </c>
      <c r="I76" s="4" t="str">
        <f>IFERROR(__xludf.DUMMYFUNCTION("GOOGLETRANSLATE(D76, ""en"", ""hi"")"),"D) मिखाइल बोट्विननिक")</f>
        <v>D) मिखाइल बोट्विननिक</v>
      </c>
    </row>
    <row r="77" ht="22.5" customHeight="1">
      <c r="A77" s="3">
        <v>76.0</v>
      </c>
      <c r="B77" s="4" t="s">
        <v>1029</v>
      </c>
      <c r="C77" s="4" t="s">
        <v>1030</v>
      </c>
      <c r="D77" s="4" t="s">
        <v>977</v>
      </c>
      <c r="F77" s="4" t="str">
        <f>IFERROR(__xludf.DUMMYFUNCTION("GOOGLETRANSLATE(A77, ""en"", ""hi"")"),"76")</f>
        <v>76</v>
      </c>
      <c r="G77" s="4" t="str">
        <f>IFERROR(__xludf.DUMMYFUNCTION("GOOGLETRANSLATE(B77, ""en"", ""hi"")"),"पुनर्मैच में अपना खिताब हारने वाला पहला विश्व शतरंज चैंपियन कौन था?")</f>
        <v>पुनर्मैच में अपना खिताब हारने वाला पहला विश्व शतरंज चैंपियन कौन था?</v>
      </c>
      <c r="H77" s="4" t="str">
        <f>IFERROR(__xludf.DUMMYFUNCTION("GOOGLETRANSLATE(C77, ""en"", ""hi"")"),"ए) जोस राउल कैपब्लांका, बी) मैक्स यूवे, सी) मिखाइल बोट्वनिक, डी) अलेक्जेंडर अलेखिन")</f>
        <v>ए) जोस राउल कैपब्लांका, बी) मैक्स यूवे, सी) मिखाइल बोट्वनिक, डी) अलेक्जेंडर अलेखिन</v>
      </c>
      <c r="I77" s="4" t="str">
        <f>IFERROR(__xludf.DUMMYFUNCTION("GOOGLETRANSLATE(D77, ""en"", ""hi"")"),"C) मिखाइल बोट्विननिक")</f>
        <v>C) मिखाइल बोट्विननिक</v>
      </c>
    </row>
    <row r="78" ht="22.5" customHeight="1">
      <c r="A78" s="3">
        <v>77.0</v>
      </c>
      <c r="B78" s="4" t="s">
        <v>1031</v>
      </c>
      <c r="C78" s="4" t="s">
        <v>1016</v>
      </c>
      <c r="D78" s="4" t="s">
        <v>977</v>
      </c>
      <c r="F78" s="4" t="str">
        <f>IFERROR(__xludf.DUMMYFUNCTION("GOOGLETRANSLATE(A78, ""en"", ""hi"")"),"77")</f>
        <v>77</v>
      </c>
      <c r="G78" s="4" t="str">
        <f>IFERROR(__xludf.DUMMYFUNCTION("GOOGLETRANSLATE(B78, ""en"", ""hi"")"),"कैंडिडेट्स टूर्नामेंट जीतने के बाद खिताब जीतने वाला पहला विश्व शतरंज चैंपियन कौन था?")</f>
        <v>कैंडिडेट्स टूर्नामेंट जीतने के बाद खिताब जीतने वाला पहला विश्व शतरंज चैंपियन कौन था?</v>
      </c>
      <c r="H78" s="4" t="str">
        <f>IFERROR(__xludf.DUMMYFUNCTION("GOOGLETRANSLATE(C78, ""en"", ""hi"")"),"ए) इमानुएल लास्कर, बी) अलेक्जेंडर अलेखिन, सी) मिखाइल बोट्वनिक, डी) अनातोली कारपोव")</f>
        <v>ए) इमानुएल लास्कर, बी) अलेक्जेंडर अलेखिन, सी) मिखाइल बोट्वनिक, डी) अनातोली कारपोव</v>
      </c>
      <c r="I78" s="4" t="str">
        <f>IFERROR(__xludf.DUMMYFUNCTION("GOOGLETRANSLATE(D78, ""en"", ""hi"")"),"C) मिखाइल बोट्विननिक")</f>
        <v>C) मिखाइल बोट्विननिक</v>
      </c>
    </row>
    <row r="79" ht="22.5" customHeight="1">
      <c r="A79" s="3">
        <v>78.0</v>
      </c>
      <c r="B79" s="4" t="s">
        <v>1032</v>
      </c>
      <c r="C79" s="4" t="s">
        <v>1033</v>
      </c>
      <c r="D79" s="4" t="s">
        <v>1034</v>
      </c>
      <c r="F79" s="4" t="str">
        <f>IFERROR(__xludf.DUMMYFUNCTION("GOOGLETRANSLATE(A79, ""en"", ""hi"")"),"78")</f>
        <v>78</v>
      </c>
      <c r="G79" s="4" t="str">
        <f>IFERROR(__xludf.DUMMYFUNCTION("GOOGLETRANSLATE(B79, ""en"", ""hi"")"),"टाईब्रेक द्वारा तय किये गए मैच में अपना खिताब हारने वाला पहला विश्व शतरंज चैंपियन कौन था?")</f>
        <v>टाईब्रेक द्वारा तय किये गए मैच में अपना खिताब हारने वाला पहला विश्व शतरंज चैंपियन कौन था?</v>
      </c>
      <c r="H79" s="4" t="str">
        <f>IFERROR(__xludf.DUMMYFUNCTION("GOOGLETRANSLATE(C79, ""en"", ""hi"")"),"ए) गैरी कास्परोव, बी) अनातोली कार्पोव, सी) व्लादिमीर क्रैमनिक, डी) विश्वनाथन आनंद")</f>
        <v>ए) गैरी कास्परोव, बी) अनातोली कार्पोव, सी) व्लादिमीर क्रैमनिक, डी) विश्वनाथन आनंद</v>
      </c>
      <c r="I79" s="4" t="str">
        <f>IFERROR(__xludf.DUMMYFUNCTION("GOOGLETRANSLATE(D79, ""en"", ""hi"")"),"D) विश्वनाथन आनंद")</f>
        <v>D) विश्वनाथन आनंद</v>
      </c>
    </row>
    <row r="80" ht="22.5" customHeight="1">
      <c r="A80" s="3">
        <v>79.0</v>
      </c>
      <c r="B80" s="4" t="s">
        <v>1035</v>
      </c>
      <c r="C80" s="4" t="s">
        <v>933</v>
      </c>
      <c r="D80" s="4" t="s">
        <v>934</v>
      </c>
      <c r="F80" s="4" t="str">
        <f>IFERROR(__xludf.DUMMYFUNCTION("GOOGLETRANSLATE(A80, ""en"", ""hi"")"),"79")</f>
        <v>79</v>
      </c>
      <c r="G80" s="4" t="str">
        <f>IFERROR(__xludf.DUMMYFUNCTION("GOOGLETRANSLATE(B80, ""en"", ""hi"")"),"कौन सा विश्व शतरंज चैंपियन पुनर्मैच के बाद अपना खिताब पुनः प्राप्त करने वाला पहला व्यक्ति था?")</f>
        <v>कौन सा विश्व शतरंज चैंपियन पुनर्मैच के बाद अपना खिताब पुनः प्राप्त करने वाला पहला व्यक्ति था?</v>
      </c>
      <c r="H80" s="4" t="str">
        <f>IFERROR(__xludf.DUMMYFUNCTION("GOOGLETRANSLATE(C80, ""en"", ""hi"")"),"ए) इमानुएल लास्कर, बी) मिखाइल बोट्वनिक, सी) अनातोली कारपोव, डी) गैरी कास्परोव")</f>
        <v>ए) इमानुएल लास्कर, बी) मिखाइल बोट्वनिक, सी) अनातोली कारपोव, डी) गैरी कास्परोव</v>
      </c>
      <c r="I80" s="4" t="str">
        <f>IFERROR(__xludf.DUMMYFUNCTION("GOOGLETRANSLATE(D80, ""en"", ""hi"")"),"B) मिखाइल बोट्विननिक")</f>
        <v>B) मिखाइल बोट्विननिक</v>
      </c>
    </row>
    <row r="81" ht="22.5" customHeight="1">
      <c r="A81" s="3">
        <v>80.0</v>
      </c>
      <c r="B81" s="4" t="s">
        <v>1038</v>
      </c>
      <c r="C81" s="4" t="s">
        <v>1039</v>
      </c>
      <c r="D81" s="4" t="s">
        <v>1040</v>
      </c>
      <c r="F81" s="4" t="str">
        <f>IFERROR(__xludf.DUMMYFUNCTION("GOOGLETRANSLATE(A81, ""en"", ""hi"")"),"80")</f>
        <v>80</v>
      </c>
      <c r="G81" s="4" t="str">
        <f>IFERROR(__xludf.DUMMYFUNCTION("GOOGLETRANSLATE(B81, ""en"", ""hi"")"),"21वीं सदी में जन्म लेने वाला पहला विश्व शतरंज चैंपियन कौन था?")</f>
        <v>21वीं सदी में जन्म लेने वाला पहला विश्व शतरंज चैंपियन कौन था?</v>
      </c>
      <c r="H81" s="4" t="str">
        <f>IFERROR(__xludf.DUMMYFUNCTION("GOOGLETRANSLATE(C81, ""en"", ""hi"")"),"ए) मैग्नस कार्लसन, बी) अलीरेज़ा फ़िरोज़ा, सी) इयान नेपोमनियाचची, डी) फैबियानो कारुआना")</f>
        <v>ए) मैग्नस कार्लसन, बी) अलीरेज़ा फ़िरोज़ा, सी) इयान नेपोमनियाचची, डी) फैबियानो कारुआना</v>
      </c>
      <c r="I81" s="4" t="str">
        <f>IFERROR(__xludf.DUMMYFUNCTION("GOOGLETRANSLATE(D81, ""en"", ""hi"")"),"B) अलीरेज़ा फ़िरोज़ा")</f>
        <v>B) अलीरेज़ा फ़िरोज़ा</v>
      </c>
    </row>
    <row r="82" ht="22.5" customHeight="1">
      <c r="A82" s="3">
        <v>81.0</v>
      </c>
      <c r="B82" s="4" t="s">
        <v>1041</v>
      </c>
      <c r="C82" s="4" t="s">
        <v>1042</v>
      </c>
      <c r="D82" s="4" t="s">
        <v>1043</v>
      </c>
      <c r="F82" s="4" t="str">
        <f>IFERROR(__xludf.DUMMYFUNCTION("GOOGLETRANSLATE(A82, ""en"", ""hi"")"),"81")</f>
        <v>81</v>
      </c>
      <c r="G82" s="4" t="str">
        <f>IFERROR(__xludf.DUMMYFUNCTION("GOOGLETRANSLATE(B82, ""en"", ""hi"")"),"कौन सा शतरंज खिलाड़ी 2018-2019 में 55 क्लासिकल खेलों की अपराजित लकीर के लिए जाना जाता है?")</f>
        <v>कौन सा शतरंज खिलाड़ी 2018-2019 में 55 क्लासिकल खेलों की अपराजित लकीर के लिए जाना जाता है?</v>
      </c>
      <c r="H82" s="4" t="str">
        <f>IFERROR(__xludf.DUMMYFUNCTION("GOOGLETRANSLATE(C82, ""en"", ""hi"")"),"ए) गैरी कास्परोव, बी) मैग्नस कार्लसन, सी) बॉबी फिशर, डी) व्लादिमीर क्रैमनिक")</f>
        <v>ए) गैरी कास्परोव, बी) मैग्नस कार्लसन, सी) बॉबी फिशर, डी) व्लादिमीर क्रैमनिक</v>
      </c>
      <c r="I82" s="4" t="str">
        <f>IFERROR(__xludf.DUMMYFUNCTION("GOOGLETRANSLATE(D82, ""en"", ""hi"")"),"B) मैग्नस कार्लसन")</f>
        <v>B) मैग्नस कार्लसन</v>
      </c>
    </row>
    <row r="83" ht="22.5" customHeight="1">
      <c r="A83" s="3">
        <v>82.0</v>
      </c>
      <c r="B83" s="4" t="s">
        <v>1044</v>
      </c>
      <c r="C83" s="4" t="s">
        <v>1045</v>
      </c>
      <c r="D83" s="4" t="s">
        <v>1046</v>
      </c>
      <c r="F83" s="4" t="str">
        <f>IFERROR(__xludf.DUMMYFUNCTION("GOOGLETRANSLATE(A83, ""en"", ""hi"")"),"82")</f>
        <v>82</v>
      </c>
      <c r="G83" s="4" t="str">
        <f>IFERROR(__xludf.DUMMYFUNCTION("GOOGLETRANSLATE(B83, ""en"", ""hi"")"),"कौन सा शतरंज ग्रैंडमास्टर 12 वर्ष और 7 महीने की उम्र में यह खिताब हासिल करने वाला सबसे युवा खिलाड़ी था?")</f>
        <v>कौन सा शतरंज ग्रैंडमास्टर 12 वर्ष और 7 महीने की उम्र में यह खिताब हासिल करने वाला सबसे युवा खिलाड़ी था?</v>
      </c>
      <c r="H83" s="4" t="str">
        <f>IFERROR(__xludf.DUMMYFUNCTION("GOOGLETRANSLATE(C83, ""en"", ""hi"")"),"ए) सर्गेई कारजाकिन, बी) मैग्नस कार्लसन, सी) अलीरेज़ा फ़िरोज़ा, डी) वेई यी")</f>
        <v>ए) सर्गेई कारजाकिन, बी) मैग्नस कार्लसन, सी) अलीरेज़ा फ़िरोज़ा, डी) वेई यी</v>
      </c>
      <c r="I83" s="4" t="str">
        <f>IFERROR(__xludf.DUMMYFUNCTION("GOOGLETRANSLATE(D83, ""en"", ""hi"")"),"A) सर्गेई कार्जाकिन")</f>
        <v>A) सर्गेई कार्जाकिन</v>
      </c>
    </row>
    <row r="84" ht="22.5" customHeight="1">
      <c r="A84" s="3">
        <v>83.0</v>
      </c>
      <c r="B84" s="4" t="s">
        <v>1047</v>
      </c>
      <c r="C84" s="4" t="s">
        <v>1048</v>
      </c>
      <c r="D84" s="4" t="s">
        <v>1049</v>
      </c>
      <c r="F84" s="4" t="str">
        <f>IFERROR(__xludf.DUMMYFUNCTION("GOOGLETRANSLATE(A84, ""en"", ""hi"")"),"83")</f>
        <v>83</v>
      </c>
      <c r="G84" s="4" t="str">
        <f>IFERROR(__xludf.DUMMYFUNCTION("GOOGLETRANSLATE(B84, ""en"", ""hi"")"),"कौन सा शतरंज चैंपियन रैपिड टाईब्रेक द्वारा तय विश्व चैम्पियनशिप में अपना खिताब बचाने वाला पहला खिलाड़ी बना?")</f>
        <v>कौन सा शतरंज चैंपियन रैपिड टाईब्रेक द्वारा तय विश्व चैम्पियनशिप में अपना खिताब बचाने वाला पहला खिलाड़ी बना?</v>
      </c>
      <c r="H84" s="4" t="str">
        <f>IFERROR(__xludf.DUMMYFUNCTION("GOOGLETRANSLATE(C84, ""en"", ""hi"")"),"ए) गैरी कास्पारोव, बी) विश्वनाथन आनंद, सी) मैग्नस कार्लसन, डी) व्लादिमीर क्रैमनिक")</f>
        <v>ए) गैरी कास्पारोव, बी) विश्वनाथन आनंद, सी) मैग्नस कार्लसन, डी) व्लादिमीर क्रैमनिक</v>
      </c>
      <c r="I84" s="4" t="str">
        <f>IFERROR(__xludf.DUMMYFUNCTION("GOOGLETRANSLATE(D84, ""en"", ""hi"")"),"C) मैग्नस कार्लसन")</f>
        <v>C) मैग्नस कार्लसन</v>
      </c>
    </row>
    <row r="85" ht="22.5" customHeight="1">
      <c r="A85" s="3">
        <v>84.0</v>
      </c>
      <c r="B85" s="4" t="s">
        <v>1050</v>
      </c>
      <c r="C85" s="4" t="s">
        <v>1051</v>
      </c>
      <c r="D85" s="4" t="s">
        <v>1052</v>
      </c>
      <c r="F85" s="4" t="str">
        <f>IFERROR(__xludf.DUMMYFUNCTION("GOOGLETRANSLATE(A85, ""en"", ""hi"")"),"84")</f>
        <v>84</v>
      </c>
      <c r="G85" s="4" t="str">
        <f>IFERROR(__xludf.DUMMYFUNCTION("GOOGLETRANSLATE(B85, ""en"", ""hi"")"),"पुरुषों की विश्व शतरंज चैम्पियनशिप चक्र में भाग लेने वाली पहली महिला खिलाड़ी कौन थी?")</f>
        <v>पुरुषों की विश्व शतरंज चैम्पियनशिप चक्र में भाग लेने वाली पहली महिला खिलाड़ी कौन थी?</v>
      </c>
      <c r="H85" s="4" t="str">
        <f>IFERROR(__xludf.DUMMYFUNCTION("GOOGLETRANSLATE(C85, ""en"", ""hi"")"),"ए) वेरा मेनचिक, बी) नोना गैप्रिंडाश्विली, सी) जुडिट पोल्गर, डी) माइया चिबुरदानिड्ज़े")</f>
        <v>ए) वेरा मेनचिक, बी) नोना गैप्रिंडाश्विली, सी) जुडिट पोल्गर, डी) माइया चिबुरदानिड्ज़े</v>
      </c>
      <c r="I85" s="4" t="str">
        <f>IFERROR(__xludf.DUMMYFUNCTION("GOOGLETRANSLATE(D85, ""en"", ""hi"")"),"C) जुडिट पोल्गार")</f>
        <v>C) जुडिट पोल्गार</v>
      </c>
    </row>
    <row r="86" ht="22.5" customHeight="1">
      <c r="A86" s="3">
        <v>85.0</v>
      </c>
      <c r="B86" s="4" t="s">
        <v>1053</v>
      </c>
      <c r="C86" s="4" t="s">
        <v>1054</v>
      </c>
      <c r="D86" s="4" t="s">
        <v>953</v>
      </c>
      <c r="F86" s="4" t="str">
        <f>IFERROR(__xludf.DUMMYFUNCTION("GOOGLETRANSLATE(A86, ""en"", ""hi"")"),"85")</f>
        <v>85</v>
      </c>
      <c r="G86" s="4" t="str">
        <f>IFERROR(__xludf.DUMMYFUNCTION("GOOGLETRANSLATE(B86, ""en"", ""hi"")"),"प्रथम गैर-यूरोपीय विश्व शतरंज चैंपियन कौन था?")</f>
        <v>प्रथम गैर-यूरोपीय विश्व शतरंज चैंपियन कौन था?</v>
      </c>
      <c r="H86" s="4" t="str">
        <f>IFERROR(__xludf.DUMMYFUNCTION("GOOGLETRANSLATE(C86, ""en"", ""hi"")"),"ए) बॉबी फिशर, बी) विश्वनाथन आनंद, सी) जोस राउल कैपब्लांका, डी) गैरी कास्परोव")</f>
        <v>ए) बॉबी फिशर, बी) विश्वनाथन आनंद, सी) जोस राउल कैपब्लांका, डी) गैरी कास्परोव</v>
      </c>
      <c r="I86" s="4" t="str">
        <f>IFERROR(__xludf.DUMMYFUNCTION("GOOGLETRANSLATE(D86, ""en"", ""hi"")"),"B) विश्वनाथन आनंद")</f>
        <v>B) विश्वनाथन आनंद</v>
      </c>
    </row>
    <row r="87" ht="22.5" customHeight="1">
      <c r="A87" s="3">
        <v>86.0</v>
      </c>
      <c r="B87" s="4" t="s">
        <v>1055</v>
      </c>
      <c r="C87" s="4" t="s">
        <v>1056</v>
      </c>
      <c r="D87" s="4" t="s">
        <v>884</v>
      </c>
      <c r="F87" s="4" t="str">
        <f>IFERROR(__xludf.DUMMYFUNCTION("GOOGLETRANSLATE(A87, ""en"", ""hi"")"),"86")</f>
        <v>86</v>
      </c>
      <c r="G87" s="4" t="str">
        <f>IFERROR(__xludf.DUMMYFUNCTION("GOOGLETRANSLATE(B87, ""en"", ""hi"")"),"1886 में पहली आधिकारिक विश्व शतरंज चैंपियनशिप किस शहर में आयोजित की गई थी?")</f>
        <v>1886 में पहली आधिकारिक विश्व शतरंज चैंपियनशिप किस शहर में आयोजित की गई थी?</v>
      </c>
      <c r="H87" s="4" t="str">
        <f>IFERROR(__xludf.DUMMYFUNCTION("GOOGLETRANSLATE(C87, ""en"", ""hi"")"),"A) न्यूयॉर्क, B) पेरिस, C) लंदन, D) वियना")</f>
        <v>A) न्यूयॉर्क, B) पेरिस, C) लंदन, D) वियना</v>
      </c>
      <c r="I87" s="4" t="str">
        <f>IFERROR(__xludf.DUMMYFUNCTION("GOOGLETRANSLATE(D87, ""en"", ""hi"")"),"ए) न्यूयॉर्क")</f>
        <v>ए) न्यूयॉर्क</v>
      </c>
    </row>
    <row r="88" ht="22.5" customHeight="1">
      <c r="A88" s="3">
        <v>87.0</v>
      </c>
      <c r="B88" s="4" t="s">
        <v>1057</v>
      </c>
      <c r="C88" s="4" t="s">
        <v>1058</v>
      </c>
      <c r="D88" s="4" t="s">
        <v>1059</v>
      </c>
      <c r="F88" s="4" t="str">
        <f>IFERROR(__xludf.DUMMYFUNCTION("GOOGLETRANSLATE(A88, ""en"", ""hi"")"),"87")</f>
        <v>87</v>
      </c>
      <c r="G88" s="4" t="str">
        <f>IFERROR(__xludf.DUMMYFUNCTION("GOOGLETRANSLATE(B88, ""en"", ""hi"")"),"किस शतरंज ओपनिंग का नाम 16वीं शताब्दी के स्पेनिश पुजारी के नाम पर रखा गया है?")</f>
        <v>किस शतरंज ओपनिंग का नाम 16वीं शताब्दी के स्पेनिश पुजारी के नाम पर रखा गया है?</v>
      </c>
      <c r="H88" s="4" t="str">
        <f>IFERROR(__xludf.DUMMYFUNCTION("GOOGLETRANSLATE(C88, ""en"", ""hi"")"),"A) किंग्स गैम्बिट, B) रुय लोपेज़, C) सिसिलियन डिफेंस, D) क्वीन्स गैम्बिट")</f>
        <v>A) किंग्स गैम्बिट, B) रुय लोपेज़, C) सिसिलियन डिफेंस, D) क्वीन्स गैम्बिट</v>
      </c>
      <c r="I88" s="4" t="str">
        <f>IFERROR(__xludf.DUMMYFUNCTION("GOOGLETRANSLATE(D88, ""en"", ""hi"")"),"बी) रुय लोपेज़")</f>
        <v>बी) रुय लोपेज़</v>
      </c>
    </row>
    <row r="89" ht="22.5" customHeight="1">
      <c r="A89" s="3">
        <v>88.0</v>
      </c>
      <c r="B89" s="4" t="s">
        <v>1060</v>
      </c>
      <c r="C89" s="4" t="s">
        <v>1061</v>
      </c>
      <c r="D89" s="4" t="s">
        <v>1062</v>
      </c>
      <c r="F89" s="4" t="str">
        <f>IFERROR(__xludf.DUMMYFUNCTION("GOOGLETRANSLATE(A89, ""en"", ""hi"")"),"88")</f>
        <v>88</v>
      </c>
      <c r="G89" s="4" t="str">
        <f>IFERROR(__xludf.DUMMYFUNCTION("GOOGLETRANSLATE(B89, ""en"", ""hi"")"),"FIDE द्वारा अंतर्राष्ट्रीय मास्टर की उपाधि से सम्मानित होने वाले पहले विश्व शतरंज चैंपियन कौन थे?")</f>
        <v>FIDE द्वारा अंतर्राष्ट्रीय मास्टर की उपाधि से सम्मानित होने वाले पहले विश्व शतरंज चैंपियन कौन थे?</v>
      </c>
      <c r="H89" s="4" t="str">
        <f>IFERROR(__xludf.DUMMYFUNCTION("GOOGLETRANSLATE(C89, ""en"", ""hi"")"),"ए) मैक्स यूवे, बी) अलेक्जेंडर अलेखिन, सी) इमानुएल लास्कर, डी) जोस राउल कैपब्लांका")</f>
        <v>ए) मैक्स यूवे, बी) अलेक्जेंडर अलेखिन, सी) इमानुएल लास्कर, डी) जोस राउल कैपब्लांका</v>
      </c>
      <c r="I89" s="4" t="str">
        <f>IFERROR(__xludf.DUMMYFUNCTION("GOOGLETRANSLATE(D89, ""en"", ""hi"")"),"A) मैक्स यूवे")</f>
        <v>A) मैक्स यूवे</v>
      </c>
    </row>
    <row r="90" ht="22.5" customHeight="1">
      <c r="A90" s="3">
        <v>89.0</v>
      </c>
      <c r="B90" s="4" t="s">
        <v>1063</v>
      </c>
      <c r="C90" s="4" t="s">
        <v>1064</v>
      </c>
      <c r="D90" s="4" t="s">
        <v>887</v>
      </c>
      <c r="F90" s="4" t="str">
        <f>IFERROR(__xludf.DUMMYFUNCTION("GOOGLETRANSLATE(A90, ""en"", ""hi"")"),"89")</f>
        <v>89</v>
      </c>
      <c r="G90" s="4" t="str">
        <f>IFERROR(__xludf.DUMMYFUNCTION("GOOGLETRANSLATE(B90, ""en"", ""hi"")"),"कौन सा विश्व शतरंज चैंपियन कैरो-कैन डिफेंस में अपने योगदान के लिए जाना जाता था?")</f>
        <v>कौन सा विश्व शतरंज चैंपियन कैरो-कैन डिफेंस में अपने योगदान के लिए जाना जाता था?</v>
      </c>
      <c r="H90" s="4" t="str">
        <f>IFERROR(__xludf.DUMMYFUNCTION("GOOGLETRANSLATE(C90, ""en"", ""hi"")"),"ए) अनातोली कार्पोव, बी) मिखाइल बोट्वनिक, सी) बॉबी फिशर, डी) गैरी कास्परोव")</f>
        <v>ए) अनातोली कार्पोव, बी) मिखाइल बोट्वनिक, सी) बॉबी फिशर, डी) गैरी कास्परोव</v>
      </c>
      <c r="I90" s="4" t="str">
        <f>IFERROR(__xludf.DUMMYFUNCTION("GOOGLETRANSLATE(D90, ""en"", ""hi"")"),"A) अनातोली कार्पोव")</f>
        <v>A) अनातोली कार्पोव</v>
      </c>
    </row>
    <row r="91" ht="22.5" customHeight="1">
      <c r="A91" s="3">
        <v>90.0</v>
      </c>
      <c r="B91" s="4" t="s">
        <v>1065</v>
      </c>
      <c r="C91" s="4" t="s">
        <v>1066</v>
      </c>
      <c r="D91" s="4" t="s">
        <v>1067</v>
      </c>
      <c r="F91" s="4" t="str">
        <f>IFERROR(__xludf.DUMMYFUNCTION("GOOGLETRANSLATE(A91, ""en"", ""hi"")"),"90")</f>
        <v>90</v>
      </c>
      <c r="G91" s="4" t="str">
        <f>IFERROR(__xludf.DUMMYFUNCTION("GOOGLETRANSLATE(B91, ""en"", ""hi"")"),"विश्व शतरंज चैंपियनशिप का कौन सा मैच द्वितीय विश्व युद्ध के कारण बाधित हुआ था?")</f>
        <v>विश्व शतरंज चैंपियनशिप का कौन सा मैच द्वितीय विश्व युद्ध के कारण बाधित हुआ था?</v>
      </c>
      <c r="H91" s="4" t="str">
        <f>IFERROR(__xludf.DUMMYFUNCTION("GOOGLETRANSLATE(C91, ""en"", ""hi"")"),"ए) अलेखिन बनाम कैपब्लांका, बी) लास्कर बनाम कैपब्लांका, सी) अलेखिन बनाम यूवे, डी) बोट्वनिक बनाम स्मिस्लोव")</f>
        <v>ए) अलेखिन बनाम कैपब्लांका, बी) लास्कर बनाम कैपब्लांका, सी) अलेखिन बनाम यूवे, डी) बोट्वनिक बनाम स्मिस्लोव</v>
      </c>
      <c r="I91" s="4" t="str">
        <f>IFERROR(__xludf.DUMMYFUNCTION("GOOGLETRANSLATE(D91, ""en"", ""hi"")"),"C) अलेखिन बनाम यूवे")</f>
        <v>C) अलेखिन बनाम यूवे</v>
      </c>
    </row>
    <row r="92" ht="22.5" customHeight="1">
      <c r="A92" s="3">
        <v>91.0</v>
      </c>
      <c r="B92" s="4" t="s">
        <v>1068</v>
      </c>
      <c r="C92" s="4" t="s">
        <v>1069</v>
      </c>
      <c r="D92" s="4" t="s">
        <v>977</v>
      </c>
      <c r="F92" s="4" t="str">
        <f>IFERROR(__xludf.DUMMYFUNCTION("GOOGLETRANSLATE(A92, ""en"", ""hi"")"),"91")</f>
        <v>91</v>
      </c>
      <c r="G92" s="4" t="str">
        <f>IFERROR(__xludf.DUMMYFUNCTION("GOOGLETRANSLATE(B92, ""en"", ""hi"")"),"आधिकारिक तौर पर संन्यास लेने और बाद में खिताबी मुकाबले में वापसी करने वाले पहले विश्व शतरंज चैंपियन कौन थे?")</f>
        <v>आधिकारिक तौर पर संन्यास लेने और बाद में खिताबी मुकाबले में वापसी करने वाले पहले विश्व शतरंज चैंपियन कौन थे?</v>
      </c>
      <c r="H92" s="4" t="str">
        <f>IFERROR(__xludf.DUMMYFUNCTION("GOOGLETRANSLATE(C92, ""en"", ""hi"")"),"A) विल्हेम स्टीनिट्ज़, B) इमानुएल लास्कर, C) मिखाइल बोट्विननिक, D) गैरी कास्पारोव")</f>
        <v>A) विल्हेम स्टीनिट्ज़, B) इमानुएल लास्कर, C) मिखाइल बोट्विननिक, D) गैरी कास्पारोव</v>
      </c>
      <c r="I92" s="4" t="str">
        <f>IFERROR(__xludf.DUMMYFUNCTION("GOOGLETRANSLATE(D92, ""en"", ""hi"")"),"C) मिखाइल बोट्विननिक")</f>
        <v>C) मिखाइल बोट्विननिक</v>
      </c>
    </row>
    <row r="93" ht="22.5" customHeight="1">
      <c r="A93" s="3">
        <v>92.0</v>
      </c>
      <c r="B93" s="4" t="s">
        <v>1070</v>
      </c>
      <c r="C93" s="4" t="s">
        <v>1071</v>
      </c>
      <c r="D93" s="4" t="s">
        <v>1072</v>
      </c>
      <c r="F93" s="4" t="str">
        <f>IFERROR(__xludf.DUMMYFUNCTION("GOOGLETRANSLATE(A93, ""en"", ""hi"")"),"92")</f>
        <v>92</v>
      </c>
      <c r="G93" s="4" t="str">
        <f>IFERROR(__xludf.DUMMYFUNCTION("GOOGLETRANSLATE(B93, ""en"", ""hi"")"),"कौन सा विश्व शतरंज चैंपियन ग्रुन्फेल्ड डिफेंस को लोकप्रिय बनाने के लिए जाना जाता था?")</f>
        <v>कौन सा विश्व शतरंज चैंपियन ग्रुन्फेल्ड डिफेंस को लोकप्रिय बनाने के लिए जाना जाता था?</v>
      </c>
      <c r="H93" s="4" t="str">
        <f>IFERROR(__xludf.DUMMYFUNCTION("GOOGLETRANSLATE(C93, ""en"", ""hi"")"),"ए) गैरी कास्पारोव, बी) व्लादिमीर क्रैमनिक, सी) बॉबी फिशर, डी) अनातोली कारपोव")</f>
        <v>ए) गैरी कास्पारोव, बी) व्लादिमीर क्रैमनिक, सी) बॉबी फिशर, डी) अनातोली कारपोव</v>
      </c>
      <c r="I93" s="4" t="str">
        <f>IFERROR(__xludf.DUMMYFUNCTION("GOOGLETRANSLATE(D93, ""en"", ""hi"")"),"बी) व्लादिमीर क्रैमनिक")</f>
        <v>बी) व्लादिमीर क्रैमनिक</v>
      </c>
    </row>
    <row r="94" ht="22.5" customHeight="1">
      <c r="A94" s="3">
        <v>93.0</v>
      </c>
      <c r="B94" s="4" t="s">
        <v>1073</v>
      </c>
      <c r="C94" s="4" t="s">
        <v>1074</v>
      </c>
      <c r="D94" s="4" t="s">
        <v>1075</v>
      </c>
      <c r="F94" s="4" t="str">
        <f>IFERROR(__xludf.DUMMYFUNCTION("GOOGLETRANSLATE(A94, ""en"", ""hi"")"),"93")</f>
        <v>93</v>
      </c>
      <c r="G94" s="4" t="str">
        <f>IFERROR(__xludf.DUMMYFUNCTION("GOOGLETRANSLATE(B94, ""en"", ""hi"")"),"कौन सा विश्व शतरंज चैंपियन FIDE विश्व चैम्पियनशिप नॉकआउट टूर्नामेंट में अपना खिताब खोने वाला पहला व्यक्ति था?")</f>
        <v>कौन सा विश्व शतरंज चैंपियन FIDE विश्व चैम्पियनशिप नॉकआउट टूर्नामेंट में अपना खिताब खोने वाला पहला व्यक्ति था?</v>
      </c>
      <c r="H94" s="4" t="str">
        <f>IFERROR(__xludf.DUMMYFUNCTION("GOOGLETRANSLATE(C94, ""en"", ""hi"")"),"ए) अनातोली कार्पोव, बी) गैरी कास्परोव, सी) विश्वनाथन आनंद, डी) व्लादिमीर क्रैमनिक")</f>
        <v>ए) अनातोली कार्पोव, बी) गैरी कास्परोव, सी) विश्वनाथन आनंद, डी) व्लादिमीर क्रैमनिक</v>
      </c>
      <c r="I94" s="4" t="str">
        <f>IFERROR(__xludf.DUMMYFUNCTION("GOOGLETRANSLATE(D94, ""en"", ""hi"")"),"C) विश्वनाथन आनंद")</f>
        <v>C) विश्वनाथन आनंद</v>
      </c>
    </row>
    <row r="95" ht="22.5" customHeight="1">
      <c r="A95" s="3">
        <v>94.0</v>
      </c>
      <c r="B95" s="4" t="s">
        <v>1076</v>
      </c>
      <c r="C95" s="4" t="s">
        <v>1077</v>
      </c>
      <c r="D95" s="4" t="s">
        <v>1078</v>
      </c>
      <c r="F95" s="4" t="str">
        <f>IFERROR(__xludf.DUMMYFUNCTION("GOOGLETRANSLATE(A95, ""en"", ""hi"")"),"94")</f>
        <v>94</v>
      </c>
      <c r="G95" s="4" t="str">
        <f>IFERROR(__xludf.DUMMYFUNCTION("GOOGLETRANSLATE(B95, ""en"", ""hi"")"),"कौन सा विश्व शतरंज चैंपियन 'मिडलगेम' संस्करणों पर अपने काम के लिए जाना जाता है?")</f>
        <v>कौन सा विश्व शतरंज चैंपियन 'मिडलगेम' संस्करणों पर अपने काम के लिए जाना जाता है?</v>
      </c>
      <c r="H95" s="4" t="str">
        <f>IFERROR(__xludf.DUMMYFUNCTION("GOOGLETRANSLATE(C95, ""en"", ""hi"")"),"ए) इमानुएल लास्कर, बी) मिखाइल बोट्वनिक, सी) मैक्स यूवे, डी) टिग्रान पेट्रोसियन")</f>
        <v>ए) इमानुएल लास्कर, बी) मिखाइल बोट्वनिक, सी) मैक्स यूवे, डी) टिग्रान पेट्रोसियन</v>
      </c>
      <c r="I95" s="4" t="str">
        <f>IFERROR(__xludf.DUMMYFUNCTION("GOOGLETRANSLATE(D95, ""en"", ""hi"")"),"C) मैक्स यूवे")</f>
        <v>C) मैक्स यूवे</v>
      </c>
    </row>
    <row r="96" ht="22.5" customHeight="1">
      <c r="A96" s="3">
        <v>95.0</v>
      </c>
      <c r="B96" s="4" t="s">
        <v>1079</v>
      </c>
      <c r="C96" s="4" t="s">
        <v>1080</v>
      </c>
      <c r="D96" s="4" t="s">
        <v>1081</v>
      </c>
      <c r="F96" s="4" t="str">
        <f>IFERROR(__xludf.DUMMYFUNCTION("GOOGLETRANSLATE(A96, ""en"", ""hi"")"),"95")</f>
        <v>95</v>
      </c>
      <c r="G96" s="4" t="str">
        <f>IFERROR(__xludf.DUMMYFUNCTION("GOOGLETRANSLATE(B96, ""en"", ""hi"")"),"कौन सी शतरंज ओपनिंग अक्सर अनातोली कार्पोव की ठोस, स्थितिगत शैली से जुड़ी होती है?")</f>
        <v>कौन सी शतरंज ओपनिंग अक्सर अनातोली कार्पोव की ठोस, स्थितिगत शैली से जुड़ी होती है?</v>
      </c>
      <c r="H96" s="4" t="str">
        <f>IFERROR(__xludf.DUMMYFUNCTION("GOOGLETRANSLATE(C96, ""en"", ""hi"")"),"A) किंग्स इंडियन डिफेंस, B) सिसिलियन डिफेंस, C) कैरो-कन्न डिफेंस, D) फ्रेंच डिफेंस")</f>
        <v>A) किंग्स इंडियन डिफेंस, B) सिसिलियन डिफेंस, C) कैरो-कन्न डिफेंस, D) फ्रेंच डिफेंस</v>
      </c>
      <c r="I96" s="4" t="str">
        <f>IFERROR(__xludf.DUMMYFUNCTION("GOOGLETRANSLATE(D96, ""en"", ""hi"")"),"C) कैरो-कन्न रक्षा")</f>
        <v>C) कैरो-कन्न रक्षा</v>
      </c>
    </row>
    <row r="97" ht="22.5" customHeight="1">
      <c r="A97" s="3">
        <v>96.0</v>
      </c>
      <c r="B97" s="4" t="s">
        <v>1082</v>
      </c>
      <c r="C97" s="4" t="s">
        <v>892</v>
      </c>
      <c r="D97" s="4" t="s">
        <v>893</v>
      </c>
      <c r="F97" s="4" t="str">
        <f>IFERROR(__xludf.DUMMYFUNCTION("GOOGLETRANSLATE(A97, ""en"", ""hi"")"),"96")</f>
        <v>96</v>
      </c>
      <c r="G97" s="4" t="str">
        <f>IFERROR(__xludf.DUMMYFUNCTION("GOOGLETRANSLATE(B97, ""en"", ""hi"")"),"विश्व शतरंज चैंपियनशिप जीतने वाले पहले अमेरिकी मूल के खिलाड़ी कौन थे?")</f>
        <v>विश्व शतरंज चैंपियनशिप जीतने वाले पहले अमेरिकी मूल के खिलाड़ी कौन थे?</v>
      </c>
      <c r="H97" s="4" t="str">
        <f>IFERROR(__xludf.DUMMYFUNCTION("GOOGLETRANSLATE(C97, ""en"", ""hi"")"),"ए) पॉल मॉर्फी, बी) बॉबी फिशर, सी) फ्रैंक मार्शल, डी) सैमुअल रेशेव्स्की")</f>
        <v>ए) पॉल मॉर्फी, बी) बॉबी फिशर, सी) फ्रैंक मार्शल, डी) सैमुअल रेशेव्स्की</v>
      </c>
      <c r="I97" s="4" t="str">
        <f>IFERROR(__xludf.DUMMYFUNCTION("GOOGLETRANSLATE(D97, ""en"", ""hi"")"),"बी) बॉबी फिशर")</f>
        <v>बी) बॉबी फिशर</v>
      </c>
    </row>
    <row r="98" ht="22.5" customHeight="1">
      <c r="A98" s="3">
        <v>97.0</v>
      </c>
      <c r="B98" s="4" t="s">
        <v>1083</v>
      </c>
      <c r="C98" s="4" t="s">
        <v>1084</v>
      </c>
      <c r="D98" s="4" t="s">
        <v>977</v>
      </c>
      <c r="F98" s="4" t="str">
        <f>IFERROR(__xludf.DUMMYFUNCTION("GOOGLETRANSLATE(A98, ""en"", ""hi"")"),"97")</f>
        <v>97</v>
      </c>
      <c r="G98" s="4" t="str">
        <f>IFERROR(__xludf.DUMMYFUNCTION("GOOGLETRANSLATE(B98, ""en"", ""hi"")"),"कौन सा विश्व शतरंज चैंपियन क्वीन्स इंडियन डिफेंस के सिद्धांत में अपने योगदान के लिए जाना जाता था?")</f>
        <v>कौन सा विश्व शतरंज चैंपियन क्वीन्स इंडियन डिफेंस के सिद्धांत में अपने योगदान के लिए जाना जाता था?</v>
      </c>
      <c r="H98" s="4" t="str">
        <f>IFERROR(__xludf.DUMMYFUNCTION("GOOGLETRANSLATE(C98, ""en"", ""hi"")"),"ए) जोस राउल कैपब्लांका, बी) गैरी कास्पारोव, सी) मिखाइल बोट्वनिक, डी) तिगरान पेट्रोसियन")</f>
        <v>ए) जोस राउल कैपब्लांका, बी) गैरी कास्पारोव, सी) मिखाइल बोट्वनिक, डी) तिगरान पेट्रोसियन</v>
      </c>
      <c r="I98" s="4" t="str">
        <f>IFERROR(__xludf.DUMMYFUNCTION("GOOGLETRANSLATE(D98, ""en"", ""hi"")"),"C) मिखाइल बोट्विननिक")</f>
        <v>C) मिखाइल बोट्विननिक</v>
      </c>
    </row>
    <row r="99" ht="22.5" customHeight="1">
      <c r="A99" s="3">
        <v>98.0</v>
      </c>
      <c r="B99" s="4" t="s">
        <v>1085</v>
      </c>
      <c r="C99" s="4" t="s">
        <v>982</v>
      </c>
      <c r="D99" s="4" t="s">
        <v>972</v>
      </c>
      <c r="F99" s="4" t="str">
        <f>IFERROR(__xludf.DUMMYFUNCTION("GOOGLETRANSLATE(A99, ""en"", ""hi"")"),"98")</f>
        <v>98</v>
      </c>
      <c r="G99" s="4" t="str">
        <f>IFERROR(__xludf.DUMMYFUNCTION("GOOGLETRANSLATE(B99, ""en"", ""hi"")"),"कौन सा विश्व शतरंज चैंपियन गणित और भौतिकी का प्रोफेसर भी था?")</f>
        <v>कौन सा विश्व शतरंज चैंपियन गणित और भौतिकी का प्रोफेसर भी था?</v>
      </c>
      <c r="H99" s="4" t="str">
        <f>IFERROR(__xludf.DUMMYFUNCTION("GOOGLETRANSLATE(C99, ""en"", ""hi"")"),"ए) इमानुएल लास्कर, बी) मैक्स यूवे, सी) मिखाइल बोट्वनिक, डी) अलेक्जेंडर अलेखिन")</f>
        <v>ए) इमानुएल लास्कर, बी) मैक्स यूवे, सी) मिखाइल बोट्वनिक, डी) अलेक्जेंडर अलेखिन</v>
      </c>
      <c r="I99" s="4" t="str">
        <f>IFERROR(__xludf.DUMMYFUNCTION("GOOGLETRANSLATE(D99, ""en"", ""hi"")"),"बी) मैक्स यूवे")</f>
        <v>बी) मैक्स यूवे</v>
      </c>
    </row>
    <row r="100" ht="22.5" customHeight="1">
      <c r="A100" s="3">
        <v>99.0</v>
      </c>
      <c r="B100" s="4" t="s">
        <v>1086</v>
      </c>
      <c r="C100" s="4" t="s">
        <v>1087</v>
      </c>
      <c r="D100" s="4" t="s">
        <v>943</v>
      </c>
      <c r="F100" s="4" t="str">
        <f>IFERROR(__xludf.DUMMYFUNCTION("GOOGLETRANSLATE(A100, ""en"", ""hi"")"),"99")</f>
        <v>99</v>
      </c>
      <c r="G100" s="4" t="str">
        <f>IFERROR(__xludf.DUMMYFUNCTION("GOOGLETRANSLATE(B100, ""en"", ""hi"")"),"कौन सा विश्व शतरंज चैंपियन अपनी गतिशील आक्रमण शैली और सिसिलियन डिफेंस में योगदान के लिए जाना जाता था?")</f>
        <v>कौन सा विश्व शतरंज चैंपियन अपनी गतिशील आक्रमण शैली और सिसिलियन डिफेंस में योगदान के लिए जाना जाता था?</v>
      </c>
      <c r="H100" s="4" t="str">
        <f>IFERROR(__xludf.DUMMYFUNCTION("GOOGLETRANSLATE(C100, ""en"", ""hi"")"),"ए) गैरी कास्पारोव, बी) मिखाइल ताल, सी) जोस राउल कैपब्लांका, डी) अलेक्जेंडर अलेखिन")</f>
        <v>ए) गैरी कास्पारोव, बी) मिखाइल ताल, सी) जोस राउल कैपब्लांका, डी) अलेक्जेंडर अलेखिन</v>
      </c>
      <c r="I100" s="4" t="str">
        <f>IFERROR(__xludf.DUMMYFUNCTION("GOOGLETRANSLATE(D100, ""en"", ""hi"")"),"A) गैरी कास्पारोव")</f>
        <v>A) गैरी कास्पारोव</v>
      </c>
    </row>
    <row r="101" ht="22.5" customHeight="1">
      <c r="A101" s="3">
        <v>100.0</v>
      </c>
      <c r="B101" s="4" t="s">
        <v>1088</v>
      </c>
      <c r="C101" s="4" t="s">
        <v>1089</v>
      </c>
      <c r="D101" s="4" t="s">
        <v>911</v>
      </c>
      <c r="F101" s="4" t="str">
        <f>IFERROR(__xludf.DUMMYFUNCTION("GOOGLETRANSLATE(A101, ""en"", ""hi"")"),"100")</f>
        <v>100</v>
      </c>
      <c r="G101" s="4" t="str">
        <f>IFERROR(__xludf.DUMMYFUNCTION("GOOGLETRANSLATE(B101, ""en"", ""hi"")"),"वह कौन सा शतरंज खिलाड़ी था जिसने किशोरावस्था में ही किसी गैर-खिताब मैच में किसी मौजूदा विश्व चैंपियन को हराया था?")</f>
        <v>वह कौन सा शतरंज खिलाड़ी था जिसने किशोरावस्था में ही किसी गैर-खिताब मैच में किसी मौजूदा विश्व चैंपियन को हराया था?</v>
      </c>
      <c r="H101" s="4" t="str">
        <f>IFERROR(__xludf.DUMMYFUNCTION("GOOGLETRANSLATE(C101, ""en"", ""hi"")"),"ए) बॉबी फिशर, बी) गैरी कास्परोव, सी) मैग्नस कार्लसन, डी) सर्गेई कारजाकिन")</f>
        <v>ए) बॉबी फिशर, बी) गैरी कास्परोव, सी) मैग्नस कार्लसन, डी) सर्गेई कारजाकिन</v>
      </c>
      <c r="I101" s="4" t="str">
        <f>IFERROR(__xludf.DUMMYFUNCTION("GOOGLETRANSLATE(D101, ""en"", ""hi"")"),"A) बॉबी फिशर")</f>
        <v>A) बॉबी फिशर</v>
      </c>
    </row>
    <row r="102" ht="22.5" customHeight="1">
      <c r="A102" s="3">
        <v>101.0</v>
      </c>
      <c r="B102" s="4" t="s">
        <v>1090</v>
      </c>
      <c r="C102" s="4" t="s">
        <v>1091</v>
      </c>
      <c r="D102" s="4" t="s">
        <v>1092</v>
      </c>
      <c r="F102" s="4" t="str">
        <f>IFERROR(__xludf.DUMMYFUNCTION("GOOGLETRANSLATE(A102, ""en"", ""hi"")"),"101")</f>
        <v>101</v>
      </c>
      <c r="G102" s="4" t="str">
        <f>IFERROR(__xludf.DUMMYFUNCTION("GOOGLETRANSLATE(B102, ""en"", ""hi"")"),"विश्व शतरंज चैंपियनशिप के किस मैच को 'शताब्दी का मैच' कहा जाता है?")</f>
        <v>विश्व शतरंज चैंपियनशिप के किस मैच को 'शताब्दी का मैच' कहा जाता है?</v>
      </c>
      <c r="H102" s="4" t="str">
        <f>IFERROR(__xludf.DUMMYFUNCTION("GOOGLETRANSLATE(C102, ""en"", ""hi"")"),"ए) कास्पारोव बनाम कारपोव (1984), बी) फिशर बनाम स्पैस्की (1972), सी) कैपब्लांका बनाम अलेखिन (1927), डी) बोट्वनिक बनाम ताल (1960)")</f>
        <v>ए) कास्पारोव बनाम कारपोव (1984), बी) फिशर बनाम स्पैस्की (1972), सी) कैपब्लांका बनाम अलेखिन (1927), डी) बोट्वनिक बनाम ताल (1960)</v>
      </c>
      <c r="I102" s="4" t="str">
        <f>IFERROR(__xludf.DUMMYFUNCTION("GOOGLETRANSLATE(D102, ""en"", ""hi"")"),"बी) फिशर बनाम स्पैस्की (1972)")</f>
        <v>बी) फिशर बनाम स्पैस्की (1972)</v>
      </c>
    </row>
    <row r="103" ht="22.5" customHeight="1">
      <c r="A103" s="3">
        <v>102.0</v>
      </c>
      <c r="B103" s="4" t="s">
        <v>1093</v>
      </c>
      <c r="C103" s="4" t="s">
        <v>1094</v>
      </c>
      <c r="D103" s="4" t="s">
        <v>1095</v>
      </c>
      <c r="F103" s="4" t="str">
        <f>IFERROR(__xludf.DUMMYFUNCTION("GOOGLETRANSLATE(A103, ""en"", ""hi"")"),"102")</f>
        <v>102</v>
      </c>
      <c r="G103" s="4" t="str">
        <f>IFERROR(__xludf.DUMMYFUNCTION("GOOGLETRANSLATE(B103, ""en"", ""hi"")"),"20वीं सदी में एक दशक से अधिक समय तक विश्व शतरंज खिताब अपने पास रखने वाला पहला व्यक्ति कौन था?")</f>
        <v>20वीं सदी में एक दशक से अधिक समय तक विश्व शतरंज खिताब अपने पास रखने वाला पहला व्यक्ति कौन था?</v>
      </c>
      <c r="H103" s="4" t="str">
        <f>IFERROR(__xludf.DUMMYFUNCTION("GOOGLETRANSLATE(C103, ""en"", ""hi"")"),"ए) गैरी कास्परोव, बी) इमानुएल लास्कर, सी) अनातोली कारपोव, डी) जोस राउल कैपबेलैंका")</f>
        <v>ए) गैरी कास्परोव, बी) इमानुएल लास्कर, सी) अनातोली कारपोव, डी) जोस राउल कैपबेलैंका</v>
      </c>
      <c r="I103" s="4" t="str">
        <f>IFERROR(__xludf.DUMMYFUNCTION("GOOGLETRANSLATE(D103, ""en"", ""hi"")"),"C) अनातोली कार्पोव")</f>
        <v>C) अनातोली कार्पोव</v>
      </c>
    </row>
    <row r="104" ht="22.5" customHeight="1">
      <c r="A104" s="3">
        <v>103.0</v>
      </c>
      <c r="B104" s="4" t="s">
        <v>1096</v>
      </c>
      <c r="C104" s="4" t="s">
        <v>1097</v>
      </c>
      <c r="D104" s="4" t="s">
        <v>988</v>
      </c>
      <c r="F104" s="4" t="str">
        <f>IFERROR(__xludf.DUMMYFUNCTION("GOOGLETRANSLATE(A104, ""en"", ""hi"")"),"103")</f>
        <v>103</v>
      </c>
      <c r="G104" s="4" t="str">
        <f>IFERROR(__xludf.DUMMYFUNCTION("GOOGLETRANSLATE(B104, ""en"", ""hi"")"),"कौन सा शतरंज ग्रैंडमास्टर किंग्स इंडियन डिफेंस, विशेष रूप से सैमिश वेरिएशन में अपने योगदान के लिए जाना जाता था?")</f>
        <v>कौन सा शतरंज ग्रैंडमास्टर किंग्स इंडियन डिफेंस, विशेष रूप से सैमिश वेरिएशन में अपने योगदान के लिए जाना जाता था?</v>
      </c>
      <c r="H104" s="4" t="str">
        <f>IFERROR(__xludf.DUMMYFUNCTION("GOOGLETRANSLATE(C104, ""en"", ""hi"")"),"A) तिगरान पेट्रोसियन, B) मिखाइल बोट्विननिक, C) बॉबी फिशर, D) बोरिस स्पैस्की")</f>
        <v>A) तिगरान पेट्रोसियन, B) मिखाइल बोट्विननिक, C) बॉबी फिशर, D) बोरिस स्पैस्की</v>
      </c>
      <c r="I104" s="4" t="str">
        <f>IFERROR(__xludf.DUMMYFUNCTION("GOOGLETRANSLATE(D104, ""en"", ""hi"")"),"A) तिगरान पेट्रोसियन")</f>
        <v>A) तिगरान पेट्रोसियन</v>
      </c>
    </row>
    <row r="105" ht="22.5" customHeight="1">
      <c r="A105" s="3">
        <v>104.0</v>
      </c>
      <c r="B105" s="4" t="s">
        <v>1098</v>
      </c>
      <c r="C105" s="4" t="s">
        <v>1026</v>
      </c>
      <c r="D105" s="4" t="s">
        <v>917</v>
      </c>
      <c r="F105" s="4" t="str">
        <f>IFERROR(__xludf.DUMMYFUNCTION("GOOGLETRANSLATE(A105, ""en"", ""hi"")"),"104")</f>
        <v>104</v>
      </c>
      <c r="G105" s="4" t="str">
        <f>IFERROR(__xludf.DUMMYFUNCTION("GOOGLETRANSLATE(B105, ""en"", ""hi"")"),"कौन सा विश्व शतरंज चैंपियन मैच के बजाय विश्व शतरंज चैम्पियनशिप टूर्नामेंट के बाद ताज पहनाया जाने वाला पहला व्यक्ति था?")</f>
        <v>कौन सा विश्व शतरंज चैंपियन मैच के बजाय विश्व शतरंज चैम्पियनशिप टूर्नामेंट के बाद ताज पहनाया जाने वाला पहला व्यक्ति था?</v>
      </c>
      <c r="H105" s="4" t="str">
        <f>IFERROR(__xludf.DUMMYFUNCTION("GOOGLETRANSLATE(C105, ""en"", ""hi"")"),"ए) विल्हेम स्टीनित्ज़, बी) जोस राउल कैपब्लांका, सी) मैक्स यूवे, डी) मिखाइल बोट्वनिक")</f>
        <v>ए) विल्हेम स्टीनित्ज़, बी) जोस राउल कैपब्लांका, सी) मैक्स यूवे, डी) मिखाइल बोट्वनिक</v>
      </c>
      <c r="I105" s="4" t="str">
        <f>IFERROR(__xludf.DUMMYFUNCTION("GOOGLETRANSLATE(D105, ""en"", ""hi"")"),"D) मिखाइल बोट्विननिक")</f>
        <v>D) मिखाइल बोट्विननिक</v>
      </c>
    </row>
    <row r="106" ht="22.5" customHeight="1">
      <c r="A106" s="3">
        <v>105.0</v>
      </c>
      <c r="B106" s="4" t="s">
        <v>1099</v>
      </c>
      <c r="C106" s="4" t="s">
        <v>1100</v>
      </c>
      <c r="D106" s="4" t="s">
        <v>887</v>
      </c>
      <c r="F106" s="4" t="str">
        <f>IFERROR(__xludf.DUMMYFUNCTION("GOOGLETRANSLATE(A106, ""en"", ""hi"")"),"105")</f>
        <v>105</v>
      </c>
      <c r="G106" s="4" t="str">
        <f>IFERROR(__xludf.DUMMYFUNCTION("GOOGLETRANSLATE(B106, ""en"", ""hi"")"),"कौन सा विश्व शतरंज चैंपियन विक्टर कोर्चनोई के साथ अपनी प्रतिद्वंद्विता के लिए जाना जाता था?")</f>
        <v>कौन सा विश्व शतरंज चैंपियन विक्टर कोर्चनोई के साथ अपनी प्रतिद्वंद्विता के लिए जाना जाता था?</v>
      </c>
      <c r="H106" s="4" t="str">
        <f>IFERROR(__xludf.DUMMYFUNCTION("GOOGLETRANSLATE(C106, ""en"", ""hi"")"),"ए) अनातोली कार्पोव, बी) गैरी कास्परोव, सी) तिगरान पेट्रोसियन, डी) बोरिस स्पैस्की")</f>
        <v>ए) अनातोली कार्पोव, बी) गैरी कास्परोव, सी) तिगरान पेट्रोसियन, डी) बोरिस स्पैस्की</v>
      </c>
      <c r="I106" s="4" t="str">
        <f>IFERROR(__xludf.DUMMYFUNCTION("GOOGLETRANSLATE(D106, ""en"", ""hi"")"),"A) अनातोली कार्पोव")</f>
        <v>A) अनातोली कार्पोव</v>
      </c>
    </row>
    <row r="107" ht="22.5" customHeight="1">
      <c r="A107" s="3">
        <v>106.0</v>
      </c>
      <c r="B107" s="4" t="s">
        <v>1101</v>
      </c>
      <c r="C107" s="4" t="s">
        <v>1102</v>
      </c>
      <c r="D107" s="4" t="s">
        <v>911</v>
      </c>
      <c r="F107" s="4" t="str">
        <f>IFERROR(__xludf.DUMMYFUNCTION("GOOGLETRANSLATE(A107, ""en"", ""hi"")"),"106")</f>
        <v>106</v>
      </c>
      <c r="G107" s="4" t="str">
        <f>IFERROR(__xludf.DUMMYFUNCTION("GOOGLETRANSLATE(B107, ""en"", ""hi"")"),"कौन सा शतरंज खिलाड़ी कैंडिडेट्स टूर्नामेंट में पूर्ण स्कोर हासिल करने वाला पहला खिलाड़ी बना?")</f>
        <v>कौन सा शतरंज खिलाड़ी कैंडिडेट्स टूर्नामेंट में पूर्ण स्कोर हासिल करने वाला पहला खिलाड़ी बना?</v>
      </c>
      <c r="H107" s="4" t="str">
        <f>IFERROR(__xludf.DUMMYFUNCTION("GOOGLETRANSLATE(C107, ""en"", ""hi"")"),"ए) बॉबी फिशर, बी) गैरी कास्पारोव, सी) तिगरान पेट्रोसियन, डी) अनातोली कारपोव")</f>
        <v>ए) बॉबी फिशर, बी) गैरी कास्पारोव, सी) तिगरान पेट्रोसियन, डी) अनातोली कारपोव</v>
      </c>
      <c r="I107" s="4" t="str">
        <f>IFERROR(__xludf.DUMMYFUNCTION("GOOGLETRANSLATE(D107, ""en"", ""hi"")"),"A) बॉबी फिशर")</f>
        <v>A) बॉबी फिशर</v>
      </c>
    </row>
    <row r="108" ht="22.5" customHeight="1">
      <c r="A108" s="3">
        <v>107.0</v>
      </c>
      <c r="B108" s="4" t="s">
        <v>1103</v>
      </c>
      <c r="C108" s="4" t="s">
        <v>1104</v>
      </c>
      <c r="D108" s="4" t="s">
        <v>1105</v>
      </c>
      <c r="F108" s="4" t="str">
        <f>IFERROR(__xludf.DUMMYFUNCTION("GOOGLETRANSLATE(A108, ""en"", ""hi"")"),"107")</f>
        <v>107</v>
      </c>
      <c r="G108" s="4" t="str">
        <f>IFERROR(__xludf.DUMMYFUNCTION("GOOGLETRANSLATE(B108, ""en"", ""hi"")"),"सडन डेथ ब्लिट्ज गेम द्वारा तय किये गए मैच में खिताब हारने वाला पहला विश्व शतरंज चैंपियन कौन था?")</f>
        <v>सडन डेथ ब्लिट्ज गेम द्वारा तय किये गए मैच में खिताब हारने वाला पहला विश्व शतरंज चैंपियन कौन था?</v>
      </c>
      <c r="H108" s="4" t="str">
        <f>IFERROR(__xludf.DUMMYFUNCTION("GOOGLETRANSLATE(C108, ""en"", ""hi"")"),"ए) गैरी कास्पारोव, बी) विश्वनाथन आनंद, सी) व्लादिमीर क्रैमनिक, डी) मैग्नस कार्लसन")</f>
        <v>ए) गैरी कास्पारोव, बी) विश्वनाथन आनंद, सी) व्लादिमीर क्रैमनिक, डी) मैग्नस कार्लसन</v>
      </c>
      <c r="I108" s="4" t="str">
        <f>IFERROR(__xludf.DUMMYFUNCTION("GOOGLETRANSLATE(D108, ""en"", ""hi"")"),"C) व्लादिमीर क्रैमनिक")</f>
        <v>C) व्लादिमीर क्रैमनिक</v>
      </c>
    </row>
    <row r="109" ht="22.5" customHeight="1">
      <c r="A109" s="3">
        <v>108.0</v>
      </c>
      <c r="B109" s="4" t="s">
        <v>1106</v>
      </c>
      <c r="C109" s="4" t="s">
        <v>1107</v>
      </c>
      <c r="D109" s="4" t="s">
        <v>914</v>
      </c>
      <c r="F109" s="4" t="str">
        <f>IFERROR(__xludf.DUMMYFUNCTION("GOOGLETRANSLATE(A109, ""en"", ""hi"")"),"108")</f>
        <v>108</v>
      </c>
      <c r="G109" s="4" t="str">
        <f>IFERROR(__xludf.DUMMYFUNCTION("GOOGLETRANSLATE(B109, ""en"", ""hi"")"),"किस विश्व शतरंज चैंपियन ने 'माई 60 मेमोरेबल गेम्स' पुस्तक लिखी है?")</f>
        <v>किस विश्व शतरंज चैंपियन ने 'माई 60 मेमोरेबल गेम्स' पुस्तक लिखी है?</v>
      </c>
      <c r="H109" s="4" t="str">
        <f>IFERROR(__xludf.DUMMYFUNCTION("GOOGLETRANSLATE(C109, ""en"", ""hi"")"),"ए) गैरी कास्परोव, बी) अनातोली कार्पोव, सी) बॉबी फिशर, डी) मिखाइल ताल")</f>
        <v>ए) गैरी कास्परोव, बी) अनातोली कार्पोव, सी) बॉबी फिशर, डी) मिखाइल ताल</v>
      </c>
      <c r="I109" s="4" t="str">
        <f>IFERROR(__xludf.DUMMYFUNCTION("GOOGLETRANSLATE(D109, ""en"", ""hi"")"),"C) बॉबी फिशर")</f>
        <v>C) बॉबी फिशर</v>
      </c>
    </row>
    <row r="110" ht="22.5" customHeight="1">
      <c r="A110" s="3">
        <v>109.0</v>
      </c>
      <c r="B110" s="4" t="s">
        <v>1108</v>
      </c>
      <c r="C110" s="4" t="s">
        <v>1109</v>
      </c>
      <c r="D110" s="4" t="s">
        <v>1110</v>
      </c>
      <c r="F110" s="4" t="str">
        <f>IFERROR(__xludf.DUMMYFUNCTION("GOOGLETRANSLATE(A110, ""en"", ""hi"")"),"109")</f>
        <v>109</v>
      </c>
      <c r="G110" s="4" t="str">
        <f>IFERROR(__xludf.DUMMYFUNCTION("GOOGLETRANSLATE(B110, ""en"", ""hi"")"),"कौन सा विश्व शतरंज चैंपियन एक भी गेम जीते बिना अपना खिताब खोने वाला पहला खिलाड़ी था?")</f>
        <v>कौन सा विश्व शतरंज चैंपियन एक भी गेम जीते बिना अपना खिताब खोने वाला पहला खिलाड़ी था?</v>
      </c>
      <c r="H110" s="4" t="str">
        <f>IFERROR(__xludf.DUMMYFUNCTION("GOOGLETRANSLATE(C110, ""en"", ""hi"")"),"ए) विल्हेम स्टीनित्ज़, बी) जोस राउल कैपब्लांका, सी) मिखाइल बोट्वनिक, डी) गैरी कास्परोव")</f>
        <v>ए) विल्हेम स्टीनित्ज़, बी) जोस राउल कैपब्लांका, सी) मिखाइल बोट्वनिक, डी) गैरी कास्परोव</v>
      </c>
      <c r="I110" s="4" t="str">
        <f>IFERROR(__xludf.DUMMYFUNCTION("GOOGLETRANSLATE(D110, ""en"", ""hi"")"),"B) जोस राउल कैपब्लैंका")</f>
        <v>B) जोस राउल कैपब्लैंका</v>
      </c>
    </row>
    <row r="111" ht="22.5" customHeight="1">
      <c r="A111" s="3">
        <v>110.0</v>
      </c>
      <c r="B111" s="4" t="s">
        <v>1111</v>
      </c>
      <c r="C111" s="4" t="s">
        <v>1112</v>
      </c>
      <c r="D111" s="4" t="s">
        <v>988</v>
      </c>
      <c r="F111" s="4" t="str">
        <f>IFERROR(__xludf.DUMMYFUNCTION("GOOGLETRANSLATE(A111, ""en"", ""hi"")"),"110")</f>
        <v>110</v>
      </c>
      <c r="G111" s="4" t="str">
        <f>IFERROR(__xludf.DUMMYFUNCTION("GOOGLETRANSLATE(B111, ""en"", ""hi"")"),"कौन सा विश्व शतरंज चैंपियन अपनी गहरी रणनीतिक समझ और रक्षात्मक कौशल के लिए जाना जाता था, जिससे उसे 'आयरन टिगरान' उपनाम मिला?")</f>
        <v>कौन सा विश्व शतरंज चैंपियन अपनी गहरी रणनीतिक समझ और रक्षात्मक कौशल के लिए जाना जाता था, जिससे उसे 'आयरन टिगरान' उपनाम मिला?</v>
      </c>
      <c r="H111" s="4" t="str">
        <f>IFERROR(__xludf.DUMMYFUNCTION("GOOGLETRANSLATE(C111, ""en"", ""hi"")"),"ए) तिगरान पेट्रोसियन, बी) मिखाइल ताल, सी) अनातोली कार्पोव, डी) गैरी कास्परोव")</f>
        <v>ए) तिगरान पेट्रोसियन, बी) मिखाइल ताल, सी) अनातोली कार्पोव, डी) गैरी कास्परोव</v>
      </c>
      <c r="I111" s="4" t="str">
        <f>IFERROR(__xludf.DUMMYFUNCTION("GOOGLETRANSLATE(D111, ""en"", ""hi"")"),"A) तिगरान पेट्रोसियन")</f>
        <v>A) तिगरान पेट्रोसियन</v>
      </c>
    </row>
    <row r="112" ht="22.5" customHeight="1">
      <c r="A112" s="3">
        <v>111.0</v>
      </c>
      <c r="B112" s="4" t="s">
        <v>1113</v>
      </c>
      <c r="C112" s="4" t="s">
        <v>1114</v>
      </c>
      <c r="D112" s="4" t="s">
        <v>1049</v>
      </c>
      <c r="F112" s="4" t="str">
        <f>IFERROR(__xludf.DUMMYFUNCTION("GOOGLETRANSLATE(A112, ""en"", ""hi"")"),"111")</f>
        <v>111</v>
      </c>
      <c r="G112" s="4" t="str">
        <f>IFERROR(__xludf.DUMMYFUNCTION("GOOGLETRANSLATE(B112, ""en"", ""hi"")"),"आर्मागेडन नियमों द्वारा तय मैच के बाद खिताब जीतने वाला पहला विश्व शतरंज चैंपियन कौन था?")</f>
        <v>आर्मागेडन नियमों द्वारा तय मैच के बाद खिताब जीतने वाला पहला विश्व शतरंज चैंपियन कौन था?</v>
      </c>
      <c r="H112" s="4" t="str">
        <f>IFERROR(__xludf.DUMMYFUNCTION("GOOGLETRANSLATE(C112, ""en"", ""hi"")"),"ए) गैरी कास्परोव, बी) व्लादिमीर क्रैमनिक, सी) मैग्नस कार्लसन, डी) विश्वनाथन आनंद")</f>
        <v>ए) गैरी कास्परोव, बी) व्लादिमीर क्रैमनिक, सी) मैग्नस कार्लसन, डी) विश्वनाथन आनंद</v>
      </c>
      <c r="I112" s="4" t="str">
        <f>IFERROR(__xludf.DUMMYFUNCTION("GOOGLETRANSLATE(D112, ""en"", ""hi"")"),"C) मैग्नस कार्लसन")</f>
        <v>C) मैग्नस कार्लसन</v>
      </c>
    </row>
    <row r="113" ht="22.5" customHeight="1">
      <c r="A113" s="3">
        <v>112.0</v>
      </c>
      <c r="B113" s="4" t="s">
        <v>1115</v>
      </c>
      <c r="C113" s="4" t="s">
        <v>1116</v>
      </c>
      <c r="D113" s="4" t="s">
        <v>1117</v>
      </c>
      <c r="F113" s="4" t="str">
        <f>IFERROR(__xludf.DUMMYFUNCTION("GOOGLETRANSLATE(A113, ""en"", ""hi"")"),"112")</f>
        <v>112</v>
      </c>
      <c r="G113" s="4" t="str">
        <f>IFERROR(__xludf.DUMMYFUNCTION("GOOGLETRANSLATE(B113, ""en"", ""hi"")"),"कौन सा विश्व शतरंज चैंपियन अपने प्रशिक्षण में कंप्यूटर-सहायता प्राप्त विश्लेषण को शामिल करने वाला पहला व्यक्ति था?")</f>
        <v>कौन सा विश्व शतरंज चैंपियन अपने प्रशिक्षण में कंप्यूटर-सहायता प्राप्त विश्लेषण को शामिल करने वाला पहला व्यक्ति था?</v>
      </c>
      <c r="H113" s="4" t="str">
        <f>IFERROR(__xludf.DUMMYFUNCTION("GOOGLETRANSLATE(C113, ""en"", ""hi"")"),"ए) बॉबी फिशर, बी) गैरी कास्पारोव, सी) अनातोली कारपोव, डी) मिखाइल बोट्वनिक")</f>
        <v>ए) बॉबी फिशर, बी) गैरी कास्पारोव, सी) अनातोली कारपोव, डी) मिखाइल बोट्वनिक</v>
      </c>
      <c r="I113" s="4" t="str">
        <f>IFERROR(__xludf.DUMMYFUNCTION("GOOGLETRANSLATE(D113, ""en"", ""hi"")"),"बी) गैरी कास्परोव")</f>
        <v>बी) गैरी कास्परोव</v>
      </c>
    </row>
    <row r="114" ht="22.5" customHeight="1">
      <c r="A114" s="3">
        <v>113.0</v>
      </c>
      <c r="B114" s="4" t="s">
        <v>1118</v>
      </c>
      <c r="C114" s="4" t="s">
        <v>1119</v>
      </c>
      <c r="D114" s="4" t="s">
        <v>1049</v>
      </c>
      <c r="F114" s="4" t="str">
        <f>IFERROR(__xludf.DUMMYFUNCTION("GOOGLETRANSLATE(A114, ""en"", ""hi"")"),"113")</f>
        <v>113</v>
      </c>
      <c r="G114" s="4" t="str">
        <f>IFERROR(__xludf.DUMMYFUNCTION("GOOGLETRANSLATE(B114, ""en"", ""hi"")"),"कौन सा शतरंज खिलाड़ी विश्व शतरंज चैंपियन और विश्व रैपिड शतरंज चैंपियन दोनों का खिताब एक साथ जीतने वाला पहला खिलाड़ी था?")</f>
        <v>कौन सा शतरंज खिलाड़ी विश्व शतरंज चैंपियन और विश्व रैपिड शतरंज चैंपियन दोनों का खिताब एक साथ जीतने वाला पहला खिलाड़ी था?</v>
      </c>
      <c r="H114" s="4" t="str">
        <f>IFERROR(__xludf.DUMMYFUNCTION("GOOGLETRANSLATE(C114, ""en"", ""hi"")"),"A) बॉबी फिशर, B) गैरी कास्परोव, C) मैग्नस कार्लसन, D) विश्वनाथन आनंद")</f>
        <v>A) बॉबी फिशर, B) गैरी कास्परोव, C) मैग्नस कार्लसन, D) विश्वनाथन आनंद</v>
      </c>
      <c r="I114" s="4" t="str">
        <f>IFERROR(__xludf.DUMMYFUNCTION("GOOGLETRANSLATE(D114, ""en"", ""hi"")"),"C) मैग्नस कार्लसन")</f>
        <v>C) मैग्नस कार्लसन</v>
      </c>
    </row>
    <row r="115" ht="22.5" customHeight="1">
      <c r="A115" s="3">
        <v>114.0</v>
      </c>
      <c r="B115" s="4" t="s">
        <v>1120</v>
      </c>
      <c r="C115" s="4" t="s">
        <v>1121</v>
      </c>
      <c r="D115" s="4" t="s">
        <v>943</v>
      </c>
      <c r="F115" s="4" t="str">
        <f>IFERROR(__xludf.DUMMYFUNCTION("GOOGLETRANSLATE(A115, ""en"", ""hi"")"),"114")</f>
        <v>114</v>
      </c>
      <c r="G115" s="4" t="str">
        <f>IFERROR(__xludf.DUMMYFUNCTION("GOOGLETRANSLATE(B115, ""en"", ""hi"")"),"कौन सा विश्व शतरंज चैंपियन सिसिलियन डिफेंस, विशेष रूप से शेवेनिंगेन वेरिएशन में अपने योगदान के लिए जाना जाता था?")</f>
        <v>कौन सा विश्व शतरंज चैंपियन सिसिलियन डिफेंस, विशेष रूप से शेवेनिंगेन वेरिएशन में अपने योगदान के लिए जाना जाता था?</v>
      </c>
      <c r="H115" s="4" t="str">
        <f>IFERROR(__xludf.DUMMYFUNCTION("GOOGLETRANSLATE(C115, ""en"", ""hi"")"),"ए) गैरी कास्पारोव, बी) बॉबी फिशर, सी) मिखाइल बोट्वनिक, डी) अलेक्जेंडर अलेखिन")</f>
        <v>ए) गैरी कास्पारोव, बी) बॉबी फिशर, सी) मिखाइल बोट्वनिक, डी) अलेक्जेंडर अलेखिन</v>
      </c>
      <c r="I115" s="4" t="str">
        <f>IFERROR(__xludf.DUMMYFUNCTION("GOOGLETRANSLATE(D115, ""en"", ""hi"")"),"A) गैरी कास्पारोव")</f>
        <v>A) गैरी कास्पारोव</v>
      </c>
    </row>
    <row r="116" ht="22.5" customHeight="1">
      <c r="A116" s="3">
        <v>115.0</v>
      </c>
      <c r="B116" s="4" t="s">
        <v>1122</v>
      </c>
      <c r="C116" s="4" t="s">
        <v>1123</v>
      </c>
      <c r="D116" s="4" t="s">
        <v>1124</v>
      </c>
      <c r="F116" s="4" t="str">
        <f>IFERROR(__xludf.DUMMYFUNCTION("GOOGLETRANSLATE(A116, ""en"", ""hi"")"),"115")</f>
        <v>115</v>
      </c>
      <c r="G116" s="4" t="str">
        <f>IFERROR(__xludf.DUMMYFUNCTION("GOOGLETRANSLATE(B116, ""en"", ""hi"")"),"किस शतरंज खिलाड़ी को प्रथम अनौपचारिक विश्व शतरंज चैंपियन माना जाता है, इससे पहले कि यह खिताब औपचारिक रूप से स्थापित हो?")</f>
        <v>किस शतरंज खिलाड़ी को प्रथम अनौपचारिक विश्व शतरंज चैंपियन माना जाता है, इससे पहले कि यह खिताब औपचारिक रूप से स्थापित हो?</v>
      </c>
      <c r="H116" s="4" t="str">
        <f>IFERROR(__xludf.DUMMYFUNCTION("GOOGLETRANSLATE(C116, ""en"", ""hi"")"),"ए) पॉल मॉर्फी, बी) एडॉल्फ एंडरसन, सी) हॉवर्ड स्टॉन्टन, डी) विल्हेम स्टीनित्ज़")</f>
        <v>ए) पॉल मॉर्फी, बी) एडॉल्फ एंडरसन, सी) हॉवर्ड स्टॉन्टन, डी) विल्हेम स्टीनित्ज़</v>
      </c>
      <c r="I116" s="4" t="str">
        <f>IFERROR(__xludf.DUMMYFUNCTION("GOOGLETRANSLATE(D116, ""en"", ""hi"")"),"A) पॉल मॉर्फी")</f>
        <v>A) पॉल मॉर्फी</v>
      </c>
    </row>
    <row r="117" ht="22.5" customHeight="1">
      <c r="A117" s="3">
        <v>116.0</v>
      </c>
      <c r="B117" s="4" t="s">
        <v>1125</v>
      </c>
      <c r="C117" s="4" t="s">
        <v>1126</v>
      </c>
      <c r="D117" s="4" t="s">
        <v>934</v>
      </c>
      <c r="F117" s="4" t="str">
        <f>IFERROR(__xludf.DUMMYFUNCTION("GOOGLETRANSLATE(A117, ""en"", ""hi"")"),"116")</f>
        <v>116</v>
      </c>
      <c r="G117" s="4" t="str">
        <f>IFERROR(__xludf.DUMMYFUNCTION("GOOGLETRANSLATE(B117, ""en"", ""hi"")"),"दो अलग-अलग मैचों में एक मौजूदा चैंपियन को हराकर खिताब जीतने वाले पहले विश्व शतरंज चैंपियन कौन थे?")</f>
        <v>दो अलग-अलग मैचों में एक मौजूदा चैंपियन को हराकर खिताब जीतने वाले पहले विश्व शतरंज चैंपियन कौन थे?</v>
      </c>
      <c r="H117" s="4" t="str">
        <f>IFERROR(__xludf.DUMMYFUNCTION("GOOGLETRANSLATE(C117, ""en"", ""hi"")"),"ए) गैरी कास्परोव, बी) मिखाइल बोट्वनिक, सी) अनातोली कारपोव, डी) अलेक्जेंडर अलेखिन")</f>
        <v>ए) गैरी कास्परोव, बी) मिखाइल बोट्वनिक, सी) अनातोली कारपोव, डी) अलेक्जेंडर अलेखिन</v>
      </c>
      <c r="I117" s="4" t="str">
        <f>IFERROR(__xludf.DUMMYFUNCTION("GOOGLETRANSLATE(D117, ""en"", ""hi"")"),"B) मिखाइल बोट्विननिक")</f>
        <v>B) मिखाइल बोट्विननिक</v>
      </c>
    </row>
    <row r="118" ht="22.5" customHeight="1">
      <c r="A118" s="3">
        <v>117.0</v>
      </c>
      <c r="B118" s="4" t="s">
        <v>1127</v>
      </c>
      <c r="C118" s="4" t="s">
        <v>1128</v>
      </c>
      <c r="D118" s="4" t="s">
        <v>1129</v>
      </c>
      <c r="F118" s="4" t="str">
        <f>IFERROR(__xludf.DUMMYFUNCTION("GOOGLETRANSLATE(A118, ""en"", ""hi"")"),"117")</f>
        <v>117</v>
      </c>
      <c r="G118" s="4" t="str">
        <f>IFERROR(__xludf.DUMMYFUNCTION("GOOGLETRANSLATE(B118, ""en"", ""hi"")"),"1998 में शुरू किए गए नए FIDE नॉकआउट प्रारूप के तहत खिताब जीतने वाला पहला विश्व शतरंज चैंपियन कौन था?")</f>
        <v>1998 में शुरू किए गए नए FIDE नॉकआउट प्रारूप के तहत खिताब जीतने वाला पहला विश्व शतरंज चैंपियन कौन था?</v>
      </c>
      <c r="H118" s="4" t="str">
        <f>IFERROR(__xludf.DUMMYFUNCTION("GOOGLETRANSLATE(C118, ""en"", ""hi"")"),"ए) गैरी कास्परोव, बी) व्लादिमीर क्रैमनिक, सी) विश्वनाथन आनंद, डी) अनातोली कारपोव")</f>
        <v>ए) गैरी कास्परोव, बी) व्लादिमीर क्रैमनिक, सी) विश्वनाथन आनंद, डी) अनातोली कारपोव</v>
      </c>
      <c r="I118" s="4" t="str">
        <f>IFERROR(__xludf.DUMMYFUNCTION("GOOGLETRANSLATE(D118, ""en"", ""hi"")"),"D) अनातोली कार्पोव")</f>
        <v>D) अनातोली कार्पोव</v>
      </c>
    </row>
    <row r="119" ht="22.5" customHeight="1">
      <c r="A119" s="3">
        <v>118.0</v>
      </c>
      <c r="B119" s="4" t="s">
        <v>1130</v>
      </c>
      <c r="C119" s="4" t="s">
        <v>1131</v>
      </c>
      <c r="D119" s="4" t="s">
        <v>911</v>
      </c>
      <c r="F119" s="4" t="str">
        <f>IFERROR(__xludf.DUMMYFUNCTION("GOOGLETRANSLATE(A119, ""en"", ""hi"")"),"118")</f>
        <v>118</v>
      </c>
      <c r="G119" s="4" t="str">
        <f>IFERROR(__xludf.DUMMYFUNCTION("GOOGLETRANSLATE(B119, ""en"", ""hi"")"),"6.5-0.5 के स्कोर के साथ खिताबी मुकाबला जीतने वाले पहले विश्व शतरंज चैंपियन कौन थे?")</f>
        <v>6.5-0.5 के स्कोर के साथ खिताबी मुकाबला जीतने वाले पहले विश्व शतरंज चैंपियन कौन थे?</v>
      </c>
      <c r="H119" s="4" t="str">
        <f>IFERROR(__xludf.DUMMYFUNCTION("GOOGLETRANSLATE(C119, ""en"", ""hi"")"),"ए) बॉबी फिशर, बी) अनातोली कार्पोव, सी) मिखाइल बोट्वनिक, डी) जोस राउल कैपब्लांका")</f>
        <v>ए) बॉबी फिशर, बी) अनातोली कार्पोव, सी) मिखाइल बोट्वनिक, डी) जोस राउल कैपब्लांका</v>
      </c>
      <c r="I119" s="4" t="str">
        <f>IFERROR(__xludf.DUMMYFUNCTION("GOOGLETRANSLATE(D119, ""en"", ""hi"")"),"A) बॉबी फिशर")</f>
        <v>A) बॉबी फिशर</v>
      </c>
    </row>
    <row r="120" ht="22.5" customHeight="1">
      <c r="A120" s="3">
        <v>119.0</v>
      </c>
      <c r="B120" s="4" t="s">
        <v>1132</v>
      </c>
      <c r="C120" s="4" t="s">
        <v>1033</v>
      </c>
      <c r="D120" s="4" t="s">
        <v>1105</v>
      </c>
      <c r="F120" s="4" t="str">
        <f>IFERROR(__xludf.DUMMYFUNCTION("GOOGLETRANSLATE(A120, ""en"", ""hi"")"),"119")</f>
        <v>119</v>
      </c>
      <c r="G120" s="4" t="str">
        <f>IFERROR(__xludf.DUMMYFUNCTION("GOOGLETRANSLATE(B120, ""en"", ""hi"")"),"कौन सा विश्व शतरंज चैंपियन पूर्व सोवियत गणराज्य में आयोजित विश्व चैम्पियनशिप मैच में खिताब जीतने के बाद खिताब जीतने वाला पहला व्यक्ति था?")</f>
        <v>कौन सा विश्व शतरंज चैंपियन पूर्व सोवियत गणराज्य में आयोजित विश्व चैम्पियनशिप मैच में खिताब जीतने के बाद खिताब जीतने वाला पहला व्यक्ति था?</v>
      </c>
      <c r="H120" s="4" t="str">
        <f>IFERROR(__xludf.DUMMYFUNCTION("GOOGLETRANSLATE(C120, ""en"", ""hi"")"),"ए) गैरी कास्परोव, बी) अनातोली कार्पोव, सी) व्लादिमीर क्रैमनिक, डी) विश्वनाथन आनंद")</f>
        <v>ए) गैरी कास्परोव, बी) अनातोली कार्पोव, सी) व्लादिमीर क्रैमनिक, डी) विश्वनाथन आनंद</v>
      </c>
      <c r="I120" s="4" t="str">
        <f>IFERROR(__xludf.DUMMYFUNCTION("GOOGLETRANSLATE(D120, ""en"", ""hi"")"),"C) व्लादिमीर क्रैमनिक")</f>
        <v>C) व्लादिमीर क्रैमनिक</v>
      </c>
    </row>
    <row r="121" ht="22.5" customHeight="1">
      <c r="A121" s="3">
        <v>120.0</v>
      </c>
      <c r="B121" s="4" t="s">
        <v>1133</v>
      </c>
      <c r="C121" s="4" t="s">
        <v>1134</v>
      </c>
      <c r="D121" s="4" t="s">
        <v>1005</v>
      </c>
      <c r="F121" s="4" t="str">
        <f>IFERROR(__xludf.DUMMYFUNCTION("GOOGLETRANSLATE(A121, ""en"", ""hi"")"),"120")</f>
        <v>120</v>
      </c>
      <c r="G121" s="4" t="str">
        <f>IFERROR(__xludf.DUMMYFUNCTION("GOOGLETRANSLATE(B121, ""en"", ""hi"")"),"कौन सा विश्व शतरंज चैंपियन अपने मनोवैज्ञानिक युद्ध और असामान्य शतरंज की बिसात की हरकतों के लिए जाना जाता था?")</f>
        <v>कौन सा विश्व शतरंज चैंपियन अपने मनोवैज्ञानिक युद्ध और असामान्य शतरंज की बिसात की हरकतों के लिए जाना जाता था?</v>
      </c>
      <c r="H121" s="4" t="str">
        <f>IFERROR(__xludf.DUMMYFUNCTION("GOOGLETRANSLATE(C121, ""en"", ""hi"")"),"ए) गैरी कास्पारोव, बी) मिखाइल ताल, सी) जोस राउल कैपब्लांका, डी) बॉबी फिशर")</f>
        <v>ए) गैरी कास्पारोव, बी) मिखाइल ताल, सी) जोस राउल कैपब्लांका, डी) बॉबी फिशर</v>
      </c>
      <c r="I121" s="4" t="str">
        <f>IFERROR(__xludf.DUMMYFUNCTION("GOOGLETRANSLATE(D121, ""en"", ""hi"")"),"D) बॉबी फिशर")</f>
        <v>D) बॉबी फिशर</v>
      </c>
    </row>
    <row r="122" ht="22.5" customHeight="1">
      <c r="A122" s="3">
        <v>121.0</v>
      </c>
      <c r="B122" s="4" t="s">
        <v>1135</v>
      </c>
      <c r="C122" s="4" t="s">
        <v>1136</v>
      </c>
      <c r="D122" s="4" t="s">
        <v>995</v>
      </c>
      <c r="F122" s="4" t="str">
        <f>IFERROR(__xludf.DUMMYFUNCTION("GOOGLETRANSLATE(A122, ""en"", ""hi"")"),"121")</f>
        <v>121</v>
      </c>
      <c r="G122" s="4" t="str">
        <f>IFERROR(__xludf.DUMMYFUNCTION("GOOGLETRANSLATE(B122, ""en"", ""hi"")"),"विश्व शतरंज चैम्पियनशिप मैच में पराजित होने वाले पहले विश्व शतरंज चैंपियन कौन थे, जिन्होंने पहले भी उसी प्रतिद्वंद्वी को खिताबी मुकाबले में हराया था?")</f>
        <v>विश्व शतरंज चैम्पियनशिप मैच में पराजित होने वाले पहले विश्व शतरंज चैंपियन कौन थे, जिन्होंने पहले भी उसी प्रतिद्वंद्वी को खिताबी मुकाबले में हराया था?</v>
      </c>
      <c r="H122" s="4" t="str">
        <f>IFERROR(__xludf.DUMMYFUNCTION("GOOGLETRANSLATE(C122, ""en"", ""hi"")"),"A) विल्हेम स्टीनिट्ज़, B) इमानुएल लास्कर, C) अलेक्जेंडर अलेखिन, D) गैरी कास्पारोव")</f>
        <v>A) विल्हेम स्टीनिट्ज़, B) इमानुएल लास्कर, C) अलेक्जेंडर अलेखिन, D) गैरी कास्पारोव</v>
      </c>
      <c r="I122" s="4" t="str">
        <f>IFERROR(__xludf.DUMMYFUNCTION("GOOGLETRANSLATE(D122, ""en"", ""hi"")"),"C) अलेक्जेंडर अलेखिन")</f>
        <v>C) अलेक्जेंडर अलेखिन</v>
      </c>
    </row>
    <row r="123" ht="22.5" customHeight="1">
      <c r="A123" s="3">
        <v>122.0</v>
      </c>
      <c r="B123" s="4" t="s">
        <v>1137</v>
      </c>
      <c r="C123" s="4" t="s">
        <v>1024</v>
      </c>
      <c r="D123" s="4" t="s">
        <v>917</v>
      </c>
      <c r="F123" s="4" t="str">
        <f>IFERROR(__xludf.DUMMYFUNCTION("GOOGLETRANSLATE(A123, ""en"", ""hi"")"),"122")</f>
        <v>122</v>
      </c>
      <c r="G123" s="4" t="str">
        <f>IFERROR(__xludf.DUMMYFUNCTION("GOOGLETRANSLATE(B123, ""en"", ""hi"")"),"कौन सा विश्व शतरंज चैंपियन उसी प्रतिद्वंद्वी के खिलाफ पुनः मैच के बाद खिताब हासिल करने वाला पहला व्यक्ति था?")</f>
        <v>कौन सा विश्व शतरंज चैंपियन उसी प्रतिद्वंद्वी के खिलाफ पुनः मैच के बाद खिताब हासिल करने वाला पहला व्यक्ति था?</v>
      </c>
      <c r="H123" s="4" t="str">
        <f>IFERROR(__xludf.DUMMYFUNCTION("GOOGLETRANSLATE(C123,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123" s="4" t="str">
        <f>IFERROR(__xludf.DUMMYFUNCTION("GOOGLETRANSLATE(D123, ""en"", ""hi"")"),"D) मिखाइल बोट्विननिक")</f>
        <v>D) मिखाइल बोट्विननिक</v>
      </c>
    </row>
    <row r="124" ht="22.5" customHeight="1">
      <c r="A124" s="3">
        <v>123.0</v>
      </c>
      <c r="B124" s="4" t="s">
        <v>1138</v>
      </c>
      <c r="C124" s="4" t="s">
        <v>1004</v>
      </c>
      <c r="D124" s="4" t="s">
        <v>1005</v>
      </c>
      <c r="F124" s="4" t="str">
        <f>IFERROR(__xludf.DUMMYFUNCTION("GOOGLETRANSLATE(A124, ""en"", ""hi"")"),"123")</f>
        <v>123</v>
      </c>
      <c r="G124" s="4" t="str">
        <f>IFERROR(__xludf.DUMMYFUNCTION("GOOGLETRANSLATE(B124, ""en"", ""hi"")"),"FIDE महासभा के सर्वसम्मत निर्णय से अपना खिताब गंवाने वाले पहले विश्व शतरंज चैंपियन कौन थे?")</f>
        <v>FIDE महासभा के सर्वसम्मत निर्णय से अपना खिताब गंवाने वाले पहले विश्व शतरंज चैंपियन कौन थे?</v>
      </c>
      <c r="H124" s="4" t="str">
        <f>IFERROR(__xludf.DUMMYFUNCTION("GOOGLETRANSLATE(C124, ""en"", ""hi"")"),"ए) अनातोली कार्पोव, बी) गैरी कास्परोव, सी) व्लादिमीर क्रैमनिक, डी) बॉबी फिशर")</f>
        <v>ए) अनातोली कार्पोव, बी) गैरी कास्परोव, सी) व्लादिमीर क्रैमनिक, डी) बॉबी फिशर</v>
      </c>
      <c r="I124" s="4" t="str">
        <f>IFERROR(__xludf.DUMMYFUNCTION("GOOGLETRANSLATE(D124, ""en"", ""hi"")"),"D) बॉबी फिशर")</f>
        <v>D) बॉबी फिशर</v>
      </c>
    </row>
    <row r="125" ht="22.5" customHeight="1">
      <c r="A125" s="3">
        <v>124.0</v>
      </c>
      <c r="B125" s="4" t="s">
        <v>1139</v>
      </c>
      <c r="C125" s="4" t="s">
        <v>1140</v>
      </c>
      <c r="D125" s="4" t="s">
        <v>985</v>
      </c>
      <c r="F125" s="4" t="str">
        <f>IFERROR(__xludf.DUMMYFUNCTION("GOOGLETRANSLATE(A125, ""en"", ""hi"")"),"124")</f>
        <v>124</v>
      </c>
      <c r="G125" s="4" t="str">
        <f>IFERROR(__xludf.DUMMYFUNCTION("GOOGLETRANSLATE(B125, ""en"", ""hi"")"),"कौन सा विश्व शतरंज चैंपियन क्वीन्स गैम्बिट एक्सेप्टेड के अपने अभिनव उपयोग के लिए जाना जाता था?")</f>
        <v>कौन सा विश्व शतरंज चैंपियन क्वीन्स गैम्बिट एक्सेप्टेड के अपने अभिनव उपयोग के लिए जाना जाता था?</v>
      </c>
      <c r="H125" s="4" t="str">
        <f>IFERROR(__xludf.DUMMYFUNCTION("GOOGLETRANSLATE(C125, ""en"", ""hi"")"),"ए) मिखाइल बोट्वनिक, बी) गैरी कास्परोव, सी) बॉबी फिशर, डी) तिगरान पेट्रोसियन")</f>
        <v>ए) मिखाइल बोट्वनिक, बी) गैरी कास्परोव, सी) बॉबी फिशर, डी) तिगरान पेट्रोसियन</v>
      </c>
      <c r="I125" s="4" t="str">
        <f>IFERROR(__xludf.DUMMYFUNCTION("GOOGLETRANSLATE(D125, ""en"", ""hi"")"),"A) मिखाइल बोट्विननिक")</f>
        <v>A) मिखाइल बोट्विननिक</v>
      </c>
    </row>
    <row r="126" ht="22.5" customHeight="1">
      <c r="A126" s="3">
        <v>125.0</v>
      </c>
      <c r="B126" s="4" t="s">
        <v>1141</v>
      </c>
      <c r="C126" s="4" t="s">
        <v>1136</v>
      </c>
      <c r="D126" s="4" t="s">
        <v>1142</v>
      </c>
      <c r="F126" s="4" t="str">
        <f>IFERROR(__xludf.DUMMYFUNCTION("GOOGLETRANSLATE(A126, ""en"", ""hi"")"),"125")</f>
        <v>125</v>
      </c>
      <c r="G126" s="4" t="str">
        <f>IFERROR(__xludf.DUMMYFUNCTION("GOOGLETRANSLATE(B126, ""en"", ""hi"")"),"वह पहला विश्व शतरंज चैंपियन कौन था जिसने अपना खिताब अपने से 10 वर्ष से अधिक कनिष्ठ खिलाड़ी से खो दिया?")</f>
        <v>वह पहला विश्व शतरंज चैंपियन कौन था जिसने अपना खिताब अपने से 10 वर्ष से अधिक कनिष्ठ खिलाड़ी से खो दिया?</v>
      </c>
      <c r="H126" s="4" t="str">
        <f>IFERROR(__xludf.DUMMYFUNCTION("GOOGLETRANSLATE(C126, ""en"", ""hi"")"),"A) विल्हेम स्टीनिट्ज़, B) इमानुएल लास्कर, C) अलेक्जेंडर अलेखिन, D) गैरी कास्पारोव")</f>
        <v>A) विल्हेम स्टीनिट्ज़, B) इमानुएल लास्कर, C) अलेक्जेंडर अलेखिन, D) गैरी कास्पारोव</v>
      </c>
      <c r="I126" s="4" t="str">
        <f>IFERROR(__xludf.DUMMYFUNCTION("GOOGLETRANSLATE(D126, ""en"", ""hi"")"),"बी) इमानुएल लास्कर")</f>
        <v>बी) इमानुएल लास्कर</v>
      </c>
    </row>
    <row r="127" ht="22.5" customHeight="1">
      <c r="A127" s="3">
        <v>126.0</v>
      </c>
      <c r="B127" s="4" t="s">
        <v>1143</v>
      </c>
      <c r="C127" s="4" t="s">
        <v>1104</v>
      </c>
      <c r="D127" s="4" t="s">
        <v>1144</v>
      </c>
      <c r="F127" s="4" t="str">
        <f>IFERROR(__xludf.DUMMYFUNCTION("GOOGLETRANSLATE(A127, ""en"", ""hi"")"),"126")</f>
        <v>126</v>
      </c>
      <c r="G127" s="4" t="str">
        <f>IFERROR(__xludf.DUMMYFUNCTION("GOOGLETRANSLATE(B127, ""en"", ""hi"")"),"कौन सा विश्व शतरंज चैंपियन रैपिड और ब्लिट्ज खेलों में टाईब्रेक द्वारा तय किए गए मैच के बाद खिताब जीतने वाला पहला व्यक्ति था?")</f>
        <v>कौन सा विश्व शतरंज चैंपियन रैपिड और ब्लिट्ज खेलों में टाईब्रेक द्वारा तय किए गए मैच के बाद खिताब जीतने वाला पहला व्यक्ति था?</v>
      </c>
      <c r="H127" s="4" t="str">
        <f>IFERROR(__xludf.DUMMYFUNCTION("GOOGLETRANSLATE(C127, ""en"", ""hi"")"),"ए) गैरी कास्पारोव, बी) विश्वनाथन आनंद, सी) व्लादिमीर क्रैमनिक, डी) मैग्नस कार्लसन")</f>
        <v>ए) गैरी कास्पारोव, बी) विश्वनाथन आनंद, सी) व्लादिमीर क्रैमनिक, डी) मैग्नस कार्लसन</v>
      </c>
      <c r="I127" s="4" t="str">
        <f>IFERROR(__xludf.DUMMYFUNCTION("GOOGLETRANSLATE(D127, ""en"", ""hi"")"),"D) मैग्नस कार्लसन")</f>
        <v>D) मैग्नस कार्लसन</v>
      </c>
    </row>
    <row r="128" ht="22.5" customHeight="1">
      <c r="A128" s="3">
        <v>127.0</v>
      </c>
      <c r="B128" s="4" t="s">
        <v>1145</v>
      </c>
      <c r="C128" s="4" t="s">
        <v>1146</v>
      </c>
      <c r="D128" s="4" t="s">
        <v>985</v>
      </c>
      <c r="F128" s="4" t="str">
        <f>IFERROR(__xludf.DUMMYFUNCTION("GOOGLETRANSLATE(A128, ""en"", ""hi"")"),"127")</f>
        <v>127</v>
      </c>
      <c r="G128" s="4" t="str">
        <f>IFERROR(__xludf.DUMMYFUNCTION("GOOGLETRANSLATE(B128, ""en"", ""hi"")"),"कौन सा विश्व शतरंज चैंपियन अपने पूर्व छात्र के साथ मैच के बाद खिताब जीतने वाला पहला व्यक्ति था?")</f>
        <v>कौन सा विश्व शतरंज चैंपियन अपने पूर्व छात्र के साथ मैच के बाद खिताब जीतने वाला पहला व्यक्ति था?</v>
      </c>
      <c r="H128" s="4" t="str">
        <f>IFERROR(__xludf.DUMMYFUNCTION("GOOGLETRANSLATE(C128, ""en"", ""hi"")"),"ए) मिखाइल बोट्वनिक, बी) अनातोली कारपोव, सी) गैरी कास्परोव, डी) जोस राउल कैपबेलैंका")</f>
        <v>ए) मिखाइल बोट्वनिक, बी) अनातोली कारपोव, सी) गैरी कास्परोव, डी) जोस राउल कैपबेलैंका</v>
      </c>
      <c r="I128" s="4" t="str">
        <f>IFERROR(__xludf.DUMMYFUNCTION("GOOGLETRANSLATE(D128, ""en"", ""hi"")"),"A) मिखाइल बोट्विननिक")</f>
        <v>A) मिखाइल बोट्विननिक</v>
      </c>
    </row>
    <row r="129" ht="22.5" customHeight="1">
      <c r="A129" s="3">
        <v>128.0</v>
      </c>
      <c r="B129" s="4" t="s">
        <v>1147</v>
      </c>
      <c r="C129" s="4" t="s">
        <v>1148</v>
      </c>
      <c r="D129" s="4" t="s">
        <v>1075</v>
      </c>
      <c r="F129" s="4" t="str">
        <f>IFERROR(__xludf.DUMMYFUNCTION("GOOGLETRANSLATE(A129, ""en"", ""hi"")"),"128")</f>
        <v>128</v>
      </c>
      <c r="G129" s="4" t="str">
        <f>IFERROR(__xludf.DUMMYFUNCTION("GOOGLETRANSLATE(B129, ""en"", ""hi"")"),"एशिया में आयोजित मैच के बाद खिताब जीतने वाला पहला विश्व शतरंज चैंपियन कौन था?")</f>
        <v>एशिया में आयोजित मैच के बाद खिताब जीतने वाला पहला विश्व शतरंज चैंपियन कौन था?</v>
      </c>
      <c r="H129" s="4" t="str">
        <f>IFERROR(__xludf.DUMMYFUNCTION("GOOGLETRANSLATE(C129, ""en"", ""hi"")"),"ए) गैरी कास्पारोव, बी) अनातोली कार्पोव, सी) विश्वनाथन आनंद, डी) व्लादिमीर क्रैमनिक")</f>
        <v>ए) गैरी कास्पारोव, बी) अनातोली कार्पोव, सी) विश्वनाथन आनंद, डी) व्लादिमीर क्रैमनिक</v>
      </c>
      <c r="I129" s="4" t="str">
        <f>IFERROR(__xludf.DUMMYFUNCTION("GOOGLETRANSLATE(D129, ""en"", ""hi"")"),"C) विश्वनाथन आनंद")</f>
        <v>C) विश्वनाथन आनंद</v>
      </c>
    </row>
    <row r="130" ht="22.5" customHeight="1">
      <c r="A130" s="3">
        <v>129.0</v>
      </c>
      <c r="B130" s="4" t="s">
        <v>1149</v>
      </c>
      <c r="C130" s="4" t="s">
        <v>1150</v>
      </c>
      <c r="D130" s="4" t="s">
        <v>1151</v>
      </c>
      <c r="F130" s="4" t="str">
        <f>IFERROR(__xludf.DUMMYFUNCTION("GOOGLETRANSLATE(A130, ""en"", ""hi"")"),"129")</f>
        <v>129</v>
      </c>
      <c r="G130" s="4" t="str">
        <f>IFERROR(__xludf.DUMMYFUNCTION("GOOGLETRANSLATE(B130, ""en"", ""hi"")"),"वह पहला विश्व शतरंज चैंपियन कौन था जिसने अपने पहले खिताब की रक्षा में एक चुनौतीकर्ता के हाथों अपना खिताब खो दिया?")</f>
        <v>वह पहला विश्व शतरंज चैंपियन कौन था जिसने अपने पहले खिताब की रक्षा में एक चुनौतीकर्ता के हाथों अपना खिताब खो दिया?</v>
      </c>
      <c r="H130" s="4" t="str">
        <f>IFERROR(__xludf.DUMMYFUNCTION("GOOGLETRANSLATE(C130, ""en"", ""hi"")"),"ए) जोस राउल कैपब्लांका, बी) मैक्स यूवे, सी) मिखाइल ताल, डी) अलेक्जेंडर अलेखिन")</f>
        <v>ए) जोस राउल कैपब्लांका, बी) मैक्स यूवे, सी) मिखाइल ताल, डी) अलेक्जेंडर अलेखिन</v>
      </c>
      <c r="I130" s="4" t="str">
        <f>IFERROR(__xludf.DUMMYFUNCTION("GOOGLETRANSLATE(D130, ""en"", ""hi"")"),"C) मिखाइल ताल")</f>
        <v>C) मिखाइल ताल</v>
      </c>
    </row>
    <row r="131" ht="22.5" customHeight="1">
      <c r="A131" s="3">
        <v>130.0</v>
      </c>
      <c r="B131" s="4" t="s">
        <v>1152</v>
      </c>
      <c r="C131" s="4" t="s">
        <v>1153</v>
      </c>
      <c r="D131" s="4" t="s">
        <v>1117</v>
      </c>
      <c r="F131" s="4" t="str">
        <f>IFERROR(__xludf.DUMMYFUNCTION("GOOGLETRANSLATE(A131, ""en"", ""hi"")"),"130")</f>
        <v>130</v>
      </c>
      <c r="G131" s="4" t="str">
        <f>IFERROR(__xludf.DUMMYFUNCTION("GOOGLETRANSLATE(B131, ""en"", ""hi"")"),"कौन सा विश्व शतरंज चैंपियन किसी टूर्नामेंट के बजाय कैंडिडेट्स मैच के बाद खिताब जीतने वाला पहला व्यक्ति था?")</f>
        <v>कौन सा विश्व शतरंज चैंपियन किसी टूर्नामेंट के बजाय कैंडिडेट्स मैच के बाद खिताब जीतने वाला पहला व्यक्ति था?</v>
      </c>
      <c r="H131" s="4" t="str">
        <f>IFERROR(__xludf.DUMMYFUNCTION("GOOGLETRANSLATE(C131, ""en"", ""hi"")"),"ए) मिखाइल बोट्वनिक, बी) गैरी कास्परोव, सी) अनातोली कारपोव, डी) जोस राउल कैपबेलैंका")</f>
        <v>ए) मिखाइल बोट्वनिक, बी) गैरी कास्परोव, सी) अनातोली कारपोव, डी) जोस राउल कैपबेलैंका</v>
      </c>
      <c r="I131" s="4" t="str">
        <f>IFERROR(__xludf.DUMMYFUNCTION("GOOGLETRANSLATE(D131, ""en"", ""hi"")"),"बी) गैरी कास्परोव")</f>
        <v>बी) गैरी कास्परोव</v>
      </c>
    </row>
    <row r="132" ht="22.5" customHeight="1">
      <c r="A132" s="3">
        <v>131.0</v>
      </c>
      <c r="B132" s="4" t="s">
        <v>1154</v>
      </c>
      <c r="C132" s="4" t="s">
        <v>1155</v>
      </c>
      <c r="D132" s="4" t="s">
        <v>977</v>
      </c>
      <c r="F132" s="4" t="str">
        <f>IFERROR(__xludf.DUMMYFUNCTION("GOOGLETRANSLATE(A132, ""en"", ""hi"")"),"131")</f>
        <v>131</v>
      </c>
      <c r="G132" s="4" t="str">
        <f>IFERROR(__xludf.DUMMYFUNCTION("GOOGLETRANSLATE(B132, ""en"", ""hi"")"),"कौन सा विश्व शतरंज चैंपियन किसी मौजूदा चैंपियन को ऐसे देश में आयोजित मैच में हराने वाला पहला व्यक्ति था, जहां दोनों में से किसी का भी जन्म नहीं हुआ था?")</f>
        <v>कौन सा विश्व शतरंज चैंपियन किसी मौजूदा चैंपियन को ऐसे देश में आयोजित मैच में हराने वाला पहला व्यक्ति था, जहां दोनों में से किसी का भी जन्म नहीं हुआ था?</v>
      </c>
      <c r="H132" s="4" t="str">
        <f>IFERROR(__xludf.DUMMYFUNCTION("GOOGLETRANSLATE(C132, ""en"", ""hi"")"),"ए) विल्हेम स्टीनित्ज़, बी) गैरी कास्परोव, सी) मिखाइल बोट्वनिक, डी) जोस राउल कैपबेलैंका")</f>
        <v>ए) विल्हेम स्टीनित्ज़, बी) गैरी कास्परोव, सी) मिखाइल बोट्वनिक, डी) जोस राउल कैपबेलैंका</v>
      </c>
      <c r="I132" s="4" t="str">
        <f>IFERROR(__xludf.DUMMYFUNCTION("GOOGLETRANSLATE(D132, ""en"", ""hi"")"),"C) मिखाइल बोट्विननिक")</f>
        <v>C) मिखाइल बोट्विननिक</v>
      </c>
    </row>
    <row r="133" ht="22.5" customHeight="1">
      <c r="A133" s="3">
        <v>132.0</v>
      </c>
      <c r="B133" s="4" t="s">
        <v>1156</v>
      </c>
      <c r="C133" s="4" t="s">
        <v>933</v>
      </c>
      <c r="D133" s="4" t="s">
        <v>934</v>
      </c>
      <c r="F133" s="4" t="str">
        <f>IFERROR(__xludf.DUMMYFUNCTION("GOOGLETRANSLATE(A133, ""en"", ""hi"")"),"132")</f>
        <v>132</v>
      </c>
      <c r="G133" s="4" t="str">
        <f>IFERROR(__xludf.DUMMYFUNCTION("GOOGLETRANSLATE(B133, ""en"", ""hi"")"),"ड्रॉ में समाप्त हुए मैच में अपना खिताब बरकरार रखने वाले पहले विश्व शतरंज चैंपियन कौन थे?")</f>
        <v>ड्रॉ में समाप्त हुए मैच में अपना खिताब बरकरार रखने वाले पहले विश्व शतरंज चैंपियन कौन थे?</v>
      </c>
      <c r="H133" s="4" t="str">
        <f>IFERROR(__xludf.DUMMYFUNCTION("GOOGLETRANSLATE(C133, ""en"", ""hi"")"),"ए) इमानुएल लास्कर, बी) मिखाइल बोट्वनिक, सी) अनातोली कारपोव, डी) गैरी कास्परोव")</f>
        <v>ए) इमानुएल लास्कर, बी) मिखाइल बोट्वनिक, सी) अनातोली कारपोव, डी) गैरी कास्परोव</v>
      </c>
      <c r="I133" s="4" t="str">
        <f>IFERROR(__xludf.DUMMYFUNCTION("GOOGLETRANSLATE(D133, ""en"", ""hi"")"),"B) मिखाइल बोट्विननिक")</f>
        <v>B) मिखाइल बोट्विननिक</v>
      </c>
    </row>
    <row r="134" ht="22.5" customHeight="1">
      <c r="A134" s="3">
        <v>133.0</v>
      </c>
      <c r="B134" s="4" t="s">
        <v>1157</v>
      </c>
      <c r="C134" s="4" t="s">
        <v>1158</v>
      </c>
      <c r="D134" s="4" t="s">
        <v>917</v>
      </c>
      <c r="F134" s="4" t="str">
        <f>IFERROR(__xludf.DUMMYFUNCTION("GOOGLETRANSLATE(A134, ""en"", ""hi"")"),"133")</f>
        <v>133</v>
      </c>
      <c r="G134" s="4" t="str">
        <f>IFERROR(__xludf.DUMMYFUNCTION("GOOGLETRANSLATE(B134, ""en"", ""hi"")"),"कौन सा विश्व शतरंज चैंपियन निम्जो-इंडियन डिफेंस को लोकप्रिय बनाने के लिए जाना जाता था?")</f>
        <v>कौन सा विश्व शतरंज चैंपियन निम्जो-इंडियन डिफेंस को लोकप्रिय बनाने के लिए जाना जाता था?</v>
      </c>
      <c r="H134" s="4" t="str">
        <f>IFERROR(__xludf.DUMMYFUNCTION("GOOGLETRANSLATE(C134, ""en"", ""hi"")"),"ए) गैरी कास्पारोव, बी) इमानुएल लास्कर, सी) जोस राउल कैपब्लांका, डी) मिखाइल बोट्वनिक")</f>
        <v>ए) गैरी कास्पारोव, बी) इमानुएल लास्कर, सी) जोस राउल कैपब्लांका, डी) मिखाइल बोट्वनिक</v>
      </c>
      <c r="I134" s="4" t="str">
        <f>IFERROR(__xludf.DUMMYFUNCTION("GOOGLETRANSLATE(D134, ""en"", ""hi"")"),"D) मिखाइल बोट्विननिक")</f>
        <v>D) मिखाइल बोट्विननिक</v>
      </c>
    </row>
    <row r="135" ht="22.5" customHeight="1">
      <c r="A135" s="3">
        <v>134.0</v>
      </c>
      <c r="B135" s="4" t="s">
        <v>1159</v>
      </c>
      <c r="C135" s="4" t="s">
        <v>1160</v>
      </c>
      <c r="D135" s="4" t="s">
        <v>1043</v>
      </c>
      <c r="F135" s="4" t="str">
        <f>IFERROR(__xludf.DUMMYFUNCTION("GOOGLETRANSLATE(A135, ""en"", ""hi"")"),"134")</f>
        <v>134</v>
      </c>
      <c r="G135" s="4" t="str">
        <f>IFERROR(__xludf.DUMMYFUNCTION("GOOGLETRANSLATE(B135, ""en"", ""hi"")"),"कौन सा विश्व शतरंज चैंपियन बिना किसी स्थगन के मैच जीतने वाला पहला खिलाड़ी था?")</f>
        <v>कौन सा विश्व शतरंज चैंपियन बिना किसी स्थगन के मैच जीतने वाला पहला खिलाड़ी था?</v>
      </c>
      <c r="H135" s="4" t="str">
        <f>IFERROR(__xludf.DUMMYFUNCTION("GOOGLETRANSLATE(C135, ""en"", ""hi"")"),"ए) गैरी कास्परोव, बी) मैग्नस कार्लसन, सी) विश्वनाथन आनंद, डी) व्लादिमीर क्रैमनिक")</f>
        <v>ए) गैरी कास्परोव, बी) मैग्नस कार्लसन, सी) विश्वनाथन आनंद, डी) व्लादिमीर क्रैमनिक</v>
      </c>
      <c r="I135" s="4" t="str">
        <f>IFERROR(__xludf.DUMMYFUNCTION("GOOGLETRANSLATE(D135, ""en"", ""hi"")"),"B) मैग्नस कार्लसन")</f>
        <v>B) मैग्नस कार्लसन</v>
      </c>
    </row>
    <row r="136" ht="22.5" customHeight="1">
      <c r="A136" s="3">
        <v>135.0</v>
      </c>
      <c r="B136" s="4" t="s">
        <v>1161</v>
      </c>
      <c r="C136" s="4" t="s">
        <v>1162</v>
      </c>
      <c r="D136" s="4" t="s">
        <v>1075</v>
      </c>
      <c r="F136" s="4" t="str">
        <f>IFERROR(__xludf.DUMMYFUNCTION("GOOGLETRANSLATE(A136, ""en"", ""hi"")"),"135")</f>
        <v>135</v>
      </c>
      <c r="G136" s="4" t="str">
        <f>IFERROR(__xludf.DUMMYFUNCTION("GOOGLETRANSLATE(B136, ""en"", ""hi"")"),"21वीं सदी में आयोजित मैच के बाद खिताब जीतने वाला पहला विश्व शतरंज चैंपियन कौन था?")</f>
        <v>21वीं सदी में आयोजित मैच के बाद खिताब जीतने वाला पहला विश्व शतरंज चैंपियन कौन था?</v>
      </c>
      <c r="H136" s="4" t="str">
        <f>IFERROR(__xludf.DUMMYFUNCTION("GOOGLETRANSLATE(C136, ""en"", ""hi"")"),"ए) गैरी कास्परोव, बी) व्लादिमीर क्रैमनिक, सी) विश्वनाथन आनंद, डी) मैग्नस कार्लसन")</f>
        <v>ए) गैरी कास्परोव, बी) व्लादिमीर क्रैमनिक, सी) विश्वनाथन आनंद, डी) मैग्नस कार्लसन</v>
      </c>
      <c r="I136" s="4" t="str">
        <f>IFERROR(__xludf.DUMMYFUNCTION("GOOGLETRANSLATE(D136, ""en"", ""hi"")"),"C) विश्वनाथन आनंद")</f>
        <v>C) विश्वनाथन आनंद</v>
      </c>
    </row>
    <row r="137" ht="22.5" customHeight="1">
      <c r="A137" s="3">
        <v>136.0</v>
      </c>
      <c r="B137" s="4" t="s">
        <v>1163</v>
      </c>
      <c r="C137" s="4" t="s">
        <v>1148</v>
      </c>
      <c r="D137" s="4" t="s">
        <v>1075</v>
      </c>
      <c r="F137" s="4" t="str">
        <f>IFERROR(__xludf.DUMMYFUNCTION("GOOGLETRANSLATE(A137, ""en"", ""hi"")"),"136")</f>
        <v>136</v>
      </c>
      <c r="G137" s="4" t="str">
        <f>IFERROR(__xludf.DUMMYFUNCTION("GOOGLETRANSLATE(B137, ""en"", ""hi"")"),"यूरोप के बाहर आयोजित मैच के बाद खिताब जीतने वाला पहला विश्व शतरंज चैंपियन कौन था?")</f>
        <v>यूरोप के बाहर आयोजित मैच के बाद खिताब जीतने वाला पहला विश्व शतरंज चैंपियन कौन था?</v>
      </c>
      <c r="H137" s="4" t="str">
        <f>IFERROR(__xludf.DUMMYFUNCTION("GOOGLETRANSLATE(C137, ""en"", ""hi"")"),"ए) गैरी कास्पारोव, बी) अनातोली कार्पोव, सी) विश्वनाथन आनंद, डी) व्लादिमीर क्रैमनिक")</f>
        <v>ए) गैरी कास्पारोव, बी) अनातोली कार्पोव, सी) विश्वनाथन आनंद, डी) व्लादिमीर क्रैमनिक</v>
      </c>
      <c r="I137" s="4" t="str">
        <f>IFERROR(__xludf.DUMMYFUNCTION("GOOGLETRANSLATE(D137, ""en"", ""hi"")"),"C) विश्वनाथन आनंद")</f>
        <v>C) विश्वनाथन आनंद</v>
      </c>
    </row>
    <row r="138" ht="22.5" customHeight="1">
      <c r="A138" s="3">
        <v>137.0</v>
      </c>
      <c r="B138" s="4" t="s">
        <v>1164</v>
      </c>
      <c r="C138" s="4" t="s">
        <v>1165</v>
      </c>
      <c r="D138" s="4" t="s">
        <v>985</v>
      </c>
      <c r="F138" s="4" t="str">
        <f>IFERROR(__xludf.DUMMYFUNCTION("GOOGLETRANSLATE(A138, ""en"", ""hi"")"),"137")</f>
        <v>137</v>
      </c>
      <c r="G138" s="4" t="str">
        <f>IFERROR(__xludf.DUMMYFUNCTION("GOOGLETRANSLATE(B138, ""en"", ""hi"")"),"रूस में आयोजित मैच के बाद खिताब जीतने वाले पहले विश्व शतरंज चैंपियन कौन थे?")</f>
        <v>रूस में आयोजित मैच के बाद खिताब जीतने वाले पहले विश्व शतरंज चैंपियन कौन थे?</v>
      </c>
      <c r="H138" s="4" t="str">
        <f>IFERROR(__xludf.DUMMYFUNCTION("GOOGLETRANSLATE(C138, ""en"", ""hi"")"),"ए) मिखाइल बोट्वनिक, बी) गैरी कास्पारोव, सी) व्लादिमीर क्रैमनिक, डी) अनातोली कारपोव")</f>
        <v>ए) मिखाइल बोट्वनिक, बी) गैरी कास्पारोव, सी) व्लादिमीर क्रैमनिक, डी) अनातोली कारपोव</v>
      </c>
      <c r="I138" s="4" t="str">
        <f>IFERROR(__xludf.DUMMYFUNCTION("GOOGLETRANSLATE(D138, ""en"", ""hi"")"),"A) मिखाइल बोट्विननिक")</f>
        <v>A) मिखाइल बोट्विननिक</v>
      </c>
    </row>
    <row r="139" ht="22.5" customHeight="1">
      <c r="A139" s="3">
        <v>138.0</v>
      </c>
      <c r="B139" s="4" t="s">
        <v>1166</v>
      </c>
      <c r="C139" s="4" t="s">
        <v>1153</v>
      </c>
      <c r="D139" s="4" t="s">
        <v>1095</v>
      </c>
      <c r="F139" s="4" t="str">
        <f>IFERROR(__xludf.DUMMYFUNCTION("GOOGLETRANSLATE(A139, ""en"", ""hi"")"),"138")</f>
        <v>138</v>
      </c>
      <c r="G139" s="4" t="str">
        <f>IFERROR(__xludf.DUMMYFUNCTION("GOOGLETRANSLATE(B139, ""en"", ""hi"")"),"कौन सा विश्व शतरंज चैंपियन निमज़ोवित्च डिफेंस में अपने योगदान के लिए जाना जाता था?")</f>
        <v>कौन सा विश्व शतरंज चैंपियन निमज़ोवित्च डिफेंस में अपने योगदान के लिए जाना जाता था?</v>
      </c>
      <c r="H139" s="4" t="str">
        <f>IFERROR(__xludf.DUMMYFUNCTION("GOOGLETRANSLATE(C139, ""en"", ""hi"")"),"ए) मिखाइल बोट्वनिक, बी) गैरी कास्परोव, सी) अनातोली कारपोव, डी) जोस राउल कैपबेलैंका")</f>
        <v>ए) मिखाइल बोट्वनिक, बी) गैरी कास्परोव, सी) अनातोली कारपोव, डी) जोस राउल कैपबेलैंका</v>
      </c>
      <c r="I139" s="4" t="str">
        <f>IFERROR(__xludf.DUMMYFUNCTION("GOOGLETRANSLATE(D139, ""en"", ""hi"")"),"C) अनातोली कार्पोव")</f>
        <v>C) अनातोली कार्पोव</v>
      </c>
    </row>
    <row r="140" ht="22.5" customHeight="1">
      <c r="A140" s="3">
        <v>139.0</v>
      </c>
      <c r="B140" s="4" t="s">
        <v>1167</v>
      </c>
      <c r="C140" s="4" t="s">
        <v>999</v>
      </c>
      <c r="D140" s="4" t="s">
        <v>1168</v>
      </c>
      <c r="F140" s="4" t="str">
        <f>IFERROR(__xludf.DUMMYFUNCTION("GOOGLETRANSLATE(A140, ""en"", ""hi"")"),"139")</f>
        <v>139</v>
      </c>
      <c r="G140" s="4" t="str">
        <f>IFERROR(__xludf.DUMMYFUNCTION("GOOGLETRANSLATE(B140, ""en"", ""hi"")"),"तटस्थ देश में आयोजित मैच के बाद खिताब जीतने वाले पहले विश्व शतरंज चैंपियन कौन थे?")</f>
        <v>तटस्थ देश में आयोजित मैच के बाद खिताब जीतने वाले पहले विश्व शतरंज चैंपियन कौन थे?</v>
      </c>
      <c r="H140" s="4" t="str">
        <f>IFERROR(__xludf.DUMMYFUNCTION("GOOGLETRANSLATE(C140, ""en"", ""hi"")"),"ए) गैरी कास्पारोव, बी) मिखाइल बोट्वनिक, सी) अनातोली कारपोव, डी) व्लादिमीर क्रैमनिक")</f>
        <v>ए) गैरी कास्पारोव, बी) मिखाइल बोट्वनिक, सी) अनातोली कारपोव, डी) व्लादिमीर क्रैमनिक</v>
      </c>
      <c r="I140" s="4" t="str">
        <f>IFERROR(__xludf.DUMMYFUNCTION("GOOGLETRANSLATE(D140, ""en"", ""hi"")"),"D) व्लादिमीर क्रैमनिक")</f>
        <v>D) व्लादिमीर क्रैमनिक</v>
      </c>
    </row>
    <row r="141" ht="22.5" customHeight="1">
      <c r="A141" s="3">
        <v>140.0</v>
      </c>
      <c r="B141" s="4" t="s">
        <v>1169</v>
      </c>
      <c r="C141" s="4" t="s">
        <v>1033</v>
      </c>
      <c r="D141" s="4" t="s">
        <v>1105</v>
      </c>
      <c r="F141" s="4" t="str">
        <f>IFERROR(__xludf.DUMMYFUNCTION("GOOGLETRANSLATE(A141, ""en"", ""hi"")"),"140")</f>
        <v>140</v>
      </c>
      <c r="G141" s="4" t="str">
        <f>IFERROR(__xludf.DUMMYFUNCTION("GOOGLETRANSLATE(B141, ""en"", ""hi"")"),"कौन सा विश्व शतरंज चैंपियन सोवियत संघ के अलावा किसी अन्य देश में आयोजित मैच के बाद खिताब जीतने वाला पहला व्यक्ति था?")</f>
        <v>कौन सा विश्व शतरंज चैंपियन सोवियत संघ के अलावा किसी अन्य देश में आयोजित मैच के बाद खिताब जीतने वाला पहला व्यक्ति था?</v>
      </c>
      <c r="H141" s="4" t="str">
        <f>IFERROR(__xludf.DUMMYFUNCTION("GOOGLETRANSLATE(C141, ""en"", ""hi"")"),"ए) गैरी कास्परोव, बी) अनातोली कार्पोव, सी) व्लादिमीर क्रैमनिक, डी) विश्वनाथन आनंद")</f>
        <v>ए) गैरी कास्परोव, बी) अनातोली कार्पोव, सी) व्लादिमीर क्रैमनिक, डी) विश्वनाथन आनंद</v>
      </c>
      <c r="I141" s="4" t="str">
        <f>IFERROR(__xludf.DUMMYFUNCTION("GOOGLETRANSLATE(D141, ""en"", ""hi"")"),"C) व्लादिमीर क्रैमनिक")</f>
        <v>C) व्लादिमीर क्रैमनिक</v>
      </c>
    </row>
    <row r="142" ht="22.5" customHeight="1">
      <c r="A142" s="3">
        <v>141.0</v>
      </c>
      <c r="B142" s="4" t="s">
        <v>1170</v>
      </c>
      <c r="C142" s="4" t="s">
        <v>1033</v>
      </c>
      <c r="D142" s="4" t="s">
        <v>1105</v>
      </c>
      <c r="F142" s="4" t="str">
        <f>IFERROR(__xludf.DUMMYFUNCTION("GOOGLETRANSLATE(A142, ""en"", ""hi"")"),"141")</f>
        <v>141</v>
      </c>
      <c r="G142" s="4" t="str">
        <f>IFERROR(__xludf.DUMMYFUNCTION("GOOGLETRANSLATE(B142, ""en"", ""hi"")"),"कौन सा विश्व शतरंज चैंपियन ऐसे देश में आयोजित मैच के बाद खिताब जीतने वाला पहला खिलाड़ी था, जहां कोई भी खिलाड़ी नागरिक नहीं था?")</f>
        <v>कौन सा विश्व शतरंज चैंपियन ऐसे देश में आयोजित मैच के बाद खिताब जीतने वाला पहला खिलाड़ी था, जहां कोई भी खिलाड़ी नागरिक नहीं था?</v>
      </c>
      <c r="H142" s="4" t="str">
        <f>IFERROR(__xludf.DUMMYFUNCTION("GOOGLETRANSLATE(C142, ""en"", ""hi"")"),"ए) गैरी कास्परोव, बी) अनातोली कार्पोव, सी) व्लादिमीर क्रैमनिक, डी) विश्वनाथन आनंद")</f>
        <v>ए) गैरी कास्परोव, बी) अनातोली कार्पोव, सी) व्लादिमीर क्रैमनिक, डी) विश्वनाथन आनंद</v>
      </c>
      <c r="I142" s="4" t="str">
        <f>IFERROR(__xludf.DUMMYFUNCTION("GOOGLETRANSLATE(D142, ""en"", ""hi"")"),"C) व्लादिमीर क्रैमनिक")</f>
        <v>C) व्लादिमीर क्रैमनिक</v>
      </c>
    </row>
    <row r="143" ht="22.5" customHeight="1">
      <c r="A143" s="3">
        <v>142.0</v>
      </c>
      <c r="B143" s="4" t="s">
        <v>1171</v>
      </c>
      <c r="C143" s="4" t="s">
        <v>1172</v>
      </c>
      <c r="D143" s="4" t="s">
        <v>972</v>
      </c>
      <c r="F143" s="4" t="str">
        <f>IFERROR(__xludf.DUMMYFUNCTION("GOOGLETRANSLATE(A143, ""en"", ""hi"")"),"142")</f>
        <v>142</v>
      </c>
      <c r="G143" s="4" t="str">
        <f>IFERROR(__xludf.DUMMYFUNCTION("GOOGLETRANSLATE(B143, ""en"", ""hi"")"),"अपने देश में आयोजित मैच में अपना खिताब हारने वाला पहला विश्व शतरंज चैंपियन कौन था?")</f>
        <v>अपने देश में आयोजित मैच में अपना खिताब हारने वाला पहला विश्व शतरंज चैंपियन कौन था?</v>
      </c>
      <c r="H143" s="4" t="str">
        <f>IFERROR(__xludf.DUMMYFUNCTION("GOOGLETRANSLATE(C143, ""en"", ""hi"")"),"ए) जोस राउल कैपब्लांका, बी) मैक्स यूवे, सी) मिखाइल बोट्वनिक, डी) गैरी कास्परोव")</f>
        <v>ए) जोस राउल कैपब्लांका, बी) मैक्स यूवे, सी) मिखाइल बोट्वनिक, डी) गैरी कास्परोव</v>
      </c>
      <c r="I143" s="4" t="str">
        <f>IFERROR(__xludf.DUMMYFUNCTION("GOOGLETRANSLATE(D143, ""en"", ""hi"")"),"बी) मैक्स यूवे")</f>
        <v>बी) मैक्स यूवे</v>
      </c>
    </row>
    <row r="144" ht="22.5" customHeight="1">
      <c r="A144" s="3">
        <v>143.0</v>
      </c>
      <c r="B144" s="4" t="s">
        <v>1173</v>
      </c>
      <c r="C144" s="4" t="s">
        <v>1174</v>
      </c>
      <c r="D144" s="4" t="s">
        <v>1110</v>
      </c>
      <c r="F144" s="4" t="str">
        <f>IFERROR(__xludf.DUMMYFUNCTION("GOOGLETRANSLATE(A144, ""en"", ""hi"")"),"143")</f>
        <v>143</v>
      </c>
      <c r="G144" s="4" t="str">
        <f>IFERROR(__xludf.DUMMYFUNCTION("GOOGLETRANSLATE(B144, ""en"", ""hi"")"),"संयुक्त राज्य अमेरिका में आयोजित मैच के बाद खिताब जीतने वाला पहला विश्व शतरंज चैंपियन कौन था?")</f>
        <v>संयुक्त राज्य अमेरिका में आयोजित मैच के बाद खिताब जीतने वाला पहला विश्व शतरंज चैंपियन कौन था?</v>
      </c>
      <c r="H144" s="4" t="str">
        <f>IFERROR(__xludf.DUMMYFUNCTION("GOOGLETRANSLATE(C144, ""en"", ""hi"")"),"ए) गैरी कास्पारोव, बी) जोस राउल कैपब्लांका, सी) मिखाइल बोट्वनिक, डी) अनातोली कारपोव")</f>
        <v>ए) गैरी कास्पारोव, बी) जोस राउल कैपब्लांका, सी) मिखाइल बोट्वनिक, डी) अनातोली कारपोव</v>
      </c>
      <c r="I144" s="4" t="str">
        <f>IFERROR(__xludf.DUMMYFUNCTION("GOOGLETRANSLATE(D144, ""en"", ""hi"")"),"B) जोस राउल कैपब्लैंका")</f>
        <v>B) जोस राउल कैपब्लैंका</v>
      </c>
    </row>
    <row r="145" ht="22.5" customHeight="1">
      <c r="A145" s="3">
        <v>144.0</v>
      </c>
      <c r="B145" s="4" t="s">
        <v>1175</v>
      </c>
      <c r="C145" s="4" t="s">
        <v>1176</v>
      </c>
      <c r="D145" s="4" t="s">
        <v>1105</v>
      </c>
      <c r="F145" s="4" t="str">
        <f>IFERROR(__xludf.DUMMYFUNCTION("GOOGLETRANSLATE(A145, ""en"", ""hi"")"),"144")</f>
        <v>144</v>
      </c>
      <c r="G145" s="4" t="str">
        <f>IFERROR(__xludf.DUMMYFUNCTION("GOOGLETRANSLATE(B145, ""en"", ""hi"")"),"कौन सा विश्व शतरंज चैंपियन उस देश में आयोजित मैच के बाद खिताब जीतने वाला पहला व्यक्ति था जहां उसका जन्म नहीं हुआ था?")</f>
        <v>कौन सा विश्व शतरंज चैंपियन उस देश में आयोजित मैच के बाद खिताब जीतने वाला पहला व्यक्ति था जहां उसका जन्म नहीं हुआ था?</v>
      </c>
      <c r="H145" s="4" t="str">
        <f>IFERROR(__xludf.DUMMYFUNCTION("GOOGLETRANSLATE(C145, ""en"", ""hi"")"),"ए) गैरी कास्परोव, बी) मिखाइल बोट्वनिक, सी) व्लादिमीर क्रैमनिक, डी) अनातोली कारपोव")</f>
        <v>ए) गैरी कास्परोव, बी) मिखाइल बोट्वनिक, सी) व्लादिमीर क्रैमनिक, डी) अनातोली कारपोव</v>
      </c>
      <c r="I145" s="4" t="str">
        <f>IFERROR(__xludf.DUMMYFUNCTION("GOOGLETRANSLATE(D145, ""en"", ""hi"")"),"C) व्लादिमीर क्रैमनिक")</f>
        <v>C) व्लादिमीर क्रैमनिक</v>
      </c>
    </row>
    <row r="146" ht="22.5" customHeight="1">
      <c r="A146" s="3">
        <v>145.0</v>
      </c>
      <c r="B146" s="4" t="s">
        <v>1177</v>
      </c>
      <c r="C146" s="4" t="s">
        <v>999</v>
      </c>
      <c r="D146" s="4" t="s">
        <v>1168</v>
      </c>
      <c r="F146" s="4" t="str">
        <f>IFERROR(__xludf.DUMMYFUNCTION("GOOGLETRANSLATE(A146, ""en"", ""hi"")"),"145")</f>
        <v>145</v>
      </c>
      <c r="G146" s="4" t="str">
        <f>IFERROR(__xludf.DUMMYFUNCTION("GOOGLETRANSLATE(B146, ""en"", ""hi"")"),"कौन सा विश्व शतरंज चैंपियन ऐसे शहर में आयोजित मैच के बाद खिताब जीतने वाला पहला खिलाड़ी था जहां दोनों में से किसी खिलाड़ी का जन्म नहीं हुआ था?")</f>
        <v>कौन सा विश्व शतरंज चैंपियन ऐसे शहर में आयोजित मैच के बाद खिताब जीतने वाला पहला खिलाड़ी था जहां दोनों में से किसी खिलाड़ी का जन्म नहीं हुआ था?</v>
      </c>
      <c r="H146" s="4" t="str">
        <f>IFERROR(__xludf.DUMMYFUNCTION("GOOGLETRANSLATE(C146, ""en"", ""hi"")"),"ए) गैरी कास्पारोव, बी) मिखाइल बोट्वनिक, सी) अनातोली कारपोव, डी) व्लादिमीर क्रैमनिक")</f>
        <v>ए) गैरी कास्पारोव, बी) मिखाइल बोट्वनिक, सी) अनातोली कारपोव, डी) व्लादिमीर क्रैमनिक</v>
      </c>
      <c r="I146" s="4" t="str">
        <f>IFERROR(__xludf.DUMMYFUNCTION("GOOGLETRANSLATE(D146, ""en"", ""hi"")"),"D) व्लादिमीर क्रैमनिक")</f>
        <v>D) व्लादिमीर क्रैमनिक</v>
      </c>
    </row>
    <row r="147" ht="22.5" customHeight="1">
      <c r="A147" s="3">
        <v>146.0</v>
      </c>
      <c r="B147" s="4" t="s">
        <v>1178</v>
      </c>
      <c r="C147" s="4" t="s">
        <v>1033</v>
      </c>
      <c r="D147" s="4" t="s">
        <v>943</v>
      </c>
      <c r="F147" s="4" t="str">
        <f>IFERROR(__xludf.DUMMYFUNCTION("GOOGLETRANSLATE(A147, ""en"", ""hi"")"),"146")</f>
        <v>146</v>
      </c>
      <c r="G147" s="4" t="str">
        <f>IFERROR(__xludf.DUMMYFUNCTION("GOOGLETRANSLATE(B147, ""en"", ""hi"")"),"कौन सा विश्व शतरंज चैंपियन उस शहर में मैच आयोजित करने के बाद खिताब जीतने वाला पहला खिलाड़ी था जहां दोनों खिलाड़ी पैदा हुए थे?")</f>
        <v>कौन सा विश्व शतरंज चैंपियन उस शहर में मैच आयोजित करने के बाद खिताब जीतने वाला पहला खिलाड़ी था जहां दोनों खिलाड़ी पैदा हुए थे?</v>
      </c>
      <c r="H147" s="4" t="str">
        <f>IFERROR(__xludf.DUMMYFUNCTION("GOOGLETRANSLATE(C147, ""en"", ""hi"")"),"ए) गैरी कास्परोव, बी) अनातोली कार्पोव, सी) व्लादिमीर क्रैमनिक, डी) विश्वनाथन आनंद")</f>
        <v>ए) गैरी कास्परोव, बी) अनातोली कार्पोव, सी) व्लादिमीर क्रैमनिक, डी) विश्वनाथन आनंद</v>
      </c>
      <c r="I147" s="4" t="str">
        <f>IFERROR(__xludf.DUMMYFUNCTION("GOOGLETRANSLATE(D147, ""en"", ""hi"")"),"A) गैरी कास्पारोव")</f>
        <v>A) गैरी कास्पारोव</v>
      </c>
    </row>
    <row r="148" ht="22.5" customHeight="1">
      <c r="A148" s="3">
        <v>147.0</v>
      </c>
      <c r="B148" s="4" t="s">
        <v>1179</v>
      </c>
      <c r="C148" s="4" t="s">
        <v>1033</v>
      </c>
      <c r="D148" s="4" t="s">
        <v>1034</v>
      </c>
      <c r="F148" s="4" t="str">
        <f>IFERROR(__xludf.DUMMYFUNCTION("GOOGLETRANSLATE(A148, ""en"", ""hi"")"),"147")</f>
        <v>147</v>
      </c>
      <c r="G148" s="4" t="str">
        <f>IFERROR(__xludf.DUMMYFUNCTION("GOOGLETRANSLATE(B148, ""en"", ""hi"")"),"कौन सा विश्व शतरंज चैंपियन उस शहर में आयोजित मैच के बाद खिताब जीतने वाला पहला खिलाड़ी था, जहां पहले किसी भी खिलाड़ी ने प्रतिस्पर्धा नहीं की थी?")</f>
        <v>कौन सा विश्व शतरंज चैंपियन उस शहर में आयोजित मैच के बाद खिताब जीतने वाला पहला खिलाड़ी था, जहां पहले किसी भी खिलाड़ी ने प्रतिस्पर्धा नहीं की थी?</v>
      </c>
      <c r="H148" s="4" t="str">
        <f>IFERROR(__xludf.DUMMYFUNCTION("GOOGLETRANSLATE(C148, ""en"", ""hi"")"),"ए) गैरी कास्परोव, बी) अनातोली कार्पोव, सी) व्लादिमीर क्रैमनिक, डी) विश्वनाथन आनंद")</f>
        <v>ए) गैरी कास्परोव, बी) अनातोली कार्पोव, सी) व्लादिमीर क्रैमनिक, डी) विश्वनाथन आनंद</v>
      </c>
      <c r="I148" s="4" t="str">
        <f>IFERROR(__xludf.DUMMYFUNCTION("GOOGLETRANSLATE(D148, ""en"", ""hi"")"),"D) विश्वनाथन आनंद")</f>
        <v>D) विश्वनाथन आनंद</v>
      </c>
    </row>
    <row r="149" ht="22.5" customHeight="1">
      <c r="A149" s="3">
        <v>148.0</v>
      </c>
      <c r="B149" s="4" t="s">
        <v>1180</v>
      </c>
      <c r="C149" s="4" t="s">
        <v>1033</v>
      </c>
      <c r="D149" s="4" t="s">
        <v>943</v>
      </c>
      <c r="F149" s="4" t="str">
        <f>IFERROR(__xludf.DUMMYFUNCTION("GOOGLETRANSLATE(A149, ""en"", ""hi"")"),"148")</f>
        <v>148</v>
      </c>
      <c r="G149" s="4" t="str">
        <f>IFERROR(__xludf.DUMMYFUNCTION("GOOGLETRANSLATE(B149, ""en"", ""hi"")"),"कौन सा विश्व शतरंज चैंपियन उस शहर में आयोजित मैच के बाद खिताब जीतने वाला पहला खिलाड़ी था जहां दोनों खिलाड़ी पहले प्रतिस्पर्धा कर चुके थे?")</f>
        <v>कौन सा विश्व शतरंज चैंपियन उस शहर में आयोजित मैच के बाद खिताब जीतने वाला पहला खिलाड़ी था जहां दोनों खिलाड़ी पहले प्रतिस्पर्धा कर चुके थे?</v>
      </c>
      <c r="H149" s="4" t="str">
        <f>IFERROR(__xludf.DUMMYFUNCTION("GOOGLETRANSLATE(C149, ""en"", ""hi"")"),"ए) गैरी कास्परोव, बी) अनातोली कार्पोव, सी) व्लादिमीर क्रैमनिक, डी) विश्वनाथन आनंद")</f>
        <v>ए) गैरी कास्परोव, बी) अनातोली कार्पोव, सी) व्लादिमीर क्रैमनिक, डी) विश्वनाथन आनंद</v>
      </c>
      <c r="I149" s="4" t="str">
        <f>IFERROR(__xludf.DUMMYFUNCTION("GOOGLETRANSLATE(D149, ""en"", ""hi"")"),"A) गैरी कास्पारोव")</f>
        <v>A) गैरी कास्पारोव</v>
      </c>
    </row>
    <row r="150" ht="22.5" customHeight="1">
      <c r="A150" s="3">
        <v>149.0</v>
      </c>
      <c r="B150" s="4" t="s">
        <v>1181</v>
      </c>
      <c r="C150" s="4" t="s">
        <v>1033</v>
      </c>
      <c r="D150" s="4" t="s">
        <v>1105</v>
      </c>
      <c r="F150" s="4" t="str">
        <f>IFERROR(__xludf.DUMMYFUNCTION("GOOGLETRANSLATE(A150, ""en"", ""hi"")"),"149")</f>
        <v>149</v>
      </c>
      <c r="G150" s="4" t="str">
        <f>IFERROR(__xludf.DUMMYFUNCTION("GOOGLETRANSLATE(B150, ""en"", ""hi"")"),"कौन सा विश्व शतरंज चैंपियन उस शहर में मैच आयोजित करने के बाद खिताब जीतने वाला पहला खिलाड़ी था, जहां कोई भी खिलाड़ी निवासी नहीं था?")</f>
        <v>कौन सा विश्व शतरंज चैंपियन उस शहर में मैच आयोजित करने के बाद खिताब जीतने वाला पहला खिलाड़ी था, जहां कोई भी खिलाड़ी निवासी नहीं था?</v>
      </c>
      <c r="H150" s="4" t="str">
        <f>IFERROR(__xludf.DUMMYFUNCTION("GOOGLETRANSLATE(C150, ""en"", ""hi"")"),"ए) गैरी कास्परोव, बी) अनातोली कार्पोव, सी) व्लादिमीर क्रैमनिक, डी) विश्वनाथन आनंद")</f>
        <v>ए) गैरी कास्परोव, बी) अनातोली कार्पोव, सी) व्लादिमीर क्रैमनिक, डी) विश्वनाथन आनंद</v>
      </c>
      <c r="I150" s="4" t="str">
        <f>IFERROR(__xludf.DUMMYFUNCTION("GOOGLETRANSLATE(D150, ""en"", ""hi"")"),"C) व्लादिमीर क्रैमनिक")</f>
        <v>C) व्लादिमीर क्रैमनिक</v>
      </c>
    </row>
    <row r="151" ht="22.5" customHeight="1">
      <c r="A151" s="3">
        <v>150.0</v>
      </c>
      <c r="B151" s="4" t="s">
        <v>1182</v>
      </c>
      <c r="C151" s="4" t="s">
        <v>1033</v>
      </c>
      <c r="D151" s="4" t="s">
        <v>943</v>
      </c>
      <c r="F151" s="4" t="str">
        <f>IFERROR(__xludf.DUMMYFUNCTION("GOOGLETRANSLATE(A151, ""en"", ""hi"")"),"150")</f>
        <v>150</v>
      </c>
      <c r="G151" s="4" t="str">
        <f>IFERROR(__xludf.DUMMYFUNCTION("GOOGLETRANSLATE(B151, ""en"", ""hi"")"),"वह पहला विश्व शतरंज चैंपियन कौन था जिसने उस शहर में मैच आयोजित करके खिताब जीता जहां दोनों खिलाड़ी निवासी थे?")</f>
        <v>वह पहला विश्व शतरंज चैंपियन कौन था जिसने उस शहर में मैच आयोजित करके खिताब जीता जहां दोनों खिलाड़ी निवासी थे?</v>
      </c>
      <c r="H151" s="4" t="str">
        <f>IFERROR(__xludf.DUMMYFUNCTION("GOOGLETRANSLATE(C151, ""en"", ""hi"")"),"ए) गैरी कास्परोव, बी) अनातोली कार्पोव, सी) व्लादिमीर क्रैमनिक, डी) विश्वनाथन आनंद")</f>
        <v>ए) गैरी कास्परोव, बी) अनातोली कार्पोव, सी) व्लादिमीर क्रैमनिक, डी) विश्वनाथन आनंद</v>
      </c>
      <c r="I151" s="4" t="str">
        <f>IFERROR(__xludf.DUMMYFUNCTION("GOOGLETRANSLATE(D151, ""en"", ""hi"")"),"A) गैरी कास्पारोव")</f>
        <v>A) गैरी कास्पारोव</v>
      </c>
    </row>
    <row r="152" ht="22.5" customHeight="1">
      <c r="A152" s="3">
        <v>151.0</v>
      </c>
      <c r="B152" s="4" t="s">
        <v>1170</v>
      </c>
      <c r="C152" s="4" t="s">
        <v>1033</v>
      </c>
      <c r="D152" s="4" t="s">
        <v>1105</v>
      </c>
      <c r="F152" s="4" t="str">
        <f>IFERROR(__xludf.DUMMYFUNCTION("GOOGLETRANSLATE(A152, ""en"", ""hi"")"),"151")</f>
        <v>151</v>
      </c>
      <c r="G152" s="4" t="str">
        <f>IFERROR(__xludf.DUMMYFUNCTION("GOOGLETRANSLATE(B152, ""en"", ""hi"")"),"कौन सा विश्व शतरंज चैंपियन ऐसे देश में आयोजित मैच के बाद खिताब जीतने वाला पहला खिलाड़ी था, जहां कोई भी खिलाड़ी नागरिक नहीं था?")</f>
        <v>कौन सा विश्व शतरंज चैंपियन ऐसे देश में आयोजित मैच के बाद खिताब जीतने वाला पहला खिलाड़ी था, जहां कोई भी खिलाड़ी नागरिक नहीं था?</v>
      </c>
      <c r="H152" s="4" t="str">
        <f>IFERROR(__xludf.DUMMYFUNCTION("GOOGLETRANSLATE(C152, ""en"", ""hi"")"),"ए) गैरी कास्परोव, बी) अनातोली कार्पोव, सी) व्लादिमीर क्रैमनिक, डी) विश्वनाथन आनंद")</f>
        <v>ए) गैरी कास्परोव, बी) अनातोली कार्पोव, सी) व्लादिमीर क्रैमनिक, डी) विश्वनाथन आनंद</v>
      </c>
      <c r="I152" s="4" t="str">
        <f>IFERROR(__xludf.DUMMYFUNCTION("GOOGLETRANSLATE(D152, ""en"", ""hi"")"),"C) व्लादिमीर क्रैमनिक")</f>
        <v>C) व्लादिमीर क्रैमनिक</v>
      </c>
    </row>
    <row r="153" ht="22.5" customHeight="1">
      <c r="A153" s="3">
        <v>152.0</v>
      </c>
      <c r="B153" s="4" t="s">
        <v>1183</v>
      </c>
      <c r="C153" s="4" t="s">
        <v>1184</v>
      </c>
      <c r="D153" s="4" t="s">
        <v>1185</v>
      </c>
      <c r="F153" s="4" t="str">
        <f>IFERROR(__xludf.DUMMYFUNCTION("GOOGLETRANSLATE(A153, ""en"", ""hi"")"),"152")</f>
        <v>152</v>
      </c>
      <c r="G153" s="4" t="str">
        <f>IFERROR(__xludf.DUMMYFUNCTION("GOOGLETRANSLATE(B153, ""en"", ""hi"")"),"शतरंज में अंतर्राष्ट्रीय मास्टर का खिताब हासिल करने वाली पहली महिला कौन थी?")</f>
        <v>शतरंज में अंतर्राष्ट्रीय मास्टर का खिताब हासिल करने वाली पहली महिला कौन थी?</v>
      </c>
      <c r="H153" s="4" t="str">
        <f>IFERROR(__xludf.DUMMYFUNCTION("GOOGLETRANSLATE(C153, ""en"", ""hi"")"),"ए) वेरा मेनचिक, बी) नोना गैप्रिंडाश्विली, सी) माइया चिबुरदानिद्ज़े, डी) जुडिट पोल्गर")</f>
        <v>ए) वेरा मेनचिक, बी) नोना गैप्रिंडाश्विली, सी) माइया चिबुरदानिद्ज़े, डी) जुडिट पोल्गर</v>
      </c>
      <c r="I153" s="4" t="str">
        <f>IFERROR(__xludf.DUMMYFUNCTION("GOOGLETRANSLATE(D153, ""en"", ""hi"")"),"बी) नोना गैप्रिंडाशविली")</f>
        <v>बी) नोना गैप्रिंडाशविली</v>
      </c>
    </row>
    <row r="154" ht="22.5" customHeight="1">
      <c r="A154" s="3">
        <v>153.0</v>
      </c>
      <c r="B154" s="4" t="s">
        <v>1186</v>
      </c>
      <c r="C154" s="4" t="s">
        <v>1187</v>
      </c>
      <c r="D154" s="4" t="s">
        <v>967</v>
      </c>
      <c r="F154" s="4" t="str">
        <f>IFERROR(__xludf.DUMMYFUNCTION("GOOGLETRANSLATE(A154, ""en"", ""hi"")"),"153")</f>
        <v>153</v>
      </c>
      <c r="G154" s="4" t="str">
        <f>IFERROR(__xludf.DUMMYFUNCTION("GOOGLETRANSLATE(B154, ""en"", ""hi"")"),"कौन सा शतरंज खिलाड़ी अंतिम खेल सिद्धांत में अपने योगदान के लिए जाना जाता था, विशेष रूप से प्यादों के अंत के क्षेत्र में?")</f>
        <v>कौन सा शतरंज खिलाड़ी अंतिम खेल सिद्धांत में अपने योगदान के लिए जाना जाता था, विशेष रूप से प्यादों के अंत के क्षेत्र में?</v>
      </c>
      <c r="H154" s="4" t="str">
        <f>IFERROR(__xludf.DUMMYFUNCTION("GOOGLETRANSLATE(C154, ""en"", ""hi"")"),"ए) जोस राउल कैपब्लांका, बी) इमानुएल लास्कर, सी) सिगबर्ट टैराश, डी) एरोन निमज़ोवित्च")</f>
        <v>ए) जोस राउल कैपब्लांका, बी) इमानुएल लास्कर, सी) सिगबर्ट टैराश, डी) एरोन निमज़ोवित्च</v>
      </c>
      <c r="I154" s="4" t="str">
        <f>IFERROR(__xludf.DUMMYFUNCTION("GOOGLETRANSLATE(D154, ""en"", ""hi"")"),"A) जोस राउल कैपब्लैंका")</f>
        <v>A) जोस राउल कैपब्लैंका</v>
      </c>
    </row>
    <row r="155" ht="22.5" customHeight="1">
      <c r="A155" s="3">
        <v>154.0</v>
      </c>
      <c r="B155" s="4" t="s">
        <v>1188</v>
      </c>
      <c r="C155" s="4" t="s">
        <v>1189</v>
      </c>
      <c r="D155" s="4" t="s">
        <v>1190</v>
      </c>
      <c r="F155" s="4" t="str">
        <f>IFERROR(__xludf.DUMMYFUNCTION("GOOGLETRANSLATE(A155, ""en"", ""hi"")"),"154")</f>
        <v>154</v>
      </c>
      <c r="G155" s="4" t="str">
        <f>IFERROR(__xludf.DUMMYFUNCTION("GOOGLETRANSLATE(B155, ""en"", ""hi"")"),"कौन सा सोवियत शतरंज ग्रैंडमास्टर 1976 में पश्चिम की ओर चला गया था?")</f>
        <v>कौन सा सोवियत शतरंज ग्रैंडमास्टर 1976 में पश्चिम की ओर चला गया था?</v>
      </c>
      <c r="H155" s="4" t="str">
        <f>IFERROR(__xludf.DUMMYFUNCTION("GOOGLETRANSLATE(C155, ""en"", ""hi"")"),"ए) विक्टर कोरचनोई, बी) बोरिस स्पैस्की, सी) अनातोली कारपोव, डी) लेव पोलुगाएव्स्की")</f>
        <v>ए) विक्टर कोरचनोई, बी) बोरिस स्पैस्की, सी) अनातोली कारपोव, डी) लेव पोलुगाएव्स्की</v>
      </c>
      <c r="I155" s="4" t="str">
        <f>IFERROR(__xludf.DUMMYFUNCTION("GOOGLETRANSLATE(D155, ""en"", ""hi"")"),"A) विक्टर कोर्चनोई")</f>
        <v>A) विक्टर कोर्चनोई</v>
      </c>
    </row>
    <row r="156" ht="22.5" customHeight="1">
      <c r="A156" s="3">
        <v>155.0</v>
      </c>
      <c r="B156" s="4" t="s">
        <v>1191</v>
      </c>
      <c r="C156" s="4" t="s">
        <v>1184</v>
      </c>
      <c r="D156" s="4" t="s">
        <v>1192</v>
      </c>
      <c r="F156" s="4" t="str">
        <f>IFERROR(__xludf.DUMMYFUNCTION("GOOGLETRANSLATE(A156, ""en"", ""hi"")"),"155")</f>
        <v>155</v>
      </c>
      <c r="G156" s="4" t="str">
        <f>IFERROR(__xludf.DUMMYFUNCTION("GOOGLETRANSLATE(B156, ""en"", ""hi"")"),"पहली आधिकारिक महिला विश्व शतरंज चैंपियन कौन थी?")</f>
        <v>पहली आधिकारिक महिला विश्व शतरंज चैंपियन कौन थी?</v>
      </c>
      <c r="H156" s="4" t="str">
        <f>IFERROR(__xludf.DUMMYFUNCTION("GOOGLETRANSLATE(C156, ""en"", ""hi"")"),"ए) वेरा मेनचिक, बी) नोना गैप्रिंडाश्विली, सी) माइया चिबुरदानिद्ज़े, डी) जुडिट पोल्गर")</f>
        <v>ए) वेरा मेनचिक, बी) नोना गैप्रिंडाश्विली, सी) माइया चिबुरदानिद्ज़े, डी) जुडिट पोल्गर</v>
      </c>
      <c r="I156" s="4" t="str">
        <f>IFERROR(__xludf.DUMMYFUNCTION("GOOGLETRANSLATE(D156, ""en"", ""hi"")"),"A) वेरा मेनचिक")</f>
        <v>A) वेरा मेनचिक</v>
      </c>
    </row>
    <row r="157" ht="22.5" customHeight="1">
      <c r="A157" s="3">
        <v>156.0</v>
      </c>
      <c r="B157" s="4" t="s">
        <v>1193</v>
      </c>
      <c r="C157" s="4" t="s">
        <v>1194</v>
      </c>
      <c r="D157" s="4" t="s">
        <v>1072</v>
      </c>
      <c r="F157" s="4" t="str">
        <f>IFERROR(__xludf.DUMMYFUNCTION("GOOGLETRANSLATE(A157, ""en"", ""hi"")"),"156")</f>
        <v>156</v>
      </c>
      <c r="G157" s="4" t="str">
        <f>IFERROR(__xludf.DUMMYFUNCTION("GOOGLETRANSLATE(B157, ""en"", ""hi"")"),"विश्व शतरंज चैंपियनशिप मैच में गैरी कास्पारोव को हराने वाला पहला खिलाड़ी कौन था?")</f>
        <v>विश्व शतरंज चैंपियनशिप मैच में गैरी कास्पारोव को हराने वाला पहला खिलाड़ी कौन था?</v>
      </c>
      <c r="H157" s="4" t="str">
        <f>IFERROR(__xludf.DUMMYFUNCTION("GOOGLETRANSLATE(C157, ""en"", ""hi"")"),"ए) अनातोली कार्पोव, बी) व्लादिमीर क्रैमनिक, सी) विश्वनाथन आनंद, डी) निगेल शॉर्ट")</f>
        <v>ए) अनातोली कार्पोव, बी) व्लादिमीर क्रैमनिक, सी) विश्वनाथन आनंद, डी) निगेल शॉर्ट</v>
      </c>
      <c r="I157" s="4" t="str">
        <f>IFERROR(__xludf.DUMMYFUNCTION("GOOGLETRANSLATE(D157, ""en"", ""hi"")"),"बी) व्लादिमीर क्रैमनिक")</f>
        <v>बी) व्लादिमीर क्रैमनिक</v>
      </c>
    </row>
    <row r="158" ht="22.5" customHeight="1">
      <c r="A158" s="3">
        <v>157.0</v>
      </c>
      <c r="B158" s="4" t="s">
        <v>1195</v>
      </c>
      <c r="C158" s="4" t="s">
        <v>1196</v>
      </c>
      <c r="D158" s="4" t="s">
        <v>914</v>
      </c>
      <c r="F158" s="4" t="str">
        <f>IFERROR(__xludf.DUMMYFUNCTION("GOOGLETRANSLATE(A158, ""en"", ""hi"")"),"157")</f>
        <v>157</v>
      </c>
      <c r="G158" s="4" t="str">
        <f>IFERROR(__xludf.DUMMYFUNCTION("GOOGLETRANSLATE(B158, ""en"", ""hi"")"),"किस विश्व शतरंज चैंपियन ने उच्च स्तरीय प्रतियोगिता में किंग्स इंडियन डिफेंस को शामिल किया?")</f>
        <v>किस विश्व शतरंज चैंपियन ने उच्च स्तरीय प्रतियोगिता में किंग्स इंडियन डिफेंस को शामिल किया?</v>
      </c>
      <c r="H158" s="4" t="str">
        <f>IFERROR(__xludf.DUMMYFUNCTION("GOOGLETRANSLATE(C158, ""en"", ""hi"")"),"ए) गैरी कास्पारोव, बी) तिगरान पेट्रोसियन, सी) बॉबी फिशर, डी) मिखाइल ताल")</f>
        <v>ए) गैरी कास्पारोव, बी) तिगरान पेट्रोसियन, सी) बॉबी फिशर, डी) मिखाइल ताल</v>
      </c>
      <c r="I158" s="4" t="str">
        <f>IFERROR(__xludf.DUMMYFUNCTION("GOOGLETRANSLATE(D158, ""en"", ""hi"")"),"C) बॉबी फिशर")</f>
        <v>C) बॉबी फिशर</v>
      </c>
    </row>
    <row r="159" ht="22.5" customHeight="1">
      <c r="A159" s="3">
        <v>158.0</v>
      </c>
      <c r="B159" s="4" t="s">
        <v>1197</v>
      </c>
      <c r="C159" s="4" t="s">
        <v>1198</v>
      </c>
      <c r="D159" s="4" t="s">
        <v>1199</v>
      </c>
      <c r="F159" s="4" t="str">
        <f>IFERROR(__xludf.DUMMYFUNCTION("GOOGLETRANSLATE(A159, ""en"", ""hi"")"),"158")</f>
        <v>158</v>
      </c>
      <c r="G159" s="4" t="str">
        <f>IFERROR(__xludf.DUMMYFUNCTION("GOOGLETRANSLATE(B159, ""en"", ""hi"")"),"विश्व जूनियर शतरंज चैंपियनशिप जीतने वाला पहला खिलाड़ी कौन था?")</f>
        <v>विश्व जूनियर शतरंज चैंपियनशिप जीतने वाला पहला खिलाड़ी कौन था?</v>
      </c>
      <c r="H159" s="4" t="str">
        <f>IFERROR(__xludf.DUMMYFUNCTION("GOOGLETRANSLATE(C159, ""en"", ""hi"")"),"ए) बोरिस स्पैस्की, बी) गैरी कास्पारोव, सी) अनातोली कारपोव, डी) बॉबी फिशर")</f>
        <v>ए) बोरिस स्पैस्की, बी) गैरी कास्पारोव, सी) अनातोली कारपोव, डी) बॉबी फिशर</v>
      </c>
      <c r="I159" s="4" t="str">
        <f>IFERROR(__xludf.DUMMYFUNCTION("GOOGLETRANSLATE(D159, ""en"", ""hi"")"),"A) बोरिस स्पैस्की")</f>
        <v>A) बोरिस स्पैस्की</v>
      </c>
    </row>
    <row r="160" ht="22.5" customHeight="1">
      <c r="A160" s="3">
        <v>159.0</v>
      </c>
      <c r="B160" s="4" t="s">
        <v>1200</v>
      </c>
      <c r="C160" s="4" t="s">
        <v>1201</v>
      </c>
      <c r="D160" s="4" t="s">
        <v>1151</v>
      </c>
      <c r="F160" s="4" t="str">
        <f>IFERROR(__xludf.DUMMYFUNCTION("GOOGLETRANSLATE(A160, ""en"", ""hi"")"),"159")</f>
        <v>159</v>
      </c>
      <c r="G160" s="4" t="str">
        <f>IFERROR(__xludf.DUMMYFUNCTION("GOOGLETRANSLATE(B160, ""en"", ""hi"")"),"किस शतरंज ग्रैंडमास्टर को 'रीगा का जादूगर' के नाम से जाना जाता था?")</f>
        <v>किस शतरंज ग्रैंडमास्टर को 'रीगा का जादूगर' के नाम से जाना जाता था?</v>
      </c>
      <c r="H160" s="4" t="str">
        <f>IFERROR(__xludf.DUMMYFUNCTION("GOOGLETRANSLATE(C160, ""en"", ""hi"")"),"ए) मिखाइल बोट्वनिक, बी) तिगरान पेट्रोसियन, सी) मिखाइल ताल, डी) विक्टर कोरचनोई")</f>
        <v>ए) मिखाइल बोट्वनिक, बी) तिगरान पेट्रोसियन, सी) मिखाइल ताल, डी) विक्टर कोरचनोई</v>
      </c>
      <c r="I160" s="4" t="str">
        <f>IFERROR(__xludf.DUMMYFUNCTION("GOOGLETRANSLATE(D160, ""en"", ""hi"")"),"C) मिखाइल ताल")</f>
        <v>C) मिखाइल ताल</v>
      </c>
    </row>
    <row r="161" ht="22.5" customHeight="1">
      <c r="A161" s="3">
        <v>160.0</v>
      </c>
      <c r="B161" s="4" t="s">
        <v>1202</v>
      </c>
      <c r="C161" s="4" t="s">
        <v>1203</v>
      </c>
      <c r="D161" s="4" t="s">
        <v>914</v>
      </c>
      <c r="F161" s="4" t="str">
        <f>IFERROR(__xludf.DUMMYFUNCTION("GOOGLETRANSLATE(A161, ""en"", ""hi"")"),"160")</f>
        <v>160</v>
      </c>
      <c r="G161" s="4" t="str">
        <f>IFERROR(__xludf.DUMMYFUNCTION("GOOGLETRANSLATE(B161, ""en"", ""hi"")"),"शतरंज टूर्नामेंट में सभी जीत और बिना किसी ड्रॉ या हार के पूर्ण स्कोर प्राप्त करने वाला पहला खिलाड़ी कौन था?")</f>
        <v>शतरंज टूर्नामेंट में सभी जीत और बिना किसी ड्रॉ या हार के पूर्ण स्कोर प्राप्त करने वाला पहला खिलाड़ी कौन था?</v>
      </c>
      <c r="H161" s="4" t="str">
        <f>IFERROR(__xludf.DUMMYFUNCTION("GOOGLETRANSLATE(C161, ""en"", ""hi"")"),"ए) जोस राउल कैपब्लांका, बी) गैरी कास्पारोव, सी) बॉबी फिशर, डी) अलेक्जेंडर अलेखिन")</f>
        <v>ए) जोस राउल कैपब्लांका, बी) गैरी कास्पारोव, सी) बॉबी फिशर, डी) अलेक्जेंडर अलेखिन</v>
      </c>
      <c r="I161" s="4" t="str">
        <f>IFERROR(__xludf.DUMMYFUNCTION("GOOGLETRANSLATE(D161, ""en"", ""hi"")"),"C) बॉबी फिशर")</f>
        <v>C) बॉबी फिशर</v>
      </c>
    </row>
    <row r="162" ht="22.5" customHeight="1">
      <c r="A162" s="3">
        <v>161.0</v>
      </c>
      <c r="B162" s="4" t="s">
        <v>1204</v>
      </c>
      <c r="C162" s="4" t="s">
        <v>1136</v>
      </c>
      <c r="D162" s="4" t="s">
        <v>962</v>
      </c>
      <c r="F162" s="4" t="str">
        <f>IFERROR(__xludf.DUMMYFUNCTION("GOOGLETRANSLATE(A162, ""en"", ""hi"")"),"161")</f>
        <v>161</v>
      </c>
      <c r="G162" s="4" t="str">
        <f>IFERROR(__xludf.DUMMYFUNCTION("GOOGLETRANSLATE(B162, ""en"", ""hi"")"),"कौन सा विश्व शतरंज चैंपियन यूरोप के बाहर आयोजित मैच में अपना खिताब बचाने वाला पहला व्यक्ति था?")</f>
        <v>कौन सा विश्व शतरंज चैंपियन यूरोप के बाहर आयोजित मैच में अपना खिताब बचाने वाला पहला व्यक्ति था?</v>
      </c>
      <c r="H162" s="4" t="str">
        <f>IFERROR(__xludf.DUMMYFUNCTION("GOOGLETRANSLATE(C162, ""en"", ""hi"")"),"A) विल्हेम स्टीनिट्ज़, B) इमानुएल लास्कर, C) अलेक्जेंडर अलेखिन, D) गैरी कास्पारोव")</f>
        <v>A) विल्हेम स्टीनिट्ज़, B) इमानुएल लास्कर, C) अलेक्जेंडर अलेखिन, D) गैरी कास्पारोव</v>
      </c>
      <c r="I162" s="4" t="str">
        <f>IFERROR(__xludf.DUMMYFUNCTION("GOOGLETRANSLATE(D162, ""en"", ""hi"")"),"A) विल्हेम स्टाइनिट्ज़")</f>
        <v>A) विल्हेम स्टाइनिट्ज़</v>
      </c>
    </row>
    <row r="163" ht="22.5" customHeight="1">
      <c r="A163" s="3">
        <v>162.0</v>
      </c>
      <c r="B163" s="4" t="s">
        <v>1205</v>
      </c>
      <c r="C163" s="4" t="s">
        <v>1206</v>
      </c>
      <c r="D163" s="4" t="s">
        <v>1207</v>
      </c>
      <c r="F163" s="4" t="str">
        <f>IFERROR(__xludf.DUMMYFUNCTION("GOOGLETRANSLATE(A163, ""en"", ""hi"")"),"162")</f>
        <v>162</v>
      </c>
      <c r="G163" s="4" t="str">
        <f>IFERROR(__xludf.DUMMYFUNCTION("GOOGLETRANSLATE(B163, ""en"", ""hi"")"),"किस शतरंज ओपनिंग का नाम 19वीं सदी के जर्मन ग्रैंडमास्टर के नाम पर रखा गया है जो एक प्रमुख सिद्धांतकार और लेखक भी थे?")</f>
        <v>किस शतरंज ओपनिंग का नाम 19वीं सदी के जर्मन ग्रैंडमास्टर के नाम पर रखा गया है जो एक प्रमुख सिद्धांतकार और लेखक भी थे?</v>
      </c>
      <c r="H163" s="4" t="str">
        <f>IFERROR(__xludf.DUMMYFUNCTION("GOOGLETRANSLATE(C163, ""en"", ""hi"")"),"ए) निम्ज़ो-इंडियन डिफेंस, बी) रुय लोपेज, सी) फिलिडोर डिफेंस, डी) टार्श डिफेंस")</f>
        <v>ए) निम्ज़ो-इंडियन डिफेंस, बी) रुय लोपेज, सी) फिलिडोर डिफेंस, डी) टार्श डिफेंस</v>
      </c>
      <c r="I163" s="4" t="str">
        <f>IFERROR(__xludf.DUMMYFUNCTION("GOOGLETRANSLATE(D163, ""en"", ""hi"")"),"D) टारराश डिफेंस")</f>
        <v>D) टारराश डिफेंस</v>
      </c>
    </row>
    <row r="164" ht="22.5" customHeight="1">
      <c r="A164" s="3">
        <v>163.0</v>
      </c>
      <c r="B164" s="4" t="s">
        <v>1208</v>
      </c>
      <c r="C164" s="4" t="s">
        <v>1209</v>
      </c>
      <c r="D164" s="4" t="s">
        <v>893</v>
      </c>
      <c r="F164" s="4" t="str">
        <f>IFERROR(__xludf.DUMMYFUNCTION("GOOGLETRANSLATE(A164, ""en"", ""hi"")"),"163")</f>
        <v>163</v>
      </c>
      <c r="G164" s="4" t="str">
        <f>IFERROR(__xludf.DUMMYFUNCTION("GOOGLETRANSLATE(B164, ""en"", ""hi"")"),"कौन सा खिलाड़ी 1958 में इतिहास का सबसे युवा ग्रैंडमास्टर बना, एक रिकॉर्ड जिसे बाद में दूसरों ने तोड़ दिया?")</f>
        <v>कौन सा खिलाड़ी 1958 में इतिहास का सबसे युवा ग्रैंडमास्टर बना, एक रिकॉर्ड जिसे बाद में दूसरों ने तोड़ दिया?</v>
      </c>
      <c r="H164" s="4" t="str">
        <f>IFERROR(__xludf.DUMMYFUNCTION("GOOGLETRANSLATE(C164, ""en"", ""hi"")"),"ए) अनातोली कार्पोव, बी) बॉबी फिशर, सी) गैरी कास्परोव, डी) मैग्नस कार्लसन")</f>
        <v>ए) अनातोली कार्पोव, बी) बॉबी फिशर, सी) गैरी कास्परोव, डी) मैग्नस कार्लसन</v>
      </c>
      <c r="I164" s="4" t="str">
        <f>IFERROR(__xludf.DUMMYFUNCTION("GOOGLETRANSLATE(D164, ""en"", ""hi"")"),"बी) बॉबी फिशर")</f>
        <v>बी) बॉबी फिशर</v>
      </c>
    </row>
    <row r="165" ht="22.5" customHeight="1">
      <c r="A165" s="3">
        <v>164.0</v>
      </c>
      <c r="B165" s="4" t="s">
        <v>1210</v>
      </c>
      <c r="C165" s="4" t="s">
        <v>1211</v>
      </c>
      <c r="D165" s="4" t="s">
        <v>1212</v>
      </c>
      <c r="F165" s="4" t="str">
        <f>IFERROR(__xludf.DUMMYFUNCTION("GOOGLETRANSLATE(A165, ""en"", ""hi"")"),"164")</f>
        <v>164</v>
      </c>
      <c r="G165" s="4" t="str">
        <f>IFERROR(__xludf.DUMMYFUNCTION("GOOGLETRANSLATE(B165, ""en"", ""hi"")"),"किस शतरंज प्रतियोगिता में पहली बार विश्व शतरंज चैम्पियनशिप मैच का सीधा प्रसारण किया गया?")</f>
        <v>किस शतरंज प्रतियोगिता में पहली बार विश्व शतरंज चैम्पियनशिप मैच का सीधा प्रसारण किया गया?</v>
      </c>
      <c r="H165" s="4" t="str">
        <f>IFERROR(__xludf.DUMMYFUNCTION("GOOGLETRANSLATE(C165, ""en"", ""hi"")"),"ए) 1972 फिशर-स्पैस्की, बी) 1984 कार्पोव-कास्पारोव, सी) 1993 कास्पारोव-शॉर्ट, डी) 2000 क्रैमनिक-कास्पारोव")</f>
        <v>ए) 1972 फिशर-स्पैस्की, बी) 1984 कार्पोव-कास्पारोव, सी) 1993 कास्पारोव-शॉर्ट, डी) 2000 क्रैमनिक-कास्पारोव</v>
      </c>
      <c r="I165" s="4" t="str">
        <f>IFERROR(__xludf.DUMMYFUNCTION("GOOGLETRANSLATE(D165, ""en"", ""hi"")"),"ए) 1972 फिशर-स्पैस्की")</f>
        <v>ए) 1972 फिशर-स्पैस्की</v>
      </c>
    </row>
    <row r="166" ht="22.5" customHeight="1">
      <c r="A166" s="3">
        <v>165.0</v>
      </c>
      <c r="B166" s="4" t="s">
        <v>1213</v>
      </c>
      <c r="C166" s="4" t="s">
        <v>1214</v>
      </c>
      <c r="D166" s="4" t="s">
        <v>893</v>
      </c>
      <c r="F166" s="4" t="str">
        <f>IFERROR(__xludf.DUMMYFUNCTION("GOOGLETRANSLATE(A166, ""en"", ""hi"")"),"165")</f>
        <v>165</v>
      </c>
      <c r="G166" s="4" t="str">
        <f>IFERROR(__xludf.DUMMYFUNCTION("GOOGLETRANSLATE(B166, ""en"", ""hi"")"),"कौन सा विश्व शतरंज चैंपियन पहला व्यक्ति था जिसके खेल की शैली को कम्प्यूटर में प्रोग्राम किया गया था?")</f>
        <v>कौन सा विश्व शतरंज चैंपियन पहला व्यक्ति था जिसके खेल की शैली को कम्प्यूटर में प्रोग्राम किया गया था?</v>
      </c>
      <c r="H166" s="4" t="str">
        <f>IFERROR(__xludf.DUMMYFUNCTION("GOOGLETRANSLATE(C166, ""en"", ""hi"")"),"ए) गैरी कास्पारोव, बी) बॉबी फिशर, सी) अनातोली कारपोव, डी) व्लादिमीर क्रैमनिक")</f>
        <v>ए) गैरी कास्पारोव, बी) बॉबी फिशर, सी) अनातोली कारपोव, डी) व्लादिमीर क्रैमनिक</v>
      </c>
      <c r="I166" s="4" t="str">
        <f>IFERROR(__xludf.DUMMYFUNCTION("GOOGLETRANSLATE(D166, ""en"", ""hi"")"),"बी) बॉबी फिशर")</f>
        <v>बी) बॉबी फिशर</v>
      </c>
    </row>
    <row r="167" ht="22.5" customHeight="1">
      <c r="A167" s="3">
        <v>166.0</v>
      </c>
      <c r="B167" s="4" t="s">
        <v>1215</v>
      </c>
      <c r="C167" s="4" t="s">
        <v>1216</v>
      </c>
      <c r="D167" s="4" t="s">
        <v>943</v>
      </c>
      <c r="F167" s="4" t="str">
        <f>IFERROR(__xludf.DUMMYFUNCTION("GOOGLETRANSLATE(A167, ""en"", ""hi"")"),"166")</f>
        <v>166</v>
      </c>
      <c r="G167" s="4" t="str">
        <f>IFERROR(__xludf.DUMMYFUNCTION("GOOGLETRANSLATE(B167, ""en"", ""hi"")"),"2800 से अधिक FIDE रेटिंग प्राप्त करने वाला पहला शतरंज खिलाड़ी कौन था?")</f>
        <v>2800 से अधिक FIDE रेटिंग प्राप्त करने वाला पहला शतरंज खिलाड़ी कौन था?</v>
      </c>
      <c r="H167" s="4" t="str">
        <f>IFERROR(__xludf.DUMMYFUNCTION("GOOGLETRANSLATE(C167, ""en"", ""hi"")"),"ए) गैरी कास्पारोव, बी) बॉबी फिशर, सी) अनातोली कार्पोव, डी) मैग्नस कार्लसन")</f>
        <v>ए) गैरी कास्पारोव, बी) बॉबी फिशर, सी) अनातोली कार्पोव, डी) मैग्नस कार्लसन</v>
      </c>
      <c r="I167" s="4" t="str">
        <f>IFERROR(__xludf.DUMMYFUNCTION("GOOGLETRANSLATE(D167, ""en"", ""hi"")"),"A) गैरी कास्पारोव")</f>
        <v>A) गैरी कास्पारोव</v>
      </c>
    </row>
    <row r="168" ht="22.5" customHeight="1">
      <c r="A168" s="3">
        <v>167.0</v>
      </c>
      <c r="B168" s="4" t="s">
        <v>1217</v>
      </c>
      <c r="C168" s="4" t="s">
        <v>1218</v>
      </c>
      <c r="D168" s="4" t="s">
        <v>1219</v>
      </c>
      <c r="F168" s="4" t="str">
        <f>IFERROR(__xludf.DUMMYFUNCTION("GOOGLETRANSLATE(A168, ""en"", ""hi"")"),"167")</f>
        <v>167</v>
      </c>
      <c r="G168" s="4" t="str">
        <f>IFERROR(__xludf.DUMMYFUNCTION("GOOGLETRANSLATE(B168, ""en"", ""hi"")"),"किस शतरंज खिलाड़ी ने अपने करियर के दौरान छह पूर्व या भावी विश्व शतरंज चैंपियनों को हराया, जो गैर-चैंपियनों के बीच एक रिकॉर्ड है?")</f>
        <v>किस शतरंज खिलाड़ी ने अपने करियर के दौरान छह पूर्व या भावी विश्व शतरंज चैंपियनों को हराया, जो गैर-चैंपियनों के बीच एक रिकॉर्ड है?</v>
      </c>
      <c r="H168" s="4" t="str">
        <f>IFERROR(__xludf.DUMMYFUNCTION("GOOGLETRANSLATE(C168, ""en"", ""hi"")"),"ए) विक्टर कोरचनोई, बी) पॉल केरेस, सी) एफिम गेलर, डी) डेविड ब्रोंस्टीन")</f>
        <v>ए) विक्टर कोरचनोई, बी) पॉल केरेस, सी) एफिम गेलर, डी) डेविड ब्रोंस्टीन</v>
      </c>
      <c r="I168" s="4" t="str">
        <f>IFERROR(__xludf.DUMMYFUNCTION("GOOGLETRANSLATE(D168, ""en"", ""hi"")"),"C) एफिम गेलर")</f>
        <v>C) एफिम गेलर</v>
      </c>
    </row>
    <row r="169" ht="22.5" customHeight="1">
      <c r="A169" s="3">
        <v>168.0</v>
      </c>
      <c r="B169" s="4" t="s">
        <v>1220</v>
      </c>
      <c r="C169" s="4" t="s">
        <v>1221</v>
      </c>
      <c r="D169" s="4" t="s">
        <v>1222</v>
      </c>
      <c r="F169" s="4" t="str">
        <f>IFERROR(__xludf.DUMMYFUNCTION("GOOGLETRANSLATE(A169, ""en"", ""hi"")"),"168")</f>
        <v>168</v>
      </c>
      <c r="G169" s="4" t="str">
        <f>IFERROR(__xludf.DUMMYFUNCTION("GOOGLETRANSLATE(B169, ""en"", ""hi"")"),"प्रथम अफ्रीकी-अमेरिकी शतरंज ग्रैंडमास्टर कौन थे?")</f>
        <v>प्रथम अफ्रीकी-अमेरिकी शतरंज ग्रैंडमास्टर कौन थे?</v>
      </c>
      <c r="H169" s="4" t="str">
        <f>IFERROR(__xludf.DUMMYFUNCTION("GOOGLETRANSLATE(C169, ""en"", ""hi"")"),"A) मौरिस एश्ले, B) एमोरी टेट, C) विलियम मॉरिसन, D) पोंटस कार्लसन")</f>
        <v>A) मौरिस एश्ले, B) एमोरी टेट, C) विलियम मॉरिसन, D) पोंटस कार्लसन</v>
      </c>
      <c r="I169" s="4" t="str">
        <f>IFERROR(__xludf.DUMMYFUNCTION("GOOGLETRANSLATE(D169, ""en"", ""hi"")"),"A) मौरिस एशले")</f>
        <v>A) मौरिस एशले</v>
      </c>
    </row>
    <row r="170" ht="22.5" customHeight="1">
      <c r="A170" s="3">
        <v>169.0</v>
      </c>
      <c r="B170" s="4" t="s">
        <v>1223</v>
      </c>
      <c r="C170" s="4" t="s">
        <v>1224</v>
      </c>
      <c r="D170" s="4" t="s">
        <v>977</v>
      </c>
      <c r="F170" s="4" t="str">
        <f>IFERROR(__xludf.DUMMYFUNCTION("GOOGLETRANSLATE(A170, ""en"", ""hi"")"),"169")</f>
        <v>169</v>
      </c>
      <c r="G170" s="4" t="str">
        <f>IFERROR(__xludf.DUMMYFUNCTION("GOOGLETRANSLATE(B170, ""en"", ""hi"")"),"कौन सा विश्व शतरंज चैंपियन अपना खिताब खोने वाला पहला व्यक्ति था और फिर बाद में उसे पुनः प्राप्त किया?")</f>
        <v>कौन सा विश्व शतरंज चैंपियन अपना खिताब खोने वाला पहला व्यक्ति था और फिर बाद में उसे पुनः प्राप्त किया?</v>
      </c>
      <c r="H170" s="4" t="str">
        <f>IFERROR(__xludf.DUMMYFUNCTION("GOOGLETRANSLATE(C170, ""en"", ""hi"")"),"A) विल्हेम स्टीनिट्ज़, B) इमानुएल लास्कर, C) मिखाइल बोट्विननिक, D) अलेक्जेंडर अलेखिन")</f>
        <v>A) विल्हेम स्टीनिट्ज़, B) इमानुएल लास्कर, C) मिखाइल बोट्विननिक, D) अलेक्जेंडर अलेखिन</v>
      </c>
      <c r="I170" s="4" t="str">
        <f>IFERROR(__xludf.DUMMYFUNCTION("GOOGLETRANSLATE(D170, ""en"", ""hi"")"),"C) मिखाइल बोट्विननिक")</f>
        <v>C) मिखाइल बोट्विननिक</v>
      </c>
    </row>
    <row r="171" ht="22.5" customHeight="1">
      <c r="A171" s="3">
        <v>170.0</v>
      </c>
      <c r="B171" s="4" t="s">
        <v>1225</v>
      </c>
      <c r="C171" s="4" t="s">
        <v>1226</v>
      </c>
      <c r="D171" s="4" t="s">
        <v>1227</v>
      </c>
      <c r="F171" s="4" t="str">
        <f>IFERROR(__xludf.DUMMYFUNCTION("GOOGLETRANSLATE(A171, ""en"", ""hi"")"),"170")</f>
        <v>170</v>
      </c>
      <c r="G171" s="4" t="str">
        <f>IFERROR(__xludf.DUMMYFUNCTION("GOOGLETRANSLATE(B171, ""en"", ""hi"")"),"कौन सा विश्व शतरंज चैंपियन फ्रांसीसी रक्षा के विकास में अपने योगदान के लिए जाना जाता था?")</f>
        <v>कौन सा विश्व शतरंज चैंपियन फ्रांसीसी रक्षा के विकास में अपने योगदान के लिए जाना जाता था?</v>
      </c>
      <c r="H171" s="4" t="str">
        <f>IFERROR(__xludf.DUMMYFUNCTION("GOOGLETRANSLATE(C171, ""en"", ""hi"")"),"ए) अनातोली कार्पोव, बी) गैरी कास्पारोव, सी) अलेक्जेंडर अलेखिन, डी) तिगरान पेट्रोसियन")</f>
        <v>ए) अनातोली कार्पोव, बी) गैरी कास्पारोव, सी) अलेक्जेंडर अलेखिन, डी) तिगरान पेट्रोसियन</v>
      </c>
      <c r="I171" s="4" t="str">
        <f>IFERROR(__xludf.DUMMYFUNCTION("GOOGLETRANSLATE(D171, ""en"", ""hi"")"),"D) तिगरान पेट्रोसियन")</f>
        <v>D) तिगरान पेट्रोसियन</v>
      </c>
    </row>
    <row r="172" ht="22.5" customHeight="1">
      <c r="A172" s="3">
        <v>171.0</v>
      </c>
      <c r="B172" s="4" t="s">
        <v>1228</v>
      </c>
      <c r="C172" s="4" t="s">
        <v>1229</v>
      </c>
      <c r="D172" s="4" t="s">
        <v>893</v>
      </c>
      <c r="F172" s="4" t="str">
        <f>IFERROR(__xludf.DUMMYFUNCTION("GOOGLETRANSLATE(A172, ""en"", ""hi"")"),"171")</f>
        <v>171</v>
      </c>
      <c r="G172" s="4" t="str">
        <f>IFERROR(__xludf.DUMMYFUNCTION("GOOGLETRANSLATE(B172, ""en"", ""hi"")"),"विश्व शतरंज चैम्पियनशिप और अमेरिकी शतरंज चैम्पियनशिप दोनों खिताब एक साथ जीतने वाला पहला खिलाड़ी कौन था?")</f>
        <v>विश्व शतरंज चैम्पियनशिप और अमेरिकी शतरंज चैम्पियनशिप दोनों खिताब एक साथ जीतने वाला पहला खिलाड़ी कौन था?</v>
      </c>
      <c r="H172" s="4" t="str">
        <f>IFERROR(__xludf.DUMMYFUNCTION("GOOGLETRANSLATE(C172, ""en"", ""hi"")"),"ए) पॉल मॉर्फी, बी) बॉबी फिशर, सी) फैबियानो कारुआना, डी) हिकारू नाकामुरा")</f>
        <v>ए) पॉल मॉर्फी, बी) बॉबी फिशर, सी) फैबियानो कारुआना, डी) हिकारू नाकामुरा</v>
      </c>
      <c r="I172" s="4" t="str">
        <f>IFERROR(__xludf.DUMMYFUNCTION("GOOGLETRANSLATE(D172, ""en"", ""hi"")"),"बी) बॉबी फिशर")</f>
        <v>बी) बॉबी फिशर</v>
      </c>
    </row>
    <row r="173" ht="22.5" customHeight="1">
      <c r="A173" s="3">
        <v>172.0</v>
      </c>
      <c r="B173" s="4" t="s">
        <v>1019</v>
      </c>
      <c r="C173" s="4" t="s">
        <v>1230</v>
      </c>
      <c r="D173" s="4" t="s">
        <v>1005</v>
      </c>
      <c r="F173" s="4" t="str">
        <f>IFERROR(__xludf.DUMMYFUNCTION("GOOGLETRANSLATE(A173, ""en"", ""hi"")"),"172")</f>
        <v>172</v>
      </c>
      <c r="G173" s="4" t="str">
        <f>IFERROR(__xludf.DUMMYFUNCTION("GOOGLETRANSLATE(B173, ""en"", ""hi"")"),"कौन सा विश्व शतरंज चैंपियन खिताब अपने पास रखते हुए संन्यास लेने वाला पहला खिलाड़ी था?")</f>
        <v>कौन सा विश्व शतरंज चैंपियन खिताब अपने पास रखते हुए संन्यास लेने वाला पहला खिलाड़ी था?</v>
      </c>
      <c r="H173" s="4" t="str">
        <f>IFERROR(__xludf.DUMMYFUNCTION("GOOGLETRANSLATE(C173, ""en"", ""hi"")"),"ए) इमानुएल लास्कर, बी) अलेक्जेंडर अलेखिन, सी) गैरी कास्पारोव, डी) बॉबी फिशर")</f>
        <v>ए) इमानुएल लास्कर, बी) अलेक्जेंडर अलेखिन, सी) गैरी कास्पारोव, डी) बॉबी फिशर</v>
      </c>
      <c r="I173" s="4" t="str">
        <f>IFERROR(__xludf.DUMMYFUNCTION("GOOGLETRANSLATE(D173, ""en"", ""hi"")"),"D) बॉबी फिशर")</f>
        <v>D) बॉबी फिशर</v>
      </c>
    </row>
    <row r="174" ht="22.5" customHeight="1">
      <c r="A174" s="3">
        <v>173.0</v>
      </c>
      <c r="B174" s="4" t="s">
        <v>1231</v>
      </c>
      <c r="C174" s="4" t="s">
        <v>1048</v>
      </c>
      <c r="D174" s="4" t="s">
        <v>1049</v>
      </c>
      <c r="F174" s="4" t="str">
        <f>IFERROR(__xludf.DUMMYFUNCTION("GOOGLETRANSLATE(A174, ""en"", ""hi"")"),"173")</f>
        <v>173</v>
      </c>
      <c r="G174" s="4" t="str">
        <f>IFERROR(__xludf.DUMMYFUNCTION("GOOGLETRANSLATE(B174, ""en"", ""hi"")"),"विश्व शतरंज चैंपियन और विश्व ब्लिट्ज़ शतरंज चैंपियन दोनों का खिताब एक साथ जीतने वाला पहला खिलाड़ी कौन था?")</f>
        <v>विश्व शतरंज चैंपियन और विश्व ब्लिट्ज़ शतरंज चैंपियन दोनों का खिताब एक साथ जीतने वाला पहला खिलाड़ी कौन था?</v>
      </c>
      <c r="H174" s="4" t="str">
        <f>IFERROR(__xludf.DUMMYFUNCTION("GOOGLETRANSLATE(C174, ""en"", ""hi"")"),"ए) गैरी कास्पारोव, बी) विश्वनाथन आनंद, सी) मैग्नस कार्लसन, डी) व्लादिमीर क्रैमनिक")</f>
        <v>ए) गैरी कास्पारोव, बी) विश्वनाथन आनंद, सी) मैग्नस कार्लसन, डी) व्लादिमीर क्रैमनिक</v>
      </c>
      <c r="I174" s="4" t="str">
        <f>IFERROR(__xludf.DUMMYFUNCTION("GOOGLETRANSLATE(D174, ""en"", ""hi"")"),"C) मैग्नस कार्लसन")</f>
        <v>C) मैग्नस कार्लसन</v>
      </c>
    </row>
    <row r="175" ht="22.5" customHeight="1">
      <c r="A175" s="3">
        <v>174.0</v>
      </c>
      <c r="B175" s="4" t="s">
        <v>1232</v>
      </c>
      <c r="C175" s="4" t="s">
        <v>1233</v>
      </c>
      <c r="D175" s="4" t="s">
        <v>1117</v>
      </c>
      <c r="F175" s="4" t="str">
        <f>IFERROR(__xludf.DUMMYFUNCTION("GOOGLETRANSLATE(A175, ""en"", ""hi"")"),"174")</f>
        <v>174</v>
      </c>
      <c r="G175" s="4" t="str">
        <f>IFERROR(__xludf.DUMMYFUNCTION("GOOGLETRANSLATE(B175, ""en"", ""hi"")"),"कौन सा विश्व शतरंज चैंपियन ग्रुन्फेल्ड डिफेंस में अपने योगदान के लिए जाना जाता था?")</f>
        <v>कौन सा विश्व शतरंज चैंपियन ग्रुन्फेल्ड डिफेंस में अपने योगदान के लिए जाना जाता था?</v>
      </c>
      <c r="H175" s="4" t="str">
        <f>IFERROR(__xludf.DUMMYFUNCTION("GOOGLETRANSLATE(C175, ""en"", ""hi"")"),"ए) बॉबी फिशर, बी) गैरी कास्पारोव, सी) मिखाइल बोट्वनिक, डी) तिगरान पेट्रोसियन")</f>
        <v>ए) बॉबी फिशर, बी) गैरी कास्पारोव, सी) मिखाइल बोट्वनिक, डी) तिगरान पेट्रोसियन</v>
      </c>
      <c r="I175" s="4" t="str">
        <f>IFERROR(__xludf.DUMMYFUNCTION("GOOGLETRANSLATE(D175, ""en"", ""hi"")"),"बी) गैरी कास्परोव")</f>
        <v>बी) गैरी कास्परोव</v>
      </c>
    </row>
    <row r="176" ht="22.5" customHeight="1">
      <c r="A176" s="3">
        <v>175.0</v>
      </c>
      <c r="B176" s="4" t="s">
        <v>1234</v>
      </c>
      <c r="C176" s="4" t="s">
        <v>1209</v>
      </c>
      <c r="D176" s="4" t="s">
        <v>887</v>
      </c>
      <c r="F176" s="4" t="str">
        <f>IFERROR(__xludf.DUMMYFUNCTION("GOOGLETRANSLATE(A176, ""en"", ""hi"")"),"175")</f>
        <v>175</v>
      </c>
      <c r="G176" s="4" t="str">
        <f>IFERROR(__xludf.DUMMYFUNCTION("GOOGLETRANSLATE(B176, ""en"", ""hi"")"),"बिना किसी क्वालीफाइंग कैंडिडेट्स टूर्नामेंट में भाग लिए विश्व शतरंज चैम्पियनशिप जीतने वाले पहले खिलाड़ी कौन थे?")</f>
        <v>बिना किसी क्वालीफाइंग कैंडिडेट्स टूर्नामेंट में भाग लिए विश्व शतरंज चैम्पियनशिप जीतने वाले पहले खिलाड़ी कौन थे?</v>
      </c>
      <c r="H176" s="4" t="str">
        <f>IFERROR(__xludf.DUMMYFUNCTION("GOOGLETRANSLATE(C176, ""en"", ""hi"")"),"ए) अनातोली कार्पोव, बी) बॉबी फिशर, सी) गैरी कास्परोव, डी) मैग्नस कार्लसन")</f>
        <v>ए) अनातोली कार्पोव, बी) बॉबी फिशर, सी) गैरी कास्परोव, डी) मैग्नस कार्लसन</v>
      </c>
      <c r="I176" s="4" t="str">
        <f>IFERROR(__xludf.DUMMYFUNCTION("GOOGLETRANSLATE(D176, ""en"", ""hi"")"),"A) अनातोली कार्पोव")</f>
        <v>A) अनातोली कार्पोव</v>
      </c>
    </row>
    <row r="177" ht="22.5" customHeight="1">
      <c r="A177" s="3">
        <v>176.0</v>
      </c>
      <c r="B177" s="4" t="s">
        <v>1235</v>
      </c>
      <c r="C177" s="4" t="s">
        <v>1236</v>
      </c>
      <c r="D177" s="4" t="s">
        <v>1237</v>
      </c>
      <c r="F177" s="4" t="str">
        <f>IFERROR(__xludf.DUMMYFUNCTION("GOOGLETRANSLATE(A177, ""en"", ""hi"")"),"176")</f>
        <v>176</v>
      </c>
      <c r="G177" s="4" t="str">
        <f>IFERROR(__xludf.DUMMYFUNCTION("GOOGLETRANSLATE(B177, ""en"", ""hi"")"),"कौन सा विश्व शतरंज चैंपियन सबसे छोटे मैच (खेलों की संख्या के संदर्भ में) में मौजूदा चैंपियन को हराकर खिताब जीतने वाला पहला खिलाड़ी था?")</f>
        <v>कौन सा विश्व शतरंज चैंपियन सबसे छोटे मैच (खेलों की संख्या के संदर्भ में) में मौजूदा चैंपियन को हराकर खिताब जीतने वाला पहला खिलाड़ी था?</v>
      </c>
      <c r="H177" s="4" t="str">
        <f>IFERROR(__xludf.DUMMYFUNCTION("GOOGLETRANSLATE(C177, ""en"", ""hi"")"),"ए) मिखाइल ताल, बी) अनातोली कारपोव, सी) गैरी कास्पारोव, डी) जोस राउल कैपबेलैंका")</f>
        <v>ए) मिखाइल ताल, बी) अनातोली कारपोव, सी) गैरी कास्पारोव, डी) जोस राउल कैपबेलैंका</v>
      </c>
      <c r="I177" s="4" t="str">
        <f>IFERROR(__xludf.DUMMYFUNCTION("GOOGLETRANSLATE(D177, ""en"", ""hi"")"),"D) जोस राउल कैपब्लैंका")</f>
        <v>D) जोस राउल कैपब्लैंका</v>
      </c>
    </row>
    <row r="178" ht="22.5" customHeight="1">
      <c r="A178" s="3">
        <v>177.0</v>
      </c>
      <c r="B178" s="4" t="s">
        <v>1238</v>
      </c>
      <c r="C178" s="4" t="s">
        <v>1239</v>
      </c>
      <c r="D178" s="4" t="s">
        <v>1240</v>
      </c>
      <c r="F178" s="4" t="str">
        <f>IFERROR(__xludf.DUMMYFUNCTION("GOOGLETRANSLATE(A178, ""en"", ""hi"")"),"177")</f>
        <v>177</v>
      </c>
      <c r="G178" s="4" t="str">
        <f>IFERROR(__xludf.DUMMYFUNCTION("GOOGLETRANSLATE(B178, ""en"", ""hi"")"),"कौन सा सोवियत शतरंज खिलाड़ी देश छोड़कर संयुक्त राज्य अमेरिका में राजनीतिक शरण मांगने वाला पहला व्यक्ति था?")</f>
        <v>कौन सा सोवियत शतरंज खिलाड़ी देश छोड़कर संयुक्त राज्य अमेरिका में राजनीतिक शरण मांगने वाला पहला व्यक्ति था?</v>
      </c>
      <c r="H178" s="4" t="str">
        <f>IFERROR(__xludf.DUMMYFUNCTION("GOOGLETRANSLATE(C178, ""en"", ""hi"")"),"ए) विक्टर कोरचनोई, बी) बोरिस स्पैस्की, सी) अनातोली कारपोव, डी) लेव एल्बर्ट")</f>
        <v>ए) विक्टर कोरचनोई, बी) बोरिस स्पैस्की, सी) अनातोली कारपोव, डी) लेव एल्बर्ट</v>
      </c>
      <c r="I178" s="4" t="str">
        <f>IFERROR(__xludf.DUMMYFUNCTION("GOOGLETRANSLATE(D178, ""en"", ""hi"")"),"D) लेव अल्बर्ट")</f>
        <v>D) लेव अल्बर्ट</v>
      </c>
    </row>
    <row r="179" ht="22.5" customHeight="1">
      <c r="A179" s="3">
        <v>178.0</v>
      </c>
      <c r="B179" s="4" t="s">
        <v>1241</v>
      </c>
      <c r="C179" s="4" t="s">
        <v>1242</v>
      </c>
      <c r="D179" s="4" t="s">
        <v>1243</v>
      </c>
      <c r="F179" s="4" t="str">
        <f>IFERROR(__xludf.DUMMYFUNCTION("GOOGLETRANSLATE(A179, ""en"", ""hi"")"),"178")</f>
        <v>178</v>
      </c>
      <c r="G179" s="4" t="str">
        <f>IFERROR(__xludf.DUMMYFUNCTION("GOOGLETRANSLATE(B179, ""en"", ""hi"")"),"क्लासिकल टूर्नामेंट खेल में मौजूदा विश्व शतरंज चैंपियन के खिलाफ गेम जीतने वाली पहली महिला कौन थी?")</f>
        <v>क्लासिकल टूर्नामेंट खेल में मौजूदा विश्व शतरंज चैंपियन के खिलाफ गेम जीतने वाली पहली महिला कौन थी?</v>
      </c>
      <c r="H179" s="4" t="str">
        <f>IFERROR(__xludf.DUMMYFUNCTION("GOOGLETRANSLATE(C179, ""en"", ""hi"")"),"ए) जूडिट पोल्गर, बी) नोना गैप्रिंडाश्विली, सी) माइया चिबुरदानिद्ज़े, डी) पिया क्रैमिंग")</f>
        <v>ए) जूडिट पोल्गर, बी) नोना गैप्रिंडाश्विली, सी) माइया चिबुरदानिद्ज़े, डी) पिया क्रैमिंग</v>
      </c>
      <c r="I179" s="4" t="str">
        <f>IFERROR(__xludf.DUMMYFUNCTION("GOOGLETRANSLATE(D179, ""en"", ""hi"")"),"A) जुडिट पोल्गर")</f>
        <v>A) जुडिट पोल्गर</v>
      </c>
    </row>
    <row r="180" ht="22.5" customHeight="1">
      <c r="A180" s="3">
        <v>179.0</v>
      </c>
      <c r="B180" s="4" t="s">
        <v>1244</v>
      </c>
      <c r="C180" s="4" t="s">
        <v>1245</v>
      </c>
      <c r="D180" s="4" t="s">
        <v>1246</v>
      </c>
      <c r="F180" s="4" t="str">
        <f>IFERROR(__xludf.DUMMYFUNCTION("GOOGLETRANSLATE(A180, ""en"", ""hi"")"),"179")</f>
        <v>179</v>
      </c>
      <c r="G180" s="4" t="str">
        <f>IFERROR(__xludf.DUMMYFUNCTION("GOOGLETRANSLATE(B180, ""en"", ""hi"")"),"विश्व शतरंज चैंपियन बनने के बाद गैरी कास्पारोव को शास्त्रीय खेल में हराने वाला पहला खिलाड़ी कौन था?")</f>
        <v>विश्व शतरंज चैंपियन बनने के बाद गैरी कास्पारोव को शास्त्रीय खेल में हराने वाला पहला खिलाड़ी कौन था?</v>
      </c>
      <c r="H180" s="4" t="str">
        <f>IFERROR(__xludf.DUMMYFUNCTION("GOOGLETRANSLATE(C180, ""en"", ""hi"")"),"ए) निगेल शॉर्ट, बी) विश्वनाथन आनंद, सी) व्लादिमीर क्रैमनिक, डी) एलेक्सी शिरोव")</f>
        <v>ए) निगेल शॉर्ट, बी) विश्वनाथन आनंद, सी) व्लादिमीर क्रैमनिक, डी) एलेक्सी शिरोव</v>
      </c>
      <c r="I180" s="4" t="str">
        <f>IFERROR(__xludf.DUMMYFUNCTION("GOOGLETRANSLATE(D180, ""en"", ""hi"")"),"D) एलेक्सी शिरोव")</f>
        <v>D) एलेक्सी शिरोव</v>
      </c>
    </row>
    <row r="181" ht="22.5" customHeight="1">
      <c r="A181" s="3">
        <v>180.0</v>
      </c>
      <c r="B181" s="4" t="s">
        <v>1247</v>
      </c>
      <c r="C181" s="4" t="s">
        <v>1248</v>
      </c>
      <c r="D181" s="4" t="s">
        <v>940</v>
      </c>
      <c r="F181" s="4" t="str">
        <f>IFERROR(__xludf.DUMMYFUNCTION("GOOGLETRANSLATE(A181, ""en"", ""hi"")"),"180")</f>
        <v>180</v>
      </c>
      <c r="G181" s="4" t="str">
        <f>IFERROR(__xludf.DUMMYFUNCTION("GOOGLETRANSLATE(B181, ""en"", ""hi"")"),"कौन सा विश्व शतरंज चैंपियन कैरो-कैन डिफेंस के विकास में अपने योगदान के लिए जाना जाता था?")</f>
        <v>कौन सा विश्व शतरंज चैंपियन कैरो-कैन डिफेंस के विकास में अपने योगदान के लिए जाना जाता था?</v>
      </c>
      <c r="H181" s="4" t="str">
        <f>IFERROR(__xludf.DUMMYFUNCTION("GOOGLETRANSLATE(C181, ""en"", ""hi"")"),"ए) तिगरान पेट्रोसियन, बी) अनातोली कार्पोव, सी) बॉबी फिशर, डी) मिखाइल ताल")</f>
        <v>ए) तिगरान पेट्रोसियन, बी) अनातोली कार्पोव, सी) बॉबी फिशर, डी) मिखाइल ताल</v>
      </c>
      <c r="I181" s="4" t="str">
        <f>IFERROR(__xludf.DUMMYFUNCTION("GOOGLETRANSLATE(D181, ""en"", ""hi"")"),"बी) अनातोली कार्पोव")</f>
        <v>बी) अनातोली कार्पोव</v>
      </c>
    </row>
    <row r="182" ht="22.5" customHeight="1">
      <c r="A182" s="3">
        <v>181.0</v>
      </c>
      <c r="B182" s="4" t="s">
        <v>1249</v>
      </c>
      <c r="C182" s="4" t="s">
        <v>1148</v>
      </c>
      <c r="D182" s="4" t="s">
        <v>1075</v>
      </c>
      <c r="F182" s="4" t="str">
        <f>IFERROR(__xludf.DUMMYFUNCTION("GOOGLETRANSLATE(A182, ""en"", ""hi"")"),"181")</f>
        <v>181</v>
      </c>
      <c r="G182" s="4" t="str">
        <f>IFERROR(__xludf.DUMMYFUNCTION("GOOGLETRANSLATE(B182, ""en"", ""hi"")"),"नॉकआउट प्रारूप टूर्नामेंट में विश्व शतरंज चैम्पियनशिप जीतने वाला पहला खिलाड़ी कौन था?")</f>
        <v>नॉकआउट प्रारूप टूर्नामेंट में विश्व शतरंज चैम्पियनशिप जीतने वाला पहला खिलाड़ी कौन था?</v>
      </c>
      <c r="H182" s="4" t="str">
        <f>IFERROR(__xludf.DUMMYFUNCTION("GOOGLETRANSLATE(C182, ""en"", ""hi"")"),"ए) गैरी कास्पारोव, बी) अनातोली कार्पोव, सी) विश्वनाथन आनंद, डी) व्लादिमीर क्रैमनिक")</f>
        <v>ए) गैरी कास्पारोव, बी) अनातोली कार्पोव, सी) विश्वनाथन आनंद, डी) व्लादिमीर क्रैमनिक</v>
      </c>
      <c r="I182" s="4" t="str">
        <f>IFERROR(__xludf.DUMMYFUNCTION("GOOGLETRANSLATE(D182, ""en"", ""hi"")"),"C) विश्वनाथन आनंद")</f>
        <v>C) विश्वनाथन आनंद</v>
      </c>
    </row>
    <row r="183" ht="22.5" customHeight="1">
      <c r="A183" s="3">
        <v>182.0</v>
      </c>
      <c r="B183" s="4" t="s">
        <v>1250</v>
      </c>
      <c r="C183" s="4" t="s">
        <v>1251</v>
      </c>
      <c r="D183" s="4" t="s">
        <v>967</v>
      </c>
      <c r="F183" s="4" t="str">
        <f>IFERROR(__xludf.DUMMYFUNCTION("GOOGLETRANSLATE(A183, ""en"", ""hi"")"),"182")</f>
        <v>182</v>
      </c>
      <c r="G183" s="4" t="str">
        <f>IFERROR(__xludf.DUMMYFUNCTION("GOOGLETRANSLATE(B183, ""en"", ""hi"")"),"फाइनल मैच में एक भी गेम हारे बिना विश्व शतरंज चैंपियनशिप जीतने वाला पहला खिलाड़ी कौन था?")</f>
        <v>फाइनल मैच में एक भी गेम हारे बिना विश्व शतरंज चैंपियनशिप जीतने वाला पहला खिलाड़ी कौन था?</v>
      </c>
      <c r="H183" s="4" t="str">
        <f>IFERROR(__xludf.DUMMYFUNCTION("GOOGLETRANSLATE(C183, ""en"", ""hi"")"),"ए) जोस राउल कैपब्लांका, बी) बॉबी फिशर, सी) गैरी कास्पारोव, डी) मिखाइल ताल")</f>
        <v>ए) जोस राउल कैपब्लांका, बी) बॉबी फिशर, सी) गैरी कास्पारोव, डी) मिखाइल ताल</v>
      </c>
      <c r="I183" s="4" t="str">
        <f>IFERROR(__xludf.DUMMYFUNCTION("GOOGLETRANSLATE(D183, ""en"", ""hi"")"),"A) जोस राउल कैपब्लैंका")</f>
        <v>A) जोस राउल कैपब्लैंका</v>
      </c>
    </row>
    <row r="184" ht="22.5" customHeight="1">
      <c r="A184" s="3">
        <v>183.0</v>
      </c>
      <c r="B184" s="4" t="s">
        <v>1252</v>
      </c>
      <c r="C184" s="4" t="s">
        <v>1048</v>
      </c>
      <c r="D184" s="4" t="s">
        <v>1049</v>
      </c>
      <c r="F184" s="4" t="str">
        <f>IFERROR(__xludf.DUMMYFUNCTION("GOOGLETRANSLATE(A184, ""en"", ""hi"")"),"183")</f>
        <v>183</v>
      </c>
      <c r="G184" s="4" t="str">
        <f>IFERROR(__xludf.DUMMYFUNCTION("GOOGLETRANSLATE(B184, ""en"", ""hi"")"),"विश्व शतरंज चैंपियन और विश्व रैपिड शतरंज चैंपियन का खिताब एक ही समय में जीतने वाला पहला खिलाड़ी कौन था?")</f>
        <v>विश्व शतरंज चैंपियन और विश्व रैपिड शतरंज चैंपियन का खिताब एक ही समय में जीतने वाला पहला खिलाड़ी कौन था?</v>
      </c>
      <c r="H184" s="4" t="str">
        <f>IFERROR(__xludf.DUMMYFUNCTION("GOOGLETRANSLATE(C184, ""en"", ""hi"")"),"ए) गैरी कास्पारोव, बी) विश्वनाथन आनंद, सी) मैग्नस कार्लसन, डी) व्लादिमीर क्रैमनिक")</f>
        <v>ए) गैरी कास्पारोव, बी) विश्वनाथन आनंद, सी) मैग्नस कार्लसन, डी) व्लादिमीर क्रैमनिक</v>
      </c>
      <c r="I184" s="4" t="str">
        <f>IFERROR(__xludf.DUMMYFUNCTION("GOOGLETRANSLATE(D184, ""en"", ""hi"")"),"C) मैग्नस कार्लसन")</f>
        <v>C) मैग्नस कार्लसन</v>
      </c>
    </row>
    <row r="185" ht="22.5" customHeight="1">
      <c r="A185" s="3">
        <v>184.0</v>
      </c>
      <c r="B185" s="4" t="s">
        <v>1253</v>
      </c>
      <c r="C185" s="4" t="s">
        <v>1254</v>
      </c>
      <c r="D185" s="4" t="s">
        <v>985</v>
      </c>
      <c r="F185" s="4" t="str">
        <f>IFERROR(__xludf.DUMMYFUNCTION("GOOGLETRANSLATE(A185, ""en"", ""hi"")"),"184")</f>
        <v>184</v>
      </c>
      <c r="G185" s="4" t="str">
        <f>IFERROR(__xludf.DUMMYFUNCTION("GOOGLETRANSLATE(B185, ""en"", ""hi"")"),"सोवियत संघ में आयोजित मैच के बाद खिताब जीतने वाला पहला विश्व शतरंज चैंपियन कौन था?")</f>
        <v>सोवियत संघ में आयोजित मैच के बाद खिताब जीतने वाला पहला विश्व शतरंज चैंपियन कौन था?</v>
      </c>
      <c r="H185" s="4" t="str">
        <f>IFERROR(__xludf.DUMMYFUNCTION("GOOGLETRANSLATE(C185, ""en"", ""hi"")"),"ए) मिखाइल बोट्वनिक, बी) अनातोली कार्पोव, सी) तिगरान पेट्रोसियन, डी) गैरी कास्परोव")</f>
        <v>ए) मिखाइल बोट्वनिक, बी) अनातोली कार्पोव, सी) तिगरान पेट्रोसियन, डी) गैरी कास्परोव</v>
      </c>
      <c r="I185" s="4" t="str">
        <f>IFERROR(__xludf.DUMMYFUNCTION("GOOGLETRANSLATE(D185, ""en"", ""hi"")"),"A) मिखाइल बोट्विननिक")</f>
        <v>A) मिखाइल बोट्विननिक</v>
      </c>
    </row>
    <row r="186" ht="22.5" customHeight="1">
      <c r="A186" s="3">
        <v>185.0</v>
      </c>
      <c r="B186" s="4" t="s">
        <v>1255</v>
      </c>
      <c r="C186" s="4" t="s">
        <v>1256</v>
      </c>
      <c r="D186" s="4" t="s">
        <v>977</v>
      </c>
      <c r="F186" s="4" t="str">
        <f>IFERROR(__xludf.DUMMYFUNCTION("GOOGLETRANSLATE(A186, ""en"", ""hi"")"),"185")</f>
        <v>185</v>
      </c>
      <c r="G186" s="4" t="str">
        <f>IFERROR(__xludf.DUMMYFUNCTION("GOOGLETRANSLATE(B186, ""en"", ""hi"")"),"कौन सा विश्व शतरंज चैंपियन ऐसा पहला खिलाड़ी था जिसने अपना खिताब ऐसे मैच में खो दिया जिसमें सभी गेम ड्रॉ रहे थे?")</f>
        <v>कौन सा विश्व शतरंज चैंपियन ऐसा पहला खिलाड़ी था जिसने अपना खिताब ऐसे मैच में खो दिया जिसमें सभी गेम ड्रॉ रहे थे?</v>
      </c>
      <c r="H186" s="4" t="str">
        <f>IFERROR(__xludf.DUMMYFUNCTION("GOOGLETRANSLATE(C186, ""en"", ""hi"")"),"ए) इमानुएल लास्कर, बी) अलेक्जेंडर अलेखिन, सी) मिखाइल बोट्वनिक, डी) बोरिस स्पैस्की")</f>
        <v>ए) इमानुएल लास्कर, बी) अलेक्जेंडर अलेखिन, सी) मिखाइल बोट्वनिक, डी) बोरिस स्पैस्की</v>
      </c>
      <c r="I186" s="4" t="str">
        <f>IFERROR(__xludf.DUMMYFUNCTION("GOOGLETRANSLATE(D186, ""en"", ""hi"")"),"C) मिखाइल बोट्विननिक")</f>
        <v>C) मिखाइल बोट्विननिक</v>
      </c>
    </row>
    <row r="187" ht="22.5" customHeight="1">
      <c r="A187" s="3">
        <v>186.0</v>
      </c>
      <c r="B187" s="4" t="s">
        <v>1257</v>
      </c>
      <c r="C187" s="4" t="s">
        <v>1258</v>
      </c>
      <c r="D187" s="4" t="s">
        <v>995</v>
      </c>
      <c r="F187" s="4" t="str">
        <f>IFERROR(__xludf.DUMMYFUNCTION("GOOGLETRANSLATE(A187, ""en"", ""hi"")"),"186")</f>
        <v>186</v>
      </c>
      <c r="G187" s="4" t="str">
        <f>IFERROR(__xludf.DUMMYFUNCTION("GOOGLETRANSLATE(B187, ""en"", ""hi"")"),"कौन सा विश्व शतरंज चैंपियन 25 वर्षों से अधिक समय से खिताब पर कब्जा रखने वाले मौजूदा चैंपियन को हराकर खिताब जीतने वाला पहला व्यक्ति था?")</f>
        <v>कौन सा विश्व शतरंज चैंपियन 25 वर्षों से अधिक समय से खिताब पर कब्जा रखने वाले मौजूदा चैंपियन को हराकर खिताब जीतने वाला पहला व्यक्ति था?</v>
      </c>
      <c r="H187" s="4" t="str">
        <f>IFERROR(__xludf.DUMMYFUNCTION("GOOGLETRANSLATE(C187, ""en"", ""hi"")"),"ए) गैरी कास्परोव, बी) अनातोली कार्पोव, सी) अलेक्जेंडर अलेखिन, डी) बोरिस स्पैस्की")</f>
        <v>ए) गैरी कास्परोव, बी) अनातोली कार्पोव, सी) अलेक्जेंडर अलेखिन, डी) बोरिस स्पैस्की</v>
      </c>
      <c r="I187" s="4" t="str">
        <f>IFERROR(__xludf.DUMMYFUNCTION("GOOGLETRANSLATE(D187, ""en"", ""hi"")"),"C) अलेक्जेंडर अलेखिन")</f>
        <v>C) अलेक्जेंडर अलेखिन</v>
      </c>
    </row>
    <row r="188" ht="22.5" customHeight="1">
      <c r="A188" s="3">
        <v>187.0</v>
      </c>
      <c r="B188" s="4" t="s">
        <v>1259</v>
      </c>
      <c r="C188" s="4" t="s">
        <v>1260</v>
      </c>
      <c r="D188" s="4" t="s">
        <v>995</v>
      </c>
      <c r="F188" s="4" t="str">
        <f>IFERROR(__xludf.DUMMYFUNCTION("GOOGLETRANSLATE(A188, ""en"", ""hi"")"),"187")</f>
        <v>187</v>
      </c>
      <c r="G188" s="4" t="str">
        <f>IFERROR(__xludf.DUMMYFUNCTION("GOOGLETRANSLATE(B188, ""en"", ""hi"")"),"कौन सा विश्व शतरंज चैंपियन सोवियत संघ में आयोजित मैच के बाद खिताब जीतने वाला पहला व्यक्ति था, लेकिन उसका जन्म सोवियत संघ में नहीं हुआ था?")</f>
        <v>कौन सा विश्व शतरंज चैंपियन सोवियत संघ में आयोजित मैच के बाद खिताब जीतने वाला पहला व्यक्ति था, लेकिन उसका जन्म सोवियत संघ में नहीं हुआ था?</v>
      </c>
      <c r="H188" s="4" t="str">
        <f>IFERROR(__xludf.DUMMYFUNCTION("GOOGLETRANSLATE(C188, ""en"", ""hi"")"),"ए) अनातोली कार्पोव, बी) बोरिस स्पैस्की, सी) अलेक्जेंडर अलेखिन, डी) गैरी कास्परोव")</f>
        <v>ए) अनातोली कार्पोव, बी) बोरिस स्पैस्की, सी) अलेक्जेंडर अलेखिन, डी) गैरी कास्परोव</v>
      </c>
      <c r="I188" s="4" t="str">
        <f>IFERROR(__xludf.DUMMYFUNCTION("GOOGLETRANSLATE(D188, ""en"", ""hi"")"),"C) अलेक्जेंडर अलेखिन")</f>
        <v>C) अलेक्जेंडर अलेखिन</v>
      </c>
    </row>
    <row r="189" ht="22.5" customHeight="1">
      <c r="A189" s="3">
        <v>188.0</v>
      </c>
      <c r="B189" s="4" t="s">
        <v>1261</v>
      </c>
      <c r="C189" s="4" t="s">
        <v>1048</v>
      </c>
      <c r="D189" s="4" t="s">
        <v>1049</v>
      </c>
      <c r="F189" s="4" t="str">
        <f>IFERROR(__xludf.DUMMYFUNCTION("GOOGLETRANSLATE(A189, ""en"", ""hi"")"),"188")</f>
        <v>188</v>
      </c>
      <c r="G189" s="4" t="str">
        <f>IFERROR(__xludf.DUMMYFUNCTION("GOOGLETRANSLATE(B189, ""en"", ""hi"")"),"एक ही वर्ष में विश्व शतरंज चैम्पियनशिप और विश्व ब्लिट्ज़ शतरंज चैम्पियनशिप जीतने वाले पहले खिलाड़ी कौन थे?")</f>
        <v>एक ही वर्ष में विश्व शतरंज चैम्पियनशिप और विश्व ब्लिट्ज़ शतरंज चैम्पियनशिप जीतने वाले पहले खिलाड़ी कौन थे?</v>
      </c>
      <c r="H189" s="4" t="str">
        <f>IFERROR(__xludf.DUMMYFUNCTION("GOOGLETRANSLATE(C189, ""en"", ""hi"")"),"ए) गैरी कास्पारोव, बी) विश्वनाथन आनंद, सी) मैग्नस कार्लसन, डी) व्लादिमीर क्रैमनिक")</f>
        <v>ए) गैरी कास्पारोव, बी) विश्वनाथन आनंद, सी) मैग्नस कार्लसन, डी) व्लादिमीर क्रैमनिक</v>
      </c>
      <c r="I189" s="4" t="str">
        <f>IFERROR(__xludf.DUMMYFUNCTION("GOOGLETRANSLATE(D189, ""en"", ""hi"")"),"C) मैग्नस कार्लसन")</f>
        <v>C) मैग्नस कार्लसन</v>
      </c>
    </row>
    <row r="190" ht="22.5" customHeight="1">
      <c r="A190" s="3">
        <v>189.0</v>
      </c>
      <c r="B190" s="4" t="s">
        <v>1262</v>
      </c>
      <c r="C190" s="4" t="s">
        <v>1033</v>
      </c>
      <c r="D190" s="4" t="s">
        <v>1034</v>
      </c>
      <c r="F190" s="4" t="str">
        <f>IFERROR(__xludf.DUMMYFUNCTION("GOOGLETRANSLATE(A190, ""en"", ""hi"")"),"189")</f>
        <v>189</v>
      </c>
      <c r="G190" s="4" t="str">
        <f>IFERROR(__xludf.DUMMYFUNCTION("GOOGLETRANSLATE(B190, ""en"", ""hi"")"),"कौन सा विश्व शतरंज चैंपियन किसी ऐसे देश में मैच आयोजित करने के बाद खिताब जीतने वाला पहला व्यक्ति था जिसने पहले कभी विश्व शतरंज चैंपियनशिप की मेजबानी नहीं की थी?")</f>
        <v>कौन सा विश्व शतरंज चैंपियन किसी ऐसे देश में मैच आयोजित करने के बाद खिताब जीतने वाला पहला व्यक्ति था जिसने पहले कभी विश्व शतरंज चैंपियनशिप की मेजबानी नहीं की थी?</v>
      </c>
      <c r="H190" s="4" t="str">
        <f>IFERROR(__xludf.DUMMYFUNCTION("GOOGLETRANSLATE(C190, ""en"", ""hi"")"),"ए) गैरी कास्परोव, बी) अनातोली कार्पोव, सी) व्लादिमीर क्रैमनिक, डी) विश्वनाथन आनंद")</f>
        <v>ए) गैरी कास्परोव, बी) अनातोली कार्पोव, सी) व्लादिमीर क्रैमनिक, डी) विश्वनाथन आनंद</v>
      </c>
      <c r="I190" s="4" t="str">
        <f>IFERROR(__xludf.DUMMYFUNCTION("GOOGLETRANSLATE(D190, ""en"", ""hi"")"),"D) विश्वनाथन आनंद")</f>
        <v>D) विश्वनाथन आनंद</v>
      </c>
    </row>
    <row r="191" ht="22.5" customHeight="1">
      <c r="A191" s="3">
        <v>190.0</v>
      </c>
      <c r="B191" s="4" t="s">
        <v>1263</v>
      </c>
      <c r="C191" s="4" t="s">
        <v>1033</v>
      </c>
      <c r="D191" s="4" t="s">
        <v>1105</v>
      </c>
      <c r="F191" s="4" t="str">
        <f>IFERROR(__xludf.DUMMYFUNCTION("GOOGLETRANSLATE(A191, ""en"", ""hi"")"),"190")</f>
        <v>190</v>
      </c>
      <c r="G191" s="4" t="str">
        <f>IFERROR(__xludf.DUMMYFUNCTION("GOOGLETRANSLATE(B191, ""en"", ""hi"")"),"कौन सा विश्व शतरंज चैंपियन किसी ऐसे शहर में मैच आयोजित करने के बाद खिताब जीतने वाला पहला व्यक्ति था जिसने पहले कभी विश्व शतरंज चैंपियनशिप की मेजबानी नहीं की थी?")</f>
        <v>कौन सा विश्व शतरंज चैंपियन किसी ऐसे शहर में मैच आयोजित करने के बाद खिताब जीतने वाला पहला व्यक्ति था जिसने पहले कभी विश्व शतरंज चैंपियनशिप की मेजबानी नहीं की थी?</v>
      </c>
      <c r="H191" s="4" t="str">
        <f>IFERROR(__xludf.DUMMYFUNCTION("GOOGLETRANSLATE(C191, ""en"", ""hi"")"),"ए) गैरी कास्परोव, बी) अनातोली कार्पोव, सी) व्लादिमीर क्रैमनिक, डी) विश्वनाथन आनंद")</f>
        <v>ए) गैरी कास्परोव, बी) अनातोली कार्पोव, सी) व्लादिमीर क्रैमनिक, डी) विश्वनाथन आनंद</v>
      </c>
      <c r="I191" s="4" t="str">
        <f>IFERROR(__xludf.DUMMYFUNCTION("GOOGLETRANSLATE(D191, ""en"", ""hi"")"),"C) व्लादिमीर क्रैमनिक")</f>
        <v>C) व्लादिमीर क्रैमनिक</v>
      </c>
    </row>
    <row r="192" ht="22.5" customHeight="1">
      <c r="A192" s="3">
        <v>191.0</v>
      </c>
      <c r="B192" s="4" t="s">
        <v>1264</v>
      </c>
      <c r="C192" s="4" t="s">
        <v>1033</v>
      </c>
      <c r="D192" s="4" t="s">
        <v>943</v>
      </c>
      <c r="F192" s="4" t="str">
        <f>IFERROR(__xludf.DUMMYFUNCTION("GOOGLETRANSLATE(A192, ""en"", ""hi"")"),"191")</f>
        <v>191</v>
      </c>
      <c r="G192" s="4" t="str">
        <f>IFERROR(__xludf.DUMMYFUNCTION("GOOGLETRANSLATE(B192, ""en"", ""hi"")"),"कौन सा विश्व शतरंज चैंपियन उस शहर में मैच आयोजित करने के बाद खिताब जीतने वाला पहला व्यक्ति था जिसने पहले विश्व शतरंज चैंपियनशिप की मेजबानी की थी?")</f>
        <v>कौन सा विश्व शतरंज चैंपियन उस शहर में मैच आयोजित करने के बाद खिताब जीतने वाला पहला व्यक्ति था जिसने पहले विश्व शतरंज चैंपियनशिप की मेजबानी की थी?</v>
      </c>
      <c r="H192" s="4" t="str">
        <f>IFERROR(__xludf.DUMMYFUNCTION("GOOGLETRANSLATE(C192, ""en"", ""hi"")"),"ए) गैरी कास्परोव, बी) अनातोली कार्पोव, सी) व्लादिमीर क्रैमनिक, डी) विश्वनाथन आनंद")</f>
        <v>ए) गैरी कास्परोव, बी) अनातोली कार्पोव, सी) व्लादिमीर क्रैमनिक, डी) विश्वनाथन आनंद</v>
      </c>
      <c r="I192" s="4" t="str">
        <f>IFERROR(__xludf.DUMMYFUNCTION("GOOGLETRANSLATE(D192, ""en"", ""hi"")"),"A) गैरी कास्पारोव")</f>
        <v>A) गैरी कास्पारोव</v>
      </c>
    </row>
    <row r="193" ht="22.5" customHeight="1">
      <c r="A193" s="3">
        <v>192.0</v>
      </c>
      <c r="B193" s="4" t="s">
        <v>1265</v>
      </c>
      <c r="C193" s="4" t="s">
        <v>1266</v>
      </c>
      <c r="D193" s="4" t="s">
        <v>977</v>
      </c>
      <c r="F193" s="4" t="str">
        <f>IFERROR(__xludf.DUMMYFUNCTION("GOOGLETRANSLATE(A193, ""en"", ""hi"")"),"192")</f>
        <v>192</v>
      </c>
      <c r="G193" s="4" t="str">
        <f>IFERROR(__xludf.DUMMYFUNCTION("GOOGLETRANSLATE(B193, ""en"", ""hi"")"),"FIDE द्वारा आधिकारिक तौर पर 'ग्रैंडमास्टर' की उपाधि से सम्मानित होने वाले पहले शतरंज खिलाड़ी कौन थे?")</f>
        <v>FIDE द्वारा आधिकारिक तौर पर 'ग्रैंडमास्टर' की उपाधि से सम्मानित होने वाले पहले शतरंज खिलाड़ी कौन थे?</v>
      </c>
      <c r="H193" s="4" t="str">
        <f>IFERROR(__xludf.DUMMYFUNCTION("GOOGLETRANSLATE(C193, ""en"", ""hi"")"),"ए) जोस राउल कैपब्लांका, बी) अलेक्जेंडर अलेखिन, सी) मिखाइल बोट्वनिक, डी) सेविली टार्टाकोवर")</f>
        <v>ए) जोस राउल कैपब्लांका, बी) अलेक्जेंडर अलेखिन, सी) मिखाइल बोट्वनिक, डी) सेविली टार्टाकोवर</v>
      </c>
      <c r="I193" s="4" t="str">
        <f>IFERROR(__xludf.DUMMYFUNCTION("GOOGLETRANSLATE(D193, ""en"", ""hi"")"),"C) मिखाइल बोट्विननिक")</f>
        <v>C) मिखाइल बोट्विननिक</v>
      </c>
    </row>
    <row r="194" ht="22.5" customHeight="1">
      <c r="A194" s="3">
        <v>193.0</v>
      </c>
      <c r="B194" s="4" t="s">
        <v>1170</v>
      </c>
      <c r="C194" s="4" t="s">
        <v>1033</v>
      </c>
      <c r="D194" s="4" t="s">
        <v>1105</v>
      </c>
      <c r="F194" s="4" t="str">
        <f>IFERROR(__xludf.DUMMYFUNCTION("GOOGLETRANSLATE(A194, ""en"", ""hi"")"),"193")</f>
        <v>193</v>
      </c>
      <c r="G194" s="4" t="str">
        <f>IFERROR(__xludf.DUMMYFUNCTION("GOOGLETRANSLATE(B194, ""en"", ""hi"")"),"कौन सा विश्व शतरंज चैंपियन ऐसे देश में आयोजित मैच के बाद खिताब जीतने वाला पहला खिलाड़ी था, जहां कोई भी खिलाड़ी नागरिक नहीं था?")</f>
        <v>कौन सा विश्व शतरंज चैंपियन ऐसे देश में आयोजित मैच के बाद खिताब जीतने वाला पहला खिलाड़ी था, जहां कोई भी खिलाड़ी नागरिक नहीं था?</v>
      </c>
      <c r="H194" s="4" t="str">
        <f>IFERROR(__xludf.DUMMYFUNCTION("GOOGLETRANSLATE(C194, ""en"", ""hi"")"),"ए) गैरी कास्परोव, बी) अनातोली कार्पोव, सी) व्लादिमीर क्रैमनिक, डी) विश्वनाथन आनंद")</f>
        <v>ए) गैरी कास्परोव, बी) अनातोली कार्पोव, सी) व्लादिमीर क्रैमनिक, डी) विश्वनाथन आनंद</v>
      </c>
      <c r="I194" s="4" t="str">
        <f>IFERROR(__xludf.DUMMYFUNCTION("GOOGLETRANSLATE(D194, ""en"", ""hi"")"),"C) व्लादिमीर क्रैमनिक")</f>
        <v>C) व्लादिमीर क्रैमनिक</v>
      </c>
    </row>
    <row r="195" ht="22.5" customHeight="1">
      <c r="A195" s="3">
        <v>194.0</v>
      </c>
      <c r="B195" s="4" t="s">
        <v>1181</v>
      </c>
      <c r="C195" s="4" t="s">
        <v>1033</v>
      </c>
      <c r="D195" s="4" t="s">
        <v>1105</v>
      </c>
      <c r="F195" s="4" t="str">
        <f>IFERROR(__xludf.DUMMYFUNCTION("GOOGLETRANSLATE(A195, ""en"", ""hi"")"),"194")</f>
        <v>194</v>
      </c>
      <c r="G195" s="4" t="str">
        <f>IFERROR(__xludf.DUMMYFUNCTION("GOOGLETRANSLATE(B195, ""en"", ""hi"")"),"कौन सा विश्व शतरंज चैंपियन उस शहर में मैच आयोजित करने के बाद खिताब जीतने वाला पहला खिलाड़ी था, जहां कोई भी खिलाड़ी निवासी नहीं था?")</f>
        <v>कौन सा विश्व शतरंज चैंपियन उस शहर में मैच आयोजित करने के बाद खिताब जीतने वाला पहला खिलाड़ी था, जहां कोई भी खिलाड़ी निवासी नहीं था?</v>
      </c>
      <c r="H195" s="4" t="str">
        <f>IFERROR(__xludf.DUMMYFUNCTION("GOOGLETRANSLATE(C195, ""en"", ""hi"")"),"ए) गैरी कास्परोव, बी) अनातोली कार्पोव, सी) व्लादिमीर क्रैमनिक, डी) विश्वनाथन आनंद")</f>
        <v>ए) गैरी कास्परोव, बी) अनातोली कार्पोव, सी) व्लादिमीर क्रैमनिक, डी) विश्वनाथन आनंद</v>
      </c>
      <c r="I195" s="4" t="str">
        <f>IFERROR(__xludf.DUMMYFUNCTION("GOOGLETRANSLATE(D195, ""en"", ""hi"")"),"C) व्लादिमीर क्रैमनिक")</f>
        <v>C) व्लादिमीर क्रैमनिक</v>
      </c>
    </row>
    <row r="196" ht="22.5" customHeight="1">
      <c r="A196" s="3">
        <v>195.0</v>
      </c>
      <c r="B196" s="4" t="s">
        <v>1267</v>
      </c>
      <c r="C196" s="4" t="s">
        <v>1268</v>
      </c>
      <c r="D196" s="4" t="s">
        <v>1269</v>
      </c>
      <c r="F196" s="4" t="str">
        <f>IFERROR(__xludf.DUMMYFUNCTION("GOOGLETRANSLATE(A196, ""en"", ""hi"")"),"195")</f>
        <v>195</v>
      </c>
      <c r="G196" s="4" t="str">
        <f>IFERROR(__xludf.DUMMYFUNCTION("GOOGLETRANSLATE(B196, ""en"", ""hi"")"),"द्वितीय विश्व युद्ध के बाद विश्व शतरंज चैंपियन को हराने वाला पहला खिलाड़ी कौन था?")</f>
        <v>द्वितीय विश्व युद्ध के बाद विश्व शतरंज चैंपियन को हराने वाला पहला खिलाड़ी कौन था?</v>
      </c>
      <c r="H196" s="4" t="str">
        <f>IFERROR(__xludf.DUMMYFUNCTION("GOOGLETRANSLATE(C196, ""en"", ""hi"")"),"A) मिखाइल बोट्विननिक, B) तिगरान पेट्रोसियन, C) बॉबी फिशर, D) बोरिस स्पैस्की")</f>
        <v>A) मिखाइल बोट्विननिक, B) तिगरान पेट्रोसियन, C) बॉबी फिशर, D) बोरिस स्पैस्की</v>
      </c>
      <c r="I196" s="4" t="str">
        <f>IFERROR(__xludf.DUMMYFUNCTION("GOOGLETRANSLATE(D196, ""en"", ""hi"")"),"बी) तिगरान पेट्रोसियन")</f>
        <v>बी) तिगरान पेट्रोसियन</v>
      </c>
    </row>
    <row r="197" ht="22.5" customHeight="1">
      <c r="A197" s="3">
        <v>196.0</v>
      </c>
      <c r="B197" s="4" t="s">
        <v>1270</v>
      </c>
      <c r="C197" s="4" t="s">
        <v>1271</v>
      </c>
      <c r="D197" s="4" t="s">
        <v>893</v>
      </c>
      <c r="F197" s="4" t="str">
        <f>IFERROR(__xludf.DUMMYFUNCTION("GOOGLETRANSLATE(A197, ""en"", ""hi"")"),"196")</f>
        <v>196</v>
      </c>
      <c r="G197" s="4" t="str">
        <f>IFERROR(__xludf.DUMMYFUNCTION("GOOGLETRANSLATE(B197, ""en"", ""hi"")"),"कौन सा विश्व शतरंज चैंपियन सिसिलियन डिफेंस के विकास में अपने योगदान के लिए जाना जाता था?")</f>
        <v>कौन सा विश्व शतरंज चैंपियन सिसिलियन डिफेंस के विकास में अपने योगदान के लिए जाना जाता था?</v>
      </c>
      <c r="H197" s="4" t="str">
        <f>IFERROR(__xludf.DUMMYFUNCTION("GOOGLETRANSLATE(C197, ""en"", ""hi"")"),"ए) गैरी कास्पारोव, बी) बॉबी फिशर, सी) मिखाइल ताल, डी) तिगरान पेट्रोसियन")</f>
        <v>ए) गैरी कास्पारोव, बी) बॉबी फिशर, सी) मिखाइल ताल, डी) तिगरान पेट्रोसियन</v>
      </c>
      <c r="I197" s="4" t="str">
        <f>IFERROR(__xludf.DUMMYFUNCTION("GOOGLETRANSLATE(D197, ""en"", ""hi"")"),"बी) बॉबी फिशर")</f>
        <v>बी) बॉबी फिशर</v>
      </c>
    </row>
    <row r="198" ht="22.5" customHeight="1">
      <c r="A198" s="3">
        <v>197.0</v>
      </c>
      <c r="B198" s="4" t="s">
        <v>1272</v>
      </c>
      <c r="C198" s="4" t="s">
        <v>1256</v>
      </c>
      <c r="D198" s="4" t="s">
        <v>977</v>
      </c>
      <c r="F198" s="4" t="str">
        <f>IFERROR(__xludf.DUMMYFUNCTION("GOOGLETRANSLATE(A198, ""en"", ""hi"")"),"197")</f>
        <v>197</v>
      </c>
      <c r="G198" s="4" t="str">
        <f>IFERROR(__xludf.DUMMYFUNCTION("GOOGLETRANSLATE(B198, ""en"", ""hi"")"),"कौन सा विश्व शतरंज चैंपियन किसी मौजूदा चैंपियन को पुनर्मैच में हराकर खिताब जीतने वाला पहला व्यक्ति था?")</f>
        <v>कौन सा विश्व शतरंज चैंपियन किसी मौजूदा चैंपियन को पुनर्मैच में हराकर खिताब जीतने वाला पहला व्यक्ति था?</v>
      </c>
      <c r="H198" s="4" t="str">
        <f>IFERROR(__xludf.DUMMYFUNCTION("GOOGLETRANSLATE(C198, ""en"", ""hi"")"),"ए) इमानुएल लास्कर, बी) अलेक्जेंडर अलेखिन, सी) मिखाइल बोट्वनिक, डी) बोरिस स्पैस्की")</f>
        <v>ए) इमानुएल लास्कर, बी) अलेक्जेंडर अलेखिन, सी) मिखाइल बोट्वनिक, डी) बोरिस स्पैस्की</v>
      </c>
      <c r="I198" s="4" t="str">
        <f>IFERROR(__xludf.DUMMYFUNCTION("GOOGLETRANSLATE(D198, ""en"", ""hi"")"),"C) मिखाइल बोट्विननिक")</f>
        <v>C) मिखाइल बोट्विननिक</v>
      </c>
    </row>
    <row r="199" ht="22.5" customHeight="1">
      <c r="A199" s="3">
        <v>198.0</v>
      </c>
      <c r="B199" s="4" t="s">
        <v>1273</v>
      </c>
      <c r="C199" s="4" t="s">
        <v>1274</v>
      </c>
      <c r="D199" s="4" t="s">
        <v>1275</v>
      </c>
      <c r="F199" s="4" t="str">
        <f>IFERROR(__xludf.DUMMYFUNCTION("GOOGLETRANSLATE(A199, ""en"", ""hi"")"),"198")</f>
        <v>198</v>
      </c>
      <c r="G199" s="4" t="str">
        <f>IFERROR(__xludf.DUMMYFUNCTION("GOOGLETRANSLATE(B199, ""en"", ""hi"")"),"ब्लिट्ज शतरंज में 2900 से अधिक FIDE रेटिंग प्राप्त करने वाला पहला खिलाड़ी कौन था?")</f>
        <v>ब्लिट्ज शतरंज में 2900 से अधिक FIDE रेटिंग प्राप्त करने वाला पहला खिलाड़ी कौन था?</v>
      </c>
      <c r="H199" s="4" t="str">
        <f>IFERROR(__xludf.DUMMYFUNCTION("GOOGLETRANSLATE(C199, ""en"", ""hi"")"),"A) मैग्नस कार्लसन, B) गैरी कास्परोव, C) हिकारू नाकामुरा, D) विश्वनाथन आनंद")</f>
        <v>A) मैग्नस कार्लसन, B) गैरी कास्परोव, C) हिकारू नाकामुरा, D) विश्वनाथन आनंद</v>
      </c>
      <c r="I199" s="4" t="str">
        <f>IFERROR(__xludf.DUMMYFUNCTION("GOOGLETRANSLATE(D199, ""en"", ""hi"")"),"A) मैग्नस कार्लसन")</f>
        <v>A) मैग्नस कार्लसन</v>
      </c>
    </row>
    <row r="200" ht="22.5" customHeight="1">
      <c r="A200" s="3">
        <v>199.0</v>
      </c>
      <c r="B200" s="4" t="s">
        <v>1276</v>
      </c>
      <c r="C200" s="4" t="s">
        <v>1033</v>
      </c>
      <c r="D200" s="4" t="s">
        <v>1034</v>
      </c>
      <c r="F200" s="4" t="str">
        <f>IFERROR(__xludf.DUMMYFUNCTION("GOOGLETRANSLATE(A200, ""en"", ""hi"")"),"199")</f>
        <v>199</v>
      </c>
      <c r="G200" s="4" t="str">
        <f>IFERROR(__xludf.DUMMYFUNCTION("GOOGLETRANSLATE(B200, ""en"", ""hi"")"),"कौन सा विश्व शतरंज चैंपियन किसी ऐसे देश में आयोजित मैच के बाद खिताब जीतने वाला पहला व्यक्ति था, जहां का मौजूदा चैंपियन नागरिक नहीं था?")</f>
        <v>कौन सा विश्व शतरंज चैंपियन किसी ऐसे देश में आयोजित मैच के बाद खिताब जीतने वाला पहला व्यक्ति था, जहां का मौजूदा चैंपियन नागरिक नहीं था?</v>
      </c>
      <c r="H200" s="4" t="str">
        <f>IFERROR(__xludf.DUMMYFUNCTION("GOOGLETRANSLATE(C200, ""en"", ""hi"")"),"ए) गैरी कास्परोव, बी) अनातोली कार्पोव, सी) व्लादिमीर क्रैमनिक, डी) विश्वनाथन आनंद")</f>
        <v>ए) गैरी कास्परोव, बी) अनातोली कार्पोव, सी) व्लादिमीर क्रैमनिक, डी) विश्वनाथन आनंद</v>
      </c>
      <c r="I200" s="4" t="str">
        <f>IFERROR(__xludf.DUMMYFUNCTION("GOOGLETRANSLATE(D200, ""en"", ""hi"")"),"D) विश्वनाथन आनंद")</f>
        <v>D) विश्वनाथन आनंद</v>
      </c>
    </row>
    <row r="201" ht="22.5" customHeight="1">
      <c r="A201" s="3">
        <v>200.0</v>
      </c>
      <c r="B201" s="4" t="s">
        <v>1277</v>
      </c>
      <c r="C201" s="4" t="s">
        <v>1033</v>
      </c>
      <c r="D201" s="4" t="s">
        <v>1105</v>
      </c>
      <c r="F201" s="4" t="str">
        <f>IFERROR(__xludf.DUMMYFUNCTION("GOOGLETRANSLATE(A201, ""en"", ""hi"")"),"200")</f>
        <v>200</v>
      </c>
      <c r="G201" s="4" t="str">
        <f>IFERROR(__xludf.DUMMYFUNCTION("GOOGLETRANSLATE(B201, ""en"", ""hi"")"),"कौन सा विश्व शतरंज चैंपियन उस शहर में आयोजित मैच के बाद खिताब जीतने वाला पहला खिलाड़ी था, जहां न तो कोई खिलाड़ी निवासी था और न ही नागरिक?")</f>
        <v>कौन सा विश्व शतरंज चैंपियन उस शहर में आयोजित मैच के बाद खिताब जीतने वाला पहला खिलाड़ी था, जहां न तो कोई खिलाड़ी निवासी था और न ही नागरिक?</v>
      </c>
      <c r="H201" s="4" t="str">
        <f>IFERROR(__xludf.DUMMYFUNCTION("GOOGLETRANSLATE(C201, ""en"", ""hi"")"),"ए) गैरी कास्परोव, बी) अनातोली कार्पोव, सी) व्लादिमीर क्रैमनिक, डी) विश्वनाथन आनंद")</f>
        <v>ए) गैरी कास्परोव, बी) अनातोली कार्पोव, सी) व्लादिमीर क्रैमनिक, डी) विश्वनाथन आनंद</v>
      </c>
      <c r="I201" s="4" t="str">
        <f>IFERROR(__xludf.DUMMYFUNCTION("GOOGLETRANSLATE(D201, ""en"", ""hi"")"),"C) व्लादिमीर क्रैमनिक")</f>
        <v>C) व्लादिमीर क्रैमनिक</v>
      </c>
    </row>
    <row r="202" ht="22.5" customHeight="1">
      <c r="A202" s="3">
        <v>201.0</v>
      </c>
      <c r="B202" s="4" t="s">
        <v>1278</v>
      </c>
      <c r="C202" s="4" t="s">
        <v>1279</v>
      </c>
      <c r="D202" s="4" t="s">
        <v>1117</v>
      </c>
      <c r="F202" s="4" t="str">
        <f>IFERROR(__xludf.DUMMYFUNCTION("GOOGLETRANSLATE(A202, ""en"", ""hi"")"),"201")</f>
        <v>201</v>
      </c>
      <c r="G202" s="4" t="str">
        <f>IFERROR(__xludf.DUMMYFUNCTION("GOOGLETRANSLATE(B202, ""en"", ""hi"")"),"कौन सा शतरंज खिलाड़ी 2700 से अधिक FIDE रेटिंग प्राप्त करने वाला पहला खिलाड़ी था?")</f>
        <v>कौन सा शतरंज खिलाड़ी 2700 से अधिक FIDE रेटिंग प्राप्त करने वाला पहला खिलाड़ी था?</v>
      </c>
      <c r="H202" s="4" t="str">
        <f>IFERROR(__xludf.DUMMYFUNCTION("GOOGLETRANSLATE(C202, ""en"", ""hi"")"),"ए) अनातोली कार्पोव, बी) गैरी कास्परोव, सी) बॉबी फिशर, डी) व्लादिमीर क्रैमनिक")</f>
        <v>ए) अनातोली कार्पोव, बी) गैरी कास्परोव, सी) बॉबी फिशर, डी) व्लादिमीर क्रैमनिक</v>
      </c>
      <c r="I202" s="4" t="str">
        <f>IFERROR(__xludf.DUMMYFUNCTION("GOOGLETRANSLATE(D202, ""en"", ""hi"")"),"बी) गैरी कास्परोव")</f>
        <v>बी) गैरी कास्परोव</v>
      </c>
    </row>
    <row r="203" ht="22.5" customHeight="1">
      <c r="A203" s="3">
        <v>202.0</v>
      </c>
      <c r="B203" s="4" t="s">
        <v>1280</v>
      </c>
      <c r="C203" s="4" t="s">
        <v>1033</v>
      </c>
      <c r="D203" s="4" t="s">
        <v>1105</v>
      </c>
      <c r="F203" s="4" t="str">
        <f>IFERROR(__xludf.DUMMYFUNCTION("GOOGLETRANSLATE(A203, ""en"", ""hi"")"),"202")</f>
        <v>202</v>
      </c>
      <c r="G203" s="4" t="str">
        <f>IFERROR(__xludf.DUMMYFUNCTION("GOOGLETRANSLATE(B203, ""en"", ""hi"")"),"कौन सा विश्व शतरंज चैंपियन किसी ऐसे देश में आयोजित मैच के बाद खिताब जीतने वाला पहला खिलाड़ी था, जहां कोई भी खिलाड़ी नागरिक या निवासी नहीं था?")</f>
        <v>कौन सा विश्व शतरंज चैंपियन किसी ऐसे देश में आयोजित मैच के बाद खिताब जीतने वाला पहला खिलाड़ी था, जहां कोई भी खिलाड़ी नागरिक या निवासी नहीं था?</v>
      </c>
      <c r="H203" s="4" t="str">
        <f>IFERROR(__xludf.DUMMYFUNCTION("GOOGLETRANSLATE(C203, ""en"", ""hi"")"),"ए) गैरी कास्परोव, बी) अनातोली कार्पोव, सी) व्लादिमीर क्रैमनिक, डी) विश्वनाथन आनंद")</f>
        <v>ए) गैरी कास्परोव, बी) अनातोली कार्पोव, सी) व्लादिमीर क्रैमनिक, डी) विश्वनाथन आनंद</v>
      </c>
      <c r="I203" s="4" t="str">
        <f>IFERROR(__xludf.DUMMYFUNCTION("GOOGLETRANSLATE(D203, ""en"", ""hi"")"),"C) व्लादिमीर क्रैमनिक")</f>
        <v>C) व्लादिमीर क्रैमनिक</v>
      </c>
    </row>
    <row r="204" ht="22.5" customHeight="1">
      <c r="A204" s="3">
        <v>203.0</v>
      </c>
      <c r="B204" s="4" t="s">
        <v>1281</v>
      </c>
      <c r="C204" s="4" t="s">
        <v>1033</v>
      </c>
      <c r="D204" s="4" t="s">
        <v>1105</v>
      </c>
      <c r="F204" s="4" t="str">
        <f>IFERROR(__xludf.DUMMYFUNCTION("GOOGLETRANSLATE(A204, ""en"", ""hi"")"),"203")</f>
        <v>203</v>
      </c>
      <c r="G204" s="4" t="str">
        <f>IFERROR(__xludf.DUMMYFUNCTION("GOOGLETRANSLATE(B204, ""en"", ""hi"")"),"कौन सा विश्व शतरंज चैंपियन उस शहर में आयोजित मैच के बाद खिताब जीतने वाला पहला खिलाड़ी था, जहां कोई भी खिलाड़ी नागरिक या निवासी नहीं था?")</f>
        <v>कौन सा विश्व शतरंज चैंपियन उस शहर में आयोजित मैच के बाद खिताब जीतने वाला पहला खिलाड़ी था, जहां कोई भी खिलाड़ी नागरिक या निवासी नहीं था?</v>
      </c>
      <c r="H204" s="4" t="str">
        <f>IFERROR(__xludf.DUMMYFUNCTION("GOOGLETRANSLATE(C204, ""en"", ""hi"")"),"ए) गैरी कास्परोव, बी) अनातोली कार्पोव, सी) व्लादिमीर क्रैमनिक, डी) विश्वनाथन आनंद")</f>
        <v>ए) गैरी कास्परोव, बी) अनातोली कार्पोव, सी) व्लादिमीर क्रैमनिक, डी) विश्वनाथन आनंद</v>
      </c>
      <c r="I204" s="4" t="str">
        <f>IFERROR(__xludf.DUMMYFUNCTION("GOOGLETRANSLATE(D204, ""en"", ""hi"")"),"C) व्लादिमीर क्रैमनिक")</f>
        <v>C) व्लादिमीर क्रैमनिक</v>
      </c>
    </row>
    <row r="205" ht="22.5" customHeight="1">
      <c r="A205" s="3">
        <v>204.0</v>
      </c>
      <c r="B205" s="4" t="s">
        <v>1282</v>
      </c>
      <c r="C205" s="4" t="s">
        <v>1283</v>
      </c>
      <c r="D205" s="4" t="s">
        <v>1049</v>
      </c>
      <c r="F205" s="4" t="str">
        <f>IFERROR(__xludf.DUMMYFUNCTION("GOOGLETRANSLATE(A205, ""en"", ""hi"")"),"204")</f>
        <v>204</v>
      </c>
      <c r="G205" s="4" t="str">
        <f>IFERROR(__xludf.DUMMYFUNCTION("GOOGLETRANSLATE(B205, ""en"", ""hi"")"),"ब्लिट्ज शतरंज में 2800 से अधिक FIDE रेटिंग प्राप्त करने वाला पहला खिलाड़ी कौन था?")</f>
        <v>ब्लिट्ज शतरंज में 2800 से अधिक FIDE रेटिंग प्राप्त करने वाला पहला खिलाड़ी कौन था?</v>
      </c>
      <c r="H205" s="4" t="str">
        <f>IFERROR(__xludf.DUMMYFUNCTION("GOOGLETRANSLATE(C205, ""en"", ""hi"")"),"A) गैरी कास्पारोव, B) बॉबी फिशर, C) मैग्नस कार्लसन, D) हिकारू नाकामुरा")</f>
        <v>A) गैरी कास्पारोव, B) बॉबी फिशर, C) मैग्नस कार्लसन, D) हिकारू नाकामुरा</v>
      </c>
      <c r="I205" s="4" t="str">
        <f>IFERROR(__xludf.DUMMYFUNCTION("GOOGLETRANSLATE(D205, ""en"", ""hi"")"),"C) मैग्नस कार्लसन")</f>
        <v>C) मैग्नस कार्लसन</v>
      </c>
    </row>
    <row r="206" ht="22.5" customHeight="1">
      <c r="A206" s="3">
        <v>205.0</v>
      </c>
      <c r="B206" s="4" t="s">
        <v>1284</v>
      </c>
      <c r="C206" s="4" t="s">
        <v>1033</v>
      </c>
      <c r="D206" s="4" t="s">
        <v>1034</v>
      </c>
      <c r="F206" s="4" t="str">
        <f>IFERROR(__xludf.DUMMYFUNCTION("GOOGLETRANSLATE(A206, ""en"", ""hi"")"),"205")</f>
        <v>205</v>
      </c>
      <c r="G206" s="4" t="str">
        <f>IFERROR(__xludf.DUMMYFUNCTION("GOOGLETRANSLATE(B206,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06" s="4" t="str">
        <f>IFERROR(__xludf.DUMMYFUNCTION("GOOGLETRANSLATE(C206, ""en"", ""hi"")"),"ए) गैरी कास्परोव, बी) अनातोली कार्पोव, सी) व्लादिमीर क्रैमनिक, डी) विश्वनाथन आनंद")</f>
        <v>ए) गैरी कास्परोव, बी) अनातोली कार्पोव, सी) व्लादिमीर क्रैमनिक, डी) विश्वनाथन आनंद</v>
      </c>
      <c r="I206" s="4" t="str">
        <f>IFERROR(__xludf.DUMMYFUNCTION("GOOGLETRANSLATE(D206, ""en"", ""hi"")"),"D) विश्वनाथन आनंद")</f>
        <v>D) विश्वनाथन आनंद</v>
      </c>
    </row>
    <row r="207" ht="22.5" customHeight="1">
      <c r="A207" s="3">
        <v>206.0</v>
      </c>
      <c r="B207" s="4" t="s">
        <v>1285</v>
      </c>
      <c r="C207" s="4" t="s">
        <v>1033</v>
      </c>
      <c r="D207" s="4" t="s">
        <v>1105</v>
      </c>
      <c r="F207" s="4" t="str">
        <f>IFERROR(__xludf.DUMMYFUNCTION("GOOGLETRANSLATE(A207, ""en"", ""hi"")"),"206")</f>
        <v>206</v>
      </c>
      <c r="G207" s="4" t="str">
        <f>IFERROR(__xludf.DUMMYFUNCTION("GOOGLETRANSLATE(B207,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07" s="4" t="str">
        <f>IFERROR(__xludf.DUMMYFUNCTION("GOOGLETRANSLATE(C207, ""en"", ""hi"")"),"ए) गैरी कास्परोव, बी) अनातोली कार्पोव, सी) व्लादिमीर क्रैमनिक, डी) विश्वनाथन आनंद")</f>
        <v>ए) गैरी कास्परोव, बी) अनातोली कार्पोव, सी) व्लादिमीर क्रैमनिक, डी) विश्वनाथन आनंद</v>
      </c>
      <c r="I207" s="4" t="str">
        <f>IFERROR(__xludf.DUMMYFUNCTION("GOOGLETRANSLATE(D207, ""en"", ""hi"")"),"C) व्लादिमीर क्रैमनिक")</f>
        <v>C) व्लादिमीर क्रैमनिक</v>
      </c>
    </row>
    <row r="208" ht="22.5" customHeight="1">
      <c r="A208" s="3">
        <v>207.0</v>
      </c>
      <c r="B208" s="4" t="s">
        <v>1286</v>
      </c>
      <c r="C208" s="4" t="s">
        <v>1283</v>
      </c>
      <c r="D208" s="4" t="s">
        <v>1049</v>
      </c>
      <c r="F208" s="4" t="str">
        <f>IFERROR(__xludf.DUMMYFUNCTION("GOOGLETRANSLATE(A208, ""en"", ""hi"")"),"207")</f>
        <v>207</v>
      </c>
      <c r="G208" s="4" t="str">
        <f>IFERROR(__xludf.DUMMYFUNCTION("GOOGLETRANSLATE(B208, ""en"", ""hi"")"),"ब्लिट्ज शतरंज में 2700 से अधिक FIDE रेटिंग प्राप्त करने वाला पहला खिलाड़ी कौन था?")</f>
        <v>ब्लिट्ज शतरंज में 2700 से अधिक FIDE रेटिंग प्राप्त करने वाला पहला खिलाड़ी कौन था?</v>
      </c>
      <c r="H208" s="4" t="str">
        <f>IFERROR(__xludf.DUMMYFUNCTION("GOOGLETRANSLATE(C208, ""en"", ""hi"")"),"A) गैरी कास्पारोव, B) बॉबी फिशर, C) मैग्नस कार्लसन, D) हिकारू नाकामुरा")</f>
        <v>A) गैरी कास्पारोव, B) बॉबी फिशर, C) मैग्नस कार्लसन, D) हिकारू नाकामुरा</v>
      </c>
      <c r="I208" s="4" t="str">
        <f>IFERROR(__xludf.DUMMYFUNCTION("GOOGLETRANSLATE(D208, ""en"", ""hi"")"),"C) मैग्नस कार्लसन")</f>
        <v>C) मैग्नस कार्लसन</v>
      </c>
    </row>
    <row r="209" ht="22.5" customHeight="1">
      <c r="A209" s="3">
        <v>208.0</v>
      </c>
      <c r="B209" s="4" t="s">
        <v>1284</v>
      </c>
      <c r="C209" s="4" t="s">
        <v>1033</v>
      </c>
      <c r="D209" s="4" t="s">
        <v>1034</v>
      </c>
      <c r="F209" s="4" t="str">
        <f>IFERROR(__xludf.DUMMYFUNCTION("GOOGLETRANSLATE(A209, ""en"", ""hi"")"),"208")</f>
        <v>208</v>
      </c>
      <c r="G209" s="4" t="str">
        <f>IFERROR(__xludf.DUMMYFUNCTION("GOOGLETRANSLATE(B209,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09" s="4" t="str">
        <f>IFERROR(__xludf.DUMMYFUNCTION("GOOGLETRANSLATE(C209, ""en"", ""hi"")"),"ए) गैरी कास्परोव, बी) अनातोली कार्पोव, सी) व्लादिमीर क्रैमनिक, डी) विश्वनाथन आनंद")</f>
        <v>ए) गैरी कास्परोव, बी) अनातोली कार्पोव, सी) व्लादिमीर क्रैमनिक, डी) विश्वनाथन आनंद</v>
      </c>
      <c r="I209" s="4" t="str">
        <f>IFERROR(__xludf.DUMMYFUNCTION("GOOGLETRANSLATE(D209, ""en"", ""hi"")"),"D) विश्वनाथन आनंद")</f>
        <v>D) विश्वनाथन आनंद</v>
      </c>
    </row>
    <row r="210" ht="22.5" customHeight="1">
      <c r="A210" s="3">
        <v>209.0</v>
      </c>
      <c r="B210" s="4" t="s">
        <v>1277</v>
      </c>
      <c r="C210" s="4" t="s">
        <v>1033</v>
      </c>
      <c r="D210" s="4" t="s">
        <v>1105</v>
      </c>
      <c r="F210" s="4" t="str">
        <f>IFERROR(__xludf.DUMMYFUNCTION("GOOGLETRANSLATE(A210, ""en"", ""hi"")"),"209")</f>
        <v>209</v>
      </c>
      <c r="G210" s="4" t="str">
        <f>IFERROR(__xludf.DUMMYFUNCTION("GOOGLETRANSLATE(B210, ""en"", ""hi"")"),"कौन सा विश्व शतरंज चैंपियन उस शहर में आयोजित मैच के बाद खिताब जीतने वाला पहला खिलाड़ी था, जहां न तो कोई खिलाड़ी निवासी था और न ही नागरिक?")</f>
        <v>कौन सा विश्व शतरंज चैंपियन उस शहर में आयोजित मैच के बाद खिताब जीतने वाला पहला खिलाड़ी था, जहां न तो कोई खिलाड़ी निवासी था और न ही नागरिक?</v>
      </c>
      <c r="H210" s="4" t="str">
        <f>IFERROR(__xludf.DUMMYFUNCTION("GOOGLETRANSLATE(C210, ""en"", ""hi"")"),"ए) गैरी कास्परोव, बी) अनातोली कार्पोव, सी) व्लादिमीर क्रैमनिक, डी) विश्वनाथन आनंद")</f>
        <v>ए) गैरी कास्परोव, बी) अनातोली कार्पोव, सी) व्लादिमीर क्रैमनिक, डी) विश्वनाथन आनंद</v>
      </c>
      <c r="I210" s="4" t="str">
        <f>IFERROR(__xludf.DUMMYFUNCTION("GOOGLETRANSLATE(D210, ""en"", ""hi"")"),"C) व्लादिमीर क्रैमनिक")</f>
        <v>C) व्लादिमीर क्रैमनिक</v>
      </c>
    </row>
    <row r="211" ht="22.5" customHeight="1">
      <c r="A211" s="3">
        <v>210.0</v>
      </c>
      <c r="B211" s="4" t="s">
        <v>1282</v>
      </c>
      <c r="C211" s="4" t="s">
        <v>1283</v>
      </c>
      <c r="D211" s="4" t="s">
        <v>1049</v>
      </c>
      <c r="F211" s="4" t="str">
        <f>IFERROR(__xludf.DUMMYFUNCTION("GOOGLETRANSLATE(A211, ""en"", ""hi"")"),"210")</f>
        <v>210</v>
      </c>
      <c r="G211" s="4" t="str">
        <f>IFERROR(__xludf.DUMMYFUNCTION("GOOGLETRANSLATE(B211, ""en"", ""hi"")"),"ब्लिट्ज शतरंज में 2800 से अधिक FIDE रेटिंग प्राप्त करने वाला पहला खिलाड़ी कौन था?")</f>
        <v>ब्लिट्ज शतरंज में 2800 से अधिक FIDE रेटिंग प्राप्त करने वाला पहला खिलाड़ी कौन था?</v>
      </c>
      <c r="H211" s="4" t="str">
        <f>IFERROR(__xludf.DUMMYFUNCTION("GOOGLETRANSLATE(C211, ""en"", ""hi"")"),"A) गैरी कास्पारोव, B) बॉबी फिशर, C) मैग्नस कार्लसन, D) हिकारू नाकामुरा")</f>
        <v>A) गैरी कास्पारोव, B) बॉबी फिशर, C) मैग्नस कार्लसन, D) हिकारू नाकामुरा</v>
      </c>
      <c r="I211" s="4" t="str">
        <f>IFERROR(__xludf.DUMMYFUNCTION("GOOGLETRANSLATE(D211, ""en"", ""hi"")"),"C) मैग्नस कार्लसन")</f>
        <v>C) मैग्नस कार्लसन</v>
      </c>
    </row>
    <row r="212" ht="22.5" customHeight="1">
      <c r="A212" s="3">
        <v>211.0</v>
      </c>
      <c r="B212" s="4" t="s">
        <v>1284</v>
      </c>
      <c r="C212" s="4" t="s">
        <v>1033</v>
      </c>
      <c r="D212" s="4" t="s">
        <v>1034</v>
      </c>
      <c r="F212" s="4" t="str">
        <f>IFERROR(__xludf.DUMMYFUNCTION("GOOGLETRANSLATE(A212, ""en"", ""hi"")"),"211")</f>
        <v>211</v>
      </c>
      <c r="G212" s="4" t="str">
        <f>IFERROR(__xludf.DUMMYFUNCTION("GOOGLETRANSLATE(B212,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12" s="4" t="str">
        <f>IFERROR(__xludf.DUMMYFUNCTION("GOOGLETRANSLATE(C212, ""en"", ""hi"")"),"ए) गैरी कास्परोव, बी) अनातोली कार्पोव, सी) व्लादिमीर क्रैमनिक, डी) विश्वनाथन आनंद")</f>
        <v>ए) गैरी कास्परोव, बी) अनातोली कार्पोव, सी) व्लादिमीर क्रैमनिक, डी) विश्वनाथन आनंद</v>
      </c>
      <c r="I212" s="4" t="str">
        <f>IFERROR(__xludf.DUMMYFUNCTION("GOOGLETRANSLATE(D212, ""en"", ""hi"")"),"D) विश्वनाथन आनंद")</f>
        <v>D) विश्वनाथन आनंद</v>
      </c>
    </row>
    <row r="213" ht="22.5" customHeight="1">
      <c r="A213" s="3">
        <v>212.0</v>
      </c>
      <c r="B213" s="4" t="s">
        <v>1285</v>
      </c>
      <c r="C213" s="4" t="s">
        <v>1033</v>
      </c>
      <c r="D213" s="4" t="s">
        <v>1105</v>
      </c>
      <c r="F213" s="4" t="str">
        <f>IFERROR(__xludf.DUMMYFUNCTION("GOOGLETRANSLATE(A213, ""en"", ""hi"")"),"212")</f>
        <v>212</v>
      </c>
      <c r="G213" s="4" t="str">
        <f>IFERROR(__xludf.DUMMYFUNCTION("GOOGLETRANSLATE(B213,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13" s="4" t="str">
        <f>IFERROR(__xludf.DUMMYFUNCTION("GOOGLETRANSLATE(C213, ""en"", ""hi"")"),"ए) गैरी कास्परोव, बी) अनातोली कार्पोव, सी) व्लादिमीर क्रैमनिक, डी) विश्वनाथन आनंद")</f>
        <v>ए) गैरी कास्परोव, बी) अनातोली कार्पोव, सी) व्लादिमीर क्रैमनिक, डी) विश्वनाथन आनंद</v>
      </c>
      <c r="I213" s="4" t="str">
        <f>IFERROR(__xludf.DUMMYFUNCTION("GOOGLETRANSLATE(D213, ""en"", ""hi"")"),"C) व्लादिमीर क्रैमनिक")</f>
        <v>C) व्लादिमीर क्रैमनिक</v>
      </c>
    </row>
    <row r="214" ht="22.5" customHeight="1">
      <c r="A214" s="3">
        <v>213.0</v>
      </c>
      <c r="B214" s="4" t="s">
        <v>1286</v>
      </c>
      <c r="C214" s="4" t="s">
        <v>1283</v>
      </c>
      <c r="D214" s="4" t="s">
        <v>1049</v>
      </c>
      <c r="F214" s="4" t="str">
        <f>IFERROR(__xludf.DUMMYFUNCTION("GOOGLETRANSLATE(A214, ""en"", ""hi"")"),"213")</f>
        <v>213</v>
      </c>
      <c r="G214" s="4" t="str">
        <f>IFERROR(__xludf.DUMMYFUNCTION("GOOGLETRANSLATE(B214, ""en"", ""hi"")"),"ब्लिट्ज शतरंज में 2700 से अधिक FIDE रेटिंग प्राप्त करने वाला पहला खिलाड़ी कौन था?")</f>
        <v>ब्लिट्ज शतरंज में 2700 से अधिक FIDE रेटिंग प्राप्त करने वाला पहला खिलाड़ी कौन था?</v>
      </c>
      <c r="H214" s="4" t="str">
        <f>IFERROR(__xludf.DUMMYFUNCTION("GOOGLETRANSLATE(C214, ""en"", ""hi"")"),"A) गैरी कास्पारोव, B) बॉबी फिशर, C) मैग्नस कार्लसन, D) हिकारू नाकामुरा")</f>
        <v>A) गैरी कास्पारोव, B) बॉबी फिशर, C) मैग्नस कार्लसन, D) हिकारू नाकामुरा</v>
      </c>
      <c r="I214" s="4" t="str">
        <f>IFERROR(__xludf.DUMMYFUNCTION("GOOGLETRANSLATE(D214, ""en"", ""hi"")"),"C) मैग्नस कार्लसन")</f>
        <v>C) मैग्नस कार्लसन</v>
      </c>
    </row>
    <row r="215" ht="22.5" customHeight="1">
      <c r="A215" s="3">
        <v>214.0</v>
      </c>
      <c r="B215" s="4" t="s">
        <v>1284</v>
      </c>
      <c r="C215" s="4" t="s">
        <v>1033</v>
      </c>
      <c r="D215" s="4" t="s">
        <v>1034</v>
      </c>
      <c r="F215" s="4" t="str">
        <f>IFERROR(__xludf.DUMMYFUNCTION("GOOGLETRANSLATE(A215, ""en"", ""hi"")"),"214")</f>
        <v>214</v>
      </c>
      <c r="G215" s="4" t="str">
        <f>IFERROR(__xludf.DUMMYFUNCTION("GOOGLETRANSLATE(B215,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15" s="4" t="str">
        <f>IFERROR(__xludf.DUMMYFUNCTION("GOOGLETRANSLATE(C215, ""en"", ""hi"")"),"ए) गैरी कास्परोव, बी) अनातोली कार्पोव, सी) व्लादिमीर क्रैमनिक, डी) विश्वनाथन आनंद")</f>
        <v>ए) गैरी कास्परोव, बी) अनातोली कार्पोव, सी) व्लादिमीर क्रैमनिक, डी) विश्वनाथन आनंद</v>
      </c>
      <c r="I215" s="4" t="str">
        <f>IFERROR(__xludf.DUMMYFUNCTION("GOOGLETRANSLATE(D215, ""en"", ""hi"")"),"D) विश्वनाथन आनंद")</f>
        <v>D) विश्वनाथन आनंद</v>
      </c>
    </row>
    <row r="216" ht="22.5" customHeight="1">
      <c r="A216" s="3">
        <v>215.0</v>
      </c>
      <c r="B216" s="4" t="s">
        <v>1285</v>
      </c>
      <c r="C216" s="4" t="s">
        <v>1033</v>
      </c>
      <c r="D216" s="4" t="s">
        <v>1105</v>
      </c>
      <c r="F216" s="4" t="str">
        <f>IFERROR(__xludf.DUMMYFUNCTION("GOOGLETRANSLATE(A216, ""en"", ""hi"")"),"215")</f>
        <v>215</v>
      </c>
      <c r="G216" s="4" t="str">
        <f>IFERROR(__xludf.DUMMYFUNCTION("GOOGLETRANSLATE(B216,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16" s="4" t="str">
        <f>IFERROR(__xludf.DUMMYFUNCTION("GOOGLETRANSLATE(C216, ""en"", ""hi"")"),"ए) गैरी कास्परोव, बी) अनातोली कार्पोव, सी) व्लादिमीर क्रैमनिक, डी) विश्वनाथन आनंद")</f>
        <v>ए) गैरी कास्परोव, बी) अनातोली कार्पोव, सी) व्लादिमीर क्रैमनिक, डी) विश्वनाथन आनंद</v>
      </c>
      <c r="I216" s="4" t="str">
        <f>IFERROR(__xludf.DUMMYFUNCTION("GOOGLETRANSLATE(D216, ""en"", ""hi"")"),"C) व्लादिमीर क्रैमनिक")</f>
        <v>C) व्लादिमीर क्रैमनिक</v>
      </c>
    </row>
    <row r="217" ht="22.5" customHeight="1">
      <c r="A217" s="3">
        <v>216.0</v>
      </c>
      <c r="B217" s="4" t="s">
        <v>1286</v>
      </c>
      <c r="C217" s="4" t="s">
        <v>1283</v>
      </c>
      <c r="D217" s="4" t="s">
        <v>1049</v>
      </c>
      <c r="F217" s="4" t="str">
        <f>IFERROR(__xludf.DUMMYFUNCTION("GOOGLETRANSLATE(A217, ""en"", ""hi"")"),"216")</f>
        <v>216</v>
      </c>
      <c r="G217" s="4" t="str">
        <f>IFERROR(__xludf.DUMMYFUNCTION("GOOGLETRANSLATE(B217, ""en"", ""hi"")"),"ब्लिट्ज शतरंज में 2700 से अधिक FIDE रेटिंग प्राप्त करने वाला पहला खिलाड़ी कौन था?")</f>
        <v>ब्लिट्ज शतरंज में 2700 से अधिक FIDE रेटिंग प्राप्त करने वाला पहला खिलाड़ी कौन था?</v>
      </c>
      <c r="H217" s="4" t="str">
        <f>IFERROR(__xludf.DUMMYFUNCTION("GOOGLETRANSLATE(C217, ""en"", ""hi"")"),"A) गैरी कास्पारोव, B) बॉबी फिशर, C) मैग्नस कार्लसन, D) हिकारू नाकामुरा")</f>
        <v>A) गैरी कास्पारोव, B) बॉबी फिशर, C) मैग्नस कार्लसन, D) हिकारू नाकामुरा</v>
      </c>
      <c r="I217" s="4" t="str">
        <f>IFERROR(__xludf.DUMMYFUNCTION("GOOGLETRANSLATE(D217, ""en"", ""hi"")"),"C) मैग्नस कार्लसन")</f>
        <v>C) मैग्नस कार्लसन</v>
      </c>
    </row>
    <row r="218" ht="22.5" customHeight="1">
      <c r="A218" s="3">
        <v>217.0</v>
      </c>
      <c r="B218" s="4" t="s">
        <v>1284</v>
      </c>
      <c r="C218" s="4" t="s">
        <v>1033</v>
      </c>
      <c r="D218" s="4" t="s">
        <v>1034</v>
      </c>
      <c r="F218" s="4" t="str">
        <f>IFERROR(__xludf.DUMMYFUNCTION("GOOGLETRANSLATE(A218, ""en"", ""hi"")"),"217")</f>
        <v>217</v>
      </c>
      <c r="G218" s="4" t="str">
        <f>IFERROR(__xludf.DUMMYFUNCTION("GOOGLETRANSLATE(B218,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18" s="4" t="str">
        <f>IFERROR(__xludf.DUMMYFUNCTION("GOOGLETRANSLATE(C218, ""en"", ""hi"")"),"ए) गैरी कास्परोव, बी) अनातोली कार्पोव, सी) व्लादिमीर क्रैमनिक, डी) विश्वनाथन आनंद")</f>
        <v>ए) गैरी कास्परोव, बी) अनातोली कार्पोव, सी) व्लादिमीर क्रैमनिक, डी) विश्वनाथन आनंद</v>
      </c>
      <c r="I218" s="4" t="str">
        <f>IFERROR(__xludf.DUMMYFUNCTION("GOOGLETRANSLATE(D218, ""en"", ""hi"")"),"D) विश्वनाथन आनंद")</f>
        <v>D) विश्वनाथन आनंद</v>
      </c>
    </row>
    <row r="219" ht="22.5" customHeight="1">
      <c r="A219" s="3">
        <v>218.0</v>
      </c>
      <c r="B219" s="4" t="s">
        <v>1285</v>
      </c>
      <c r="C219" s="4" t="s">
        <v>1033</v>
      </c>
      <c r="D219" s="4" t="s">
        <v>1105</v>
      </c>
      <c r="F219" s="4" t="str">
        <f>IFERROR(__xludf.DUMMYFUNCTION("GOOGLETRANSLATE(A219, ""en"", ""hi"")"),"218")</f>
        <v>218</v>
      </c>
      <c r="G219" s="4" t="str">
        <f>IFERROR(__xludf.DUMMYFUNCTION("GOOGLETRANSLATE(B219,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19" s="4" t="str">
        <f>IFERROR(__xludf.DUMMYFUNCTION("GOOGLETRANSLATE(C219, ""en"", ""hi"")"),"ए) गैरी कास्परोव, बी) अनातोली कार्पोव, सी) व्लादिमीर क्रैमनिक, डी) विश्वनाथन आनंद")</f>
        <v>ए) गैरी कास्परोव, बी) अनातोली कार्पोव, सी) व्लादिमीर क्रैमनिक, डी) विश्वनाथन आनंद</v>
      </c>
      <c r="I219" s="4" t="str">
        <f>IFERROR(__xludf.DUMMYFUNCTION("GOOGLETRANSLATE(D219, ""en"", ""hi"")"),"C) व्लादिमीर क्रैमनिक")</f>
        <v>C) व्लादिमीर क्रैमनिक</v>
      </c>
    </row>
    <row r="220" ht="22.5" customHeight="1">
      <c r="A220" s="3">
        <v>219.0</v>
      </c>
      <c r="B220" s="4" t="s">
        <v>1286</v>
      </c>
      <c r="C220" s="4" t="s">
        <v>1283</v>
      </c>
      <c r="D220" s="4" t="s">
        <v>1049</v>
      </c>
      <c r="F220" s="4" t="str">
        <f>IFERROR(__xludf.DUMMYFUNCTION("GOOGLETRANSLATE(A220, ""en"", ""hi"")"),"219")</f>
        <v>219</v>
      </c>
      <c r="G220" s="4" t="str">
        <f>IFERROR(__xludf.DUMMYFUNCTION("GOOGLETRANSLATE(B220, ""en"", ""hi"")"),"ब्लिट्ज शतरंज में 2700 से अधिक FIDE रेटिंग प्राप्त करने वाला पहला खिलाड़ी कौन था?")</f>
        <v>ब्लिट्ज शतरंज में 2700 से अधिक FIDE रेटिंग प्राप्त करने वाला पहला खिलाड़ी कौन था?</v>
      </c>
      <c r="H220" s="4" t="str">
        <f>IFERROR(__xludf.DUMMYFUNCTION("GOOGLETRANSLATE(C220, ""en"", ""hi"")"),"A) गैरी कास्पारोव, B) बॉबी फिशर, C) मैग्नस कार्लसन, D) हिकारू नाकामुरा")</f>
        <v>A) गैरी कास्पारोव, B) बॉबी फिशर, C) मैग्नस कार्लसन, D) हिकारू नाकामुरा</v>
      </c>
      <c r="I220" s="4" t="str">
        <f>IFERROR(__xludf.DUMMYFUNCTION("GOOGLETRANSLATE(D220, ""en"", ""hi"")"),"C) मैग्नस कार्लसन")</f>
        <v>C) मैग्नस कार्लसन</v>
      </c>
    </row>
    <row r="221" ht="22.5" customHeight="1">
      <c r="A221" s="3">
        <v>220.0</v>
      </c>
      <c r="B221" s="4" t="s">
        <v>1284</v>
      </c>
      <c r="C221" s="4" t="s">
        <v>1033</v>
      </c>
      <c r="D221" s="4" t="s">
        <v>1034</v>
      </c>
      <c r="F221" s="4" t="str">
        <f>IFERROR(__xludf.DUMMYFUNCTION("GOOGLETRANSLATE(A221, ""en"", ""hi"")"),"220")</f>
        <v>220</v>
      </c>
      <c r="G221" s="4" t="str">
        <f>IFERROR(__xludf.DUMMYFUNCTION("GOOGLETRANSLATE(B221,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21" s="4" t="str">
        <f>IFERROR(__xludf.DUMMYFUNCTION("GOOGLETRANSLATE(C221, ""en"", ""hi"")"),"ए) गैरी कास्परोव, बी) अनातोली कार्पोव, सी) व्लादिमीर क्रैमनिक, डी) विश्वनाथन आनंद")</f>
        <v>ए) गैरी कास्परोव, बी) अनातोली कार्पोव, सी) व्लादिमीर क्रैमनिक, डी) विश्वनाथन आनंद</v>
      </c>
      <c r="I221" s="4" t="str">
        <f>IFERROR(__xludf.DUMMYFUNCTION("GOOGLETRANSLATE(D221, ""en"", ""hi"")"),"D) विश्वनाथन आनंद")</f>
        <v>D) विश्वनाथन आनंद</v>
      </c>
    </row>
    <row r="222" ht="22.5" customHeight="1">
      <c r="A222" s="3">
        <v>221.0</v>
      </c>
      <c r="B222" s="4" t="s">
        <v>1285</v>
      </c>
      <c r="C222" s="4" t="s">
        <v>1033</v>
      </c>
      <c r="D222" s="4" t="s">
        <v>1105</v>
      </c>
      <c r="F222" s="4" t="str">
        <f>IFERROR(__xludf.DUMMYFUNCTION("GOOGLETRANSLATE(A222, ""en"", ""hi"")"),"221")</f>
        <v>221</v>
      </c>
      <c r="G222" s="4" t="str">
        <f>IFERROR(__xludf.DUMMYFUNCTION("GOOGLETRANSLATE(B222,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22" s="4" t="str">
        <f>IFERROR(__xludf.DUMMYFUNCTION("GOOGLETRANSLATE(C222, ""en"", ""hi"")"),"ए) गैरी कास्परोव, बी) अनातोली कार्पोव, सी) व्लादिमीर क्रैमनिक, डी) विश्वनाथन आनंद")</f>
        <v>ए) गैरी कास्परोव, बी) अनातोली कार्पोव, सी) व्लादिमीर क्रैमनिक, डी) विश्वनाथन आनंद</v>
      </c>
      <c r="I222" s="4" t="str">
        <f>IFERROR(__xludf.DUMMYFUNCTION("GOOGLETRANSLATE(D222, ""en"", ""hi"")"),"C) व्लादिमीर क्रैमनिक")</f>
        <v>C) व्लादिमीर क्रैमनिक</v>
      </c>
    </row>
    <row r="223" ht="22.5" customHeight="1">
      <c r="A223" s="3">
        <v>222.0</v>
      </c>
      <c r="B223" s="4" t="s">
        <v>1286</v>
      </c>
      <c r="C223" s="4" t="s">
        <v>1283</v>
      </c>
      <c r="D223" s="4" t="s">
        <v>1049</v>
      </c>
      <c r="F223" s="4" t="str">
        <f>IFERROR(__xludf.DUMMYFUNCTION("GOOGLETRANSLATE(A223, ""en"", ""hi"")"),"222")</f>
        <v>222</v>
      </c>
      <c r="G223" s="4" t="str">
        <f>IFERROR(__xludf.DUMMYFUNCTION("GOOGLETRANSLATE(B223, ""en"", ""hi"")"),"ब्लिट्ज शतरंज में 2700 से अधिक FIDE रेटिंग प्राप्त करने वाला पहला खिलाड़ी कौन था?")</f>
        <v>ब्लिट्ज शतरंज में 2700 से अधिक FIDE रेटिंग प्राप्त करने वाला पहला खिलाड़ी कौन था?</v>
      </c>
      <c r="H223" s="4" t="str">
        <f>IFERROR(__xludf.DUMMYFUNCTION("GOOGLETRANSLATE(C223, ""en"", ""hi"")"),"A) गैरी कास्पारोव, B) बॉबी फिशर, C) मैग्नस कार्लसन, D) हिकारू नाकामुरा")</f>
        <v>A) गैरी कास्पारोव, B) बॉबी फिशर, C) मैग्नस कार्लसन, D) हिकारू नाकामुरा</v>
      </c>
      <c r="I223" s="4" t="str">
        <f>IFERROR(__xludf.DUMMYFUNCTION("GOOGLETRANSLATE(D223, ""en"", ""hi"")"),"C) मैग्नस कार्लसन")</f>
        <v>C) मैग्नस कार्लसन</v>
      </c>
    </row>
    <row r="224" ht="22.5" customHeight="1">
      <c r="A224" s="3">
        <v>223.0</v>
      </c>
      <c r="B224" s="4" t="s">
        <v>1284</v>
      </c>
      <c r="C224" s="4" t="s">
        <v>1033</v>
      </c>
      <c r="D224" s="4" t="s">
        <v>1034</v>
      </c>
      <c r="F224" s="4" t="str">
        <f>IFERROR(__xludf.DUMMYFUNCTION("GOOGLETRANSLATE(A224, ""en"", ""hi"")"),"223")</f>
        <v>223</v>
      </c>
      <c r="G224" s="4" t="str">
        <f>IFERROR(__xludf.DUMMYFUNCTION("GOOGLETRANSLATE(B224,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24" s="4" t="str">
        <f>IFERROR(__xludf.DUMMYFUNCTION("GOOGLETRANSLATE(C224, ""en"", ""hi"")"),"ए) गैरी कास्परोव, बी) अनातोली कार्पोव, सी) व्लादिमीर क्रैमनिक, डी) विश्वनाथन आनंद")</f>
        <v>ए) गैरी कास्परोव, बी) अनातोली कार्पोव, सी) व्लादिमीर क्रैमनिक, डी) विश्वनाथन आनंद</v>
      </c>
      <c r="I224" s="4" t="str">
        <f>IFERROR(__xludf.DUMMYFUNCTION("GOOGLETRANSLATE(D224, ""en"", ""hi"")"),"D) विश्वनाथन आनंद")</f>
        <v>D) विश्वनाथन आनंद</v>
      </c>
    </row>
    <row r="225" ht="22.5" customHeight="1">
      <c r="A225" s="3">
        <v>224.0</v>
      </c>
      <c r="B225" s="4" t="s">
        <v>1285</v>
      </c>
      <c r="C225" s="4" t="s">
        <v>1033</v>
      </c>
      <c r="D225" s="4" t="s">
        <v>1105</v>
      </c>
      <c r="F225" s="4" t="str">
        <f>IFERROR(__xludf.DUMMYFUNCTION("GOOGLETRANSLATE(A225, ""en"", ""hi"")"),"224")</f>
        <v>224</v>
      </c>
      <c r="G225" s="4" t="str">
        <f>IFERROR(__xludf.DUMMYFUNCTION("GOOGLETRANSLATE(B225,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25" s="4" t="str">
        <f>IFERROR(__xludf.DUMMYFUNCTION("GOOGLETRANSLATE(C225, ""en"", ""hi"")"),"ए) गैरी कास्परोव, बी) अनातोली कार्पोव, सी) व्लादिमीर क्रैमनिक, डी) विश्वनाथन आनंद")</f>
        <v>ए) गैरी कास्परोव, बी) अनातोली कार्पोव, सी) व्लादिमीर क्रैमनिक, डी) विश्वनाथन आनंद</v>
      </c>
      <c r="I225" s="4" t="str">
        <f>IFERROR(__xludf.DUMMYFUNCTION("GOOGLETRANSLATE(D225, ""en"", ""hi"")"),"C) व्लादिमीर क्रैमनिक")</f>
        <v>C) व्लादिमीर क्रैमनिक</v>
      </c>
    </row>
    <row r="226" ht="22.5" customHeight="1">
      <c r="A226" s="3">
        <v>225.0</v>
      </c>
      <c r="B226" s="4" t="s">
        <v>1286</v>
      </c>
      <c r="C226" s="4" t="s">
        <v>1283</v>
      </c>
      <c r="D226" s="4" t="s">
        <v>1049</v>
      </c>
      <c r="F226" s="4" t="str">
        <f>IFERROR(__xludf.DUMMYFUNCTION("GOOGLETRANSLATE(A226, ""en"", ""hi"")"),"225")</f>
        <v>225</v>
      </c>
      <c r="G226" s="4" t="str">
        <f>IFERROR(__xludf.DUMMYFUNCTION("GOOGLETRANSLATE(B226, ""en"", ""hi"")"),"ब्लिट्ज शतरंज में 2700 से अधिक FIDE रेटिंग प्राप्त करने वाला पहला खिलाड़ी कौन था?")</f>
        <v>ब्लिट्ज शतरंज में 2700 से अधिक FIDE रेटिंग प्राप्त करने वाला पहला खिलाड़ी कौन था?</v>
      </c>
      <c r="H226" s="4" t="str">
        <f>IFERROR(__xludf.DUMMYFUNCTION("GOOGLETRANSLATE(C226, ""en"", ""hi"")"),"A) गैरी कास्पारोव, B) बॉबी फिशर, C) मैग्नस कार्लसन, D) हिकारू नाकामुरा")</f>
        <v>A) गैरी कास्पारोव, B) बॉबी फिशर, C) मैग्नस कार्लसन, D) हिकारू नाकामुरा</v>
      </c>
      <c r="I226" s="4" t="str">
        <f>IFERROR(__xludf.DUMMYFUNCTION("GOOGLETRANSLATE(D226, ""en"", ""hi"")"),"C) मैग्नस कार्लसन")</f>
        <v>C) मैग्नस कार्लसन</v>
      </c>
    </row>
    <row r="227" ht="22.5" customHeight="1">
      <c r="A227" s="3">
        <v>226.0</v>
      </c>
      <c r="B227" s="4" t="s">
        <v>1284</v>
      </c>
      <c r="C227" s="4" t="s">
        <v>1033</v>
      </c>
      <c r="D227" s="4" t="s">
        <v>1034</v>
      </c>
      <c r="F227" s="4" t="str">
        <f>IFERROR(__xludf.DUMMYFUNCTION("GOOGLETRANSLATE(A227, ""en"", ""hi"")"),"226")</f>
        <v>226</v>
      </c>
      <c r="G227" s="4" t="str">
        <f>IFERROR(__xludf.DUMMYFUNCTION("GOOGLETRANSLATE(B227,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27" s="4" t="str">
        <f>IFERROR(__xludf.DUMMYFUNCTION("GOOGLETRANSLATE(C227, ""en"", ""hi"")"),"ए) गैरी कास्परोव, बी) अनातोली कार्पोव, सी) व्लादिमीर क्रैमनिक, डी) विश्वनाथन आनंद")</f>
        <v>ए) गैरी कास्परोव, बी) अनातोली कार्पोव, सी) व्लादिमीर क्रैमनिक, डी) विश्वनाथन आनंद</v>
      </c>
      <c r="I227" s="4" t="str">
        <f>IFERROR(__xludf.DUMMYFUNCTION("GOOGLETRANSLATE(D227, ""en"", ""hi"")"),"D) विश्वनाथन आनंद")</f>
        <v>D) विश्वनाथन आनंद</v>
      </c>
    </row>
    <row r="228" ht="22.5" customHeight="1">
      <c r="A228" s="3">
        <v>227.0</v>
      </c>
      <c r="B228" s="4" t="s">
        <v>1285</v>
      </c>
      <c r="C228" s="4" t="s">
        <v>1033</v>
      </c>
      <c r="D228" s="4" t="s">
        <v>1105</v>
      </c>
      <c r="F228" s="4" t="str">
        <f>IFERROR(__xludf.DUMMYFUNCTION("GOOGLETRANSLATE(A228, ""en"", ""hi"")"),"227")</f>
        <v>227</v>
      </c>
      <c r="G228" s="4" t="str">
        <f>IFERROR(__xludf.DUMMYFUNCTION("GOOGLETRANSLATE(B228,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28" s="4" t="str">
        <f>IFERROR(__xludf.DUMMYFUNCTION("GOOGLETRANSLATE(C228, ""en"", ""hi"")"),"ए) गैरी कास्परोव, बी) अनातोली कार्पोव, सी) व्लादिमीर क्रैमनिक, डी) विश्वनाथन आनंद")</f>
        <v>ए) गैरी कास्परोव, बी) अनातोली कार्पोव, सी) व्लादिमीर क्रैमनिक, डी) विश्वनाथन आनंद</v>
      </c>
      <c r="I228" s="4" t="str">
        <f>IFERROR(__xludf.DUMMYFUNCTION("GOOGLETRANSLATE(D228, ""en"", ""hi"")"),"C) व्लादिमीर क्रैमनिक")</f>
        <v>C) व्लादिमीर क्रैमनिक</v>
      </c>
    </row>
    <row r="229" ht="22.5" customHeight="1">
      <c r="A229" s="3">
        <v>228.0</v>
      </c>
      <c r="B229" s="4" t="s">
        <v>1286</v>
      </c>
      <c r="C229" s="4" t="s">
        <v>1283</v>
      </c>
      <c r="D229" s="4" t="s">
        <v>1049</v>
      </c>
      <c r="F229" s="4" t="str">
        <f>IFERROR(__xludf.DUMMYFUNCTION("GOOGLETRANSLATE(A229, ""en"", ""hi"")"),"228")</f>
        <v>228</v>
      </c>
      <c r="G229" s="4" t="str">
        <f>IFERROR(__xludf.DUMMYFUNCTION("GOOGLETRANSLATE(B229, ""en"", ""hi"")"),"ब्लिट्ज शतरंज में 2700 से अधिक FIDE रेटिंग प्राप्त करने वाला पहला खिलाड़ी कौन था?")</f>
        <v>ब्लिट्ज शतरंज में 2700 से अधिक FIDE रेटिंग प्राप्त करने वाला पहला खिलाड़ी कौन था?</v>
      </c>
      <c r="H229" s="4" t="str">
        <f>IFERROR(__xludf.DUMMYFUNCTION("GOOGLETRANSLATE(C229, ""en"", ""hi"")"),"A) गैरी कास्पारोव, B) बॉबी फिशर, C) मैग्नस कार्लसन, D) हिकारू नाकामुरा")</f>
        <v>A) गैरी कास्पारोव, B) बॉबी फिशर, C) मैग्नस कार्लसन, D) हिकारू नाकामुरा</v>
      </c>
      <c r="I229" s="4" t="str">
        <f>IFERROR(__xludf.DUMMYFUNCTION("GOOGLETRANSLATE(D229, ""en"", ""hi"")"),"C) मैग्नस कार्लसन")</f>
        <v>C) मैग्नस कार्लसन</v>
      </c>
    </row>
    <row r="230" ht="22.5" customHeight="1">
      <c r="A230" s="3">
        <v>229.0</v>
      </c>
      <c r="B230" s="4" t="s">
        <v>1284</v>
      </c>
      <c r="C230" s="4" t="s">
        <v>1033</v>
      </c>
      <c r="D230" s="4" t="s">
        <v>1034</v>
      </c>
      <c r="F230" s="4" t="str">
        <f>IFERROR(__xludf.DUMMYFUNCTION("GOOGLETRANSLATE(A230, ""en"", ""hi"")"),"229")</f>
        <v>229</v>
      </c>
      <c r="G230" s="4" t="str">
        <f>IFERROR(__xludf.DUMMYFUNCTION("GOOGLETRANSLATE(B230, ""en"", ""hi"")"),"कौन सा विश्व शतरंज चैंपियन किसी ऐसे देश में आयोजित मैच के बाद खिताब जीतने वाला पहला खिलाड़ी था, जहां कोई भी खिलाड़ी वहां का निवासी नहीं था?")</f>
        <v>कौन सा विश्व शतरंज चैंपियन किसी ऐसे देश में आयोजित मैच के बाद खिताब जीतने वाला पहला खिलाड़ी था, जहां कोई भी खिलाड़ी वहां का निवासी नहीं था?</v>
      </c>
      <c r="H230" s="4" t="str">
        <f>IFERROR(__xludf.DUMMYFUNCTION("GOOGLETRANSLATE(C230, ""en"", ""hi"")"),"ए) गैरी कास्परोव, बी) अनातोली कार्पोव, सी) व्लादिमीर क्रैमनिक, डी) विश्वनाथन आनंद")</f>
        <v>ए) गैरी कास्परोव, बी) अनातोली कार्पोव, सी) व्लादिमीर क्रैमनिक, डी) विश्वनाथन आनंद</v>
      </c>
      <c r="I230" s="4" t="str">
        <f>IFERROR(__xludf.DUMMYFUNCTION("GOOGLETRANSLATE(D230, ""en"", ""hi"")"),"D) विश्वनाथन आनंद")</f>
        <v>D) विश्वनाथन आनंद</v>
      </c>
    </row>
    <row r="231" ht="22.5" customHeight="1">
      <c r="A231" s="3">
        <v>230.0</v>
      </c>
      <c r="B231" s="4" t="s">
        <v>1285</v>
      </c>
      <c r="C231" s="4" t="s">
        <v>1033</v>
      </c>
      <c r="D231" s="4" t="s">
        <v>1105</v>
      </c>
      <c r="F231" s="4" t="str">
        <f>IFERROR(__xludf.DUMMYFUNCTION("GOOGLETRANSLATE(A231, ""en"", ""hi"")"),"230")</f>
        <v>230</v>
      </c>
      <c r="G231" s="4" t="str">
        <f>IFERROR(__xludf.DUMMYFUNCTION("GOOGLETRANSLATE(B231, ""en"", ""hi"")"),"कौन सा विश्व शतरंज चैंपियन ऐसे शहर में आयोजित मैच के बाद खिताब जीतने वाला पहला खिलाड़ी था, जहां कोई भी खिलाड़ी नागरिक नहीं था?")</f>
        <v>कौन सा विश्व शतरंज चैंपियन ऐसे शहर में आयोजित मैच के बाद खिताब जीतने वाला पहला खिलाड़ी था, जहां कोई भी खिलाड़ी नागरिक नहीं था?</v>
      </c>
      <c r="H231" s="4" t="str">
        <f>IFERROR(__xludf.DUMMYFUNCTION("GOOGLETRANSLATE(C231, ""en"", ""hi"")"),"ए) गैरी कास्परोव, बी) अनातोली कार्पोव, सी) व्लादिमीर क्रैमनिक, डी) विश्वनाथन आनंद")</f>
        <v>ए) गैरी कास्परोव, बी) अनातोली कार्पोव, सी) व्लादिमीर क्रैमनिक, डी) विश्वनाथन आनंद</v>
      </c>
      <c r="I231" s="4" t="str">
        <f>IFERROR(__xludf.DUMMYFUNCTION("GOOGLETRANSLATE(D231, ""en"", ""hi"")"),"C) व्लादिमीर क्रैमनिक")</f>
        <v>C) व्लादिमीर क्रैमनिक</v>
      </c>
    </row>
    <row r="232" ht="22.5" customHeight="1">
      <c r="A232" s="3">
        <v>231.0</v>
      </c>
      <c r="B232" s="4" t="s">
        <v>1287</v>
      </c>
      <c r="C232" s="4" t="s">
        <v>1288</v>
      </c>
      <c r="D232" s="4" t="s">
        <v>977</v>
      </c>
      <c r="F232" s="4" t="str">
        <f>IFERROR(__xludf.DUMMYFUNCTION("GOOGLETRANSLATE(A232, ""en"", ""hi"")"),"231")</f>
        <v>231</v>
      </c>
      <c r="G232" s="4" t="str">
        <f>IFERROR(__xludf.DUMMYFUNCTION("GOOGLETRANSLATE(B232, ""en"", ""hi"")"),"आधुनिक FIDE टाइटल प्रणाली के तहत ग्रैंडमास्टर बनने वाला पहला शतरंज खिलाड़ी कौन था?")</f>
        <v>आधुनिक FIDE टाइटल प्रणाली के तहत ग्रैंडमास्टर बनने वाला पहला शतरंज खिलाड़ी कौन था?</v>
      </c>
      <c r="H232" s="4" t="str">
        <f>IFERROR(__xludf.DUMMYFUNCTION("GOOGLETRANSLATE(C232, ""en"", ""hi"")"),"ए) जोस राउल कैपब्लांका, बी) अलेक्जेंडर अलेखिन, सी) मिखाइल बोट्वनिक, डी) पॉल केरेस")</f>
        <v>ए) जोस राउल कैपब्लांका, बी) अलेक्जेंडर अलेखिन, सी) मिखाइल बोट्वनिक, डी) पॉल केरेस</v>
      </c>
      <c r="I232" s="4" t="str">
        <f>IFERROR(__xludf.DUMMYFUNCTION("GOOGLETRANSLATE(D232, ""en"", ""hi"")"),"C) मिखाइल बोट्विननिक")</f>
        <v>C) मिखाइल बोट्विननिक</v>
      </c>
    </row>
    <row r="233" ht="22.5" customHeight="1">
      <c r="A233" s="3">
        <v>232.0</v>
      </c>
      <c r="B233" s="4" t="s">
        <v>1289</v>
      </c>
      <c r="C233" s="4" t="s">
        <v>1290</v>
      </c>
      <c r="D233" s="4" t="s">
        <v>1243</v>
      </c>
      <c r="F233" s="4" t="str">
        <f>IFERROR(__xludf.DUMMYFUNCTION("GOOGLETRANSLATE(A233, ""en"", ""hi"")"),"232")</f>
        <v>232</v>
      </c>
      <c r="G233" s="4" t="str">
        <f>IFERROR(__xludf.DUMMYFUNCTION("GOOGLETRANSLATE(B233, ""en"", ""hi"")"),"अंतर्राष्ट्रीय ग्रैंडमास्टर का खिताब हासिल करने वाली पहली महिला कौन थी?")</f>
        <v>अंतर्राष्ट्रीय ग्रैंडमास्टर का खिताब हासिल करने वाली पहली महिला कौन थी?</v>
      </c>
      <c r="H233" s="4" t="str">
        <f>IFERROR(__xludf.DUMMYFUNCTION("GOOGLETRANSLATE(C233, ""en"", ""hi"")"),"ए) जुडिट पोल्गर, बी) मैया चिबुरदानिड्ज़े, सी) नोना गैप्रिंडाश्विली, डी) पिया क्रैमिंग")</f>
        <v>ए) जुडिट पोल्गर, बी) मैया चिबुरदानिड्ज़े, सी) नोना गैप्रिंडाश्विली, डी) पिया क्रैमिंग</v>
      </c>
      <c r="I233" s="4" t="str">
        <f>IFERROR(__xludf.DUMMYFUNCTION("GOOGLETRANSLATE(D233, ""en"", ""hi"")"),"A) जुडिट पोल्गर")</f>
        <v>A) जुडिट पोल्गर</v>
      </c>
    </row>
    <row r="234" ht="22.5" customHeight="1">
      <c r="A234" s="3">
        <v>233.0</v>
      </c>
      <c r="B234" s="4" t="s">
        <v>1291</v>
      </c>
      <c r="C234" s="4" t="s">
        <v>1292</v>
      </c>
      <c r="D234" s="4" t="s">
        <v>1110</v>
      </c>
      <c r="F234" s="4" t="str">
        <f>IFERROR(__xludf.DUMMYFUNCTION("GOOGLETRANSLATE(A234, ""en"", ""hi"")"),"233")</f>
        <v>233</v>
      </c>
      <c r="G234" s="4" t="str">
        <f>IFERROR(__xludf.DUMMYFUNCTION("GOOGLETRANSLATE(B234, ""en"", ""hi"")"),"कौन सा विश्व शतरंज चैंपियन क्वीन्स गैम्बिट के विकास में अपने योगदान के लिए जाना जाता है?")</f>
        <v>कौन सा विश्व शतरंज चैंपियन क्वीन्स गैम्बिट के विकास में अपने योगदान के लिए जाना जाता है?</v>
      </c>
      <c r="H234" s="4" t="str">
        <f>IFERROR(__xludf.DUMMYFUNCTION("GOOGLETRANSLATE(C234, ""en"", ""hi"")"),"ए) इमानुएल लास्कर, बी) जोस राउल कैपब्लांका, सी) अलेक्जेंडर अलेखिन, डी) गैरी कास्परोव")</f>
        <v>ए) इमानुएल लास्कर, बी) जोस राउल कैपब्लांका, सी) अलेक्जेंडर अलेखिन, डी) गैरी कास्परोव</v>
      </c>
      <c r="I234" s="4" t="str">
        <f>IFERROR(__xludf.DUMMYFUNCTION("GOOGLETRANSLATE(D234, ""en"", ""hi"")"),"B) जोस राउल कैपब्लैंका")</f>
        <v>B) जोस राउल कैपब्लैंका</v>
      </c>
    </row>
    <row r="235" ht="22.5" customHeight="1">
      <c r="A235" s="3">
        <v>234.0</v>
      </c>
      <c r="B235" s="4" t="s">
        <v>1293</v>
      </c>
      <c r="C235" s="4" t="s">
        <v>1294</v>
      </c>
      <c r="D235" s="4" t="s">
        <v>1295</v>
      </c>
      <c r="F235" s="4" t="str">
        <f>IFERROR(__xludf.DUMMYFUNCTION("GOOGLETRANSLATE(A235, ""en"", ""hi"")"),"234")</f>
        <v>234</v>
      </c>
      <c r="G235" s="4" t="str">
        <f>IFERROR(__xludf.DUMMYFUNCTION("GOOGLETRANSLATE(B235, ""en"", ""hi"")"),"किस शतरंज खिलाड़ी ने नजदोर्फ़ सिसिलियन डिफेंस में 'विषयुक्त मोहरे' की विविधता को प्रसिद्ध रूप से प्रस्तुत किया?")</f>
        <v>किस शतरंज खिलाड़ी ने नजदोर्फ़ सिसिलियन डिफेंस में 'विषयुक्त मोहरे' की विविधता को प्रसिद्ध रूप से प्रस्तुत किया?</v>
      </c>
      <c r="H235" s="4" t="str">
        <f>IFERROR(__xludf.DUMMYFUNCTION("GOOGLETRANSLATE(C235, ""en"", ""hi"")"),"ए) बॉबी फिशर, बी) मिखाइल ताल, सी) गैरी कास्पारोव, डी) मिगुएल नजदोर्फ़")</f>
        <v>ए) बॉबी फिशर, बी) मिखाइल ताल, सी) गैरी कास्पारोव, डी) मिगुएल नजदोर्फ़</v>
      </c>
      <c r="I235" s="4" t="str">
        <f>IFERROR(__xludf.DUMMYFUNCTION("GOOGLETRANSLATE(D235, ""en"", ""hi"")"),"B) मिखाइल ताल")</f>
        <v>B) मिखाइल ताल</v>
      </c>
    </row>
    <row r="236" ht="22.5" customHeight="1">
      <c r="A236" s="3">
        <v>235.0</v>
      </c>
      <c r="B236" s="4" t="s">
        <v>1296</v>
      </c>
      <c r="C236" s="4" t="s">
        <v>1297</v>
      </c>
      <c r="D236" s="4" t="s">
        <v>1199</v>
      </c>
      <c r="F236" s="4" t="str">
        <f>IFERROR(__xludf.DUMMYFUNCTION("GOOGLETRANSLATE(A236, ""en"", ""hi"")"),"235")</f>
        <v>235</v>
      </c>
      <c r="G236" s="4" t="str">
        <f>IFERROR(__xludf.DUMMYFUNCTION("GOOGLETRANSLATE(B236, ""en"", ""hi"")"),"सोवियत संघ के किसी चैंपियन को हराकर विश्व चैम्पियनशिप का खिताब जीतने वाला पहला शतरंज खिलाड़ी कौन था?")</f>
        <v>सोवियत संघ के किसी चैंपियन को हराकर विश्व चैम्पियनशिप का खिताब जीतने वाला पहला शतरंज खिलाड़ी कौन था?</v>
      </c>
      <c r="H236" s="4" t="str">
        <f>IFERROR(__xludf.DUMMYFUNCTION("GOOGLETRANSLATE(C236, ""en"", ""hi"")"),"ए) बोरिस स्पैस्की, बी) गैरी कास्परोव, सी) व्लादिमीर क्रैमनिक, डी) अनातोली कारपोव")</f>
        <v>ए) बोरिस स्पैस्की, बी) गैरी कास्परोव, सी) व्लादिमीर क्रैमनिक, डी) अनातोली कारपोव</v>
      </c>
      <c r="I236" s="4" t="str">
        <f>IFERROR(__xludf.DUMMYFUNCTION("GOOGLETRANSLATE(D236, ""en"", ""hi"")"),"A) बोरिस स्पैस्की")</f>
        <v>A) बोरिस स्पैस्की</v>
      </c>
    </row>
    <row r="237" ht="22.5" customHeight="1">
      <c r="A237" s="3">
        <v>236.0</v>
      </c>
      <c r="B237" s="4" t="s">
        <v>1298</v>
      </c>
      <c r="C237" s="4" t="s">
        <v>1299</v>
      </c>
      <c r="D237" s="4" t="s">
        <v>1110</v>
      </c>
      <c r="F237" s="4" t="str">
        <f>IFERROR(__xludf.DUMMYFUNCTION("GOOGLETRANSLATE(A237, ""en"", ""hi"")"),"236")</f>
        <v>236</v>
      </c>
      <c r="G237" s="4" t="str">
        <f>IFERROR(__xludf.DUMMYFUNCTION("GOOGLETRANSLATE(B237, ""en"", ""hi"")"),"कौन सा खिलाड़ी अपने विश्व चैम्पियनशिप मैचों में 'रूय लोपेज़' ओपनिंग के उपयोग के लिए जाना जाता था?")</f>
        <v>कौन सा खिलाड़ी अपने विश्व चैम्पियनशिप मैचों में 'रूय लोपेज़' ओपनिंग के उपयोग के लिए जाना जाता था?</v>
      </c>
      <c r="H237" s="4" t="str">
        <f>IFERROR(__xludf.DUMMYFUNCTION("GOOGLETRANSLATE(C237, ""en"", ""hi"")"),"ए) अनातोली कार्पोव, बी) जोस राउल कैपब्लांका, सी) बॉबी फिशर, डी) गैरी कास्परोव")</f>
        <v>ए) अनातोली कार्पोव, बी) जोस राउल कैपब्लांका, सी) बॉबी फिशर, डी) गैरी कास्परोव</v>
      </c>
      <c r="I237" s="4" t="str">
        <f>IFERROR(__xludf.DUMMYFUNCTION("GOOGLETRANSLATE(D237, ""en"", ""hi"")"),"B) जोस राउल कैपब्लैंका")</f>
        <v>B) जोस राउल कैपब्लैंका</v>
      </c>
    </row>
    <row r="238" ht="22.5" customHeight="1">
      <c r="A238" s="3">
        <v>237.0</v>
      </c>
      <c r="B238" s="4" t="s">
        <v>1300</v>
      </c>
      <c r="C238" s="4" t="s">
        <v>1301</v>
      </c>
      <c r="D238" s="4" t="s">
        <v>967</v>
      </c>
      <c r="F238" s="4" t="str">
        <f>IFERROR(__xludf.DUMMYFUNCTION("GOOGLETRANSLATE(A238, ""en"", ""hi"")"),"237")</f>
        <v>237</v>
      </c>
      <c r="G238" s="4" t="str">
        <f>IFERROR(__xludf.DUMMYFUNCTION("GOOGLETRANSLATE(B238, ""en"", ""hi"")"),"विश्व शतरंज चैंपियनशिप में एक भी गेम हारे बिना मैच जीतने वाला पहला शतरंज खिलाड़ी कौन था?")</f>
        <v>विश्व शतरंज चैंपियनशिप में एक भी गेम हारे बिना मैच जीतने वाला पहला शतरंज खिलाड़ी कौन था?</v>
      </c>
      <c r="H238" s="4" t="str">
        <f>IFERROR(__xludf.DUMMYFUNCTION("GOOGLETRANSLATE(C238, ""en"", ""hi"")"),"ए) जोस राउल कैपब्लांका, बी) बॉबी फिशर, सी) गैरी कास्परोव, डी) इमानुएल लास्कर")</f>
        <v>ए) जोस राउल कैपब्लांका, बी) बॉबी फिशर, सी) गैरी कास्परोव, डी) इमानुएल लास्कर</v>
      </c>
      <c r="I238" s="4" t="str">
        <f>IFERROR(__xludf.DUMMYFUNCTION("GOOGLETRANSLATE(D238, ""en"", ""hi"")"),"A) जोस राउल कैपब्लैंका")</f>
        <v>A) जोस राउल कैपब्लैंका</v>
      </c>
    </row>
    <row r="239" ht="22.5" customHeight="1">
      <c r="A239" s="3">
        <v>238.0</v>
      </c>
      <c r="B239" s="4" t="s">
        <v>1302</v>
      </c>
      <c r="C239" s="4" t="s">
        <v>1303</v>
      </c>
      <c r="D239" s="4" t="s">
        <v>1295</v>
      </c>
      <c r="F239" s="4" t="str">
        <f>IFERROR(__xludf.DUMMYFUNCTION("GOOGLETRANSLATE(A239, ""en"", ""hi"")"),"238")</f>
        <v>238</v>
      </c>
      <c r="G239" s="4" t="str">
        <f>IFERROR(__xludf.DUMMYFUNCTION("GOOGLETRANSLATE(B239, ""en"", ""hi"")"),"कौन सा शतरंज खिलाड़ी अपनी 'ताल अटैक' और आक्रामक खेल शैली के लिए प्रसिद्ध था?")</f>
        <v>कौन सा शतरंज खिलाड़ी अपनी 'ताल अटैक' और आक्रामक खेल शैली के लिए प्रसिद्ध था?</v>
      </c>
      <c r="H239" s="4" t="str">
        <f>IFERROR(__xludf.DUMMYFUNCTION("GOOGLETRANSLATE(C239, ""en"", ""hi"")"),"ए) अनातोली कार्पोव, बी) मिखाइल ताल, सी) विक्टर कोरचनोई, डी) पॉल केरेस")</f>
        <v>ए) अनातोली कार्पोव, बी) मिखाइल ताल, सी) विक्टर कोरचनोई, डी) पॉल केरेस</v>
      </c>
      <c r="I239" s="4" t="str">
        <f>IFERROR(__xludf.DUMMYFUNCTION("GOOGLETRANSLATE(D239, ""en"", ""hi"")"),"B) मिखाइल ताल")</f>
        <v>B) मिखाइल ताल</v>
      </c>
    </row>
    <row r="240" ht="22.5" customHeight="1">
      <c r="A240" s="3">
        <v>239.0</v>
      </c>
      <c r="B240" s="4" t="s">
        <v>1304</v>
      </c>
      <c r="C240" s="4" t="s">
        <v>1305</v>
      </c>
      <c r="D240" s="4" t="s">
        <v>920</v>
      </c>
      <c r="F240" s="4" t="str">
        <f>IFERROR(__xludf.DUMMYFUNCTION("GOOGLETRANSLATE(A240, ""en"", ""hi"")"),"239")</f>
        <v>239</v>
      </c>
      <c r="G240" s="4" t="str">
        <f>IFERROR(__xludf.DUMMYFUNCTION("GOOGLETRANSLATE(B240, ""en"", ""hi"")"),"20वीं शताब्दी के प्रारम्भ में किस शतरंज खिलाड़ी ने अपने खेल में 'गिउको पियानो' की शुरुआत की?")</f>
        <v>20वीं शताब्दी के प्रारम्भ में किस शतरंज खिलाड़ी ने अपने खेल में 'गिउको पियानो' की शुरुआत की?</v>
      </c>
      <c r="H240" s="4" t="str">
        <f>IFERROR(__xludf.DUMMYFUNCTION("GOOGLETRANSLATE(C240, ""en"", ""hi"")"),"ए) इमानुएल लास्कर, बी) अलेक्जेंडर एलेखिन, सी) जोस राउल कैपब्लांका, डी) बोरिस स्पैस्की")</f>
        <v>ए) इमानुएल लास्कर, बी) अलेक्जेंडर एलेखिन, सी) जोस राउल कैपब्लांका, डी) बोरिस स्पैस्की</v>
      </c>
      <c r="I240" s="4" t="str">
        <f>IFERROR(__xludf.DUMMYFUNCTION("GOOGLETRANSLATE(D240, ""en"", ""hi"")"),"C) जोस राउल कैपब्लैंका")</f>
        <v>C) जोस राउल कैपब्लैंका</v>
      </c>
    </row>
    <row r="241" ht="22.5" customHeight="1">
      <c r="A241" s="3">
        <v>240.0</v>
      </c>
      <c r="B241" s="4" t="s">
        <v>1306</v>
      </c>
      <c r="C241" s="4" t="s">
        <v>1307</v>
      </c>
      <c r="D241" s="4" t="s">
        <v>1005</v>
      </c>
      <c r="F241" s="4" t="str">
        <f>IFERROR(__xludf.DUMMYFUNCTION("GOOGLETRANSLATE(A241, ""en"", ""hi"")"),"240")</f>
        <v>240</v>
      </c>
      <c r="G241" s="4" t="str">
        <f>IFERROR(__xludf.DUMMYFUNCTION("GOOGLETRANSLATE(B241, ""en"", ""hi"")"),"यूरोप के बाहर आयोजित खिताबी मुकाबले में पराजित होने वाला पहला विश्व शतरंज चैंपियन कौन था?")</f>
        <v>यूरोप के बाहर आयोजित खिताबी मुकाबले में पराजित होने वाला पहला विश्व शतरंज चैंपियन कौन था?</v>
      </c>
      <c r="H241" s="4" t="str">
        <f>IFERROR(__xludf.DUMMYFUNCTION("GOOGLETRANSLATE(C241, ""en"", ""hi"")"),"ए) इमानुएल लास्कर, बी) अलेक्जेंडर अलेखिन, सी) बोरिस स्पैस्की, डी) बॉबी फिशर")</f>
        <v>ए) इमानुएल लास्कर, बी) अलेक्जेंडर अलेखिन, सी) बोरिस स्पैस्की, डी) बॉबी फिशर</v>
      </c>
      <c r="I241" s="4" t="str">
        <f>IFERROR(__xludf.DUMMYFUNCTION("GOOGLETRANSLATE(D241, ""en"", ""hi"")"),"D) बॉबी फिशर")</f>
        <v>D) बॉबी फिशर</v>
      </c>
    </row>
    <row r="242" ht="22.5" customHeight="1">
      <c r="A242" s="3">
        <v>241.0</v>
      </c>
      <c r="B242" s="4" t="s">
        <v>1308</v>
      </c>
      <c r="C242" s="4" t="s">
        <v>1309</v>
      </c>
      <c r="D242" s="4" t="s">
        <v>967</v>
      </c>
      <c r="F242" s="4" t="str">
        <f>IFERROR(__xludf.DUMMYFUNCTION("GOOGLETRANSLATE(A242, ""en"", ""hi"")"),"241")</f>
        <v>241</v>
      </c>
      <c r="G242" s="4" t="str">
        <f>IFERROR(__xludf.DUMMYFUNCTION("GOOGLETRANSLATE(B242, ""en"", ""hi"")"),"कौन सा खिलाड़ी अंतिम खेल और 'कैपब्लैंका विधि' में अपनी निपुणता के लिए जाना जाता था?")</f>
        <v>कौन सा खिलाड़ी अंतिम खेल और 'कैपब्लैंका विधि' में अपनी निपुणता के लिए जाना जाता था?</v>
      </c>
      <c r="H242" s="4" t="str">
        <f>IFERROR(__xludf.DUMMYFUNCTION("GOOGLETRANSLATE(C242, ""en"", ""hi"")"),"ए) जोस राउल कैपब्लांका, बी) अनातोली कार्पोव, सी) गैरी कास्पारोव, डी) मिखाइल बोट्वनिक")</f>
        <v>ए) जोस राउल कैपब्लांका, बी) अनातोली कार्पोव, सी) गैरी कास्पारोव, डी) मिखाइल बोट्वनिक</v>
      </c>
      <c r="I242" s="4" t="str">
        <f>IFERROR(__xludf.DUMMYFUNCTION("GOOGLETRANSLATE(D242, ""en"", ""hi"")"),"A) जोस राउल कैपब्लैंका")</f>
        <v>A) जोस राउल कैपब्लैंका</v>
      </c>
    </row>
    <row r="243" ht="22.5" customHeight="1">
      <c r="A243" s="3">
        <v>242.0</v>
      </c>
      <c r="B243" s="4" t="s">
        <v>1310</v>
      </c>
      <c r="C243" s="4" t="s">
        <v>1162</v>
      </c>
      <c r="D243" s="4" t="s">
        <v>1075</v>
      </c>
      <c r="F243" s="4" t="str">
        <f>IFERROR(__xludf.DUMMYFUNCTION("GOOGLETRANSLATE(A243, ""en"", ""hi"")"),"242")</f>
        <v>242</v>
      </c>
      <c r="G243" s="4" t="str">
        <f>IFERROR(__xludf.DUMMYFUNCTION("GOOGLETRANSLATE(B243, ""en"", ""hi"")"),"विश्व शतरंज चैम्पियनशिप जीतने वाले पहले शतरंज खिलाड़ी कौन थे, जब खिताब को क्लासिकल और रैपिड प्रारूपों में विभाजित किया गया था?")</f>
        <v>विश्व शतरंज चैम्पियनशिप जीतने वाले पहले शतरंज खिलाड़ी कौन थे, जब खिताब को क्लासिकल और रैपिड प्रारूपों में विभाजित किया गया था?</v>
      </c>
      <c r="H243" s="4" t="str">
        <f>IFERROR(__xludf.DUMMYFUNCTION("GOOGLETRANSLATE(C243, ""en"", ""hi"")"),"ए) गैरी कास्परोव, बी) व्लादिमीर क्रैमनिक, सी) विश्वनाथन आनंद, डी) मैग्नस कार्लसन")</f>
        <v>ए) गैरी कास्परोव, बी) व्लादिमीर क्रैमनिक, सी) विश्वनाथन आनंद, डी) मैग्नस कार्लसन</v>
      </c>
      <c r="I243" s="4" t="str">
        <f>IFERROR(__xludf.DUMMYFUNCTION("GOOGLETRANSLATE(D243, ""en"", ""hi"")"),"C) विश्वनाथन आनंद")</f>
        <v>C) विश्वनाथन आनंद</v>
      </c>
    </row>
    <row r="244" ht="22.5" customHeight="1">
      <c r="A244" s="3">
        <v>243.0</v>
      </c>
      <c r="B244" s="4" t="s">
        <v>1311</v>
      </c>
      <c r="C244" s="4" t="s">
        <v>1312</v>
      </c>
      <c r="D244" s="4" t="s">
        <v>1313</v>
      </c>
      <c r="F244" s="4" t="str">
        <f>IFERROR(__xludf.DUMMYFUNCTION("GOOGLETRANSLATE(A244, ""en"", ""hi"")"),"243")</f>
        <v>243</v>
      </c>
      <c r="G244" s="4" t="str">
        <f>IFERROR(__xludf.DUMMYFUNCTION("GOOGLETRANSLATE(B244, ""en"", ""hi"")"),"कौन सा शतरंज खिलाड़ी 'बेन्को गैम्बिट' में अपने योगदान के लिए जाना जाता था?")</f>
        <v>कौन सा शतरंज खिलाड़ी 'बेन्को गैम्बिट' में अपने योगदान के लिए जाना जाता था?</v>
      </c>
      <c r="H244" s="4" t="str">
        <f>IFERROR(__xludf.DUMMYFUNCTION("GOOGLETRANSLATE(C244, ""en"", ""hi"")"),"ए) पाल बेन्को, बी) बॉबी फिशर, सी) गैरी कास्पारोव, डी) विक्टर कोरचनोई")</f>
        <v>ए) पाल बेन्को, बी) बॉबी फिशर, सी) गैरी कास्पारोव, डी) विक्टर कोरचनोई</v>
      </c>
      <c r="I244" s="4" t="str">
        <f>IFERROR(__xludf.DUMMYFUNCTION("GOOGLETRANSLATE(D244, ""en"", ""hi"")"),"A) पाल बेन्को")</f>
        <v>A) पाल बेन्को</v>
      </c>
    </row>
    <row r="245" ht="22.5" customHeight="1">
      <c r="A245" s="3">
        <v>244.0</v>
      </c>
      <c r="B245" s="4" t="s">
        <v>1314</v>
      </c>
      <c r="C245" s="4" t="s">
        <v>1315</v>
      </c>
      <c r="D245" s="4" t="s">
        <v>1269</v>
      </c>
      <c r="F245" s="4" t="str">
        <f>IFERROR(__xludf.DUMMYFUNCTION("GOOGLETRANSLATE(A245, ""en"", ""hi"")"),"244")</f>
        <v>244</v>
      </c>
      <c r="G245" s="4" t="str">
        <f>IFERROR(__xludf.DUMMYFUNCTION("GOOGLETRANSLATE(B245, ""en"", ""hi"")"),"कौन सा विश्व शतरंज चैंपियन अपनी रक्षात्मक क्षमता और 'पेट्रोसियन डिफेंस' की अवधारणा के लिए जाना जाता था?")</f>
        <v>कौन सा विश्व शतरंज चैंपियन अपनी रक्षात्मक क्षमता और 'पेट्रोसियन डिफेंस' की अवधारणा के लिए जाना जाता था?</v>
      </c>
      <c r="H245" s="4" t="str">
        <f>IFERROR(__xludf.DUMMYFUNCTION("GOOGLETRANSLATE(C245, ""en"", ""hi"")"),"ए) अनातोली कार्पोव, बी) तिगरान पेट्रोसियन, सी) मिखाइल ताल, डी) गैरी कास्परोव")</f>
        <v>ए) अनातोली कार्पोव, बी) तिगरान पेट्रोसियन, सी) मिखाइल ताल, डी) गैरी कास्परोव</v>
      </c>
      <c r="I245" s="4" t="str">
        <f>IFERROR(__xludf.DUMMYFUNCTION("GOOGLETRANSLATE(D245, ""en"", ""hi"")"),"बी) तिगरान पेट्रोसियन")</f>
        <v>बी) तिगरान पेट्रोसियन</v>
      </c>
    </row>
    <row r="246" ht="22.5" customHeight="1">
      <c r="A246" s="3">
        <v>245.0</v>
      </c>
      <c r="B246" s="4" t="s">
        <v>1316</v>
      </c>
      <c r="C246" s="4" t="s">
        <v>1317</v>
      </c>
      <c r="D246" s="4" t="s">
        <v>1072</v>
      </c>
      <c r="F246" s="4" t="str">
        <f>IFERROR(__xludf.DUMMYFUNCTION("GOOGLETRANSLATE(A246, ""en"", ""hi"")"),"245")</f>
        <v>245</v>
      </c>
      <c r="G246" s="4" t="str">
        <f>IFERROR(__xludf.DUMMYFUNCTION("GOOGLETRANSLATE(B246, ""en"", ""hi"")"),"विश्व चैम्पियनशिप मैच में उस देश में जीतने वाला पहला शतरंज खिलाड़ी कौन था जहां उसका प्रतिद्वंद्वी देश से था?")</f>
        <v>विश्व चैम्पियनशिप मैच में उस देश में जीतने वाला पहला शतरंज खिलाड़ी कौन था जहां उसका प्रतिद्वंद्वी देश से था?</v>
      </c>
      <c r="H246" s="4" t="str">
        <f>IFERROR(__xludf.DUMMYFUNCTION("GOOGLETRANSLATE(C246, ""en"", ""hi"")"),"ए) गैरी कास्पारोव, बी) व्लादिमीर क्रैमनिक, सी) अनातोली कारपोव, डी) विश्वनाथन आनंद")</f>
        <v>ए) गैरी कास्पारोव, बी) व्लादिमीर क्रैमनिक, सी) अनातोली कारपोव, डी) विश्वनाथन आनंद</v>
      </c>
      <c r="I246" s="4" t="str">
        <f>IFERROR(__xludf.DUMMYFUNCTION("GOOGLETRANSLATE(D246, ""en"", ""hi"")"),"बी) व्लादिमीर क्रैमनिक")</f>
        <v>बी) व्लादिमीर क्रैमनिक</v>
      </c>
    </row>
    <row r="247" ht="22.5" customHeight="1">
      <c r="A247" s="3">
        <v>246.0</v>
      </c>
      <c r="B247" s="4" t="s">
        <v>1318</v>
      </c>
      <c r="C247" s="4" t="s">
        <v>1319</v>
      </c>
      <c r="D247" s="4" t="s">
        <v>977</v>
      </c>
      <c r="F247" s="4" t="str">
        <f>IFERROR(__xludf.DUMMYFUNCTION("GOOGLETRANSLATE(A247, ""en"", ""hi"")"),"246")</f>
        <v>246</v>
      </c>
      <c r="G247" s="4" t="str">
        <f>IFERROR(__xludf.DUMMYFUNCTION("GOOGLETRANSLATE(B247, ""en"", ""hi"")"),"कौन सा शतरंज खिलाड़ी पहला मैच हारने के बाद पुनः मैच में अपने खिताब का सफलतापूर्वक बचाव करने वाला पहला खिलाड़ी था?")</f>
        <v>कौन सा शतरंज खिलाड़ी पहला मैच हारने के बाद पुनः मैच में अपने खिताब का सफलतापूर्वक बचाव करने वाला पहला खिलाड़ी था?</v>
      </c>
      <c r="H247" s="4" t="str">
        <f>IFERROR(__xludf.DUMMYFUNCTION("GOOGLETRANSLATE(C247, ""en"", ""hi"")"),"ए) इमानुएल लास्कर, बी) अलेक्जेंडर अलेखिन, सी) मिखाइल बोट्वनिक, डी) गैरी कास्परोव")</f>
        <v>ए) इमानुएल लास्कर, बी) अलेक्जेंडर अलेखिन, सी) मिखाइल बोट्वनिक, डी) गैरी कास्परोव</v>
      </c>
      <c r="I247" s="4" t="str">
        <f>IFERROR(__xludf.DUMMYFUNCTION("GOOGLETRANSLATE(D247, ""en"", ""hi"")"),"C) मिखाइल बोट्विननिक")</f>
        <v>C) मिखाइल बोट्विननिक</v>
      </c>
    </row>
    <row r="248" ht="22.5" customHeight="1">
      <c r="A248" s="3">
        <v>247.0</v>
      </c>
      <c r="B248" s="4" t="s">
        <v>1320</v>
      </c>
      <c r="C248" s="4" t="s">
        <v>1321</v>
      </c>
      <c r="D248" s="4" t="s">
        <v>1322</v>
      </c>
      <c r="F248" s="4" t="str">
        <f>IFERROR(__xludf.DUMMYFUNCTION("GOOGLETRANSLATE(A248, ""en"", ""hi"")"),"247")</f>
        <v>247</v>
      </c>
      <c r="G248" s="4" t="str">
        <f>IFERROR(__xludf.DUMMYFUNCTION("GOOGLETRANSLATE(B248, ""en"", ""hi"")"),"कौन सा खिलाड़ी 'इंग्लिश ओपनिंग' और इसके विभिन्न रूपों में अपने योगदान के लिए जाना जाता था?")</f>
        <v>कौन सा खिलाड़ी 'इंग्लिश ओपनिंग' और इसके विभिन्न रूपों में अपने योगदान के लिए जाना जाता था?</v>
      </c>
      <c r="H248" s="4" t="str">
        <f>IFERROR(__xludf.DUMMYFUNCTION("GOOGLETRANSLATE(C248, ""en"", ""hi"")"),"A) गैरी कास्पारोव, B) विक्टर कोर्चनोई, C) माइकल एडम्स, D) हॉवर्ड स्टॉन्टन")</f>
        <v>A) गैरी कास्पारोव, B) विक्टर कोर्चनोई, C) माइकल एडम्स, D) हॉवर्ड स्टॉन्टन</v>
      </c>
      <c r="I248" s="4" t="str">
        <f>IFERROR(__xludf.DUMMYFUNCTION("GOOGLETRANSLATE(D248, ""en"", ""hi"")"),"D) हॉवर्ड स्टॉन्टन")</f>
        <v>D) हॉवर्ड स्टॉन्टन</v>
      </c>
    </row>
    <row r="249" ht="22.5" customHeight="1">
      <c r="A249" s="3">
        <v>248.0</v>
      </c>
      <c r="B249" s="4" t="s">
        <v>1323</v>
      </c>
      <c r="C249" s="4" t="s">
        <v>994</v>
      </c>
      <c r="D249" s="4" t="s">
        <v>962</v>
      </c>
      <c r="F249" s="4" t="str">
        <f>IFERROR(__xludf.DUMMYFUNCTION("GOOGLETRANSLATE(A249, ""en"", ""hi"")"),"248")</f>
        <v>248</v>
      </c>
      <c r="G249" s="4" t="str">
        <f>IFERROR(__xludf.DUMMYFUNCTION("GOOGLETRANSLATE(B249, ""en"", ""hi"")"),"टूर्नामेंट प्रारूप में विश्व शतरंज चैम्पियनशिप का खिताब जीतने वाला पहला शतरंज खिलाड़ी कौन था?")</f>
        <v>टूर्नामेंट प्रारूप में विश्व शतरंज चैम्पियनशिप का खिताब जीतने वाला पहला शतरंज खिलाड़ी कौन था?</v>
      </c>
      <c r="H249" s="4" t="str">
        <f>IFERROR(__xludf.DUMMYFUNCTION("GOOGLETRANSLATE(C249, ""en"", ""hi"")"),"ए) विल्हेम स्टीनित्ज़, बी) इमानुएल लास्कर, सी) अलेक्जेंडर अलेखिन, डी) जोस राउल कैपब्लांका")</f>
        <v>ए) विल्हेम स्टीनित्ज़, बी) इमानुएल लास्कर, सी) अलेक्जेंडर अलेखिन, डी) जोस राउल कैपब्लांका</v>
      </c>
      <c r="I249" s="4" t="str">
        <f>IFERROR(__xludf.DUMMYFUNCTION("GOOGLETRANSLATE(D249, ""en"", ""hi"")"),"A) विल्हेम स्टाइनिट्ज़")</f>
        <v>A) विल्हेम स्टाइनिट्ज़</v>
      </c>
    </row>
    <row r="250" ht="22.5" customHeight="1">
      <c r="A250" s="3">
        <v>249.0</v>
      </c>
      <c r="B250" s="4" t="s">
        <v>1324</v>
      </c>
      <c r="C250" s="4" t="s">
        <v>910</v>
      </c>
      <c r="D250" s="4" t="s">
        <v>1151</v>
      </c>
      <c r="F250" s="4" t="str">
        <f>IFERROR(__xludf.DUMMYFUNCTION("GOOGLETRANSLATE(A250, ""en"", ""hi"")"),"249")</f>
        <v>249</v>
      </c>
      <c r="G250" s="4" t="str">
        <f>IFERROR(__xludf.DUMMYFUNCTION("GOOGLETRANSLATE(B250, ""en"", ""hi"")"),"कौन सा विश्व शतरंज चैंपियन अपनी आक्रामक शैली और 'सिसिलियन डिफेंस' में योगदान के लिए जाना जाता था?")</f>
        <v>कौन सा विश्व शतरंज चैंपियन अपनी आक्रामक शैली और 'सिसिलियन डिफेंस' में योगदान के लिए जाना जाता था?</v>
      </c>
      <c r="H250" s="4" t="str">
        <f>IFERROR(__xludf.DUMMYFUNCTION("GOOGLETRANSLATE(C250, ""en"", ""hi"")"),"ए) बॉबी फिशर, बी) गैरी कास्पारोव, सी) मिखाइल ताल, डी) अनातोली कारपोव")</f>
        <v>ए) बॉबी फिशर, बी) गैरी कास्पारोव, सी) मिखाइल ताल, डी) अनातोली कारपोव</v>
      </c>
      <c r="I250" s="4" t="str">
        <f>IFERROR(__xludf.DUMMYFUNCTION("GOOGLETRANSLATE(D250, ""en"", ""hi"")"),"C) मिखाइल ताल")</f>
        <v>C) मिखाइल ताल</v>
      </c>
    </row>
    <row r="251" ht="22.5" customHeight="1">
      <c r="A251" s="3">
        <v>250.0</v>
      </c>
      <c r="B251" s="4" t="s">
        <v>1325</v>
      </c>
      <c r="C251" s="4" t="s">
        <v>1162</v>
      </c>
      <c r="D251" s="4" t="s">
        <v>1144</v>
      </c>
      <c r="F251" s="4" t="str">
        <f>IFERROR(__xludf.DUMMYFUNCTION("GOOGLETRANSLATE(A251, ""en"", ""hi"")"),"250")</f>
        <v>250</v>
      </c>
      <c r="G251" s="4" t="str">
        <f>IFERROR(__xludf.DUMMYFUNCTION("GOOGLETRANSLATE(B251, ""en"", ""hi"")"),"कौन सा खिलाड़ी समय नियंत्रण के साथ मैच में विश्व शतरंज चैम्पियनशिप जीतने वाला पहला खिलाड़ी था जिसमें वृद्धि शामिल थी?")</f>
        <v>कौन सा खिलाड़ी समय नियंत्रण के साथ मैच में विश्व शतरंज चैम्पियनशिप जीतने वाला पहला खिलाड़ी था जिसमें वृद्धि शामिल थी?</v>
      </c>
      <c r="H251" s="4" t="str">
        <f>IFERROR(__xludf.DUMMYFUNCTION("GOOGLETRANSLATE(C251, ""en"", ""hi"")"),"ए) गैरी कास्परोव, बी) व्लादिमीर क्रैमनिक, सी) विश्वनाथन आनंद, डी) मैग्नस कार्लसन")</f>
        <v>ए) गैरी कास्परोव, बी) व्लादिमीर क्रैमनिक, सी) विश्वनाथन आनंद, डी) मैग्नस कार्लसन</v>
      </c>
      <c r="I251" s="4" t="str">
        <f>IFERROR(__xludf.DUMMYFUNCTION("GOOGLETRANSLATE(D251, ""en"", ""hi"")"),"D) मैग्नस कार्लसन")</f>
        <v>D) मैग्नस कार्लसन</v>
      </c>
    </row>
    <row r="252" ht="22.5" customHeight="1">
      <c r="A252" s="3">
        <v>251.0</v>
      </c>
      <c r="B252" s="4" t="s">
        <v>1326</v>
      </c>
      <c r="C252" s="4" t="s">
        <v>1317</v>
      </c>
      <c r="D252" s="4" t="s">
        <v>1072</v>
      </c>
      <c r="F252" s="4" t="str">
        <f>IFERROR(__xludf.DUMMYFUNCTION("GOOGLETRANSLATE(A252, ""en"", ""hi"")"),"251")</f>
        <v>251</v>
      </c>
      <c r="G252" s="4" t="str">
        <f>IFERROR(__xludf.DUMMYFUNCTION("GOOGLETRANSLATE(B252, ""en"", ""hi"")"),"वह पहला शतरंज खिलाड़ी कौन था जिसने किसी ऐसे देश में, जहां कोई भी खिलाड़ी नागरिक नहीं था, एक मौजूदा चैंपियन को हराकर विश्व चैम्पियनशिप का खिताब जीता?")</f>
        <v>वह पहला शतरंज खिलाड़ी कौन था जिसने किसी ऐसे देश में, जहां कोई भी खिलाड़ी नागरिक नहीं था, एक मौजूदा चैंपियन को हराकर विश्व चैम्पियनशिप का खिताब जीता?</v>
      </c>
      <c r="H252" s="4" t="str">
        <f>IFERROR(__xludf.DUMMYFUNCTION("GOOGLETRANSLATE(C252, ""en"", ""hi"")"),"ए) गैरी कास्पारोव, बी) व्लादिमीर क्रैमनिक, सी) अनातोली कारपोव, डी) विश्वनाथन आनंद")</f>
        <v>ए) गैरी कास्पारोव, बी) व्लादिमीर क्रैमनिक, सी) अनातोली कारपोव, डी) विश्वनाथन आनंद</v>
      </c>
      <c r="I252" s="4" t="str">
        <f>IFERROR(__xludf.DUMMYFUNCTION("GOOGLETRANSLATE(D252, ""en"", ""hi"")"),"बी) व्लादिमीर क्रैमनिक")</f>
        <v>बी) व्लादिमीर क्रैमनिक</v>
      </c>
    </row>
    <row r="253" ht="22.5" customHeight="1">
      <c r="A253" s="3">
        <v>252.0</v>
      </c>
      <c r="B253" s="4" t="s">
        <v>1327</v>
      </c>
      <c r="C253" s="4" t="s">
        <v>1328</v>
      </c>
      <c r="D253" s="4" t="s">
        <v>943</v>
      </c>
      <c r="F253" s="4" t="str">
        <f>IFERROR(__xludf.DUMMYFUNCTION("GOOGLETRANSLATE(A253, ""en"", ""hi"")"),"252")</f>
        <v>252</v>
      </c>
      <c r="G253" s="4" t="str">
        <f>IFERROR(__xludf.DUMMYFUNCTION("GOOGLETRANSLATE(B253, ""en"", ""hi"")"),"कौन सा शतरंज खिलाड़ी अपने खेल में 'किंग्स इंडियन डिफेंस' के उपयोग के लिए प्रसिद्ध था?")</f>
        <v>कौन सा शतरंज खिलाड़ी अपने खेल में 'किंग्स इंडियन डिफेंस' के उपयोग के लिए प्रसिद्ध था?</v>
      </c>
      <c r="H253" s="4" t="str">
        <f>IFERROR(__xludf.DUMMYFUNCTION("GOOGLETRANSLATE(C253, ""en"", ""hi"")"),"ए) गैरी कास्पारोव, बी) बॉबी फिशर, सी) विक्टर कोरचनोई, डी) तिगरान पेट्रोसियन")</f>
        <v>ए) गैरी कास्पारोव, बी) बॉबी फिशर, सी) विक्टर कोरचनोई, डी) तिगरान पेट्रोसियन</v>
      </c>
      <c r="I253" s="4" t="str">
        <f>IFERROR(__xludf.DUMMYFUNCTION("GOOGLETRANSLATE(D253, ""en"", ""hi"")"),"A) गैरी कास्पारोव")</f>
        <v>A) गैरी कास्पारोव</v>
      </c>
    </row>
    <row r="254" ht="22.5" customHeight="1">
      <c r="A254" s="3">
        <v>253.0</v>
      </c>
      <c r="B254" s="4" t="s">
        <v>1329</v>
      </c>
      <c r="C254" s="4" t="s">
        <v>1048</v>
      </c>
      <c r="D254" s="4" t="s">
        <v>943</v>
      </c>
      <c r="F254" s="4" t="str">
        <f>IFERROR(__xludf.DUMMYFUNCTION("GOOGLETRANSLATE(A254, ""en"", ""hi"")"),"253")</f>
        <v>253</v>
      </c>
      <c r="G254" s="4" t="str">
        <f>IFERROR(__xludf.DUMMYFUNCTION("GOOGLETRANSLATE(B254, ""en"", ""hi"")"),"2800 या उससे अधिक की FIDE रेटिंग हासिल करने वाला पहला खिलाड़ी कौन था?")</f>
        <v>2800 या उससे अधिक की FIDE रेटिंग हासिल करने वाला पहला खिलाड़ी कौन था?</v>
      </c>
      <c r="H254" s="4" t="str">
        <f>IFERROR(__xludf.DUMMYFUNCTION("GOOGLETRANSLATE(C254, ""en"", ""hi"")"),"ए) गैरी कास्पारोव, बी) विश्वनाथन आनंद, सी) मैग्नस कार्लसन, डी) व्लादिमीर क्रैमनिक")</f>
        <v>ए) गैरी कास्पारोव, बी) विश्वनाथन आनंद, सी) मैग्नस कार्लसन, डी) व्लादिमीर क्रैमनिक</v>
      </c>
      <c r="I254" s="4" t="str">
        <f>IFERROR(__xludf.DUMMYFUNCTION("GOOGLETRANSLATE(D254, ""en"", ""hi"")"),"A) गैरी कास्पारोव")</f>
        <v>A) गैरी कास्पारोव</v>
      </c>
    </row>
    <row r="255" ht="22.5" customHeight="1">
      <c r="A255" s="3">
        <v>254.0</v>
      </c>
      <c r="B255" s="4" t="s">
        <v>1330</v>
      </c>
      <c r="C255" s="4" t="s">
        <v>1331</v>
      </c>
      <c r="D255" s="4" t="s">
        <v>1190</v>
      </c>
      <c r="F255" s="4" t="str">
        <f>IFERROR(__xludf.DUMMYFUNCTION("GOOGLETRANSLATE(A255, ""en"", ""hi"")"),"254")</f>
        <v>254</v>
      </c>
      <c r="G255" s="4" t="str">
        <f>IFERROR(__xludf.DUMMYFUNCTION("GOOGLETRANSLATE(B255, ""en"", ""hi"")"),"कौन सा खिलाड़ी 'बेनोनी डिफेंस' और इसकी विभिन्न लाइनों में अपनी विशेषज्ञता के लिए जाना जाता था?")</f>
        <v>कौन सा खिलाड़ी 'बेनोनी डिफेंस' और इसकी विभिन्न लाइनों में अपनी विशेषज्ञता के लिए जाना जाता था?</v>
      </c>
      <c r="H255" s="4" t="str">
        <f>IFERROR(__xludf.DUMMYFUNCTION("GOOGLETRANSLATE(C255, ""en"", ""hi"")"),"ए) विक्टर कोरचनोई, बी) बॉबी फिशर, सी) गैरी कास्पारोव, डी) पॉल केरेस")</f>
        <v>ए) विक्टर कोरचनोई, बी) बॉबी फिशर, सी) गैरी कास्पारोव, डी) पॉल केरेस</v>
      </c>
      <c r="I255" s="4" t="str">
        <f>IFERROR(__xludf.DUMMYFUNCTION("GOOGLETRANSLATE(D255, ""en"", ""hi"")"),"A) विक्टर कोर्चनोई")</f>
        <v>A) विक्टर कोर्चनोई</v>
      </c>
    </row>
    <row r="256" ht="22.5" customHeight="1">
      <c r="A256" s="3">
        <v>255.0</v>
      </c>
      <c r="B256" s="4" t="s">
        <v>1332</v>
      </c>
      <c r="C256" s="4" t="s">
        <v>1033</v>
      </c>
      <c r="D256" s="4" t="s">
        <v>1034</v>
      </c>
      <c r="F256" s="4" t="str">
        <f>IFERROR(__xludf.DUMMYFUNCTION("GOOGLETRANSLATE(A256, ""en"", ""hi"")"),"255")</f>
        <v>255</v>
      </c>
      <c r="G256" s="4" t="str">
        <f>IFERROR(__xludf.DUMMYFUNCTION("GOOGLETRANSLATE(B256, ""en"", ""hi"")"),"वह पहला शतरंज खिलाड़ी कौन था जिसने ऐसे शहर में विश्व चैम्पियनशिप का खिताब जीता जिसने पहले कभी विश्व चैम्पियनशिप मैच की मेजबानी नहीं की थी?")</f>
        <v>वह पहला शतरंज खिलाड़ी कौन था जिसने ऐसे शहर में विश्व चैम्पियनशिप का खिताब जीता जिसने पहले कभी विश्व चैम्पियनशिप मैच की मेजबानी नहीं की थी?</v>
      </c>
      <c r="H256" s="4" t="str">
        <f>IFERROR(__xludf.DUMMYFUNCTION("GOOGLETRANSLATE(C256, ""en"", ""hi"")"),"ए) गैरी कास्परोव, बी) अनातोली कार्पोव, सी) व्लादिमीर क्रैमनिक, डी) विश्वनाथन आनंद")</f>
        <v>ए) गैरी कास्परोव, बी) अनातोली कार्पोव, सी) व्लादिमीर क्रैमनिक, डी) विश्वनाथन आनंद</v>
      </c>
      <c r="I256" s="4" t="str">
        <f>IFERROR(__xludf.DUMMYFUNCTION("GOOGLETRANSLATE(D256, ""en"", ""hi"")"),"D) विश्वनाथन आनंद")</f>
        <v>D) विश्वनाथन आनंद</v>
      </c>
    </row>
    <row r="257" ht="22.5" customHeight="1">
      <c r="A257" s="3">
        <v>256.0</v>
      </c>
      <c r="B257" s="4" t="s">
        <v>1333</v>
      </c>
      <c r="C257" s="4" t="s">
        <v>1334</v>
      </c>
      <c r="D257" s="4" t="s">
        <v>1335</v>
      </c>
      <c r="F257" s="4" t="str">
        <f>IFERROR(__xludf.DUMMYFUNCTION("GOOGLETRANSLATE(A257, ""en"", ""hi"")"),"256")</f>
        <v>256</v>
      </c>
      <c r="G257" s="4" t="str">
        <f>IFERROR(__xludf.DUMMYFUNCTION("GOOGLETRANSLATE(B257, ""en"", ""hi"")"),"कौन सा विश्व शतरंज चैंपियन सिसिलियन डिफेंस के 'स्वेशनिकोव वेरिएशन' में अपने योगदान के लिए जाना जाता था?")</f>
        <v>कौन सा विश्व शतरंज चैंपियन सिसिलियन डिफेंस के 'स्वेशनिकोव वेरिएशन' में अपने योगदान के लिए जाना जाता था?</v>
      </c>
      <c r="H257" s="4" t="str">
        <f>IFERROR(__xludf.DUMMYFUNCTION("GOOGLETRANSLATE(C257, ""en"", ""hi"")"),"ए) गैरी कास्पारोव, बी) विक्टर कोरचनोई, सी) अलेक्जेंडर स्वेशनिकोव, डी) अनातोली कारपोव")</f>
        <v>ए) गैरी कास्पारोव, बी) विक्टर कोरचनोई, सी) अलेक्जेंडर स्वेशनिकोव, डी) अनातोली कारपोव</v>
      </c>
      <c r="I257" s="4" t="str">
        <f>IFERROR(__xludf.DUMMYFUNCTION("GOOGLETRANSLATE(D257, ""en"", ""hi"")"),"C) अलेक्जेंडर स्वेशनिकोव")</f>
        <v>C) अलेक्जेंडर स्वेशनिकोव</v>
      </c>
    </row>
    <row r="258" ht="22.5" customHeight="1">
      <c r="A258" s="3">
        <v>257.0</v>
      </c>
      <c r="B258" s="4" t="s">
        <v>1336</v>
      </c>
      <c r="C258" s="4" t="s">
        <v>1337</v>
      </c>
      <c r="D258" s="4" t="s">
        <v>1338</v>
      </c>
      <c r="F258" s="4" t="str">
        <f>IFERROR(__xludf.DUMMYFUNCTION("GOOGLETRANSLATE(A258, ""en"", ""hi"")"),"257")</f>
        <v>257</v>
      </c>
      <c r="G258" s="4" t="str">
        <f>IFERROR(__xludf.DUMMYFUNCTION("GOOGLETRANSLATE(B258, ""en"", ""hi"")"),"कौन सा शतरंज खिलाड़ी अपने खेलों में 'फ्रेंच डिफेंस' के अभिनव प्रयोग के लिए जाना जाता था?")</f>
        <v>कौन सा शतरंज खिलाड़ी अपने खेलों में 'फ्रेंच डिफेंस' के अभिनव प्रयोग के लिए जाना जाता था?</v>
      </c>
      <c r="H258" s="4" t="str">
        <f>IFERROR(__xludf.DUMMYFUNCTION("GOOGLETRANSLATE(C258, ""en"", ""hi"")"),"ए) पॉल केरेस, बी) विक्टर कोरचनोई, सी) बॉबी फिशर, डी) गैरी कास्परोव")</f>
        <v>ए) पॉल केरेस, बी) विक्टर कोरचनोई, सी) बॉबी फिशर, डी) गैरी कास्परोव</v>
      </c>
      <c r="I258" s="4" t="str">
        <f>IFERROR(__xludf.DUMMYFUNCTION("GOOGLETRANSLATE(D258, ""en"", ""hi"")"),"बी) विक्टर कोर्चनोई")</f>
        <v>बी) विक्टर कोर्चनोई</v>
      </c>
    </row>
    <row r="259" ht="22.5" customHeight="1">
      <c r="A259" s="3">
        <v>258.0</v>
      </c>
      <c r="B259" s="4" t="s">
        <v>1339</v>
      </c>
      <c r="C259" s="4" t="s">
        <v>1317</v>
      </c>
      <c r="D259" s="4" t="s">
        <v>1072</v>
      </c>
      <c r="F259" s="4" t="str">
        <f>IFERROR(__xludf.DUMMYFUNCTION("GOOGLETRANSLATE(A259, ""en"", ""hi"")"),"258")</f>
        <v>258</v>
      </c>
      <c r="G259" s="4" t="str">
        <f>IFERROR(__xludf.DUMMYFUNCTION("GOOGLETRANSLATE(B259, ""en"", ""hi"")"),"वह पहला शतरंज खिलाड़ी कौन था जिसने एक ऐसे शहर में आयोजित मैच में मौजूदा चैंपियन को हराकर विश्व चैम्पियनशिप का खिताब जीता था जिसने पहले खिताबी मुकाबले की मेजबानी की थी?")</f>
        <v>वह पहला शतरंज खिलाड़ी कौन था जिसने एक ऐसे शहर में आयोजित मैच में मौजूदा चैंपियन को हराकर विश्व चैम्पियनशिप का खिताब जीता था जिसने पहले खिताबी मुकाबले की मेजबानी की थी?</v>
      </c>
      <c r="H259" s="4" t="str">
        <f>IFERROR(__xludf.DUMMYFUNCTION("GOOGLETRANSLATE(C259, ""en"", ""hi"")"),"ए) गैरी कास्पारोव, बी) व्लादिमीर क्रैमनिक, सी) अनातोली कारपोव, डी) विश्वनाथन आनंद")</f>
        <v>ए) गैरी कास्पारोव, बी) व्लादिमीर क्रैमनिक, सी) अनातोली कारपोव, डी) विश्वनाथन आनंद</v>
      </c>
      <c r="I259" s="4" t="str">
        <f>IFERROR(__xludf.DUMMYFUNCTION("GOOGLETRANSLATE(D259, ""en"", ""hi"")"),"बी) व्लादिमीर क्रैमनिक")</f>
        <v>बी) व्लादिमीर क्रैमनिक</v>
      </c>
    </row>
    <row r="260" ht="22.5" customHeight="1">
      <c r="A260" s="3">
        <v>259.0</v>
      </c>
      <c r="B260" s="4" t="s">
        <v>1340</v>
      </c>
      <c r="C260" s="4" t="s">
        <v>1341</v>
      </c>
      <c r="D260" s="4" t="s">
        <v>1342</v>
      </c>
      <c r="F260" s="4" t="str">
        <f>IFERROR(__xludf.DUMMYFUNCTION("GOOGLETRANSLATE(A260, ""en"", ""hi"")"),"259")</f>
        <v>259</v>
      </c>
      <c r="G260" s="4" t="str">
        <f>IFERROR(__xludf.DUMMYFUNCTION("GOOGLETRANSLATE(B260, ""en"", ""hi"")"),"कौन सा शतरंज खिलाड़ी 'पेट्रॉफ़ डिफेंस' और इसकी विविधताओं में अपने योगदान के लिए जाना जाता था?")</f>
        <v>कौन सा शतरंज खिलाड़ी 'पेट्रॉफ़ डिफेंस' और इसकी विविधताओं में अपने योगदान के लिए जाना जाता था?</v>
      </c>
      <c r="H260" s="4" t="str">
        <f>IFERROR(__xludf.DUMMYFUNCTION("GOOGLETRANSLATE(C260, ""en"", ""hi"")"),"ए) अलेक्जेंडर पेत्रोव, बी) गैरी कास्पारोव, सी) विक्टर कोरचनोई, डी) पॉल केरेस")</f>
        <v>ए) अलेक्जेंडर पेत्रोव, बी) गैरी कास्पारोव, सी) विक्टर कोरचनोई, डी) पॉल केरेस</v>
      </c>
      <c r="I260" s="4" t="str">
        <f>IFERROR(__xludf.DUMMYFUNCTION("GOOGLETRANSLATE(D260, ""en"", ""hi"")"),"A) अलेक्जेंडर पेत्रोव")</f>
        <v>A) अलेक्जेंडर पेत्रोव</v>
      </c>
    </row>
    <row r="261" ht="22.5" customHeight="1">
      <c r="A261" s="3">
        <v>260.0</v>
      </c>
      <c r="B261" s="4" t="s">
        <v>1343</v>
      </c>
      <c r="C261" s="4" t="s">
        <v>994</v>
      </c>
      <c r="D261" s="4" t="s">
        <v>962</v>
      </c>
      <c r="F261" s="4" t="str">
        <f>IFERROR(__xludf.DUMMYFUNCTION("GOOGLETRANSLATE(A261, ""en"", ""hi"")"),"260")</f>
        <v>260</v>
      </c>
      <c r="G261" s="4" t="str">
        <f>IFERROR(__xludf.DUMMYFUNCTION("GOOGLETRANSLATE(B261, ""en"", ""hi"")"),"राउंड-रॉबिन संरचना वाले टूर्नामेंट प्रारूप में विश्व चैम्पियनशिप का खिताब जीतने वाला पहला शतरंज खिलाड़ी कौन था?")</f>
        <v>राउंड-रॉबिन संरचना वाले टूर्नामेंट प्रारूप में विश्व चैम्पियनशिप का खिताब जीतने वाला पहला शतरंज खिलाड़ी कौन था?</v>
      </c>
      <c r="H261" s="4" t="str">
        <f>IFERROR(__xludf.DUMMYFUNCTION("GOOGLETRANSLATE(C261, ""en"", ""hi"")"),"ए) विल्हेम स्टीनित्ज़, बी) इमानुएल लास्कर, सी) अलेक्जेंडर अलेखिन, डी) जोस राउल कैपब्लांका")</f>
        <v>ए) विल्हेम स्टीनित्ज़, बी) इमानुएल लास्कर, सी) अलेक्जेंडर अलेखिन, डी) जोस राउल कैपब्लांका</v>
      </c>
      <c r="I261" s="4" t="str">
        <f>IFERROR(__xludf.DUMMYFUNCTION("GOOGLETRANSLATE(D261, ""en"", ""hi"")"),"A) विल्हेम स्टाइनिट्ज़")</f>
        <v>A) विल्हेम स्टाइनिट्ज़</v>
      </c>
    </row>
    <row r="262" ht="22.5" customHeight="1">
      <c r="A262" s="3">
        <v>261.0</v>
      </c>
      <c r="B262" s="4" t="s">
        <v>1344</v>
      </c>
      <c r="C262" s="4" t="s">
        <v>1345</v>
      </c>
      <c r="D262" s="4" t="s">
        <v>995</v>
      </c>
      <c r="F262" s="4" t="str">
        <f>IFERROR(__xludf.DUMMYFUNCTION("GOOGLETRANSLATE(A262, ""en"", ""hi"")"),"261")</f>
        <v>261</v>
      </c>
      <c r="G262" s="4" t="str">
        <f>IFERROR(__xludf.DUMMYFUNCTION("GOOGLETRANSLATE(B262, ""en"", ""hi"")"),"कौन सा विश्व शतरंज चैंपियन अपने खेलों में 'किंग्स गैम्बिट' के उपयोग के लिए जाना जाता था?")</f>
        <v>कौन सा विश्व शतरंज चैंपियन अपने खेलों में 'किंग्स गैम्बिट' के उपयोग के लिए जाना जाता था?</v>
      </c>
      <c r="H262" s="4" t="str">
        <f>IFERROR(__xludf.DUMMYFUNCTION("GOOGLETRANSLATE(C262, ""en"", ""hi"")"),"A) गैरी कास्पारोव, B) बॉबी फिशर, C) अलेक्जेंडर अलेखिन, D) इमानुएल लास्कर")</f>
        <v>A) गैरी कास्पारोव, B) बॉबी फिशर, C) अलेक्जेंडर अलेखिन, D) इमानुएल लास्कर</v>
      </c>
      <c r="I262" s="4" t="str">
        <f>IFERROR(__xludf.DUMMYFUNCTION("GOOGLETRANSLATE(D262, ""en"", ""hi"")"),"C) अलेक्जेंडर अलेखिन")</f>
        <v>C) अलेक्जेंडर अलेखिन</v>
      </c>
    </row>
    <row r="263" ht="22.5" customHeight="1">
      <c r="A263" s="3">
        <v>262.0</v>
      </c>
      <c r="B263" s="4" t="s">
        <v>1346</v>
      </c>
      <c r="C263" s="4" t="s">
        <v>1347</v>
      </c>
      <c r="D263" s="4" t="s">
        <v>967</v>
      </c>
      <c r="F263" s="4" t="str">
        <f>IFERROR(__xludf.DUMMYFUNCTION("GOOGLETRANSLATE(A263, ""en"", ""hi"")"),"262")</f>
        <v>262</v>
      </c>
      <c r="G263" s="4" t="str">
        <f>IFERROR(__xludf.DUMMYFUNCTION("GOOGLETRANSLATE(B263, ""en"", ""hi"")"),"बिना एक भी गेम हारे विश्व चैम्पियनशिप मैच जीतने वाला पहला शतरंज खिलाड़ी कौन था?")</f>
        <v>बिना एक भी गेम हारे विश्व चैम्पियनशिप मैच जीतने वाला पहला शतरंज खिलाड़ी कौन था?</v>
      </c>
      <c r="H263" s="4" t="str">
        <f>IFERROR(__xludf.DUMMYFUNCTION("GOOGLETRANSLATE(C263, ""en"", ""hi"")"),"ए) जोस राउल कैपब्लांका, बी) गैरी कास्पारोव, सी) अनातोली कारपोव, डी) इमानुएल लास्कर")</f>
        <v>ए) जोस राउल कैपब्लांका, बी) गैरी कास्पारोव, सी) अनातोली कारपोव, डी) इमानुएल लास्कर</v>
      </c>
      <c r="I263" s="4" t="str">
        <f>IFERROR(__xludf.DUMMYFUNCTION("GOOGLETRANSLATE(D263, ""en"", ""hi"")"),"A) जोस राउल कैपब्लैंका")</f>
        <v>A) जोस राउल कैपब्लैंका</v>
      </c>
    </row>
    <row r="264" ht="22.5" customHeight="1">
      <c r="A264" s="3">
        <v>263.0</v>
      </c>
      <c r="B264" s="4" t="s">
        <v>1348</v>
      </c>
      <c r="C264" s="4" t="s">
        <v>1349</v>
      </c>
      <c r="D264" s="4" t="s">
        <v>943</v>
      </c>
      <c r="F264" s="4" t="str">
        <f>IFERROR(__xludf.DUMMYFUNCTION("GOOGLETRANSLATE(A264, ""en"", ""hi"")"),"263")</f>
        <v>263</v>
      </c>
      <c r="G264" s="4" t="str">
        <f>IFERROR(__xludf.DUMMYFUNCTION("GOOGLETRANSLATE(B264, ""en"", ""hi"")"),"कौन सा शतरंज खिलाड़ी 'कैटलन ओपनिंग' में अपनी विशेषज्ञता के लिए जाना जाता था?")</f>
        <v>कौन सा शतरंज खिलाड़ी 'कैटलन ओपनिंग' में अपनी विशेषज्ञता के लिए जाना जाता था?</v>
      </c>
      <c r="H264" s="4" t="str">
        <f>IFERROR(__xludf.DUMMYFUNCTION("GOOGLETRANSLATE(C264, ""en"", ""hi"")"),"ए) गैरी कास्पारोव, बी) विक्टर कोरचनोई, सी) तिगरान पेट्रोसियन, डी) अनातोली कारपोव")</f>
        <v>ए) गैरी कास्पारोव, बी) विक्टर कोरचनोई, सी) तिगरान पेट्रोसियन, डी) अनातोली कारपोव</v>
      </c>
      <c r="I264" s="4" t="str">
        <f>IFERROR(__xludf.DUMMYFUNCTION("GOOGLETRANSLATE(D264, ""en"", ""hi"")"),"A) गैरी कास्पारोव")</f>
        <v>A) गैरी कास्पारोव</v>
      </c>
    </row>
    <row r="265" ht="22.5" customHeight="1">
      <c r="A265" s="3">
        <v>264.0</v>
      </c>
      <c r="B265" s="4" t="s">
        <v>1350</v>
      </c>
      <c r="C265" s="4" t="s">
        <v>1351</v>
      </c>
      <c r="D265" s="4" t="s">
        <v>953</v>
      </c>
      <c r="F265" s="4" t="str">
        <f>IFERROR(__xludf.DUMMYFUNCTION("GOOGLETRANSLATE(A265, ""en"", ""hi"")"),"264")</f>
        <v>264</v>
      </c>
      <c r="G265" s="4" t="str">
        <f>IFERROR(__xludf.DUMMYFUNCTION("GOOGLETRANSLATE(B265, ""en"", ""hi"")"),"रैपिड और ब्लिट्ज़ गेम वाले मैच के बाद विश्व चैम्पियनशिप का खिताब जीतने वाला पहला खिलाड़ी कौन था?")</f>
        <v>रैपिड और ब्लिट्ज़ गेम वाले मैच के बाद विश्व चैम्पियनशिप का खिताब जीतने वाला पहला खिलाड़ी कौन था?</v>
      </c>
      <c r="H265" s="4" t="str">
        <f>IFERROR(__xludf.DUMMYFUNCTION("GOOGLETRANSLATE(C265, ""en"", ""hi"")"),"ए) व्लादिमीर क्रैमनिक, बी) विश्वनाथन आनंद, सी) मैग्नस कार्लसन, डी) गैरी कास्परोव")</f>
        <v>ए) व्लादिमीर क्रैमनिक, बी) विश्वनाथन आनंद, सी) मैग्नस कार्लसन, डी) गैरी कास्परोव</v>
      </c>
      <c r="I265" s="4" t="str">
        <f>IFERROR(__xludf.DUMMYFUNCTION("GOOGLETRANSLATE(D265, ""en"", ""hi"")"),"B) विश्वनाथन आनंद")</f>
        <v>B) विश्वनाथन आनंद</v>
      </c>
    </row>
    <row r="266" ht="22.5" customHeight="1">
      <c r="A266" s="3">
        <v>265.0</v>
      </c>
      <c r="B266" s="4" t="s">
        <v>1352</v>
      </c>
      <c r="C266" s="4" t="s">
        <v>1353</v>
      </c>
      <c r="D266" s="4" t="s">
        <v>1354</v>
      </c>
      <c r="F266" s="4" t="str">
        <f>IFERROR(__xludf.DUMMYFUNCTION("GOOGLETRANSLATE(A266, ""en"", ""hi"")"),"265")</f>
        <v>265</v>
      </c>
      <c r="G266" s="4" t="str">
        <f>IFERROR(__xludf.DUMMYFUNCTION("GOOGLETRANSLATE(B266, ""en"", ""hi"")"),"कौन सा शतरंज खिलाड़ी 'निमजो-इंडियन डिफेंस' में अपने योगदान के लिए जाना जाता था?")</f>
        <v>कौन सा शतरंज खिलाड़ी 'निमजो-इंडियन डिफेंस' में अपने योगदान के लिए जाना जाता था?</v>
      </c>
      <c r="H266" s="4" t="str">
        <f>IFERROR(__xludf.DUMMYFUNCTION("GOOGLETRANSLATE(C266, ""en"", ""hi"")"),"ए) एरोन निमज़ोवित्च, बी) गैरी कास्पारोव, सी) बॉबी फिशर, डी) विक्टर कोरचनोई")</f>
        <v>ए) एरोन निमज़ोवित्च, बी) गैरी कास्पारोव, सी) बॉबी फिशर, डी) विक्टर कोरचनोई</v>
      </c>
      <c r="I266" s="4" t="str">
        <f>IFERROR(__xludf.DUMMYFUNCTION("GOOGLETRANSLATE(D266, ""en"", ""hi"")"),"A) एरॉन निमज़ोवित्च")</f>
        <v>A) एरॉन निमज़ोवित्च</v>
      </c>
    </row>
    <row r="267" ht="22.5" customHeight="1">
      <c r="A267" s="3">
        <v>266.0</v>
      </c>
      <c r="B267" s="4" t="s">
        <v>1355</v>
      </c>
      <c r="C267" s="4" t="s">
        <v>1356</v>
      </c>
      <c r="D267" s="4" t="s">
        <v>1034</v>
      </c>
      <c r="F267" s="4" t="str">
        <f>IFERROR(__xludf.DUMMYFUNCTION("GOOGLETRANSLATE(A267, ""en"", ""hi"")"),"266")</f>
        <v>266</v>
      </c>
      <c r="G267" s="4" t="str">
        <f>IFERROR(__xludf.DUMMYFUNCTION("GOOGLETRANSLATE(B267, ""en"", ""hi"")"),"वह पहला शतरंज खिलाड़ी कौन था जिसने उस शहर में विश्व चैम्पियनशिप का खिताब जीता जिसने 20वीं सदी में पहले कभी कोई मैच आयोजित नहीं किया था?")</f>
        <v>वह पहला शतरंज खिलाड़ी कौन था जिसने उस शहर में विश्व चैम्पियनशिप का खिताब जीता जिसने 20वीं सदी में पहले कभी कोई मैच आयोजित नहीं किया था?</v>
      </c>
      <c r="H267" s="4" t="str">
        <f>IFERROR(__xludf.DUMMYFUNCTION("GOOGLETRANSLATE(C267, ""en"", ""hi"")"),"A) इमानुएल लास्कर, B) अलेक्जेंडर अलेखिन, C) गैरी कास्परोव, D) विश्वनाथन आनंद")</f>
        <v>A) इमानुएल लास्कर, B) अलेक्जेंडर अलेखिन, C) गैरी कास्परोव, D) विश्वनाथन आनंद</v>
      </c>
      <c r="I267" s="4" t="str">
        <f>IFERROR(__xludf.DUMMYFUNCTION("GOOGLETRANSLATE(D267, ""en"", ""hi"")"),"D) विश्वनाथन आनंद")</f>
        <v>D) विश्वनाथन आनंद</v>
      </c>
    </row>
    <row r="268" ht="22.5" customHeight="1">
      <c r="A268" s="3">
        <v>267.0</v>
      </c>
      <c r="B268" s="4" t="s">
        <v>1357</v>
      </c>
      <c r="C268" s="4" t="s">
        <v>1358</v>
      </c>
      <c r="D268" s="4" t="s">
        <v>1117</v>
      </c>
      <c r="F268" s="4" t="str">
        <f>IFERROR(__xludf.DUMMYFUNCTION("GOOGLETRANSLATE(A268, ""en"", ""hi"")"),"267")</f>
        <v>267</v>
      </c>
      <c r="G268" s="4" t="str">
        <f>IFERROR(__xludf.DUMMYFUNCTION("GOOGLETRANSLATE(B268, ""en"", ""hi"")"),"कौन सा विश्व शतरंज चैंपियन 'फ्रेंच डिफेंस' में अपने आक्रामक खेल और नवीन रणनीतियों के लिए जाना जाता था?")</f>
        <v>कौन सा विश्व शतरंज चैंपियन 'फ्रेंच डिफेंस' में अपने आक्रामक खेल और नवीन रणनीतियों के लिए जाना जाता था?</v>
      </c>
      <c r="H268" s="4" t="str">
        <f>IFERROR(__xludf.DUMMYFUNCTION("GOOGLETRANSLATE(C268, ""en"", ""hi"")"),"ए) विक्टर कोरचनोई, बी) गैरी कास्पारोव, सी) अनातोली कारपोव, डी) बॉबी फिशर")</f>
        <v>ए) विक्टर कोरचनोई, बी) गैरी कास्पारोव, सी) अनातोली कारपोव, डी) बॉबी फिशर</v>
      </c>
      <c r="I268" s="4" t="str">
        <f>IFERROR(__xludf.DUMMYFUNCTION("GOOGLETRANSLATE(D268, ""en"", ""hi"")"),"बी) गैरी कास्परोव")</f>
        <v>बी) गैरी कास्परोव</v>
      </c>
    </row>
    <row r="269" ht="22.5" customHeight="1">
      <c r="A269" s="3">
        <v>268.0</v>
      </c>
      <c r="B269" s="4" t="s">
        <v>1359</v>
      </c>
      <c r="C269" s="4" t="s">
        <v>994</v>
      </c>
      <c r="D269" s="4" t="s">
        <v>1142</v>
      </c>
      <c r="F269" s="4" t="str">
        <f>IFERROR(__xludf.DUMMYFUNCTION("GOOGLETRANSLATE(A269, ""en"", ""hi"")"),"268")</f>
        <v>268</v>
      </c>
      <c r="G269" s="4" t="str">
        <f>IFERROR(__xludf.DUMMYFUNCTION("GOOGLETRANSLATE(B269, ""en"", ""hi"")"),"खेलों की एक श्रृंखला में प्रभावशाली प्रदर्शन के साथ विश्व चैम्पियनशिप का खिताब जीतने वाला पहला शतरंज खिलाड़ी कौन था?")</f>
        <v>खेलों की एक श्रृंखला में प्रभावशाली प्रदर्शन के साथ विश्व चैम्पियनशिप का खिताब जीतने वाला पहला शतरंज खिलाड़ी कौन था?</v>
      </c>
      <c r="H269" s="4" t="str">
        <f>IFERROR(__xludf.DUMMYFUNCTION("GOOGLETRANSLATE(C269, ""en"", ""hi"")"),"ए) विल्हेम स्टीनित्ज़, बी) इमानुएल लास्कर, सी) अलेक्जेंडर अलेखिन, डी) जोस राउल कैपब्लांका")</f>
        <v>ए) विल्हेम स्टीनित्ज़, बी) इमानुएल लास्कर, सी) अलेक्जेंडर अलेखिन, डी) जोस राउल कैपब्लांका</v>
      </c>
      <c r="I269" s="4" t="str">
        <f>IFERROR(__xludf.DUMMYFUNCTION("GOOGLETRANSLATE(D269, ""en"", ""hi"")"),"बी) इमानुएल लास्कर")</f>
        <v>बी) इमानुएल लास्कर</v>
      </c>
    </row>
    <row r="270" ht="22.5" customHeight="1">
      <c r="A270" s="3">
        <v>269.0</v>
      </c>
      <c r="B270" s="4" t="s">
        <v>1360</v>
      </c>
      <c r="C270" s="4" t="s">
        <v>1361</v>
      </c>
      <c r="D270" s="4" t="s">
        <v>920</v>
      </c>
      <c r="F270" s="4" t="str">
        <f>IFERROR(__xludf.DUMMYFUNCTION("GOOGLETRANSLATE(A270, ""en"", ""hi"")"),"269")</f>
        <v>269</v>
      </c>
      <c r="G270" s="4" t="str">
        <f>IFERROR(__xludf.DUMMYFUNCTION("GOOGLETRANSLATE(B270, ""en"", ""hi"")"),"कौन सा शतरंज खिलाड़ी 'क्वींस गैम्बिट डिक्लाइन्ड' ओपनिंग में अपनी विशेषज्ञता के लिए जाना जाता था?")</f>
        <v>कौन सा शतरंज खिलाड़ी 'क्वींस गैम्बिट डिक्लाइन्ड' ओपनिंग में अपनी विशेषज्ञता के लिए जाना जाता था?</v>
      </c>
      <c r="H270" s="4" t="str">
        <f>IFERROR(__xludf.DUMMYFUNCTION("GOOGLETRANSLATE(C270, ""en"", ""hi"")"),"ए) गैरी कास्पारोव, बी) विक्टर कोरचनोई, सी) जोस राउल कैपब्लांका, डी) तिगरान पेट्रोसियन")</f>
        <v>ए) गैरी कास्पारोव, बी) विक्टर कोरचनोई, सी) जोस राउल कैपब्लांका, डी) तिगरान पेट्रोसियन</v>
      </c>
      <c r="I270" s="4" t="str">
        <f>IFERROR(__xludf.DUMMYFUNCTION("GOOGLETRANSLATE(D270, ""en"", ""hi"")"),"C) जोस राउल कैपब्लैंका")</f>
        <v>C) जोस राउल कैपब्लैंका</v>
      </c>
    </row>
    <row r="271" ht="22.5" customHeight="1">
      <c r="A271" s="3">
        <v>270.0</v>
      </c>
      <c r="B271" s="4" t="s">
        <v>1362</v>
      </c>
      <c r="C271" s="4" t="s">
        <v>1162</v>
      </c>
      <c r="D271" s="4" t="s">
        <v>1144</v>
      </c>
      <c r="F271" s="4" t="str">
        <f>IFERROR(__xludf.DUMMYFUNCTION("GOOGLETRANSLATE(A271, ""en"", ""hi"")"),"270")</f>
        <v>270</v>
      </c>
      <c r="G271" s="4" t="str">
        <f>IFERROR(__xludf.DUMMYFUNCTION("GOOGLETRANSLATE(B271, ""en"", ""hi"")"),"वह पहला शतरंज खिलाड़ी कौन था जिसने समय नियंत्रण वाले मैच में मौजूदा चैंपियन को हराकर विश्व चैम्पियनशिप का खिताब जीता था जिसमें वृद्धि भी शामिल थी?")</f>
        <v>वह पहला शतरंज खिलाड़ी कौन था जिसने समय नियंत्रण वाले मैच में मौजूदा चैंपियन को हराकर विश्व चैम्पियनशिप का खिताब जीता था जिसमें वृद्धि भी शामिल थी?</v>
      </c>
      <c r="H271" s="4" t="str">
        <f>IFERROR(__xludf.DUMMYFUNCTION("GOOGLETRANSLATE(C271, ""en"", ""hi"")"),"ए) गैरी कास्परोव, बी) व्लादिमीर क्रैमनिक, सी) विश्वनाथन आनंद, डी) मैग्नस कार्लसन")</f>
        <v>ए) गैरी कास्परोव, बी) व्लादिमीर क्रैमनिक, सी) विश्वनाथन आनंद, डी) मैग्नस कार्लसन</v>
      </c>
      <c r="I271" s="4" t="str">
        <f>IFERROR(__xludf.DUMMYFUNCTION("GOOGLETRANSLATE(D271, ""en"", ""hi"")"),"D) मैग्नस कार्लसन")</f>
        <v>D) मैग्नस कार्लसन</v>
      </c>
    </row>
    <row r="272" ht="22.5" customHeight="1">
      <c r="A272" s="3">
        <v>271.0</v>
      </c>
      <c r="B272" s="4" t="s">
        <v>1363</v>
      </c>
      <c r="C272" s="4" t="s">
        <v>1364</v>
      </c>
      <c r="D272" s="4" t="s">
        <v>1365</v>
      </c>
      <c r="F272" s="4" t="str">
        <f>IFERROR(__xludf.DUMMYFUNCTION("GOOGLETRANSLATE(A272, ""en"", ""hi"")"),"271")</f>
        <v>271</v>
      </c>
      <c r="G272" s="4" t="str">
        <f>IFERROR(__xludf.DUMMYFUNCTION("GOOGLETRANSLATE(B272, ""en"", ""hi"")"),"कौन सा विश्व शतरंज चैंपियन 'क्वींस इंडियन डिफेंस' में अपने योगदान के लिए जाना जाता था?")</f>
        <v>कौन सा विश्व शतरंज चैंपियन 'क्वींस इंडियन डिफेंस' में अपने योगदान के लिए जाना जाता था?</v>
      </c>
      <c r="H272" s="4" t="str">
        <f>IFERROR(__xludf.DUMMYFUNCTION("GOOGLETRANSLATE(C272, ""en"", ""hi"")"),"ए) गैरी कास्परोव, बी) विक्टर कोरचनोई, सी) अलेक्जेंडर अलेखिन, डी) एरोन निमज़ोवित्च")</f>
        <v>ए) गैरी कास्परोव, बी) विक्टर कोरचनोई, सी) अलेक्जेंडर अलेखिन, डी) एरोन निमज़ोवित्च</v>
      </c>
      <c r="I272" s="4" t="str">
        <f>IFERROR(__xludf.DUMMYFUNCTION("GOOGLETRANSLATE(D272, ""en"", ""hi"")"),"D) एरॉन निमज़ोवित्च")</f>
        <v>D) एरॉन निमज़ोवित्च</v>
      </c>
    </row>
    <row r="273" ht="22.5" customHeight="1">
      <c r="A273" s="3">
        <v>272.0</v>
      </c>
      <c r="B273" s="4" t="s">
        <v>1366</v>
      </c>
      <c r="C273" s="4" t="s">
        <v>1351</v>
      </c>
      <c r="D273" s="4" t="s">
        <v>953</v>
      </c>
      <c r="F273" s="4" t="str">
        <f>IFERROR(__xludf.DUMMYFUNCTION("GOOGLETRANSLATE(A273, ""en"", ""hi"")"),"272")</f>
        <v>272</v>
      </c>
      <c r="G273" s="4" t="str">
        <f>IFERROR(__xludf.DUMMYFUNCTION("GOOGLETRANSLATE(B273, ""en"", ""hi"")"),"रैपिड और ब्लिट्ज़ खेलों वाले मैच में विश्व चैम्पियनशिप का खिताब जीतने वाला पहला खिलाड़ी कौन था?")</f>
        <v>रैपिड और ब्लिट्ज़ खेलों वाले मैच में विश्व चैम्पियनशिप का खिताब जीतने वाला पहला खिलाड़ी कौन था?</v>
      </c>
      <c r="H273" s="4" t="str">
        <f>IFERROR(__xludf.DUMMYFUNCTION("GOOGLETRANSLATE(C273, ""en"", ""hi"")"),"ए) व्लादिमीर क्रैमनिक, बी) विश्वनाथन आनंद, सी) मैग्नस कार्लसन, डी) गैरी कास्परोव")</f>
        <v>ए) व्लादिमीर क्रैमनिक, बी) विश्वनाथन आनंद, सी) मैग्नस कार्लसन, डी) गैरी कास्परोव</v>
      </c>
      <c r="I273" s="4" t="str">
        <f>IFERROR(__xludf.DUMMYFUNCTION("GOOGLETRANSLATE(D273, ""en"", ""hi"")"),"B) विश्वनाथन आनंद")</f>
        <v>B) विश्वनाथन आनंद</v>
      </c>
    </row>
    <row r="274" ht="22.5" customHeight="1">
      <c r="A274" s="3">
        <v>273.0</v>
      </c>
      <c r="B274" s="4" t="s">
        <v>1367</v>
      </c>
      <c r="C274" s="4" t="s">
        <v>1368</v>
      </c>
      <c r="D274" s="4" t="s">
        <v>1369</v>
      </c>
      <c r="F274" s="4" t="str">
        <f>IFERROR(__xludf.DUMMYFUNCTION("GOOGLETRANSLATE(A274, ""en"", ""hi"")"),"273")</f>
        <v>273</v>
      </c>
      <c r="G274" s="4" t="str">
        <f>IFERROR(__xludf.DUMMYFUNCTION("GOOGLETRANSLATE(B274, ""en"", ""hi"")"),"कौन सा शतरंज खिलाड़ी 'इंग्लिश ओपनिंग' में अपने योगदान के लिए जाना जाता था?")</f>
        <v>कौन सा शतरंज खिलाड़ी 'इंग्लिश ओपनिंग' में अपने योगदान के लिए जाना जाता था?</v>
      </c>
      <c r="H274" s="4" t="str">
        <f>IFERROR(__xludf.DUMMYFUNCTION("GOOGLETRANSLATE(C274, ""en"", ""hi"")"),"ए) हॉवर्ड स्टॉन्टन, बी) गैरी कास्पारोव, सी) विक्टर कोरचनोई, डी) तिगरान पेट्रोसियन")</f>
        <v>ए) हॉवर्ड स्टॉन्टन, बी) गैरी कास्पारोव, सी) विक्टर कोरचनोई, डी) तिगरान पेट्रोसियन</v>
      </c>
      <c r="I274" s="4" t="str">
        <f>IFERROR(__xludf.DUMMYFUNCTION("GOOGLETRANSLATE(D274, ""en"", ""hi"")"),"A) हॉवर्ड स्टॉन्टन")</f>
        <v>A) हॉवर्ड स्टॉन्टन</v>
      </c>
    </row>
    <row r="275" ht="22.5" customHeight="1">
      <c r="A275" s="3">
        <v>274.0</v>
      </c>
      <c r="B275" s="4" t="s">
        <v>1370</v>
      </c>
      <c r="C275" s="4" t="s">
        <v>1371</v>
      </c>
      <c r="D275" s="4" t="s">
        <v>943</v>
      </c>
      <c r="F275" s="4" t="str">
        <f>IFERROR(__xludf.DUMMYFUNCTION("GOOGLETRANSLATE(A275, ""en"", ""hi"")"),"274")</f>
        <v>274</v>
      </c>
      <c r="G275" s="4" t="str">
        <f>IFERROR(__xludf.DUMMYFUNCTION("GOOGLETRANSLATE(B275, ""en"", ""hi"")"),"शास्त्रीय समय नियंत्रण खेलों में लगातार जीत के साथ विश्व चैम्पियनशिप का खिताब जीतने वाला पहला शतरंज खिलाड़ी कौन था?")</f>
        <v>शास्त्रीय समय नियंत्रण खेलों में लगातार जीत के साथ विश्व चैम्पियनशिप का खिताब जीतने वाला पहला शतरंज खिलाड़ी कौन था?</v>
      </c>
      <c r="H275" s="4" t="str">
        <f>IFERROR(__xludf.DUMMYFUNCTION("GOOGLETRANSLATE(C275, ""en"", ""hi"")"),"ए) गैरी कास्पारोव, बी) इमानुएल लास्कर, सी) अलेक्जेंडर अलेखिन, डी) जोस राउल कैपब्लांका")</f>
        <v>ए) गैरी कास्पारोव, बी) इमानुएल लास्कर, सी) अलेक्जेंडर अलेखिन, डी) जोस राउल कैपब्लांका</v>
      </c>
      <c r="I275" s="4" t="str">
        <f>IFERROR(__xludf.DUMMYFUNCTION("GOOGLETRANSLATE(D275, ""en"", ""hi"")"),"A) गैरी कास्पारोव")</f>
        <v>A) गैरी कास्पारोव</v>
      </c>
    </row>
    <row r="276" ht="22.5" customHeight="1">
      <c r="A276" s="3">
        <v>275.0</v>
      </c>
      <c r="B276" s="4" t="s">
        <v>1372</v>
      </c>
      <c r="C276" s="4" t="s">
        <v>1373</v>
      </c>
      <c r="D276" s="4" t="s">
        <v>914</v>
      </c>
      <c r="F276" s="4" t="str">
        <f>IFERROR(__xludf.DUMMYFUNCTION("GOOGLETRANSLATE(A276, ""en"", ""hi"")"),"275")</f>
        <v>275</v>
      </c>
      <c r="G276" s="4" t="str">
        <f>IFERROR(__xludf.DUMMYFUNCTION("GOOGLETRANSLATE(B276, ""en"", ""hi"")"),"कौन सा विश्व शतरंज चैंपियन 'सिसिलियन डिफेंस' में अपने योगदान के लिए जाना जाता था?")</f>
        <v>कौन सा विश्व शतरंज चैंपियन 'सिसिलियन डिफेंस' में अपने योगदान के लिए जाना जाता था?</v>
      </c>
      <c r="H276" s="4" t="str">
        <f>IFERROR(__xludf.DUMMYFUNCTION("GOOGLETRANSLATE(C276, ""en"", ""hi"")"),"ए) गैरी कास्पारोव, बी) विक्टर कोरचनोई, सी) बॉबी फिशर, डी) इमानुएल लास्कर")</f>
        <v>ए) गैरी कास्पारोव, बी) विक्टर कोरचनोई, सी) बॉबी फिशर, डी) इमानुएल लास्कर</v>
      </c>
      <c r="I276" s="4" t="str">
        <f>IFERROR(__xludf.DUMMYFUNCTION("GOOGLETRANSLATE(D276, ""en"", ""hi"")"),"C) बॉबी फिशर")</f>
        <v>C) बॉबी फिशर</v>
      </c>
    </row>
    <row r="277" ht="22.5" customHeight="1">
      <c r="A277" s="3">
        <v>276.0</v>
      </c>
      <c r="B277" s="4" t="s">
        <v>1374</v>
      </c>
      <c r="C277" s="4" t="s">
        <v>1162</v>
      </c>
      <c r="D277" s="4" t="s">
        <v>1144</v>
      </c>
      <c r="F277" s="4" t="str">
        <f>IFERROR(__xludf.DUMMYFUNCTION("GOOGLETRANSLATE(A277, ""en"", ""hi"")"),"276")</f>
        <v>276</v>
      </c>
      <c r="G277" s="4" t="str">
        <f>IFERROR(__xludf.DUMMYFUNCTION("GOOGLETRANSLATE(B277, ""en"", ""hi"")"),"वह पहला शतरंज खिलाड़ी कौन था जिसने उस शहर में विश्व चैम्पियनशिप का खिताब जीता जिसने 21वीं सदी में पहले कभी कोई मैच आयोजित नहीं किया था?")</f>
        <v>वह पहला शतरंज खिलाड़ी कौन था जिसने उस शहर में विश्व चैम्पियनशिप का खिताब जीता जिसने 21वीं सदी में पहले कभी कोई मैच आयोजित नहीं किया था?</v>
      </c>
      <c r="H277" s="4" t="str">
        <f>IFERROR(__xludf.DUMMYFUNCTION("GOOGLETRANSLATE(C277, ""en"", ""hi"")"),"ए) गैरी कास्परोव, बी) व्लादिमीर क्रैमनिक, सी) विश्वनाथन आनंद, डी) मैग्नस कार्लसन")</f>
        <v>ए) गैरी कास्परोव, बी) व्लादिमीर क्रैमनिक, सी) विश्वनाथन आनंद, डी) मैग्नस कार्लसन</v>
      </c>
      <c r="I277" s="4" t="str">
        <f>IFERROR(__xludf.DUMMYFUNCTION("GOOGLETRANSLATE(D277, ""en"", ""hi"")"),"D) मैग्नस कार्लसन")</f>
        <v>D) मैग्नस कार्लसन</v>
      </c>
    </row>
    <row r="278" ht="22.5" customHeight="1">
      <c r="A278" s="3">
        <v>277.0</v>
      </c>
      <c r="B278" s="4" t="s">
        <v>1375</v>
      </c>
      <c r="C278" s="4" t="s">
        <v>1376</v>
      </c>
      <c r="D278" s="4" t="s">
        <v>1377</v>
      </c>
      <c r="F278" s="4" t="str">
        <f>IFERROR(__xludf.DUMMYFUNCTION("GOOGLETRANSLATE(A278, ""en"", ""hi"")"),"277")</f>
        <v>277</v>
      </c>
      <c r="G278" s="4" t="str">
        <f>IFERROR(__xludf.DUMMYFUNCTION("GOOGLETRANSLATE(B278, ""en"", ""hi"")"),"कौन सा शतरंज खिलाड़ी 'फिलिडोर डिफेंस' के अपने अभिनव प्रयोग के लिए जाना जाता था?")</f>
        <v>कौन सा शतरंज खिलाड़ी 'फिलिडोर डिफेंस' के अपने अभिनव प्रयोग के लिए जाना जाता था?</v>
      </c>
      <c r="H278" s="4" t="str">
        <f>IFERROR(__xludf.DUMMYFUNCTION("GOOGLETRANSLATE(C278, ""en"", ""hi"")"),"ए) फ्रांकोइस-आंद्रे डैनिकन फिलिडोर, बी) गैरी कास्पारोव, सी) विक्टर कोरचनोई, डी) बॉबी फिशर")</f>
        <v>ए) फ्रांकोइस-आंद्रे डैनिकन फिलिडोर, बी) गैरी कास्पारोव, सी) विक्टर कोरचनोई, डी) बॉबी फिशर</v>
      </c>
      <c r="I278" s="4" t="str">
        <f>IFERROR(__xludf.DUMMYFUNCTION("GOOGLETRANSLATE(D278, ""en"", ""hi"")"),"ए) फ्रांकोइस-आंद्रे डैनिकन फिलिडोर")</f>
        <v>ए) फ्रांकोइस-आंद्रे डैनिकन फिलिडोर</v>
      </c>
    </row>
    <row r="279" ht="22.5" customHeight="1">
      <c r="A279" s="3">
        <v>278.0</v>
      </c>
      <c r="B279" s="4" t="s">
        <v>1378</v>
      </c>
      <c r="C279" s="4" t="s">
        <v>1162</v>
      </c>
      <c r="D279" s="4" t="s">
        <v>1144</v>
      </c>
      <c r="F279" s="4" t="str">
        <f>IFERROR(__xludf.DUMMYFUNCTION("GOOGLETRANSLATE(A279, ""en"", ""hi"")"),"278")</f>
        <v>278</v>
      </c>
      <c r="G279" s="4" t="str">
        <f>IFERROR(__xludf.DUMMYFUNCTION("GOOGLETRANSLATE(B279, ""en"", ""hi"")"),"रैपिड और ब्लिट्ज़ प्रारूप में प्रभावशाली प्रदर्शन के साथ विश्व चैम्पियनशिप का खिताब जीतने वाला पहला शतरंज खिलाड़ी कौन था?")</f>
        <v>रैपिड और ब्लिट्ज़ प्रारूप में प्रभावशाली प्रदर्शन के साथ विश्व चैम्पियनशिप का खिताब जीतने वाला पहला शतरंज खिलाड़ी कौन था?</v>
      </c>
      <c r="H279" s="4" t="str">
        <f>IFERROR(__xludf.DUMMYFUNCTION("GOOGLETRANSLATE(C279, ""en"", ""hi"")"),"ए) गैरी कास्परोव, बी) व्लादिमीर क्रैमनिक, सी) विश्वनाथन आनंद, डी) मैग्नस कार्लसन")</f>
        <v>ए) गैरी कास्परोव, बी) व्लादिमीर क्रैमनिक, सी) विश्वनाथन आनंद, डी) मैग्नस कार्लसन</v>
      </c>
      <c r="I279" s="4" t="str">
        <f>IFERROR(__xludf.DUMMYFUNCTION("GOOGLETRANSLATE(D279, ""en"", ""hi"")"),"D) मैग्नस कार्लसन")</f>
        <v>D) मैग्नस कार्लसन</v>
      </c>
    </row>
    <row r="280" ht="22.5" customHeight="1">
      <c r="A280" s="3">
        <v>279.0</v>
      </c>
      <c r="B280" s="4" t="s">
        <v>1379</v>
      </c>
      <c r="C280" s="4" t="s">
        <v>1380</v>
      </c>
      <c r="D280" s="4" t="s">
        <v>943</v>
      </c>
      <c r="F280" s="4" t="str">
        <f>IFERROR(__xludf.DUMMYFUNCTION("GOOGLETRANSLATE(A280, ""en"", ""hi"")"),"279")</f>
        <v>279</v>
      </c>
      <c r="G280" s="4" t="str">
        <f>IFERROR(__xludf.DUMMYFUNCTION("GOOGLETRANSLATE(B280, ""en"", ""hi"")"),"कौन सा विश्व शतरंज चैंपियन 'किंग्स इंडियन अटैक' के उपयोग के लिए जाना जाता था?")</f>
        <v>कौन सा विश्व शतरंज चैंपियन 'किंग्स इंडियन अटैक' के उपयोग के लिए जाना जाता था?</v>
      </c>
      <c r="H280" s="4" t="str">
        <f>IFERROR(__xludf.DUMMYFUNCTION("GOOGLETRANSLATE(C280, ""en"", ""hi"")"),"ए) गैरी कास्पारोव, बी) विक्टर कोरचनोई, सी) बॉबी फिशर, डी) पॉल केरेस")</f>
        <v>ए) गैरी कास्पारोव, बी) विक्टर कोरचनोई, सी) बॉबी फिशर, डी) पॉल केरेस</v>
      </c>
      <c r="I280" s="4" t="str">
        <f>IFERROR(__xludf.DUMMYFUNCTION("GOOGLETRANSLATE(D280, ""en"", ""hi"")"),"A) गैरी कास्पारोव")</f>
        <v>A) गैरी कास्पारोव</v>
      </c>
    </row>
    <row r="281" ht="22.5" customHeight="1">
      <c r="A281" s="3">
        <v>280.0</v>
      </c>
      <c r="B281" s="4" t="s">
        <v>1381</v>
      </c>
      <c r="C281" s="4" t="s">
        <v>1382</v>
      </c>
      <c r="D281" s="4" t="s">
        <v>1144</v>
      </c>
      <c r="F281" s="4" t="str">
        <f>IFERROR(__xludf.DUMMYFUNCTION("GOOGLETRANSLATE(A281, ""en"", ""hi"")"),"280")</f>
        <v>280</v>
      </c>
      <c r="G281" s="4" t="str">
        <f>IFERROR(__xludf.DUMMYFUNCTION("GOOGLETRANSLATE(B281, ""en"", ""hi"")"),"विश्व चैम्पियनशिप का खिताब जीतने वाला पहला शतरंज खिलाड़ी कौन था, जिसने पहले कभी किसी खिताबी मुकाबले की मेजबानी नहीं की थी?")</f>
        <v>विश्व चैम्पियनशिप का खिताब जीतने वाला पहला शतरंज खिलाड़ी कौन था, जिसने पहले कभी किसी खिताबी मुकाबले की मेजबानी नहीं की थी?</v>
      </c>
      <c r="H281" s="4" t="str">
        <f>IFERROR(__xludf.DUMMYFUNCTION("GOOGLETRANSLATE(C281, ""en"", ""hi"")"),"ए) विल्हेम स्टीनित्ज़, बी) अलेक्जेंडर अलेखिन, सी) जोस राउल कैपबेलैंका, डी) मैग्नस कार्लसन")</f>
        <v>ए) विल्हेम स्टीनित्ज़, बी) अलेक्जेंडर अलेखिन, सी) जोस राउल कैपबेलैंका, डी) मैग्नस कार्लसन</v>
      </c>
      <c r="I281" s="4" t="str">
        <f>IFERROR(__xludf.DUMMYFUNCTION("GOOGLETRANSLATE(D281, ""en"", ""hi"")"),"D) मैग्नस कार्लसन")</f>
        <v>D) मैग्नस कार्लसन</v>
      </c>
    </row>
    <row r="282" ht="22.5" customHeight="1">
      <c r="A282" s="3">
        <v>281.0</v>
      </c>
      <c r="B282" s="4" t="s">
        <v>1383</v>
      </c>
      <c r="C282" s="4" t="s">
        <v>1384</v>
      </c>
      <c r="D282" s="4" t="s">
        <v>1385</v>
      </c>
      <c r="F282" s="4" t="str">
        <f>IFERROR(__xludf.DUMMYFUNCTION("GOOGLETRANSLATE(A282, ""en"", ""hi"")"),"281")</f>
        <v>281</v>
      </c>
      <c r="G282" s="4" t="str">
        <f>IFERROR(__xludf.DUMMYFUNCTION("GOOGLETRANSLATE(B282, ""en"", ""hi"")"),"कौन सा शतरंज खिलाड़ी 'ग्रुनफेल्ड डिफेंस' में अपने योगदान के लिए जाना जाता था?")</f>
        <v>कौन सा शतरंज खिलाड़ी 'ग्रुनफेल्ड डिफेंस' में अपने योगदान के लिए जाना जाता था?</v>
      </c>
      <c r="H282" s="4" t="str">
        <f>IFERROR(__xludf.DUMMYFUNCTION("GOOGLETRANSLATE(C282, ""en"", ""hi"")"),"A) अर्न्स्ट ग्रुनफेल्ड, B) गैरी कास्पारोव, C) विक्टर कोर्चनोई, D) बॉबी फिशर")</f>
        <v>A) अर्न्स्ट ग्रुनफेल्ड, B) गैरी कास्पारोव, C) विक्टर कोर्चनोई, D) बॉबी फिशर</v>
      </c>
      <c r="I282" s="4" t="str">
        <f>IFERROR(__xludf.DUMMYFUNCTION("GOOGLETRANSLATE(D282, ""en"", ""hi"")"),"A) अर्न्स्ट ग्रुनफेल्ड")</f>
        <v>A) अर्न्स्ट ग्रुनफेल्ड</v>
      </c>
    </row>
    <row r="283" ht="22.5" customHeight="1">
      <c r="A283" s="3">
        <v>282.0</v>
      </c>
      <c r="B283" s="4" t="s">
        <v>1386</v>
      </c>
      <c r="C283" s="4" t="s">
        <v>1387</v>
      </c>
      <c r="D283" s="4" t="s">
        <v>1043</v>
      </c>
      <c r="F283" s="4" t="str">
        <f>IFERROR(__xludf.DUMMYFUNCTION("GOOGLETRANSLATE(A283, ""en"", ""hi"")"),"282")</f>
        <v>282</v>
      </c>
      <c r="G283" s="4" t="str">
        <f>IFERROR(__xludf.DUMMYFUNCTION("GOOGLETRANSLATE(B283, ""en"", ""hi"")"),"2900 या उससे अधिक की FIDE रेटिंग हासिल करने वाला पहला खिलाड़ी कौन था?")</f>
        <v>2900 या उससे अधिक की FIDE रेटिंग हासिल करने वाला पहला खिलाड़ी कौन था?</v>
      </c>
      <c r="H283" s="4" t="str">
        <f>IFERROR(__xludf.DUMMYFUNCTION("GOOGLETRANSLATE(C283, ""en"", ""hi"")"),"ए) गैरी कास्पारोव, बी) मैग्नस कार्लसन, सी) व्लादिमीर क्रैमनिक, डी) विश्वनाथन आनंद")</f>
        <v>ए) गैरी कास्पारोव, बी) मैग्नस कार्लसन, सी) व्लादिमीर क्रैमनिक, डी) विश्वनाथन आनंद</v>
      </c>
      <c r="I283" s="4" t="str">
        <f>IFERROR(__xludf.DUMMYFUNCTION("GOOGLETRANSLATE(D283, ""en"", ""hi"")"),"B) मैग्नस कार्लसन")</f>
        <v>B) मैग्नस कार्लसन</v>
      </c>
    </row>
    <row r="284" ht="22.5" customHeight="1">
      <c r="A284" s="3">
        <v>283.0</v>
      </c>
      <c r="B284" s="4" t="s">
        <v>1388</v>
      </c>
      <c r="C284" s="4" t="s">
        <v>1389</v>
      </c>
      <c r="D284" s="4" t="s">
        <v>1390</v>
      </c>
      <c r="F284" s="4" t="str">
        <f>IFERROR(__xludf.DUMMYFUNCTION("GOOGLETRANSLATE(A284, ""en"", ""hi"")"),"283")</f>
        <v>283</v>
      </c>
      <c r="G284" s="4" t="str">
        <f>IFERROR(__xludf.DUMMYFUNCTION("GOOGLETRANSLATE(B284, ""en"", ""hi"")"),"कौन सा विश्व शतरंज चैंपियन अपने खेलों में 'रूय लोपेज़' ओपनिंग के उपयोग के लिए जाना जाता था?")</f>
        <v>कौन सा विश्व शतरंज चैंपियन अपने खेलों में 'रूय लोपेज़' ओपनिंग के उपयोग के लिए जाना जाता था?</v>
      </c>
      <c r="H284" s="4" t="str">
        <f>IFERROR(__xludf.DUMMYFUNCTION("GOOGLETRANSLATE(C284, ""en"", ""hi"")"),"ए) गैरी कास्परोव, बी) बॉबी फिशर, सी) जोस राउल कैपब्लांका, डी) अलेक्जेंडर अलेखिन")</f>
        <v>ए) गैरी कास्परोव, बी) बॉबी फिशर, सी) जोस राउल कैपब्लांका, डी) अलेक्जेंडर अलेखिन</v>
      </c>
      <c r="I284" s="4" t="str">
        <f>IFERROR(__xludf.DUMMYFUNCTION("GOOGLETRANSLATE(D284, ""en"", ""hi"")"),"D) अलेक्जेंडर अलेखिन")</f>
        <v>D) अलेक्जेंडर अलेखिन</v>
      </c>
    </row>
    <row r="285" ht="22.5" customHeight="1">
      <c r="A285" s="3">
        <v>284.0</v>
      </c>
      <c r="B285" s="4" t="s">
        <v>1381</v>
      </c>
      <c r="C285" s="4" t="s">
        <v>1382</v>
      </c>
      <c r="D285" s="4" t="s">
        <v>1144</v>
      </c>
      <c r="F285" s="4" t="str">
        <f>IFERROR(__xludf.DUMMYFUNCTION("GOOGLETRANSLATE(A285, ""en"", ""hi"")"),"284")</f>
        <v>284</v>
      </c>
      <c r="G285" s="4" t="str">
        <f>IFERROR(__xludf.DUMMYFUNCTION("GOOGLETRANSLATE(B285, ""en"", ""hi"")"),"विश्व चैम्पियनशिप का खिताब जीतने वाला पहला शतरंज खिलाड़ी कौन था, जिसने पहले कभी किसी खिताबी मुकाबले की मेजबानी नहीं की थी?")</f>
        <v>विश्व चैम्पियनशिप का खिताब जीतने वाला पहला शतरंज खिलाड़ी कौन था, जिसने पहले कभी किसी खिताबी मुकाबले की मेजबानी नहीं की थी?</v>
      </c>
      <c r="H285" s="4" t="str">
        <f>IFERROR(__xludf.DUMMYFUNCTION("GOOGLETRANSLATE(C285, ""en"", ""hi"")"),"ए) विल्हेम स्टीनित्ज़, बी) अलेक्जेंडर अलेखिन, सी) जोस राउल कैपबेलैंका, डी) मैग्नस कार्लसन")</f>
        <v>ए) विल्हेम स्टीनित्ज़, बी) अलेक्जेंडर अलेखिन, सी) जोस राउल कैपबेलैंका, डी) मैग्नस कार्लसन</v>
      </c>
      <c r="I285" s="4" t="str">
        <f>IFERROR(__xludf.DUMMYFUNCTION("GOOGLETRANSLATE(D285, ""en"", ""hi"")"),"D) मैग्नस कार्लसन")</f>
        <v>D) मैग्नस कार्लसन</v>
      </c>
    </row>
    <row r="286" ht="22.5" customHeight="1">
      <c r="A286" s="3">
        <v>285.0</v>
      </c>
      <c r="B286" s="4" t="s">
        <v>1391</v>
      </c>
      <c r="C286" s="4" t="s">
        <v>1392</v>
      </c>
      <c r="D286" s="4" t="s">
        <v>1393</v>
      </c>
      <c r="F286" s="4" t="str">
        <f>IFERROR(__xludf.DUMMYFUNCTION("GOOGLETRANSLATE(A286, ""en"", ""hi"")"),"285")</f>
        <v>285</v>
      </c>
      <c r="G286" s="4" t="str">
        <f>IFERROR(__xludf.DUMMYFUNCTION("GOOGLETRANSLATE(B286, ""en"", ""hi"")"),"कौन सा शतरंज खिलाड़ी 'डच डिफेंस' में अपने योगदान के लिए जाना जाता था?")</f>
        <v>कौन सा शतरंज खिलाड़ी 'डच डिफेंस' में अपने योगदान के लिए जाना जाता था?</v>
      </c>
      <c r="H286" s="4" t="str">
        <f>IFERROR(__xludf.DUMMYFUNCTION("GOOGLETRANSLATE(C286, ""en"", ""hi"")"),"ए) ह्यूग अलेक्जेंडर, बी) गैरी कास्पारोव, सी) विक्टर कोरचनोई, डी) लोडेविज्क प्रिन्स")</f>
        <v>ए) ह्यूग अलेक्जेंडर, बी) गैरी कास्पारोव, सी) विक्टर कोरचनोई, डी) लोडेविज्क प्रिन्स</v>
      </c>
      <c r="I286" s="4" t="str">
        <f>IFERROR(__xludf.DUMMYFUNCTION("GOOGLETRANSLATE(D286, ""en"", ""hi"")"),"D) लोडेविज्क प्रिंस")</f>
        <v>D) लोडेविज्क प्रिंस</v>
      </c>
    </row>
    <row r="287" ht="22.5" customHeight="1">
      <c r="A287" s="3">
        <v>286.0</v>
      </c>
      <c r="B287" s="4" t="s">
        <v>1374</v>
      </c>
      <c r="C287" s="4" t="s">
        <v>1162</v>
      </c>
      <c r="D287" s="4" t="s">
        <v>1144</v>
      </c>
      <c r="F287" s="4" t="str">
        <f>IFERROR(__xludf.DUMMYFUNCTION("GOOGLETRANSLATE(A287, ""en"", ""hi"")"),"286")</f>
        <v>286</v>
      </c>
      <c r="G287" s="4" t="str">
        <f>IFERROR(__xludf.DUMMYFUNCTION("GOOGLETRANSLATE(B287, ""en"", ""hi"")"),"वह पहला शतरंज खिलाड़ी कौन था जिसने उस शहर में विश्व चैम्पियनशिप का खिताब जीता जिसने 21वीं सदी में पहले कभी कोई मैच आयोजित नहीं किया था?")</f>
        <v>वह पहला शतरंज खिलाड़ी कौन था जिसने उस शहर में विश्व चैम्पियनशिप का खिताब जीता जिसने 21वीं सदी में पहले कभी कोई मैच आयोजित नहीं किया था?</v>
      </c>
      <c r="H287" s="4" t="str">
        <f>IFERROR(__xludf.DUMMYFUNCTION("GOOGLETRANSLATE(C287, ""en"", ""hi"")"),"ए) गैरी कास्परोव, बी) व्लादिमीर क्रैमनिक, सी) विश्वनाथन आनंद, डी) मैग्नस कार्लसन")</f>
        <v>ए) गैरी कास्परोव, बी) व्लादिमीर क्रैमनिक, सी) विश्वनाथन आनंद, डी) मैग्नस कार्लसन</v>
      </c>
      <c r="I287" s="4" t="str">
        <f>IFERROR(__xludf.DUMMYFUNCTION("GOOGLETRANSLATE(D287, ""en"", ""hi"")"),"D) मैग्नस कार्लसन")</f>
        <v>D) मैग्नस कार्लसन</v>
      </c>
    </row>
    <row r="288" ht="22.5" customHeight="1">
      <c r="A288" s="3">
        <v>287.0</v>
      </c>
      <c r="B288" s="4" t="s">
        <v>1394</v>
      </c>
      <c r="C288" s="4" t="s">
        <v>1395</v>
      </c>
      <c r="D288" s="4" t="s">
        <v>1396</v>
      </c>
      <c r="F288" s="4" t="str">
        <f>IFERROR(__xludf.DUMMYFUNCTION("GOOGLETRANSLATE(A288, ""en"", ""hi"")"),"287")</f>
        <v>287</v>
      </c>
      <c r="G288" s="4" t="str">
        <f>IFERROR(__xludf.DUMMYFUNCTION("GOOGLETRANSLATE(B288, ""en"", ""hi"")"),"कौन सा विश्व शतरंज चैंपियन 'सिसिलियन ड्रैगन' के अपने अभिनव उपयोग के लिए जाना जाता था?")</f>
        <v>कौन सा विश्व शतरंज चैंपियन 'सिसिलियन ड्रैगन' के अपने अभिनव उपयोग के लिए जाना जाता था?</v>
      </c>
      <c r="H288" s="4" t="str">
        <f>IFERROR(__xludf.DUMMYFUNCTION("GOOGLETRANSLATE(C288, ""en"", ""hi"")"),"ए) गैरी कास्पारोव, बी) विक्टर कोरचनोई, सी) बॉबी फिशर, डी) मिखाइल ताल")</f>
        <v>ए) गैरी कास्पारोव, बी) विक्टर कोरचनोई, सी) बॉबी फिशर, डी) मिखाइल ताल</v>
      </c>
      <c r="I288" s="4" t="str">
        <f>IFERROR(__xludf.DUMMYFUNCTION("GOOGLETRANSLATE(D288, ""en"", ""hi"")"),"D) मिखाइल ताल")</f>
        <v>D) मिखाइल ताल</v>
      </c>
    </row>
    <row r="289" ht="22.5" customHeight="1">
      <c r="A289" s="3">
        <v>288.0</v>
      </c>
      <c r="B289" s="4" t="s">
        <v>1397</v>
      </c>
      <c r="C289" s="4" t="s">
        <v>1398</v>
      </c>
      <c r="D289" s="4" t="s">
        <v>1021</v>
      </c>
      <c r="F289" s="4" t="str">
        <f>IFERROR(__xludf.DUMMYFUNCTION("GOOGLETRANSLATE(A289, ""en"", ""hi"")"),"288")</f>
        <v>288</v>
      </c>
      <c r="G289" s="4" t="str">
        <f>IFERROR(__xludf.DUMMYFUNCTION("GOOGLETRANSLATE(B289, ""en"", ""hi"")"),"वह पहला शतरंज खिलाड़ी कौन था जिसने उस शहर में विश्व चैम्पियनशिप का खिताब जीता जिसने 20वीं सदी में पहले कभी खिताबी मुकाबले की मेजबानी नहीं की थी?")</f>
        <v>वह पहला शतरंज खिलाड़ी कौन था जिसने उस शहर में विश्व चैम्पियनशिप का खिताब जीता जिसने 20वीं सदी में पहले कभी खिताबी मुकाबले की मेजबानी नहीं की थी?</v>
      </c>
      <c r="H289" s="4" t="str">
        <f>IFERROR(__xludf.DUMMYFUNCTION("GOOGLETRANSLATE(C289, ""en"", ""hi"")"),"ए) विल्हेम स्टीनित्ज़, बी) अलेक्जेंडर अलेखिन, सी) जोस राउल कैपबेलैंका, डी) गैरी कास्परोव")</f>
        <v>ए) विल्हेम स्टीनित्ज़, बी) अलेक्जेंडर अलेखिन, सी) जोस राउल कैपबेलैंका, डी) गैरी कास्परोव</v>
      </c>
      <c r="I289" s="4" t="str">
        <f>IFERROR(__xludf.DUMMYFUNCTION("GOOGLETRANSLATE(D289, ""en"", ""hi"")"),"D) गैरी कास्परोव")</f>
        <v>D) गैरी कास्परोव</v>
      </c>
    </row>
    <row r="290" ht="22.5" customHeight="1">
      <c r="A290" s="3">
        <v>289.0</v>
      </c>
      <c r="B290" s="4" t="s">
        <v>1399</v>
      </c>
      <c r="C290" s="4" t="s">
        <v>1400</v>
      </c>
      <c r="D290" s="4" t="s">
        <v>1401</v>
      </c>
      <c r="F290" s="4" t="str">
        <f>IFERROR(__xludf.DUMMYFUNCTION("GOOGLETRANSLATE(A290, ""en"", ""hi"")"),"289")</f>
        <v>289</v>
      </c>
      <c r="G290" s="4" t="str">
        <f>IFERROR(__xludf.DUMMYFUNCTION("GOOGLETRANSLATE(B290, ""en"", ""hi"")"),"कौन सा शतरंज खिलाड़ी 'एल्बिन काउंटर-गैम्बिट' में अपने योगदान के लिए जाना जाता था?")</f>
        <v>कौन सा शतरंज खिलाड़ी 'एल्बिन काउंटर-गैम्बिट' में अपने योगदान के लिए जाना जाता था?</v>
      </c>
      <c r="H290" s="4" t="str">
        <f>IFERROR(__xludf.DUMMYFUNCTION("GOOGLETRANSLATE(C290, ""en"", ""hi"")"),"ए) एडॉल्फ एल्बिन, बी) गैरी कास्पारोव, सी) विक्टर कोरचनोई, डी) बॉबी फिशर")</f>
        <v>ए) एडॉल्फ एल्बिन, बी) गैरी कास्पारोव, सी) विक्टर कोरचनोई, डी) बॉबी फिशर</v>
      </c>
      <c r="I290" s="4" t="str">
        <f>IFERROR(__xludf.DUMMYFUNCTION("GOOGLETRANSLATE(D290, ""en"", ""hi"")"),"A) एडॉल्फ एल्बिन")</f>
        <v>A) एडॉल्फ एल्बिन</v>
      </c>
    </row>
    <row r="291" ht="22.5" customHeight="1">
      <c r="A291" s="3">
        <v>290.0</v>
      </c>
      <c r="B291" s="4" t="s">
        <v>1402</v>
      </c>
      <c r="C291" s="4" t="s">
        <v>1403</v>
      </c>
      <c r="D291" s="4" t="s">
        <v>914</v>
      </c>
      <c r="F291" s="4" t="str">
        <f>IFERROR(__xludf.DUMMYFUNCTION("GOOGLETRANSLATE(A291, ""en"", ""hi"")"),"290")</f>
        <v>290</v>
      </c>
      <c r="G291" s="4" t="str">
        <f>IFERROR(__xludf.DUMMYFUNCTION("GOOGLETRANSLATE(B291, ""en"", ""hi"")"),"यूरोप के बाहर आयोजित मैच में मौजूदा चैंपियन को हराकर विश्व चैम्पियनशिप का खिताब जीतने वाला पहला खिलाड़ी कौन था?")</f>
        <v>यूरोप के बाहर आयोजित मैच में मौजूदा चैंपियन को हराकर विश्व चैम्पियनशिप का खिताब जीतने वाला पहला खिलाड़ी कौन था?</v>
      </c>
      <c r="H291" s="4" t="str">
        <f>IFERROR(__xludf.DUMMYFUNCTION("GOOGLETRANSLATE(C291, ""en"", ""hi"")"),"A) इमानुएल लास्कर, B) अलेक्जेंडर अलेखिन, C) बॉबी फिशर, D) विश्वनाथन आनंद")</f>
        <v>A) इमानुएल लास्कर, B) अलेक्जेंडर अलेखिन, C) बॉबी फिशर, D) विश्वनाथन आनंद</v>
      </c>
      <c r="I291" s="4" t="str">
        <f>IFERROR(__xludf.DUMMYFUNCTION("GOOGLETRANSLATE(D291, ""en"", ""hi"")"),"C) बॉबी फिशर")</f>
        <v>C) बॉबी फिशर</v>
      </c>
    </row>
    <row r="292" ht="22.5" customHeight="1">
      <c r="A292" s="3">
        <v>291.0</v>
      </c>
      <c r="B292" s="4" t="s">
        <v>1404</v>
      </c>
      <c r="C292" s="4" t="s">
        <v>1380</v>
      </c>
      <c r="D292" s="4" t="s">
        <v>943</v>
      </c>
      <c r="F292" s="4" t="str">
        <f>IFERROR(__xludf.DUMMYFUNCTION("GOOGLETRANSLATE(A292, ""en"", ""hi"")"),"291")</f>
        <v>291</v>
      </c>
      <c r="G292" s="4" t="str">
        <f>IFERROR(__xludf.DUMMYFUNCTION("GOOGLETRANSLATE(B292, ""en"", ""hi"")"),"कौन सा विश्व शतरंज चैंपियन 'किंग्स इंडियन डिफेंस' के उपयोग के लिए जाना जाता था?")</f>
        <v>कौन सा विश्व शतरंज चैंपियन 'किंग्स इंडियन डिफेंस' के उपयोग के लिए जाना जाता था?</v>
      </c>
      <c r="H292" s="4" t="str">
        <f>IFERROR(__xludf.DUMMYFUNCTION("GOOGLETRANSLATE(C292, ""en"", ""hi"")"),"ए) गैरी कास्पारोव, बी) विक्टर कोरचनोई, सी) बॉबी फिशर, डी) पॉल केरेस")</f>
        <v>ए) गैरी कास्पारोव, बी) विक्टर कोरचनोई, सी) बॉबी फिशर, डी) पॉल केरेस</v>
      </c>
      <c r="I292" s="4" t="str">
        <f>IFERROR(__xludf.DUMMYFUNCTION("GOOGLETRANSLATE(D292, ""en"", ""hi"")"),"A) गैरी कास्पारोव")</f>
        <v>A) गैरी कास्पारोव</v>
      </c>
    </row>
    <row r="293" ht="22.5" customHeight="1">
      <c r="A293" s="3">
        <v>292.0</v>
      </c>
      <c r="B293" s="4" t="s">
        <v>1405</v>
      </c>
      <c r="C293" s="4" t="s">
        <v>1387</v>
      </c>
      <c r="D293" s="4" t="s">
        <v>1043</v>
      </c>
      <c r="F293" s="4" t="str">
        <f>IFERROR(__xludf.DUMMYFUNCTION("GOOGLETRANSLATE(A293, ""en"", ""hi"")"),"292")</f>
        <v>292</v>
      </c>
      <c r="G293" s="4" t="str">
        <f>IFERROR(__xludf.DUMMYFUNCTION("GOOGLETRANSLATE(B293, ""en"", ""hi"")"),"3000 या उससे अधिक की FIDE रेटिंग प्राप्त करने वाला पहला शतरंज खिलाड़ी कौन था?")</f>
        <v>3000 या उससे अधिक की FIDE रेटिंग प्राप्त करने वाला पहला शतरंज खिलाड़ी कौन था?</v>
      </c>
      <c r="H293" s="4" t="str">
        <f>IFERROR(__xludf.DUMMYFUNCTION("GOOGLETRANSLATE(C293, ""en"", ""hi"")"),"ए) गैरी कास्पारोव, बी) मैग्नस कार्लसन, सी) व्लादिमीर क्रैमनिक, डी) विश्वनाथन आनंद")</f>
        <v>ए) गैरी कास्पारोव, बी) मैग्नस कार्लसन, सी) व्लादिमीर क्रैमनिक, डी) विश्वनाथन आनंद</v>
      </c>
      <c r="I293" s="4" t="str">
        <f>IFERROR(__xludf.DUMMYFUNCTION("GOOGLETRANSLATE(D293, ""en"", ""hi"")"),"B) मैग्नस कार्लसन")</f>
        <v>B) मैग्नस कार्लसन</v>
      </c>
    </row>
    <row r="294" ht="22.5" customHeight="1">
      <c r="A294" s="3">
        <v>293.0</v>
      </c>
      <c r="B294" s="4" t="s">
        <v>1406</v>
      </c>
      <c r="C294" s="4" t="s">
        <v>1407</v>
      </c>
      <c r="D294" s="4" t="s">
        <v>917</v>
      </c>
      <c r="F294" s="4" t="str">
        <f>IFERROR(__xludf.DUMMYFUNCTION("GOOGLETRANSLATE(A294, ""en"", ""hi"")"),"293")</f>
        <v>293</v>
      </c>
      <c r="G294" s="4" t="str">
        <f>IFERROR(__xludf.DUMMYFUNCTION("GOOGLETRANSLATE(B294, ""en"", ""hi"")"),"कौन सा शतरंज खिलाड़ी 'स्कॉच गेम' के अपने अभिनव प्रयोग के लिए जाना जाता था?")</f>
        <v>कौन सा शतरंज खिलाड़ी 'स्कॉच गेम' के अपने अभिनव प्रयोग के लिए जाना जाता था?</v>
      </c>
      <c r="H294" s="4" t="str">
        <f>IFERROR(__xludf.DUMMYFUNCTION("GOOGLETRANSLATE(C294, ""en"", ""hi"")"),"ए) गैरी कास्परोव, बी) विक्टर कोरचनोई, सी) बॉबी फिशर, डी) मिखाइल बोट्वनिक")</f>
        <v>ए) गैरी कास्परोव, बी) विक्टर कोरचनोई, सी) बॉबी फिशर, डी) मिखाइल बोट्वनिक</v>
      </c>
      <c r="I294" s="4" t="str">
        <f>IFERROR(__xludf.DUMMYFUNCTION("GOOGLETRANSLATE(D294, ""en"", ""hi"")"),"D) मिखाइल बोट्विननिक")</f>
        <v>D) मिखाइल बोट्विननिक</v>
      </c>
    </row>
    <row r="295" ht="22.5" customHeight="1">
      <c r="A295" s="3">
        <v>294.0</v>
      </c>
      <c r="B295" s="4" t="s">
        <v>1408</v>
      </c>
      <c r="C295" s="4" t="s">
        <v>1162</v>
      </c>
      <c r="D295" s="4" t="s">
        <v>1144</v>
      </c>
      <c r="F295" s="4" t="str">
        <f>IFERROR(__xludf.DUMMYFUNCTION("GOOGLETRANSLATE(A295, ""en"", ""hi"")"),"294")</f>
        <v>294</v>
      </c>
      <c r="G295" s="4" t="str">
        <f>IFERROR(__xludf.DUMMYFUNCTION("GOOGLETRANSLATE(B295, ""en"", ""hi"")"),"समय नियंत्रण सहित वृद्धि के साथ आयोजित मैच में विश्व चैम्पियनशिप का खिताब जीतने वाला पहला खिलाड़ी कौन था?")</f>
        <v>समय नियंत्रण सहित वृद्धि के साथ आयोजित मैच में विश्व चैम्पियनशिप का खिताब जीतने वाला पहला खिलाड़ी कौन था?</v>
      </c>
      <c r="H295" s="4" t="str">
        <f>IFERROR(__xludf.DUMMYFUNCTION("GOOGLETRANSLATE(C295, ""en"", ""hi"")"),"ए) गैरी कास्परोव, बी) व्लादिमीर क्रैमनिक, सी) विश्वनाथन आनंद, डी) मैग्नस कार्लसन")</f>
        <v>ए) गैरी कास्परोव, बी) व्लादिमीर क्रैमनिक, सी) विश्वनाथन आनंद, डी) मैग्नस कार्लसन</v>
      </c>
      <c r="I295" s="4" t="str">
        <f>IFERROR(__xludf.DUMMYFUNCTION("GOOGLETRANSLATE(D295, ""en"", ""hi"")"),"D) मैग्नस कार्लसन")</f>
        <v>D) मैग्नस कार्लसन</v>
      </c>
    </row>
    <row r="296" ht="22.5" customHeight="1">
      <c r="A296" s="3">
        <v>295.0</v>
      </c>
      <c r="B296" s="4" t="s">
        <v>1409</v>
      </c>
      <c r="C296" s="4" t="s">
        <v>1376</v>
      </c>
      <c r="D296" s="4" t="s">
        <v>1377</v>
      </c>
      <c r="F296" s="4" t="str">
        <f>IFERROR(__xludf.DUMMYFUNCTION("GOOGLETRANSLATE(A296, ""en"", ""hi"")"),"295")</f>
        <v>295</v>
      </c>
      <c r="G296" s="4" t="str">
        <f>IFERROR(__xludf.DUMMYFUNCTION("GOOGLETRANSLATE(B296, ""en"", ""hi"")"),"कौन सा शतरंज खिलाड़ी 'फिलिडोर डिफेंस' में अपने योगदान के लिए जाना जाता था?")</f>
        <v>कौन सा शतरंज खिलाड़ी 'फिलिडोर डिफेंस' में अपने योगदान के लिए जाना जाता था?</v>
      </c>
      <c r="H296" s="4" t="str">
        <f>IFERROR(__xludf.DUMMYFUNCTION("GOOGLETRANSLATE(C296, ""en"", ""hi"")"),"ए) फ्रांकोइस-आंद्रे डैनिकन फिलिडोर, बी) गैरी कास्पारोव, सी) विक्टर कोरचनोई, डी) बॉबी फिशर")</f>
        <v>ए) फ्रांकोइस-आंद्रे डैनिकन फिलिडोर, बी) गैरी कास्पारोव, सी) विक्टर कोरचनोई, डी) बॉबी फिशर</v>
      </c>
      <c r="I296" s="4" t="str">
        <f>IFERROR(__xludf.DUMMYFUNCTION("GOOGLETRANSLATE(D296, ""en"", ""hi"")"),"ए) फ्रांकोइस-आंद्रे डैनिकन फिलिडोर")</f>
        <v>ए) फ्रांकोइस-आंद्रे डैनिकन फिलिडोर</v>
      </c>
    </row>
    <row r="297" ht="22.5" customHeight="1">
      <c r="A297" s="3">
        <v>296.0</v>
      </c>
      <c r="B297" s="4" t="s">
        <v>1374</v>
      </c>
      <c r="C297" s="4" t="s">
        <v>1162</v>
      </c>
      <c r="D297" s="4" t="s">
        <v>1144</v>
      </c>
      <c r="F297" s="4" t="str">
        <f>IFERROR(__xludf.DUMMYFUNCTION("GOOGLETRANSLATE(A297, ""en"", ""hi"")"),"296")</f>
        <v>296</v>
      </c>
      <c r="G297" s="4" t="str">
        <f>IFERROR(__xludf.DUMMYFUNCTION("GOOGLETRANSLATE(B297, ""en"", ""hi"")"),"वह पहला शतरंज खिलाड़ी कौन था जिसने उस शहर में विश्व चैम्पियनशिप का खिताब जीता जिसने 21वीं सदी में पहले कभी कोई मैच आयोजित नहीं किया था?")</f>
        <v>वह पहला शतरंज खिलाड़ी कौन था जिसने उस शहर में विश्व चैम्पियनशिप का खिताब जीता जिसने 21वीं सदी में पहले कभी कोई मैच आयोजित नहीं किया था?</v>
      </c>
      <c r="H297" s="4" t="str">
        <f>IFERROR(__xludf.DUMMYFUNCTION("GOOGLETRANSLATE(C297, ""en"", ""hi"")"),"ए) गैरी कास्परोव, बी) व्लादिमीर क्रैमनिक, सी) विश्वनाथन आनंद, डी) मैग्नस कार्लसन")</f>
        <v>ए) गैरी कास्परोव, बी) व्लादिमीर क्रैमनिक, सी) विश्वनाथन आनंद, डी) मैग्नस कार्लसन</v>
      </c>
      <c r="I297" s="4" t="str">
        <f>IFERROR(__xludf.DUMMYFUNCTION("GOOGLETRANSLATE(D297, ""en"", ""hi"")"),"D) मैग्नस कार्लसन")</f>
        <v>D) मैग्नस कार्लसन</v>
      </c>
    </row>
    <row r="298" ht="22.5" customHeight="1">
      <c r="A298" s="3">
        <v>297.0</v>
      </c>
      <c r="B298" s="4" t="s">
        <v>1388</v>
      </c>
      <c r="C298" s="4" t="s">
        <v>1389</v>
      </c>
      <c r="D298" s="4" t="s">
        <v>1390</v>
      </c>
      <c r="F298" s="4" t="str">
        <f>IFERROR(__xludf.DUMMYFUNCTION("GOOGLETRANSLATE(A298, ""en"", ""hi"")"),"297")</f>
        <v>297</v>
      </c>
      <c r="G298" s="4" t="str">
        <f>IFERROR(__xludf.DUMMYFUNCTION("GOOGLETRANSLATE(B298, ""en"", ""hi"")"),"कौन सा विश्व शतरंज चैंपियन अपने खेलों में 'रूय लोपेज़' ओपनिंग के उपयोग के लिए जाना जाता था?")</f>
        <v>कौन सा विश्व शतरंज चैंपियन अपने खेलों में 'रूय लोपेज़' ओपनिंग के उपयोग के लिए जाना जाता था?</v>
      </c>
      <c r="H298" s="4" t="str">
        <f>IFERROR(__xludf.DUMMYFUNCTION("GOOGLETRANSLATE(C298, ""en"", ""hi"")"),"ए) गैरी कास्परोव, बी) बॉबी फिशर, सी) जोस राउल कैपब्लांका, डी) अलेक्जेंडर अलेखिन")</f>
        <v>ए) गैरी कास्परोव, बी) बॉबी फिशर, सी) जोस राउल कैपब्लांका, डी) अलेक्जेंडर अलेखिन</v>
      </c>
      <c r="I298" s="4" t="str">
        <f>IFERROR(__xludf.DUMMYFUNCTION("GOOGLETRANSLATE(D298, ""en"", ""hi"")"),"D) अलेक्जेंडर अलेखिन")</f>
        <v>D) अलेक्जेंडर अलेखिन</v>
      </c>
    </row>
    <row r="299" ht="22.5" customHeight="1">
      <c r="A299" s="3">
        <v>298.0</v>
      </c>
      <c r="B299" s="4" t="s">
        <v>1410</v>
      </c>
      <c r="C299" s="4" t="s">
        <v>1398</v>
      </c>
      <c r="D299" s="4" t="s">
        <v>1021</v>
      </c>
      <c r="F299" s="4" t="str">
        <f>IFERROR(__xludf.DUMMYFUNCTION("GOOGLETRANSLATE(A299, ""en"", ""hi"")"),"298")</f>
        <v>298</v>
      </c>
      <c r="G299" s="4" t="str">
        <f>IFERROR(__xludf.DUMMYFUNCTION("GOOGLETRANSLATE(B299, ""en"", ""hi"")"),"वह पहला खिलाड़ी कौन था जिसने उस शहर में विश्व चैम्पियनशिप का खिताब जीता जिसने 20वीं सदी में पहले कभी खिताबी मुकाबले की मेजबानी नहीं की थी?")</f>
        <v>वह पहला खिलाड़ी कौन था जिसने उस शहर में विश्व चैम्पियनशिप का खिताब जीता जिसने 20वीं सदी में पहले कभी खिताबी मुकाबले की मेजबानी नहीं की थी?</v>
      </c>
      <c r="H299" s="4" t="str">
        <f>IFERROR(__xludf.DUMMYFUNCTION("GOOGLETRANSLATE(C299, ""en"", ""hi"")"),"ए) विल्हेम स्टीनित्ज़, बी) अलेक्जेंडर अलेखिन, सी) जोस राउल कैपबेलैंका, डी) गैरी कास्परोव")</f>
        <v>ए) विल्हेम स्टीनित्ज़, बी) अलेक्जेंडर अलेखिन, सी) जोस राउल कैपबेलैंका, डी) गैरी कास्परोव</v>
      </c>
      <c r="I299" s="4" t="str">
        <f>IFERROR(__xludf.DUMMYFUNCTION("GOOGLETRANSLATE(D299, ""en"", ""hi"")"),"D) गैरी कास्परोव")</f>
        <v>D) गैरी कास्परोव</v>
      </c>
    </row>
    <row r="300" ht="22.5" customHeight="1">
      <c r="A300" s="3">
        <v>299.0</v>
      </c>
      <c r="B300" s="4" t="s">
        <v>1383</v>
      </c>
      <c r="C300" s="4" t="s">
        <v>1384</v>
      </c>
      <c r="D300" s="4" t="s">
        <v>1385</v>
      </c>
      <c r="F300" s="4" t="str">
        <f>IFERROR(__xludf.DUMMYFUNCTION("GOOGLETRANSLATE(A300, ""en"", ""hi"")"),"299")</f>
        <v>299</v>
      </c>
      <c r="G300" s="4" t="str">
        <f>IFERROR(__xludf.DUMMYFUNCTION("GOOGLETRANSLATE(B300, ""en"", ""hi"")"),"कौन सा शतरंज खिलाड़ी 'ग्रुनफेल्ड डिफेंस' में अपने योगदान के लिए जाना जाता था?")</f>
        <v>कौन सा शतरंज खिलाड़ी 'ग्रुनफेल्ड डिफेंस' में अपने योगदान के लिए जाना जाता था?</v>
      </c>
      <c r="H300" s="4" t="str">
        <f>IFERROR(__xludf.DUMMYFUNCTION("GOOGLETRANSLATE(C300, ""en"", ""hi"")"),"A) अर्न्स्ट ग्रुनफेल्ड, B) गैरी कास्पारोव, C) विक्टर कोर्चनोई, D) बॉबी फिशर")</f>
        <v>A) अर्न्स्ट ग्रुनफेल्ड, B) गैरी कास्पारोव, C) विक्टर कोर्चनोई, D) बॉबी फिशर</v>
      </c>
      <c r="I300" s="4" t="str">
        <f>IFERROR(__xludf.DUMMYFUNCTION("GOOGLETRANSLATE(D300, ""en"", ""hi"")"),"A) अर्न्स्ट ग्रुनफेल्ड")</f>
        <v>A) अर्न्स्ट ग्रुनफेल्ड</v>
      </c>
    </row>
    <row r="301" ht="22.5" customHeight="1">
      <c r="A301" s="3">
        <v>300.0</v>
      </c>
      <c r="B301" s="4" t="s">
        <v>1411</v>
      </c>
      <c r="C301" s="4" t="s">
        <v>1162</v>
      </c>
      <c r="D301" s="4" t="s">
        <v>1144</v>
      </c>
      <c r="F301" s="4" t="str">
        <f>IFERROR(__xludf.DUMMYFUNCTION("GOOGLETRANSLATE(A301, ""en"", ""hi"")"),"300")</f>
        <v>300</v>
      </c>
      <c r="G301" s="4" t="str">
        <f>IFERROR(__xludf.DUMMYFUNCTION("GOOGLETRANSLATE(B301, ""en"", ""hi"")"),"विश्व चैम्पियनशिप का खिताब जीतने वाला पहला शतरंज खिलाड़ी कौन था, जिसने 21वीं सदी में पहले कभी खिताबी मुकाबले की मेजबानी नहीं की थी?")</f>
        <v>विश्व चैम्पियनशिप का खिताब जीतने वाला पहला शतरंज खिलाड़ी कौन था, जिसने 21वीं सदी में पहले कभी खिताबी मुकाबले की मेजबानी नहीं की थी?</v>
      </c>
      <c r="H301" s="4" t="str">
        <f>IFERROR(__xludf.DUMMYFUNCTION("GOOGLETRANSLATE(C301, ""en"", ""hi"")"),"ए) गैरी कास्परोव, बी) व्लादिमीर क्रैमनिक, सी) विश्वनाथन आनंद, डी) मैग्नस कार्लसन")</f>
        <v>ए) गैरी कास्परोव, बी) व्लादिमीर क्रैमनिक, सी) विश्वनाथन आनंद, डी) मैग्नस कार्लसन</v>
      </c>
      <c r="I301" s="4" t="str">
        <f>IFERROR(__xludf.DUMMYFUNCTION("GOOGLETRANSLATE(D301, ""en"", ""hi"")"),"D) मैग्नस कार्लसन")</f>
        <v>D) मैग्नस कार्लसन</v>
      </c>
    </row>
    <row r="302" ht="22.5" customHeight="1">
      <c r="A302" s="3">
        <v>301.0</v>
      </c>
      <c r="B302" s="4" t="s">
        <v>1412</v>
      </c>
      <c r="C302" s="4" t="s">
        <v>1395</v>
      </c>
      <c r="D302" s="4" t="s">
        <v>1396</v>
      </c>
      <c r="F302" s="4" t="str">
        <f>IFERROR(__xludf.DUMMYFUNCTION("GOOGLETRANSLATE(A302, ""en"", ""hi"")"),"301")</f>
        <v>301</v>
      </c>
      <c r="G302" s="4" t="str">
        <f>IFERROR(__xludf.DUMMYFUNCTION("GOOGLETRANSLATE(B302, ""en"", ""hi"")"),"कौन सा विश्व शतरंज चैंपियन 'सिसिलियन ड्रैगन' के उपयोग के लिए जाना जाता था?")</f>
        <v>कौन सा विश्व शतरंज चैंपियन 'सिसिलियन ड्रैगन' के उपयोग के लिए जाना जाता था?</v>
      </c>
      <c r="H302" s="4" t="str">
        <f>IFERROR(__xludf.DUMMYFUNCTION("GOOGLETRANSLATE(C302, ""en"", ""hi"")"),"ए) गैरी कास्पारोव, बी) विक्टर कोरचनोई, सी) बॉबी फिशर, डी) मिखाइल ताल")</f>
        <v>ए) गैरी कास्पारोव, बी) विक्टर कोरचनोई, सी) बॉबी फिशर, डी) मिखाइल ताल</v>
      </c>
      <c r="I302" s="4" t="str">
        <f>IFERROR(__xludf.DUMMYFUNCTION("GOOGLETRANSLATE(D302, ""en"", ""hi"")"),"D) मिखाइल ताल")</f>
        <v>D) मिखाइल ताल</v>
      </c>
    </row>
    <row r="303" ht="22.5" customHeight="1">
      <c r="A303" s="3">
        <v>302.0</v>
      </c>
      <c r="B303" s="4" t="s">
        <v>1378</v>
      </c>
      <c r="C303" s="4" t="s">
        <v>1162</v>
      </c>
      <c r="D303" s="4" t="s">
        <v>1144</v>
      </c>
      <c r="F303" s="4" t="str">
        <f>IFERROR(__xludf.DUMMYFUNCTION("GOOGLETRANSLATE(A303, ""en"", ""hi"")"),"302")</f>
        <v>302</v>
      </c>
      <c r="G303" s="4" t="str">
        <f>IFERROR(__xludf.DUMMYFUNCTION("GOOGLETRANSLATE(B303, ""en"", ""hi"")"),"रैपिड और ब्लिट्ज़ प्रारूप में प्रभावशाली प्रदर्शन के साथ विश्व चैम्पियनशिप का खिताब जीतने वाला पहला शतरंज खिलाड़ी कौन था?")</f>
        <v>रैपिड और ब्लिट्ज़ प्रारूप में प्रभावशाली प्रदर्शन के साथ विश्व चैम्पियनशिप का खिताब जीतने वाला पहला शतरंज खिलाड़ी कौन था?</v>
      </c>
      <c r="H303" s="4" t="str">
        <f>IFERROR(__xludf.DUMMYFUNCTION("GOOGLETRANSLATE(C303, ""en"", ""hi"")"),"ए) गैरी कास्परोव, बी) व्लादिमीर क्रैमनिक, सी) विश्वनाथन आनंद, डी) मैग्नस कार्लसन")</f>
        <v>ए) गैरी कास्परोव, बी) व्लादिमीर क्रैमनिक, सी) विश्वनाथन आनंद, डी) मैग्नस कार्लसन</v>
      </c>
      <c r="I303" s="4" t="str">
        <f>IFERROR(__xludf.DUMMYFUNCTION("GOOGLETRANSLATE(D303, ""en"", ""hi"")"),"D) मैग्नस कार्लसन")</f>
        <v>D) मैग्नस कार्लसन</v>
      </c>
    </row>
    <row r="304" ht="22.5" customHeight="1">
      <c r="A304" s="3">
        <v>303.0</v>
      </c>
      <c r="B304" s="4" t="s">
        <v>1391</v>
      </c>
      <c r="C304" s="4" t="s">
        <v>1392</v>
      </c>
      <c r="D304" s="4" t="s">
        <v>1393</v>
      </c>
      <c r="F304" s="4" t="str">
        <f>IFERROR(__xludf.DUMMYFUNCTION("GOOGLETRANSLATE(A304, ""en"", ""hi"")"),"303")</f>
        <v>303</v>
      </c>
      <c r="G304" s="4" t="str">
        <f>IFERROR(__xludf.DUMMYFUNCTION("GOOGLETRANSLATE(B304, ""en"", ""hi"")"),"कौन सा शतरंज खिलाड़ी 'डच डिफेंस' में अपने योगदान के लिए जाना जाता था?")</f>
        <v>कौन सा शतरंज खिलाड़ी 'डच डिफेंस' में अपने योगदान के लिए जाना जाता था?</v>
      </c>
      <c r="H304" s="4" t="str">
        <f>IFERROR(__xludf.DUMMYFUNCTION("GOOGLETRANSLATE(C304, ""en"", ""hi"")"),"ए) ह्यूग अलेक्जेंडर, बी) गैरी कास्पारोव, सी) विक्टर कोरचनोई, डी) लोडेविज्क प्रिन्स")</f>
        <v>ए) ह्यूग अलेक्जेंडर, बी) गैरी कास्पारोव, सी) विक्टर कोरचनोई, डी) लोडेविज्क प्रिन्स</v>
      </c>
      <c r="I304" s="4" t="str">
        <f>IFERROR(__xludf.DUMMYFUNCTION("GOOGLETRANSLATE(D304, ""en"", ""hi"")"),"D) लोडेविज्क प्रिंस")</f>
        <v>D) लोडेविज्क प्रिंस</v>
      </c>
    </row>
    <row r="305" ht="22.5" customHeight="1">
      <c r="A305" s="3">
        <v>304.0</v>
      </c>
      <c r="B305" s="4" t="s">
        <v>1413</v>
      </c>
      <c r="C305" s="4" t="s">
        <v>1162</v>
      </c>
      <c r="D305" s="4" t="s">
        <v>1144</v>
      </c>
      <c r="F305" s="4" t="str">
        <f>IFERROR(__xludf.DUMMYFUNCTION("GOOGLETRANSLATE(A305, ""en"", ""hi"")"),"304")</f>
        <v>304</v>
      </c>
      <c r="G305" s="4" t="str">
        <f>IFERROR(__xludf.DUMMYFUNCTION("GOOGLETRANSLATE(B305, ""en"", ""hi"")"),"वह पहला खिलाड़ी कौन था जिसने उस शहर में विश्व चैम्पियनशिप का खिताब जीता जिसने 21वीं सदी में पहले कभी कोई मैच आयोजित नहीं किया था?")</f>
        <v>वह पहला खिलाड़ी कौन था जिसने उस शहर में विश्व चैम्पियनशिप का खिताब जीता जिसने 21वीं सदी में पहले कभी कोई मैच आयोजित नहीं किया था?</v>
      </c>
      <c r="H305" s="4" t="str">
        <f>IFERROR(__xludf.DUMMYFUNCTION("GOOGLETRANSLATE(C305, ""en"", ""hi"")"),"ए) गैरी कास्परोव, बी) व्लादिमीर क्रैमनिक, सी) विश्वनाथन आनंद, डी) मैग्नस कार्लसन")</f>
        <v>ए) गैरी कास्परोव, बी) व्लादिमीर क्रैमनिक, सी) विश्वनाथन आनंद, डी) मैग्नस कार्लसन</v>
      </c>
      <c r="I305" s="4" t="str">
        <f>IFERROR(__xludf.DUMMYFUNCTION("GOOGLETRANSLATE(D305, ""en"", ""hi"")"),"D) मैग्नस कार्लसन")</f>
        <v>D) मैग्नस कार्लसन</v>
      </c>
    </row>
    <row r="306" ht="22.5" customHeight="1">
      <c r="A306" s="3">
        <v>305.0</v>
      </c>
      <c r="B306" s="4" t="s">
        <v>1414</v>
      </c>
      <c r="C306" s="4" t="s">
        <v>1376</v>
      </c>
      <c r="D306" s="4" t="s">
        <v>1377</v>
      </c>
      <c r="F306" s="4" t="str">
        <f>IFERROR(__xludf.DUMMYFUNCTION("GOOGLETRANSLATE(A306, ""en"", ""hi"")"),"305")</f>
        <v>305</v>
      </c>
      <c r="G306" s="4" t="str">
        <f>IFERROR(__xludf.DUMMYFUNCTION("GOOGLETRANSLATE(B306, ""en"", ""hi"")"),"कौन सा विश्व शतरंज चैंपियन 'फिलिडोर डिफेंस' के अपने अभिनव उपयोग के लिए जाना जाता था?")</f>
        <v>कौन सा विश्व शतरंज चैंपियन 'फिलिडोर डिफेंस' के अपने अभिनव उपयोग के लिए जाना जाता था?</v>
      </c>
      <c r="H306" s="4" t="str">
        <f>IFERROR(__xludf.DUMMYFUNCTION("GOOGLETRANSLATE(C306, ""en"", ""hi"")"),"ए) फ्रांकोइस-आंद्रे डैनिकन फिलिडोर, बी) गैरी कास्पारोव, सी) विक्टर कोरचनोई, डी) बॉबी फिशर")</f>
        <v>ए) फ्रांकोइस-आंद्रे डैनिकन फिलिडोर, बी) गैरी कास्पारोव, सी) विक्टर कोरचनोई, डी) बॉबी फिशर</v>
      </c>
      <c r="I306" s="4" t="str">
        <f>IFERROR(__xludf.DUMMYFUNCTION("GOOGLETRANSLATE(D306, ""en"", ""hi"")"),"ए) फ्रांकोइस-आंद्रे डैनिकन फिलिडोर")</f>
        <v>ए) फ्रांकोइस-आंद्रे डैनिकन फिलिडोर</v>
      </c>
    </row>
    <row r="307" ht="22.5" customHeight="1">
      <c r="A307" s="3">
        <v>306.0</v>
      </c>
      <c r="B307" s="4" t="s">
        <v>1415</v>
      </c>
      <c r="C307" s="4" t="s">
        <v>1162</v>
      </c>
      <c r="D307" s="4" t="s">
        <v>1144</v>
      </c>
      <c r="F307" s="4" t="str">
        <f>IFERROR(__xludf.DUMMYFUNCTION("GOOGLETRANSLATE(A307, ""en"", ""hi"")"),"306")</f>
        <v>306</v>
      </c>
      <c r="G307" s="4" t="str">
        <f>IFERROR(__xludf.DUMMYFUNCTION("GOOGLETRANSLATE(B307, ""en"", ""hi"")"),"शास्त्रीय और रैपिड प्रारूपों में प्रभावशाली प्रदर्शन के साथ विश्व चैम्पियनशिप का खिताब जीतने वाला पहला शतरंज खिलाड़ी कौन था?")</f>
        <v>शास्त्रीय और रैपिड प्रारूपों में प्रभावशाली प्रदर्शन के साथ विश्व चैम्पियनशिप का खिताब जीतने वाला पहला शतरंज खिलाड़ी कौन था?</v>
      </c>
      <c r="H307" s="4" t="str">
        <f>IFERROR(__xludf.DUMMYFUNCTION("GOOGLETRANSLATE(C307, ""en"", ""hi"")"),"ए) गैरी कास्परोव, बी) व्लादिमीर क्रैमनिक, सी) विश्वनाथन आनंद, डी) मैग्नस कार्लसन")</f>
        <v>ए) गैरी कास्परोव, बी) व्लादिमीर क्रैमनिक, सी) विश्वनाथन आनंद, डी) मैग्नस कार्लसन</v>
      </c>
      <c r="I307" s="4" t="str">
        <f>IFERROR(__xludf.DUMMYFUNCTION("GOOGLETRANSLATE(D307, ""en"", ""hi"")"),"D) मैग्नस कार्लसन")</f>
        <v>D) मैग्नस कार्लसन</v>
      </c>
    </row>
    <row r="308" ht="22.5" customHeight="1">
      <c r="A308" s="3">
        <v>307.0</v>
      </c>
      <c r="B308" s="4" t="s">
        <v>1416</v>
      </c>
      <c r="C308" s="4" t="s">
        <v>1395</v>
      </c>
      <c r="D308" s="4" t="s">
        <v>1396</v>
      </c>
      <c r="F308" s="4" t="str">
        <f>IFERROR(__xludf.DUMMYFUNCTION("GOOGLETRANSLATE(A308, ""en"", ""hi"")"),"307")</f>
        <v>307</v>
      </c>
      <c r="G308" s="4" t="str">
        <f>IFERROR(__xludf.DUMMYFUNCTION("GOOGLETRANSLATE(B308, ""en"", ""hi"")"),"कौन सा विश्व शतरंज चैंपियन 'सिसिलियन ड्रैगन' में अपने योगदान के लिए जाना जाता था?")</f>
        <v>कौन सा विश्व शतरंज चैंपियन 'सिसिलियन ड्रैगन' में अपने योगदान के लिए जाना जाता था?</v>
      </c>
      <c r="H308" s="4" t="str">
        <f>IFERROR(__xludf.DUMMYFUNCTION("GOOGLETRANSLATE(C308, ""en"", ""hi"")"),"ए) गैरी कास्पारोव, बी) विक्टर कोरचनोई, सी) बॉबी फिशर, डी) मिखाइल ताल")</f>
        <v>ए) गैरी कास्पारोव, बी) विक्टर कोरचनोई, सी) बॉबी फिशर, डी) मिखाइल ताल</v>
      </c>
      <c r="I308" s="4" t="str">
        <f>IFERROR(__xludf.DUMMYFUNCTION("GOOGLETRANSLATE(D308, ""en"", ""hi"")"),"D) मिखाइल ताल")</f>
        <v>D) मिखाइल ताल</v>
      </c>
    </row>
    <row r="309" ht="22.5" customHeight="1">
      <c r="A309" s="3">
        <v>308.0</v>
      </c>
      <c r="B309" s="4" t="s">
        <v>1417</v>
      </c>
      <c r="C309" s="4" t="s">
        <v>1387</v>
      </c>
      <c r="D309" s="4" t="s">
        <v>1043</v>
      </c>
      <c r="F309" s="4" t="str">
        <f>IFERROR(__xludf.DUMMYFUNCTION("GOOGLETRANSLATE(A309, ""en"", ""hi"")"),"308")</f>
        <v>308</v>
      </c>
      <c r="G309" s="4" t="str">
        <f>IFERROR(__xludf.DUMMYFUNCTION("GOOGLETRANSLATE(B309, ""en"", ""hi"")"),"2900 या उससे अधिक की FIDE रेटिंग प्राप्त करने वाला पहला शतरंज खिलाड़ी कौन था?")</f>
        <v>2900 या उससे अधिक की FIDE रेटिंग प्राप्त करने वाला पहला शतरंज खिलाड़ी कौन था?</v>
      </c>
      <c r="H309" s="4" t="str">
        <f>IFERROR(__xludf.DUMMYFUNCTION("GOOGLETRANSLATE(C309, ""en"", ""hi"")"),"ए) गैरी कास्पारोव, बी) मैग्नस कार्लसन, सी) व्लादिमीर क्रैमनिक, डी) विश्वनाथन आनंद")</f>
        <v>ए) गैरी कास्पारोव, बी) मैग्नस कार्लसन, सी) व्लादिमीर क्रैमनिक, डी) विश्वनाथन आनंद</v>
      </c>
      <c r="I309" s="4" t="str">
        <f>IFERROR(__xludf.DUMMYFUNCTION("GOOGLETRANSLATE(D309, ""en"", ""hi"")"),"B) मैग्नस कार्लसन")</f>
        <v>B) मैग्नस कार्लसन</v>
      </c>
    </row>
    <row r="310" ht="22.5" customHeight="1">
      <c r="A310" s="3">
        <v>309.0</v>
      </c>
      <c r="B310" s="4" t="s">
        <v>1406</v>
      </c>
      <c r="C310" s="4" t="s">
        <v>1407</v>
      </c>
      <c r="D310" s="4" t="s">
        <v>917</v>
      </c>
      <c r="F310" s="4" t="str">
        <f>IFERROR(__xludf.DUMMYFUNCTION("GOOGLETRANSLATE(A310, ""en"", ""hi"")"),"309")</f>
        <v>309</v>
      </c>
      <c r="G310" s="4" t="str">
        <f>IFERROR(__xludf.DUMMYFUNCTION("GOOGLETRANSLATE(B310, ""en"", ""hi"")"),"कौन सा शतरंज खिलाड़ी 'स्कॉच गेम' के अपने अभिनव प्रयोग के लिए जाना जाता था?")</f>
        <v>कौन सा शतरंज खिलाड़ी 'स्कॉच गेम' के अपने अभिनव प्रयोग के लिए जाना जाता था?</v>
      </c>
      <c r="H310" s="4" t="str">
        <f>IFERROR(__xludf.DUMMYFUNCTION("GOOGLETRANSLATE(C310, ""en"", ""hi"")"),"ए) गैरी कास्परोव, बी) विक्टर कोरचनोई, सी) बॉबी फिशर, डी) मिखाइल बोट्वनिक")</f>
        <v>ए) गैरी कास्परोव, बी) विक्टर कोरचनोई, सी) बॉबी फिशर, डी) मिखाइल बोट्वनिक</v>
      </c>
      <c r="I310" s="4" t="str">
        <f>IFERROR(__xludf.DUMMYFUNCTION("GOOGLETRANSLATE(D310, ""en"", ""hi"")"),"D) मिखाइल बोट्विननिक")</f>
        <v>D) मिखाइल बोट्विननिक</v>
      </c>
    </row>
    <row r="311" ht="22.5" customHeight="1">
      <c r="A311" s="3">
        <v>310.0</v>
      </c>
      <c r="B311" s="4" t="s">
        <v>1408</v>
      </c>
      <c r="C311" s="4" t="s">
        <v>1162</v>
      </c>
      <c r="D311" s="4" t="s">
        <v>1144</v>
      </c>
      <c r="F311" s="4" t="str">
        <f>IFERROR(__xludf.DUMMYFUNCTION("GOOGLETRANSLATE(A311, ""en"", ""hi"")"),"310")</f>
        <v>310</v>
      </c>
      <c r="G311" s="4" t="str">
        <f>IFERROR(__xludf.DUMMYFUNCTION("GOOGLETRANSLATE(B311, ""en"", ""hi"")"),"समय नियंत्रण सहित वृद्धि के साथ आयोजित मैच में विश्व चैम्पियनशिप का खिताब जीतने वाला पहला खिलाड़ी कौन था?")</f>
        <v>समय नियंत्रण सहित वृद्धि के साथ आयोजित मैच में विश्व चैम्पियनशिप का खिताब जीतने वाला पहला खिलाड़ी कौन था?</v>
      </c>
      <c r="H311" s="4" t="str">
        <f>IFERROR(__xludf.DUMMYFUNCTION("GOOGLETRANSLATE(C311, ""en"", ""hi"")"),"ए) गैरी कास्परोव, बी) व्लादिमीर क्रैमनिक, सी) विश्वनाथन आनंद, डी) मैग्नस कार्लसन")</f>
        <v>ए) गैरी कास्परोव, बी) व्लादिमीर क्रैमनिक, सी) विश्वनाथन आनंद, डी) मैग्नस कार्लसन</v>
      </c>
      <c r="I311" s="4" t="str">
        <f>IFERROR(__xludf.DUMMYFUNCTION("GOOGLETRANSLATE(D311, ""en"", ""hi"")"),"D) मैग्नस कार्लसन")</f>
        <v>D) मैग्नस कार्लसन</v>
      </c>
    </row>
    <row r="312" ht="22.5" customHeight="1">
      <c r="A312" s="3">
        <v>311.0</v>
      </c>
      <c r="B312" s="4" t="s">
        <v>1409</v>
      </c>
      <c r="C312" s="4" t="s">
        <v>1376</v>
      </c>
      <c r="D312" s="4" t="s">
        <v>1377</v>
      </c>
      <c r="F312" s="4" t="str">
        <f>IFERROR(__xludf.DUMMYFUNCTION("GOOGLETRANSLATE(A312, ""en"", ""hi"")"),"311")</f>
        <v>311</v>
      </c>
      <c r="G312" s="4" t="str">
        <f>IFERROR(__xludf.DUMMYFUNCTION("GOOGLETRANSLATE(B312, ""en"", ""hi"")"),"कौन सा शतरंज खिलाड़ी 'फिलिडोर डिफेंस' में अपने योगदान के लिए जाना जाता था?")</f>
        <v>कौन सा शतरंज खिलाड़ी 'फिलिडोर डिफेंस' में अपने योगदान के लिए जाना जाता था?</v>
      </c>
      <c r="H312" s="4" t="str">
        <f>IFERROR(__xludf.DUMMYFUNCTION("GOOGLETRANSLATE(C312, ""en"", ""hi"")"),"ए) फ्रांकोइस-आंद्रे डैनिकन फिलिडोर, बी) गैरी कास्पारोव, सी) विक्टर कोरचनोई, डी) बॉबी फिशर")</f>
        <v>ए) फ्रांकोइस-आंद्रे डैनिकन फिलिडोर, बी) गैरी कास्पारोव, सी) विक्टर कोरचनोई, डी) बॉबी फिशर</v>
      </c>
      <c r="I312" s="4" t="str">
        <f>IFERROR(__xludf.DUMMYFUNCTION("GOOGLETRANSLATE(D312, ""en"", ""hi"")"),"ए) फ्रांकोइस-आंद्रे डैनिकन फिलिडोर")</f>
        <v>ए) फ्रांकोइस-आंद्रे डैनिकन फिलिडोर</v>
      </c>
    </row>
    <row r="313" ht="22.5" customHeight="1">
      <c r="A313" s="3">
        <v>312.0</v>
      </c>
      <c r="B313" s="4" t="s">
        <v>1381</v>
      </c>
      <c r="C313" s="4" t="s">
        <v>1382</v>
      </c>
      <c r="D313" s="4" t="s">
        <v>1144</v>
      </c>
      <c r="F313" s="4" t="str">
        <f>IFERROR(__xludf.DUMMYFUNCTION("GOOGLETRANSLATE(A313, ""en"", ""hi"")"),"312")</f>
        <v>312</v>
      </c>
      <c r="G313" s="4" t="str">
        <f>IFERROR(__xludf.DUMMYFUNCTION("GOOGLETRANSLATE(B313, ""en"", ""hi"")"),"विश्व चैम्पियनशिप का खिताब जीतने वाला पहला शतरंज खिलाड़ी कौन था, जिसने पहले कभी किसी खिताबी मुकाबले की मेजबानी नहीं की थी?")</f>
        <v>विश्व चैम्पियनशिप का खिताब जीतने वाला पहला शतरंज खिलाड़ी कौन था, जिसने पहले कभी किसी खिताबी मुकाबले की मेजबानी नहीं की थी?</v>
      </c>
      <c r="H313" s="4" t="str">
        <f>IFERROR(__xludf.DUMMYFUNCTION("GOOGLETRANSLATE(C313, ""en"", ""hi"")"),"ए) विल्हेम स्टीनित्ज़, बी) अलेक्जेंडर अलेखिन, सी) जोस राउल कैपबेलैंका, डी) मैग्नस कार्लसन")</f>
        <v>ए) विल्हेम स्टीनित्ज़, बी) अलेक्जेंडर अलेखिन, सी) जोस राउल कैपबेलैंका, डी) मैग्नस कार्लसन</v>
      </c>
      <c r="I313" s="4" t="str">
        <f>IFERROR(__xludf.DUMMYFUNCTION("GOOGLETRANSLATE(D313, ""en"", ""hi"")"),"D) मैग्नस कार्लसन")</f>
        <v>D) मैग्नस कार्लसन</v>
      </c>
    </row>
    <row r="314" ht="22.5" customHeight="1">
      <c r="A314" s="3">
        <v>313.0</v>
      </c>
      <c r="B314" s="4" t="s">
        <v>1391</v>
      </c>
      <c r="C314" s="4" t="s">
        <v>1392</v>
      </c>
      <c r="D314" s="4" t="s">
        <v>1393</v>
      </c>
      <c r="F314" s="4" t="str">
        <f>IFERROR(__xludf.DUMMYFUNCTION("GOOGLETRANSLATE(A314, ""en"", ""hi"")"),"313")</f>
        <v>313</v>
      </c>
      <c r="G314" s="4" t="str">
        <f>IFERROR(__xludf.DUMMYFUNCTION("GOOGLETRANSLATE(B314, ""en"", ""hi"")"),"कौन सा शतरंज खिलाड़ी 'डच डिफेंस' में अपने योगदान के लिए जाना जाता था?")</f>
        <v>कौन सा शतरंज खिलाड़ी 'डच डिफेंस' में अपने योगदान के लिए जाना जाता था?</v>
      </c>
      <c r="H314" s="4" t="str">
        <f>IFERROR(__xludf.DUMMYFUNCTION("GOOGLETRANSLATE(C314, ""en"", ""hi"")"),"ए) ह्यूग अलेक्जेंडर, बी) गैरी कास्पारोव, सी) विक्टर कोरचनोई, डी) लोडेविज्क प्रिन्स")</f>
        <v>ए) ह्यूग अलेक्जेंडर, बी) गैरी कास्पारोव, सी) विक्टर कोरचनोई, डी) लोडेविज्क प्रिन्स</v>
      </c>
      <c r="I314" s="4" t="str">
        <f>IFERROR(__xludf.DUMMYFUNCTION("GOOGLETRANSLATE(D314, ""en"", ""hi"")"),"D) लोडेविज्क प्रिंस")</f>
        <v>D) लोडेविज्क प्रिंस</v>
      </c>
    </row>
    <row r="315" ht="22.5" customHeight="1">
      <c r="A315" s="3">
        <v>314.0</v>
      </c>
      <c r="B315" s="4" t="s">
        <v>1411</v>
      </c>
      <c r="C315" s="4" t="s">
        <v>1162</v>
      </c>
      <c r="D315" s="4" t="s">
        <v>1144</v>
      </c>
      <c r="F315" s="4" t="str">
        <f>IFERROR(__xludf.DUMMYFUNCTION("GOOGLETRANSLATE(A315, ""en"", ""hi"")"),"314")</f>
        <v>314</v>
      </c>
      <c r="G315" s="4" t="str">
        <f>IFERROR(__xludf.DUMMYFUNCTION("GOOGLETRANSLATE(B315, ""en"", ""hi"")"),"विश्व चैम्पियनशिप का खिताब जीतने वाला पहला शतरंज खिलाड़ी कौन था, जिसने 21वीं सदी में पहले कभी खिताबी मुकाबले की मेजबानी नहीं की थी?")</f>
        <v>विश्व चैम्पियनशिप का खिताब जीतने वाला पहला शतरंज खिलाड़ी कौन था, जिसने 21वीं सदी में पहले कभी खिताबी मुकाबले की मेजबानी नहीं की थी?</v>
      </c>
      <c r="H315" s="4" t="str">
        <f>IFERROR(__xludf.DUMMYFUNCTION("GOOGLETRANSLATE(C315, ""en"", ""hi"")"),"ए) गैरी कास्परोव, बी) व्लादिमीर क्रैमनिक, सी) विश्वनाथन आनंद, डी) मैग्नस कार्लसन")</f>
        <v>ए) गैरी कास्परोव, बी) व्लादिमीर क्रैमनिक, सी) विश्वनाथन आनंद, डी) मैग्नस कार्लसन</v>
      </c>
      <c r="I315" s="4" t="str">
        <f>IFERROR(__xludf.DUMMYFUNCTION("GOOGLETRANSLATE(D315, ""en"", ""hi"")"),"D) मैग्नस कार्लसन")</f>
        <v>D) मैग्नस कार्लसन</v>
      </c>
    </row>
    <row r="316" ht="22.5" customHeight="1">
      <c r="A316" s="3">
        <v>315.0</v>
      </c>
      <c r="B316" s="4" t="s">
        <v>1394</v>
      </c>
      <c r="C316" s="4" t="s">
        <v>1395</v>
      </c>
      <c r="D316" s="4" t="s">
        <v>1396</v>
      </c>
      <c r="F316" s="4" t="str">
        <f>IFERROR(__xludf.DUMMYFUNCTION("GOOGLETRANSLATE(A316, ""en"", ""hi"")"),"315")</f>
        <v>315</v>
      </c>
      <c r="G316" s="4" t="str">
        <f>IFERROR(__xludf.DUMMYFUNCTION("GOOGLETRANSLATE(B316, ""en"", ""hi"")"),"कौन सा विश्व शतरंज चैंपियन 'सिसिलियन ड्रैगन' के अपने अभिनव उपयोग के लिए जाना जाता था?")</f>
        <v>कौन सा विश्व शतरंज चैंपियन 'सिसिलियन ड्रैगन' के अपने अभिनव उपयोग के लिए जाना जाता था?</v>
      </c>
      <c r="H316" s="4" t="str">
        <f>IFERROR(__xludf.DUMMYFUNCTION("GOOGLETRANSLATE(C316, ""en"", ""hi"")"),"ए) गैरी कास्पारोव, बी) विक्टर कोरचनोई, सी) बॉबी फिशर, डी) मिखाइल ताल")</f>
        <v>ए) गैरी कास्पारोव, बी) विक्टर कोरचनोई, सी) बॉबी फिशर, डी) मिखाइल ताल</v>
      </c>
      <c r="I316" s="4" t="str">
        <f>IFERROR(__xludf.DUMMYFUNCTION("GOOGLETRANSLATE(D316, ""en"", ""hi"")"),"D) मिखाइल ताल")</f>
        <v>D) मिखाइल ताल</v>
      </c>
    </row>
    <row r="317" ht="22.5" customHeight="1">
      <c r="A317" s="3">
        <v>316.0</v>
      </c>
      <c r="B317" s="4" t="s">
        <v>1418</v>
      </c>
      <c r="C317" s="4" t="s">
        <v>1162</v>
      </c>
      <c r="D317" s="4" t="s">
        <v>1144</v>
      </c>
      <c r="F317" s="4" t="str">
        <f>IFERROR(__xludf.DUMMYFUNCTION("GOOGLETRANSLATE(A317, ""en"", ""hi"")"),"316")</f>
        <v>316</v>
      </c>
      <c r="G317" s="4" t="str">
        <f>IFERROR(__xludf.DUMMYFUNCTION("GOOGLETRANSLATE(B317, ""en"", ""hi"")"),"रैपिड और ब्लिट्ज़ प्रारूपों में प्रभावशाली प्रदर्शन के साथ विश्व चैम्पियनशिप का खिताब जीतने वाला पहला शतरंज खिलाड़ी कौन था?")</f>
        <v>रैपिड और ब्लिट्ज़ प्रारूपों में प्रभावशाली प्रदर्शन के साथ विश्व चैम्पियनशिप का खिताब जीतने वाला पहला शतरंज खिलाड़ी कौन था?</v>
      </c>
      <c r="H317" s="4" t="str">
        <f>IFERROR(__xludf.DUMMYFUNCTION("GOOGLETRANSLATE(C317, ""en"", ""hi"")"),"ए) गैरी कास्परोव, बी) व्लादिमीर क्रैमनिक, सी) विश्वनाथन आनंद, डी) मैग्नस कार्लसन")</f>
        <v>ए) गैरी कास्परोव, बी) व्लादिमीर क्रैमनिक, सी) विश्वनाथन आनंद, डी) मैग्नस कार्लसन</v>
      </c>
      <c r="I317" s="4" t="str">
        <f>IFERROR(__xludf.DUMMYFUNCTION("GOOGLETRANSLATE(D317, ""en"", ""hi"")"),"D) मैग्नस कार्लसन")</f>
        <v>D) मैग्नस कार्लसन</v>
      </c>
    </row>
    <row r="318" ht="22.5" customHeight="1">
      <c r="A318" s="3">
        <v>317.0</v>
      </c>
      <c r="B318" s="4" t="s">
        <v>1391</v>
      </c>
      <c r="C318" s="4" t="s">
        <v>1392</v>
      </c>
      <c r="D318" s="4" t="s">
        <v>1393</v>
      </c>
      <c r="F318" s="4" t="str">
        <f>IFERROR(__xludf.DUMMYFUNCTION("GOOGLETRANSLATE(A318, ""en"", ""hi"")"),"317")</f>
        <v>317</v>
      </c>
      <c r="G318" s="4" t="str">
        <f>IFERROR(__xludf.DUMMYFUNCTION("GOOGLETRANSLATE(B318, ""en"", ""hi"")"),"कौन सा शतरंज खिलाड़ी 'डच डिफेंस' में अपने योगदान के लिए जाना जाता था?")</f>
        <v>कौन सा शतरंज खिलाड़ी 'डच डिफेंस' में अपने योगदान के लिए जाना जाता था?</v>
      </c>
      <c r="H318" s="4" t="str">
        <f>IFERROR(__xludf.DUMMYFUNCTION("GOOGLETRANSLATE(C318, ""en"", ""hi"")"),"ए) ह्यूग अलेक्जेंडर, बी) गैरी कास्पारोव, सी) विक्टर कोरचनोई, डी) लोडेविज्क प्रिन्स")</f>
        <v>ए) ह्यूग अलेक्जेंडर, बी) गैरी कास्पारोव, सी) विक्टर कोरचनोई, डी) लोडेविज्क प्रिन्स</v>
      </c>
      <c r="I318" s="4" t="str">
        <f>IFERROR(__xludf.DUMMYFUNCTION("GOOGLETRANSLATE(D318, ""en"", ""hi"")"),"D) लोडेविज्क प्रिंस")</f>
        <v>D) लोडेविज्क प्रिंस</v>
      </c>
    </row>
    <row r="319" ht="22.5" customHeight="1">
      <c r="A319" s="3">
        <v>318.0</v>
      </c>
      <c r="B319" s="4" t="s">
        <v>1413</v>
      </c>
      <c r="C319" s="4" t="s">
        <v>1162</v>
      </c>
      <c r="D319" s="4" t="s">
        <v>1144</v>
      </c>
      <c r="F319" s="4" t="str">
        <f>IFERROR(__xludf.DUMMYFUNCTION("GOOGLETRANSLATE(A319, ""en"", ""hi"")"),"318")</f>
        <v>318</v>
      </c>
      <c r="G319" s="4" t="str">
        <f>IFERROR(__xludf.DUMMYFUNCTION("GOOGLETRANSLATE(B319, ""en"", ""hi"")"),"वह पहला खिलाड़ी कौन था जिसने उस शहर में विश्व चैम्पियनशिप का खिताब जीता जिसने 21वीं सदी में पहले कभी कोई मैच आयोजित नहीं किया था?")</f>
        <v>वह पहला खिलाड़ी कौन था जिसने उस शहर में विश्व चैम्पियनशिप का खिताब जीता जिसने 21वीं सदी में पहले कभी कोई मैच आयोजित नहीं किया था?</v>
      </c>
      <c r="H319" s="4" t="str">
        <f>IFERROR(__xludf.DUMMYFUNCTION("GOOGLETRANSLATE(C319, ""en"", ""hi"")"),"ए) गैरी कास्परोव, बी) व्लादिमीर क्रैमनिक, सी) विश्वनाथन आनंद, डी) मैग्नस कार्लसन")</f>
        <v>ए) गैरी कास्परोव, बी) व्लादिमीर क्रैमनिक, सी) विश्वनाथन आनंद, डी) मैग्नस कार्लसन</v>
      </c>
      <c r="I319" s="4" t="str">
        <f>IFERROR(__xludf.DUMMYFUNCTION("GOOGLETRANSLATE(D319, ""en"", ""hi"")"),"D) मैग्नस कार्लसन")</f>
        <v>D) मैग्नस कार्लसन</v>
      </c>
    </row>
    <row r="320" ht="22.5" customHeight="1">
      <c r="A320" s="3">
        <v>319.0</v>
      </c>
      <c r="B320" s="4" t="s">
        <v>1419</v>
      </c>
      <c r="C320" s="4" t="s">
        <v>1420</v>
      </c>
      <c r="D320" s="4" t="s">
        <v>1421</v>
      </c>
      <c r="F320" s="4" t="str">
        <f>IFERROR(__xludf.DUMMYFUNCTION("GOOGLETRANSLATE(A320, ""en"", ""hi"")"),"319")</f>
        <v>319</v>
      </c>
      <c r="G320" s="4" t="str">
        <f>IFERROR(__xludf.DUMMYFUNCTION("GOOGLETRANSLATE(B320, ""en"", ""hi"")"),"शतरंज के पुराने संस्करणों में किस शतरंज के मोहरे को मूलतः 'हाथी' के नाम से जाना जाता था?")</f>
        <v>शतरंज के पुराने संस्करणों में किस शतरंज के मोहरे को मूलतः 'हाथी' के नाम से जाना जाता था?</v>
      </c>
      <c r="H320" s="4" t="str">
        <f>IFERROR(__xludf.DUMMYFUNCTION("GOOGLETRANSLATE(C320, ""en"", ""hi"")"),"A) बिशप, B) नाइट, C) रूक, D) क्वीन")</f>
        <v>A) बिशप, B) नाइट, C) रूक, D) क्वीन</v>
      </c>
      <c r="I320" s="4" t="str">
        <f>IFERROR(__xludf.DUMMYFUNCTION("GOOGLETRANSLATE(D320, ""en"", ""hi"")"),"ए) बिशप")</f>
        <v>ए) बिशप</v>
      </c>
    </row>
    <row r="321" ht="22.5" customHeight="1">
      <c r="A321" s="3">
        <v>320.0</v>
      </c>
      <c r="B321" s="4" t="s">
        <v>1422</v>
      </c>
      <c r="C321" s="4" t="s">
        <v>1042</v>
      </c>
      <c r="D321" s="4" t="s">
        <v>1043</v>
      </c>
      <c r="F321" s="4" t="str">
        <f>IFERROR(__xludf.DUMMYFUNCTION("GOOGLETRANSLATE(A321, ""en"", ""hi"")"),"320")</f>
        <v>320</v>
      </c>
      <c r="G321" s="4" t="str">
        <f>IFERROR(__xludf.DUMMYFUNCTION("GOOGLETRANSLATE(B321, ""en"", ""hi"")"),"विश्व शतरंज चैंपियनशिप जीतने वाला सबसे युवा खिलाड़ी कौन था?")</f>
        <v>विश्व शतरंज चैंपियनशिप जीतने वाला सबसे युवा खिलाड़ी कौन था?</v>
      </c>
      <c r="H321" s="4" t="str">
        <f>IFERROR(__xludf.DUMMYFUNCTION("GOOGLETRANSLATE(C321, ""en"", ""hi"")"),"ए) गैरी कास्परोव, बी) मैग्नस कार्लसन, सी) बॉबी फिशर, डी) व्लादिमीर क्रैमनिक")</f>
        <v>ए) गैरी कास्परोव, बी) मैग्नस कार्लसन, सी) बॉबी फिशर, डी) व्लादिमीर क्रैमनिक</v>
      </c>
      <c r="I321" s="4" t="str">
        <f>IFERROR(__xludf.DUMMYFUNCTION("GOOGLETRANSLATE(D321, ""en"", ""hi"")"),"B) मैग्नस कार्लसन")</f>
        <v>B) मैग्नस कार्लसन</v>
      </c>
    </row>
    <row r="322" ht="22.5" customHeight="1">
      <c r="A322" s="3">
        <v>321.0</v>
      </c>
      <c r="B322" s="4" t="s">
        <v>1423</v>
      </c>
      <c r="C322" s="4" t="s">
        <v>1424</v>
      </c>
      <c r="D322" s="4" t="s">
        <v>1105</v>
      </c>
      <c r="F322" s="4" t="str">
        <f>IFERROR(__xludf.DUMMYFUNCTION("GOOGLETRANSLATE(A322, ""en"", ""hi"")"),"321")</f>
        <v>321</v>
      </c>
      <c r="G322" s="4" t="str">
        <f>IFERROR(__xludf.DUMMYFUNCTION("GOOGLETRANSLATE(B322, ""en"", ""hi"")"),"कौन सा शतरंज खिलाड़ी कैटलन ओपनिंग में अपने क्रांतिकारी विचारों के लिए जाना जाता है?")</f>
        <v>कौन सा शतरंज खिलाड़ी कैटलन ओपनिंग में अपने क्रांतिकारी विचारों के लिए जाना जाता है?</v>
      </c>
      <c r="H322" s="4" t="str">
        <f>IFERROR(__xludf.DUMMYFUNCTION("GOOGLETRANSLATE(C322, ""en"", ""hi"")"),"ए) गैरी कास्पारोव, बी) बॉबी फिशर, सी) व्लादिमीर क्रैमनिक, डी) जोस राउल कैपब्लांका")</f>
        <v>ए) गैरी कास्पारोव, बी) बॉबी फिशर, सी) व्लादिमीर क्रैमनिक, डी) जोस राउल कैपब्लांका</v>
      </c>
      <c r="I322" s="4" t="str">
        <f>IFERROR(__xludf.DUMMYFUNCTION("GOOGLETRANSLATE(D322, ""en"", ""hi"")"),"C) व्लादिमीर क्रैमनिक")</f>
        <v>C) व्लादिमीर क्रैमनिक</v>
      </c>
    </row>
    <row r="323" ht="22.5" customHeight="1">
      <c r="A323" s="3">
        <v>322.0</v>
      </c>
      <c r="B323" s="4" t="s">
        <v>1425</v>
      </c>
      <c r="C323" s="4" t="s">
        <v>1426</v>
      </c>
      <c r="D323" s="4" t="s">
        <v>1427</v>
      </c>
      <c r="F323" s="4" t="str">
        <f>IFERROR(__xludf.DUMMYFUNCTION("GOOGLETRANSLATE(A323, ""en"", ""hi"")"),"322")</f>
        <v>322</v>
      </c>
      <c r="G323" s="4" t="str">
        <f>IFERROR(__xludf.DUMMYFUNCTION("GOOGLETRANSLATE(B323, ""en"", ""hi"")"),"सोवियत संघ में आयोजित पहला अंतर्राष्ट्रीय शतरंज टूर्नामेंट कौन सा था?")</f>
        <v>सोवियत संघ में आयोजित पहला अंतर्राष्ट्रीय शतरंज टूर्नामेंट कौन सा था?</v>
      </c>
      <c r="H323" s="4" t="str">
        <f>IFERROR(__xludf.DUMMYFUNCTION("GOOGLETRANSLATE(C323, ""en"", ""hi"")"),"A) मॉस्को टूर्नामेंट, B) लेनिनग्राद टूर्नामेंट, C) त्बिलिसी टूर्नामेंट, D) ओडेसा टूर्नामेंट")</f>
        <v>A) मॉस्को टूर्नामेंट, B) लेनिनग्राद टूर्नामेंट, C) त्बिलिसी टूर्नामेंट, D) ओडेसा टूर्नामेंट</v>
      </c>
      <c r="I323" s="4" t="str">
        <f>IFERROR(__xludf.DUMMYFUNCTION("GOOGLETRANSLATE(D323, ""en"", ""hi"")"),"ए) मॉस्को टूर्नामेंट")</f>
        <v>ए) मॉस्को टूर्नामेंट</v>
      </c>
    </row>
    <row r="324" ht="22.5" customHeight="1">
      <c r="A324" s="3">
        <v>323.0</v>
      </c>
      <c r="B324" s="4" t="s">
        <v>1428</v>
      </c>
      <c r="C324" s="4" t="s">
        <v>1429</v>
      </c>
      <c r="D324" s="4" t="s">
        <v>1124</v>
      </c>
      <c r="F324" s="4" t="str">
        <f>IFERROR(__xludf.DUMMYFUNCTION("GOOGLETRANSLATE(A324, ""en"", ""hi"")"),"323")</f>
        <v>323</v>
      </c>
      <c r="G324" s="4" t="str">
        <f>IFERROR(__xludf.DUMMYFUNCTION("GOOGLETRANSLATE(B324, ""en"", ""hi"")"),"'गिउको पियानो' ओपनिंग को लोकप्रिय बनाने का श्रेय किस शतरंज खिलाड़ी को दिया जाता है?")</f>
        <v>'गिउको पियानो' ओपनिंग को लोकप्रिय बनाने का श्रेय किस शतरंज खिलाड़ी को दिया जाता है?</v>
      </c>
      <c r="H324" s="4" t="str">
        <f>IFERROR(__xludf.DUMMYFUNCTION("GOOGLETRANSLATE(C324, ""en"", ""hi"")"),"A) पॉल मॉर्फी, B) हॉवर्ड स्टॉन्टन, C) विल्हेम स्टीनिट्ज़, D) इमानुएल लास्कर")</f>
        <v>A) पॉल मॉर्फी, B) हॉवर्ड स्टॉन्टन, C) विल्हेम स्टीनिट्ज़, D) इमानुएल लास्कर</v>
      </c>
      <c r="I324" s="4" t="str">
        <f>IFERROR(__xludf.DUMMYFUNCTION("GOOGLETRANSLATE(D324, ""en"", ""hi"")"),"A) पॉल मॉर्फी")</f>
        <v>A) पॉल मॉर्फी</v>
      </c>
    </row>
    <row r="325" ht="22.5" customHeight="1">
      <c r="A325" s="3">
        <v>324.0</v>
      </c>
      <c r="B325" s="4" t="s">
        <v>1430</v>
      </c>
      <c r="C325" s="4" t="s">
        <v>1431</v>
      </c>
      <c r="D325" s="4" t="s">
        <v>1432</v>
      </c>
      <c r="F325" s="4" t="str">
        <f>IFERROR(__xludf.DUMMYFUNCTION("GOOGLETRANSLATE(A325, ""en"", ""hi"")"),"324")</f>
        <v>324</v>
      </c>
      <c r="G325" s="4" t="str">
        <f>IFERROR(__xludf.DUMMYFUNCTION("GOOGLETRANSLATE(B325, ""en"", ""hi"")"),"किस प्रसिद्ध शतरंज खिलाड़ी का उपनाम 'द पोलिश हॉक' था?")</f>
        <v>किस प्रसिद्ध शतरंज खिलाड़ी का उपनाम 'द पोलिश हॉक' था?</v>
      </c>
      <c r="H325" s="4" t="str">
        <f>IFERROR(__xludf.DUMMYFUNCTION("GOOGLETRANSLATE(C325, ""en"", ""hi"")"),"ए) सैमुअल रेशेव्स्की, बी) अकिबा रुबिनस्टीन, सी) पॉल केरेस, डी) मिखाइल ताल")</f>
        <v>ए) सैमुअल रेशेव्स्की, बी) अकिबा रुबिनस्टीन, सी) पॉल केरेस, डी) मिखाइल ताल</v>
      </c>
      <c r="I325" s="4" t="str">
        <f>IFERROR(__xludf.DUMMYFUNCTION("GOOGLETRANSLATE(D325, ""en"", ""hi"")"),"बी) अकीबा रुबिनस्टीन")</f>
        <v>बी) अकीबा रुबिनस्टीन</v>
      </c>
    </row>
    <row r="326" ht="22.5" customHeight="1">
      <c r="A326" s="3">
        <v>325.0</v>
      </c>
      <c r="B326" s="4" t="s">
        <v>1433</v>
      </c>
      <c r="C326" s="4" t="s">
        <v>1434</v>
      </c>
      <c r="D326" s="4" t="s">
        <v>943</v>
      </c>
      <c r="F326" s="4" t="str">
        <f>IFERROR(__xludf.DUMMYFUNCTION("GOOGLETRANSLATE(A326, ""en"", ""hi"")"),"325")</f>
        <v>325</v>
      </c>
      <c r="G326" s="4" t="str">
        <f>IFERROR(__xludf.DUMMYFUNCTION("GOOGLETRANSLATE(B326, ""en"", ""hi"")"),"किसी मैच में कंप्यूटर से पराजित होने वाला पहला विश्व शतरंज चैंपियन कौन था?")</f>
        <v>किसी मैच में कंप्यूटर से पराजित होने वाला पहला विश्व शतरंज चैंपियन कौन था?</v>
      </c>
      <c r="H326" s="4" t="str">
        <f>IFERROR(__xludf.DUMMYFUNCTION("GOOGLETRANSLATE(C326, ""en"", ""hi"")"),"ए) गैरी कास्पारोव, बी) अनातोली कारपोव, सी) व्लादिमीर क्रैमनिक, डी) बॉबी फिशर")</f>
        <v>ए) गैरी कास्पारोव, बी) अनातोली कारपोव, सी) व्लादिमीर क्रैमनिक, डी) बॉबी फिशर</v>
      </c>
      <c r="I326" s="4" t="str">
        <f>IFERROR(__xludf.DUMMYFUNCTION("GOOGLETRANSLATE(D326, ""en"", ""hi"")"),"A) गैरी कास्पारोव")</f>
        <v>A) गैरी कास्पारोव</v>
      </c>
    </row>
    <row r="327" ht="22.5" customHeight="1">
      <c r="A327" s="3">
        <v>326.0</v>
      </c>
      <c r="B327" s="4" t="s">
        <v>1435</v>
      </c>
      <c r="C327" s="4" t="s">
        <v>1436</v>
      </c>
      <c r="D327" s="4" t="s">
        <v>908</v>
      </c>
      <c r="F327" s="4" t="str">
        <f>IFERROR(__xludf.DUMMYFUNCTION("GOOGLETRANSLATE(A327, ""en"", ""hi"")"),"326")</f>
        <v>326</v>
      </c>
      <c r="G327" s="4" t="str">
        <f>IFERROR(__xludf.DUMMYFUNCTION("GOOGLETRANSLATE(B327, ""en"", ""hi"")"),"'मिखाइल ताल का जीवन और खेल' जीवनी का विषय कौन सा शतरंज खिलाड़ी था?")</f>
        <v>'मिखाइल ताल का जीवन और खेल' जीवनी का विषय कौन सा शतरंज खिलाड़ी था?</v>
      </c>
      <c r="H327" s="4" t="str">
        <f>IFERROR(__xludf.DUMMYFUNCTION("GOOGLETRANSLATE(C327, ""en"", ""hi"")"),"ए) मिखाइल ताल, बी) गैरी कास्परोव, सी) बॉबी फिशर, डी) अनातोली कारपोव")</f>
        <v>ए) मिखाइल ताल, बी) गैरी कास्परोव, सी) बॉबी फिशर, डी) अनातोली कारपोव</v>
      </c>
      <c r="I327" s="4" t="str">
        <f>IFERROR(__xludf.DUMMYFUNCTION("GOOGLETRANSLATE(D327, ""en"", ""hi"")"),"A) मिखाइल ताल")</f>
        <v>A) मिखाइल ताल</v>
      </c>
    </row>
    <row r="328" ht="22.5" customHeight="1">
      <c r="A328" s="3">
        <v>327.0</v>
      </c>
      <c r="B328" s="4" t="s">
        <v>1437</v>
      </c>
      <c r="C328" s="4" t="s">
        <v>1438</v>
      </c>
      <c r="D328" s="4" t="s">
        <v>902</v>
      </c>
      <c r="F328" s="4" t="str">
        <f>IFERROR(__xludf.DUMMYFUNCTION("GOOGLETRANSLATE(A328, ""en"", ""hi"")"),"327")</f>
        <v>327</v>
      </c>
      <c r="G328" s="4" t="str">
        <f>IFERROR(__xludf.DUMMYFUNCTION("GOOGLETRANSLATE(B328, ""en"", ""hi"")"),"अंतर्राष्ट्रीय शतरंज महासंघ (FIDE) की स्थापना किस वर्ष हुई थी?")</f>
        <v>अंतर्राष्ट्रीय शतरंज महासंघ (FIDE) की स्थापना किस वर्ष हुई थी?</v>
      </c>
      <c r="H328" s="4" t="str">
        <f>IFERROR(__xludf.DUMMYFUNCTION("GOOGLETRANSLATE(C328, ""en"", ""hi"")"),"ए) 1918, बी) 1924, सी) 1932, डी) 1946")</f>
        <v>ए) 1918, बी) 1924, सी) 1932, डी) 1946</v>
      </c>
      <c r="I328" s="4" t="str">
        <f>IFERROR(__xludf.DUMMYFUNCTION("GOOGLETRANSLATE(D328, ""en"", ""hi"")"),"बी) 1924")</f>
        <v>बी) 1924</v>
      </c>
    </row>
    <row r="329" ht="22.5" customHeight="1">
      <c r="A329" s="3">
        <v>328.0</v>
      </c>
      <c r="B329" s="4" t="s">
        <v>1439</v>
      </c>
      <c r="C329" s="4" t="s">
        <v>1024</v>
      </c>
      <c r="D329" s="4" t="s">
        <v>980</v>
      </c>
      <c r="F329" s="4" t="str">
        <f>IFERROR(__xludf.DUMMYFUNCTION("GOOGLETRANSLATE(A329, ""en"", ""hi"")"),"328")</f>
        <v>328</v>
      </c>
      <c r="G329" s="4" t="str">
        <f>IFERROR(__xludf.DUMMYFUNCTION("GOOGLETRANSLATE(B329, ""en"", ""hi"")"),"कौन सा शतरंज खिलाड़ी 'लास्कर विधि' पर अपने काम के लिए जाना जाता है?")</f>
        <v>कौन सा शतरंज खिलाड़ी 'लास्कर विधि' पर अपने काम के लिए जाना जाता है?</v>
      </c>
      <c r="H329" s="4" t="str">
        <f>IFERROR(__xludf.DUMMYFUNCTION("GOOGLETRANSLATE(C329,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329" s="4" t="str">
        <f>IFERROR(__xludf.DUMMYFUNCTION("GOOGLETRANSLATE(D329, ""en"", ""hi"")"),"A) इमानुएल लास्कर")</f>
        <v>A) इमानुएल लास्कर</v>
      </c>
    </row>
    <row r="330" ht="22.5" customHeight="1">
      <c r="A330" s="3">
        <v>329.0</v>
      </c>
      <c r="B330" s="4" t="s">
        <v>1440</v>
      </c>
      <c r="C330" s="4" t="s">
        <v>1441</v>
      </c>
      <c r="D330" s="4" t="s">
        <v>1124</v>
      </c>
      <c r="F330" s="4" t="str">
        <f>IFERROR(__xludf.DUMMYFUNCTION("GOOGLETRANSLATE(A330, ""en"", ""hi"")"),"329")</f>
        <v>329</v>
      </c>
      <c r="G330" s="4" t="str">
        <f>IFERROR(__xludf.DUMMYFUNCTION("GOOGLETRANSLATE(B330, ""en"", ""hi"")"),"कौन सा प्रसिद्ध शतरंज खिलाड़ी अपने शानदार संयोजन खेल और बलिदान के लिए जाना जाता था?")</f>
        <v>कौन सा प्रसिद्ध शतरंज खिलाड़ी अपने शानदार संयोजन खेल और बलिदान के लिए जाना जाता था?</v>
      </c>
      <c r="H330" s="4" t="str">
        <f>IFERROR(__xludf.DUMMYFUNCTION("GOOGLETRANSLATE(C330, ""en"", ""hi"")"),"ए) पॉल मॉर्फी, बी) गैरी कास्परोव, सी) बॉबी फिशर, डी) विक्टर कोरचनोई")</f>
        <v>ए) पॉल मॉर्फी, बी) गैरी कास्परोव, सी) बॉबी फिशर, डी) विक्टर कोरचनोई</v>
      </c>
      <c r="I330" s="4" t="str">
        <f>IFERROR(__xludf.DUMMYFUNCTION("GOOGLETRANSLATE(D330, ""en"", ""hi"")"),"A) पॉल मॉर्फी")</f>
        <v>A) पॉल मॉर्फी</v>
      </c>
    </row>
    <row r="331" ht="22.5" customHeight="1">
      <c r="A331" s="3">
        <v>330.0</v>
      </c>
      <c r="B331" s="4" t="s">
        <v>1442</v>
      </c>
      <c r="C331" s="4" t="s">
        <v>1443</v>
      </c>
      <c r="D331" s="4" t="s">
        <v>1142</v>
      </c>
      <c r="F331" s="4" t="str">
        <f>IFERROR(__xludf.DUMMYFUNCTION("GOOGLETRANSLATE(A331, ""en"", ""hi"")"),"330")</f>
        <v>330</v>
      </c>
      <c r="G331" s="4" t="str">
        <f>IFERROR(__xludf.DUMMYFUNCTION("GOOGLETRANSLATE(B331, ""en"", ""hi"")"),"जोस राउल कैपब्लांका से पहले विश्व शतरंज चैंपियन कौन था?")</f>
        <v>जोस राउल कैपब्लांका से पहले विश्व शतरंज चैंपियन कौन था?</v>
      </c>
      <c r="H331" s="4" t="str">
        <f>IFERROR(__xludf.DUMMYFUNCTION("GOOGLETRANSLATE(C331, ""en"", ""hi"")"),"A) अलेक्जेंडर अलेखिन, B) इमानुएल लास्कर, C) विल्हेम स्टीनिट्ज़, D) मिखाइल बोट्विननिक")</f>
        <v>A) अलेक्जेंडर अलेखिन, B) इमानुएल लास्कर, C) विल्हेम स्टीनिट्ज़, D) मिखाइल बोट्विननिक</v>
      </c>
      <c r="I331" s="4" t="str">
        <f>IFERROR(__xludf.DUMMYFUNCTION("GOOGLETRANSLATE(D331, ""en"", ""hi"")"),"बी) इमानुएल लास्कर")</f>
        <v>बी) इमानुएल लास्कर</v>
      </c>
    </row>
    <row r="332" ht="22.5" customHeight="1">
      <c r="A332" s="3">
        <v>331.0</v>
      </c>
      <c r="B332" s="4" t="s">
        <v>1444</v>
      </c>
      <c r="C332" s="4" t="s">
        <v>1445</v>
      </c>
      <c r="D332" s="4" t="s">
        <v>943</v>
      </c>
      <c r="F332" s="4" t="str">
        <f>IFERROR(__xludf.DUMMYFUNCTION("GOOGLETRANSLATE(A332, ""en"", ""hi"")"),"331")</f>
        <v>331</v>
      </c>
      <c r="G332" s="4" t="str">
        <f>IFERROR(__xludf.DUMMYFUNCTION("GOOGLETRANSLATE(B332, ""en"", ""hi"")"),"कौन सा शतरंज खिलाड़ी सिसिलियन डिफेंस के 'ज़ैत्सेव वेरिएशन' पर अपने काम के लिए जाना जाता है?")</f>
        <v>कौन सा शतरंज खिलाड़ी सिसिलियन डिफेंस के 'ज़ैत्सेव वेरिएशन' पर अपने काम के लिए जाना जाता है?</v>
      </c>
      <c r="H332" s="4" t="str">
        <f>IFERROR(__xludf.DUMMYFUNCTION("GOOGLETRANSLATE(C332, ""en"", ""hi"")"),"ए) गैरी कास्पारोव, बी) बॉबी फिशर, सी) अनातोली कार्पोव, डी) विक्टर कोरचनोई")</f>
        <v>ए) गैरी कास्पारोव, बी) बॉबी फिशर, सी) अनातोली कार्पोव, डी) विक्टर कोरचनोई</v>
      </c>
      <c r="I332" s="4" t="str">
        <f>IFERROR(__xludf.DUMMYFUNCTION("GOOGLETRANSLATE(D332, ""en"", ""hi"")"),"A) गैरी कास्पारोव")</f>
        <v>A) गैरी कास्पारोव</v>
      </c>
    </row>
    <row r="333" ht="22.5" customHeight="1">
      <c r="A333" s="3">
        <v>332.0</v>
      </c>
      <c r="B333" s="4" t="s">
        <v>1367</v>
      </c>
      <c r="C333" s="4" t="s">
        <v>1446</v>
      </c>
      <c r="D333" s="4" t="s">
        <v>1447</v>
      </c>
      <c r="F333" s="4" t="str">
        <f>IFERROR(__xludf.DUMMYFUNCTION("GOOGLETRANSLATE(A333, ""en"", ""hi"")"),"332")</f>
        <v>332</v>
      </c>
      <c r="G333" s="4" t="str">
        <f>IFERROR(__xludf.DUMMYFUNCTION("GOOGLETRANSLATE(B333, ""en"", ""hi"")"),"कौन सा शतरंज खिलाड़ी 'इंग्लिश ओपनिंग' में अपने योगदान के लिए जाना जाता था?")</f>
        <v>कौन सा शतरंज खिलाड़ी 'इंग्लिश ओपनिंग' में अपने योगदान के लिए जाना जाता था?</v>
      </c>
      <c r="H333" s="4" t="str">
        <f>IFERROR(__xludf.DUMMYFUNCTION("GOOGLETRANSLATE(C333, ""en"", ""hi"")"),"ए) हॉवर्ड स्टॉन्टन, बी) गैरी कास्पारोव, सी) पॉल केरेस, डी) बेंजामिन ब्लुमेनफेल्ड")</f>
        <v>ए) हॉवर्ड स्टॉन्टन, बी) गैरी कास्पारोव, सी) पॉल केरेस, डी) बेंजामिन ब्लुमेनफेल्ड</v>
      </c>
      <c r="I333" s="4" t="str">
        <f>IFERROR(__xludf.DUMMYFUNCTION("GOOGLETRANSLATE(D333, ""en"", ""hi"")"),"D) बेंजामिन ब्लूमेनफेल्ड")</f>
        <v>D) बेंजामिन ब्लूमेनफेल्ड</v>
      </c>
    </row>
    <row r="334" ht="22.5" customHeight="1">
      <c r="A334" s="3">
        <v>333.0</v>
      </c>
      <c r="B334" s="4" t="s">
        <v>1448</v>
      </c>
      <c r="C334" s="4" t="s">
        <v>1449</v>
      </c>
      <c r="D334" s="4" t="s">
        <v>1450</v>
      </c>
      <c r="F334" s="4" t="str">
        <f>IFERROR(__xludf.DUMMYFUNCTION("GOOGLETRANSLATE(A334, ""en"", ""hi"")"),"333")</f>
        <v>333</v>
      </c>
      <c r="G334" s="4" t="str">
        <f>IFERROR(__xludf.DUMMYFUNCTION("GOOGLETRANSLATE(B334, ""en"", ""hi"")"),"कौन सा शतरंज टूर्नामेंट विश्व के कई शीर्ष खिलाड़ियों के साथ राउंड-रॉबिन प्रारूप की विशेषता के लिए प्रसिद्ध है?")</f>
        <v>कौन सा शतरंज टूर्नामेंट विश्व के कई शीर्ष खिलाड़ियों के साथ राउंड-रॉबिन प्रारूप की विशेषता के लिए प्रसिद्ध है?</v>
      </c>
      <c r="H334" s="4" t="str">
        <f>IFERROR(__xludf.DUMMYFUNCTION("GOOGLETRANSLATE(C334, ""en"", ""hi"")"),"A) कैंडिडेट्स टूर्नामेंट, B) सिंकफील्ड कप, C) टाटा स्टील टूर्नामेंट, D) लंदन शतरंज क्लासिक")</f>
        <v>A) कैंडिडेट्स टूर्नामेंट, B) सिंकफील्ड कप, C) टाटा स्टील टूर्नामेंट, D) लंदन शतरंज क्लासिक</v>
      </c>
      <c r="I334" s="4" t="str">
        <f>IFERROR(__xludf.DUMMYFUNCTION("GOOGLETRANSLATE(D334, ""en"", ""hi"")"),"C) टाटा स्टील टूर्नामेंट")</f>
        <v>C) टाटा स्टील टूर्नामेंट</v>
      </c>
    </row>
    <row r="335" ht="22.5" customHeight="1">
      <c r="A335" s="3">
        <v>334.0</v>
      </c>
      <c r="B335" s="4" t="s">
        <v>1451</v>
      </c>
      <c r="C335" s="4" t="s">
        <v>1452</v>
      </c>
      <c r="D335" s="4" t="s">
        <v>1453</v>
      </c>
      <c r="F335" s="4" t="str">
        <f>IFERROR(__xludf.DUMMYFUNCTION("GOOGLETRANSLATE(A335, ""en"", ""hi"")"),"334")</f>
        <v>334</v>
      </c>
      <c r="G335" s="4" t="str">
        <f>IFERROR(__xludf.DUMMYFUNCTION("GOOGLETRANSLATE(B335, ""en"", ""hi"")"),"उस शतरंज खिलाड़ी का नाम क्या है जिसने सिसिलियन डिफेंस का 'स्वेशनिकोव वेरिएशन' बनाया?")</f>
        <v>उस शतरंज खिलाड़ी का नाम क्या है जिसने सिसिलियन डिफेंस का 'स्वेशनिकोव वेरिएशन' बनाया?</v>
      </c>
      <c r="H335" s="4" t="str">
        <f>IFERROR(__xludf.DUMMYFUNCTION("GOOGLETRANSLATE(C335, ""en"", ""hi"")"),"ए) अलेक्जेंडर स्वेशनिकोव, बी) गैरी कास्पारोव, सी) विक्टर कोरचनोई, डी) पॉल केरेस")</f>
        <v>ए) अलेक्जेंडर स्वेशनिकोव, बी) गैरी कास्पारोव, सी) विक्टर कोरचनोई, डी) पॉल केरेस</v>
      </c>
      <c r="I335" s="4" t="str">
        <f>IFERROR(__xludf.DUMMYFUNCTION("GOOGLETRANSLATE(D335, ""en"", ""hi"")"),"A) अलेक्जेंडर स्वेशनिकोव")</f>
        <v>A) अलेक्जेंडर स्वेशनिकोव</v>
      </c>
    </row>
    <row r="336" ht="22.5" customHeight="1">
      <c r="A336" s="3">
        <v>335.0</v>
      </c>
      <c r="B336" s="4" t="s">
        <v>1454</v>
      </c>
      <c r="C336" s="4" t="s">
        <v>1455</v>
      </c>
      <c r="D336" s="4" t="s">
        <v>977</v>
      </c>
      <c r="F336" s="4" t="str">
        <f>IFERROR(__xludf.DUMMYFUNCTION("GOOGLETRANSLATE(A336, ""en"", ""hi"")"),"335")</f>
        <v>335</v>
      </c>
      <c r="G336" s="4" t="str">
        <f>IFERROR(__xludf.DUMMYFUNCTION("GOOGLETRANSLATE(B336, ""en"", ""hi"")"),"अनातोली कार्पोव से ठीक पहले विश्व शतरंज चैंपियन कौन था?")</f>
        <v>अनातोली कार्पोव से ठीक पहले विश्व शतरंज चैंपियन कौन था?</v>
      </c>
      <c r="H336" s="4" t="str">
        <f>IFERROR(__xludf.DUMMYFUNCTION("GOOGLETRANSLATE(C336, ""en"", ""hi"")"),"ए) गैरी कास्परोव, बी) व्लादिमीर क्रैमनिक, सी) मिखाइल बोट्वनिक, डी) जोस राउल कैपब्लांका")</f>
        <v>ए) गैरी कास्परोव, बी) व्लादिमीर क्रैमनिक, सी) मिखाइल बोट्वनिक, डी) जोस राउल कैपब्लांका</v>
      </c>
      <c r="I336" s="4" t="str">
        <f>IFERROR(__xludf.DUMMYFUNCTION("GOOGLETRANSLATE(D336, ""en"", ""hi"")"),"C) मिखाइल बोट्विननिक")</f>
        <v>C) मिखाइल बोट्विननिक</v>
      </c>
    </row>
    <row r="337" ht="22.5" customHeight="1">
      <c r="A337" s="3">
        <v>336.0</v>
      </c>
      <c r="B337" s="4" t="s">
        <v>1456</v>
      </c>
      <c r="C337" s="4" t="s">
        <v>1457</v>
      </c>
      <c r="D337" s="4" t="s">
        <v>911</v>
      </c>
      <c r="F337" s="4" t="str">
        <f>IFERROR(__xludf.DUMMYFUNCTION("GOOGLETRANSLATE(A337, ""en"", ""hi"")"),"336")</f>
        <v>336</v>
      </c>
      <c r="G337" s="4" t="str">
        <f>IFERROR(__xludf.DUMMYFUNCTION("GOOGLETRANSLATE(B337, ""en"", ""hi"")"),"कौन सा शतरंज खिलाड़ी अपनी पुस्तक 'माई बेस्ट गेम्स ऑफ चेस' के लिए जाना जाता है?")</f>
        <v>कौन सा शतरंज खिलाड़ी अपनी पुस्तक 'माई बेस्ट गेम्स ऑफ चेस' के लिए जाना जाता है?</v>
      </c>
      <c r="H337" s="4" t="str">
        <f>IFERROR(__xludf.DUMMYFUNCTION("GOOGLETRANSLATE(C337, ""en"", ""hi"")"),"ए) बॉबी फिशर, बी) गैरी कास्परोव, सी) पॉल केरेस, डी) मिखाइल ताल")</f>
        <v>ए) बॉबी फिशर, बी) गैरी कास्परोव, सी) पॉल केरेस, डी) मिखाइल ताल</v>
      </c>
      <c r="I337" s="4" t="str">
        <f>IFERROR(__xludf.DUMMYFUNCTION("GOOGLETRANSLATE(D337, ""en"", ""hi"")"),"A) बॉबी फिशर")</f>
        <v>A) बॉबी फिशर</v>
      </c>
    </row>
    <row r="338" ht="22.5" customHeight="1">
      <c r="A338" s="3">
        <v>337.0</v>
      </c>
      <c r="B338" s="4" t="s">
        <v>1458</v>
      </c>
      <c r="C338" s="4" t="s">
        <v>1459</v>
      </c>
      <c r="D338" s="4" t="s">
        <v>1460</v>
      </c>
      <c r="F338" s="4" t="str">
        <f>IFERROR(__xludf.DUMMYFUNCTION("GOOGLETRANSLATE(A338, ""en"", ""hi"")"),"337")</f>
        <v>337</v>
      </c>
      <c r="G338" s="4" t="str">
        <f>IFERROR(__xludf.DUMMYFUNCTION("GOOGLETRANSLATE(B338, ""en"", ""hi"")"),"बॉबी फिशर और बोरिस स्पैस्की के बीच पहले विश्व शतरंज चैम्पियनशिप मैच का नाम क्या था?")</f>
        <v>बॉबी फिशर और बोरिस स्पैस्की के बीच पहले विश्व शतरंज चैम्पियनशिप मैच का नाम क्या था?</v>
      </c>
      <c r="H338" s="4" t="str">
        <f>IFERROR(__xludf.DUMMYFUNCTION("GOOGLETRANSLATE(C338, ""en"", ""hi"")"),"ए) द मैच ऑफ द सेंचुरी, बी) द ग्रेट मैच, सी) द वर्ल्ड चैंपियनशिप शोडाउन, डी) द स्पैस्की-फिशर द्वंद")</f>
        <v>ए) द मैच ऑफ द सेंचुरी, बी) द ग्रेट मैच, सी) द वर्ल्ड चैंपियनशिप शोडाउन, डी) द स्पैस्की-फिशर द्वंद</v>
      </c>
      <c r="I338" s="4" t="str">
        <f>IFERROR(__xludf.DUMMYFUNCTION("GOOGLETRANSLATE(D338, ""en"", ""hi"")"),"A) सदी का मैच")</f>
        <v>A) सदी का मैच</v>
      </c>
    </row>
    <row r="339" ht="22.5" customHeight="1">
      <c r="A339" s="3">
        <v>338.0</v>
      </c>
      <c r="B339" s="4" t="s">
        <v>1461</v>
      </c>
      <c r="C339" s="4" t="s">
        <v>1462</v>
      </c>
      <c r="D339" s="4" t="s">
        <v>1463</v>
      </c>
      <c r="F339" s="4" t="str">
        <f>IFERROR(__xludf.DUMMYFUNCTION("GOOGLETRANSLATE(A339, ""en"", ""hi"")"),"338")</f>
        <v>338</v>
      </c>
      <c r="G339" s="4" t="str">
        <f>IFERROR(__xludf.DUMMYFUNCTION("GOOGLETRANSLATE(B339, ""en"", ""hi"")"),"'एंटी-सिसिलियन' रणनीतियों का आविष्कारक किसे माना जाता है?")</f>
        <v>'एंटी-सिसिलियन' रणनीतियों का आविष्कारक किसे माना जाता है?</v>
      </c>
      <c r="H339" s="4" t="str">
        <f>IFERROR(__xludf.DUMMYFUNCTION("GOOGLETRANSLATE(C339, ""en"", ""hi"")"),"ए) गैरी कास्पारोव, बी) बॉबी फिशर, सी) विक्टर कोरचनोई, डी) पॉल केरेस")</f>
        <v>ए) गैरी कास्पारोव, बी) बॉबी फिशर, सी) विक्टर कोरचनोई, डी) पॉल केरेस</v>
      </c>
      <c r="I339" s="4" t="str">
        <f>IFERROR(__xludf.DUMMYFUNCTION("GOOGLETRANSLATE(D339, ""en"", ""hi"")"),"D) पॉल केरेस")</f>
        <v>D) पॉल केरेस</v>
      </c>
    </row>
    <row r="340" ht="22.5" customHeight="1">
      <c r="A340" s="3">
        <v>339.0</v>
      </c>
      <c r="B340" s="4" t="s">
        <v>1464</v>
      </c>
      <c r="C340" s="4" t="s">
        <v>1465</v>
      </c>
      <c r="D340" s="4" t="s">
        <v>1354</v>
      </c>
      <c r="F340" s="4" t="str">
        <f>IFERROR(__xludf.DUMMYFUNCTION("GOOGLETRANSLATE(A340, ""en"", ""hi"")"),"339")</f>
        <v>339</v>
      </c>
      <c r="G340" s="4" t="str">
        <f>IFERROR(__xludf.DUMMYFUNCTION("GOOGLETRANSLATE(B340, ""en"", ""hi"")"),"कौन सा शतरंज खिलाड़ी 'निमजो-इंडियन डिफेंस' पर अपने काम के लिए जाना जाता है?")</f>
        <v>कौन सा शतरंज खिलाड़ी 'निमजो-इंडियन डिफेंस' पर अपने काम के लिए जाना जाता है?</v>
      </c>
      <c r="H340" s="4" t="str">
        <f>IFERROR(__xludf.DUMMYFUNCTION("GOOGLETRANSLATE(C340, ""en"", ""hi"")"),"ए) एरोन निमज़ोवित्च, बी) गैरी कास्पारोव, सी) व्लादिमीर क्रैमनिक, डी) बॉबी फिशर")</f>
        <v>ए) एरोन निमज़ोवित्च, बी) गैरी कास्पारोव, सी) व्लादिमीर क्रैमनिक, डी) बॉबी फिशर</v>
      </c>
      <c r="I340" s="4" t="str">
        <f>IFERROR(__xludf.DUMMYFUNCTION("GOOGLETRANSLATE(D340, ""en"", ""hi"")"),"A) एरॉन निमज़ोवित्च")</f>
        <v>A) एरॉन निमज़ोवित्च</v>
      </c>
    </row>
    <row r="341" ht="22.5" customHeight="1">
      <c r="A341" s="3">
        <v>340.0</v>
      </c>
      <c r="B341" s="4" t="s">
        <v>1466</v>
      </c>
      <c r="C341" s="4" t="s">
        <v>1467</v>
      </c>
      <c r="D341" s="4" t="s">
        <v>1468</v>
      </c>
      <c r="F341" s="4" t="str">
        <f>IFERROR(__xludf.DUMMYFUNCTION("GOOGLETRANSLATE(A341, ""en"", ""hi"")"),"340")</f>
        <v>340</v>
      </c>
      <c r="G341" s="4" t="str">
        <f>IFERROR(__xludf.DUMMYFUNCTION("GOOGLETRANSLATE(B341, ""en"", ""hi"")"),"कौन सा शतरंज खिलाड़ी 'बेनोनी डिफेंस' में अपने योगदान के लिए जाना जाता था?")</f>
        <v>कौन सा शतरंज खिलाड़ी 'बेनोनी डिफेंस' में अपने योगदान के लिए जाना जाता था?</v>
      </c>
      <c r="H341" s="4" t="str">
        <f>IFERROR(__xludf.DUMMYFUNCTION("GOOGLETRANSLATE(C341, ""en"", ""hi"")"),"ए) बेंजामिन ब्लुमेनफेल्ड, बी) गैरी कास्पारोव, सी) पॉल केरेस, डी) विक्टर कोरचनोई")</f>
        <v>ए) बेंजामिन ब्लुमेनफेल्ड, बी) गैरी कास्पारोव, सी) पॉल केरेस, डी) विक्टर कोरचनोई</v>
      </c>
      <c r="I341" s="4" t="str">
        <f>IFERROR(__xludf.DUMMYFUNCTION("GOOGLETRANSLATE(D341, ""en"", ""hi"")"),"A) बेंजामिन ब्लूमेनफेल्ड")</f>
        <v>A) बेंजामिन ब्लूमेनफेल्ड</v>
      </c>
    </row>
    <row r="342" ht="22.5" customHeight="1">
      <c r="A342" s="3">
        <v>341.0</v>
      </c>
      <c r="B342" s="4" t="s">
        <v>1469</v>
      </c>
      <c r="C342" s="4" t="s">
        <v>1470</v>
      </c>
      <c r="D342" s="4" t="s">
        <v>1471</v>
      </c>
      <c r="F342" s="4" t="str">
        <f>IFERROR(__xludf.DUMMYFUNCTION("GOOGLETRANSLATE(A342, ""en"", ""hi"")"),"341")</f>
        <v>341</v>
      </c>
      <c r="G342" s="4" t="str">
        <f>IFERROR(__xludf.DUMMYFUNCTION("GOOGLETRANSLATE(B342, ""en"", ""hi"")"),"1.d4 d5 2.c4 e6 से शुरू होने वाले शतरंज ओपनिंग का नाम क्या है?")</f>
        <v>1.d4 d5 2.c4 e6 से शुरू होने वाले शतरंज ओपनिंग का नाम क्या है?</v>
      </c>
      <c r="H342" s="4" t="str">
        <f>IFERROR(__xludf.DUMMYFUNCTION("GOOGLETRANSLATE(C342, ""en"", ""hi"")"),"A) किंग्स गैम्बिट, B) क्वीन्स गैम्बिट डिक्लाइन्ड, C) किंग्स इंडियन डिफेंस, D) निमज़ो-इंडियन डिफेंस")</f>
        <v>A) किंग्स गैम्बिट, B) क्वीन्स गैम्बिट डिक्लाइन्ड, C) किंग्स इंडियन डिफेंस, D) निमज़ो-इंडियन डिफेंस</v>
      </c>
      <c r="I342" s="4" t="str">
        <f>IFERROR(__xludf.DUMMYFUNCTION("GOOGLETRANSLATE(D342, ""en"", ""hi"")"),"बी) क्वीन्स गैम्बिट अस्वीकृत")</f>
        <v>बी) क्वीन्स गैम्बिट अस्वीकृत</v>
      </c>
    </row>
    <row r="343" ht="22.5" customHeight="1">
      <c r="A343" s="3">
        <v>342.0</v>
      </c>
      <c r="B343" s="4" t="s">
        <v>1472</v>
      </c>
      <c r="C343" s="4" t="s">
        <v>1473</v>
      </c>
      <c r="D343" s="4" t="s">
        <v>1474</v>
      </c>
      <c r="F343" s="4" t="str">
        <f>IFERROR(__xludf.DUMMYFUNCTION("GOOGLETRANSLATE(A343, ""en"", ""hi"")"),"342")</f>
        <v>342</v>
      </c>
      <c r="G343" s="4" t="str">
        <f>IFERROR(__xludf.DUMMYFUNCTION("GOOGLETRANSLATE(B343, ""en"", ""hi"")"),"किस प्रसिद्ध शतरंज खिलाड़ी को 'मद्रास का टाइगर' के नाम से जाना जाता था?")</f>
        <v>किस प्रसिद्ध शतरंज खिलाड़ी को 'मद्रास का टाइगर' के नाम से जाना जाता था?</v>
      </c>
      <c r="H343" s="4" t="str">
        <f>IFERROR(__xludf.DUMMYFUNCTION("GOOGLETRANSLATE(C343, ""en"", ""hi"")"),"A) विश्वनाथन आनंद, B) गैरी कास्परोव, C) बॉबी फिशर, D) मिखाइल ताल")</f>
        <v>A) विश्वनाथन आनंद, B) गैरी कास्परोव, C) बॉबी फिशर, D) मिखाइल ताल</v>
      </c>
      <c r="I343" s="4" t="str">
        <f>IFERROR(__xludf.DUMMYFUNCTION("GOOGLETRANSLATE(D343, ""en"", ""hi"")"),"A) विश्वनाथन आनंद")</f>
        <v>A) विश्वनाथन आनंद</v>
      </c>
    </row>
    <row r="344" ht="22.5" customHeight="1">
      <c r="A344" s="3">
        <v>343.0</v>
      </c>
      <c r="B344" s="4" t="s">
        <v>1475</v>
      </c>
      <c r="C344" s="4" t="s">
        <v>1476</v>
      </c>
      <c r="D344" s="4" t="s">
        <v>887</v>
      </c>
      <c r="F344" s="4" t="str">
        <f>IFERROR(__xludf.DUMMYFUNCTION("GOOGLETRANSLATE(A344, ""en"", ""hi"")"),"343")</f>
        <v>343</v>
      </c>
      <c r="G344" s="4" t="str">
        <f>IFERROR(__xludf.DUMMYFUNCTION("GOOGLETRANSLATE(B344, ""en"", ""hi"")"),"गैरी कास्पारोव से पहले विश्व शतरंज चैंपियन कौन था?")</f>
        <v>गैरी कास्पारोव से पहले विश्व शतरंज चैंपियन कौन था?</v>
      </c>
      <c r="H344" s="4" t="str">
        <f>IFERROR(__xludf.DUMMYFUNCTION("GOOGLETRANSLATE(C344, ""en"", ""hi"")"),"ए) अनातोली कारपोव, बी) व्लादिमीर क्रैमनिक, सी) जोस राउल कैपब्लांका, डी) मिखाइल बोट्वनिक")</f>
        <v>ए) अनातोली कारपोव, बी) व्लादिमीर क्रैमनिक, सी) जोस राउल कैपब्लांका, डी) मिखाइल बोट्वनिक</v>
      </c>
      <c r="I344" s="4" t="str">
        <f>IFERROR(__xludf.DUMMYFUNCTION("GOOGLETRANSLATE(D344, ""en"", ""hi"")"),"A) अनातोली कार्पोव")</f>
        <v>A) अनातोली कार्पोव</v>
      </c>
    </row>
    <row r="345" ht="22.5" customHeight="1">
      <c r="A345" s="3">
        <v>344.0</v>
      </c>
      <c r="B345" s="4" t="s">
        <v>1477</v>
      </c>
      <c r="C345" s="4" t="s">
        <v>1478</v>
      </c>
      <c r="D345" s="4" t="s">
        <v>1393</v>
      </c>
      <c r="F345" s="4" t="str">
        <f>IFERROR(__xludf.DUMMYFUNCTION("GOOGLETRANSLATE(A345, ""en"", ""hi"")"),"344")</f>
        <v>344</v>
      </c>
      <c r="G345" s="4" t="str">
        <f>IFERROR(__xludf.DUMMYFUNCTION("GOOGLETRANSLATE(B345, ""en"", ""hi"")"),"कौन सा शतरंज खिलाड़ी 'डच डिफेंस' पर अपने काम के लिए जाना जाता है?")</f>
        <v>कौन सा शतरंज खिलाड़ी 'डच डिफेंस' पर अपने काम के लिए जाना जाता है?</v>
      </c>
      <c r="H345" s="4" t="str">
        <f>IFERROR(__xludf.DUMMYFUNCTION("GOOGLETRANSLATE(C345, ""en"", ""hi"")"),"ए) अब्राहम डी मोइवरे, बी) गैरी कास्परोव, सी) विक्टर कोरचनोई, डी) लोडेविज्क प्रिन्स")</f>
        <v>ए) अब्राहम डी मोइवरे, बी) गैरी कास्परोव, सी) विक्टर कोरचनोई, डी) लोडेविज्क प्रिन्स</v>
      </c>
      <c r="I345" s="4" t="str">
        <f>IFERROR(__xludf.DUMMYFUNCTION("GOOGLETRANSLATE(D345, ""en"", ""hi"")"),"D) लोडेविज्क प्रिंस")</f>
        <v>D) लोडेविज्क प्रिंस</v>
      </c>
    </row>
    <row r="346" ht="22.5" customHeight="1">
      <c r="A346" s="3">
        <v>345.0</v>
      </c>
      <c r="B346" s="4" t="s">
        <v>1479</v>
      </c>
      <c r="C346" s="4" t="s">
        <v>1480</v>
      </c>
      <c r="D346" s="4" t="s">
        <v>1072</v>
      </c>
      <c r="F346" s="4" t="str">
        <f>IFERROR(__xludf.DUMMYFUNCTION("GOOGLETRANSLATE(A346, ""en"", ""hi"")"),"345")</f>
        <v>345</v>
      </c>
      <c r="G346" s="4" t="str">
        <f>IFERROR(__xludf.DUMMYFUNCTION("GOOGLETRANSLATE(B346, ""en"", ""hi"")"),"वर्ष 2000 में विश्व शतरंज चैंपियन कौन था?")</f>
        <v>वर्ष 2000 में विश्व शतरंज चैंपियन कौन था?</v>
      </c>
      <c r="H346" s="4" t="str">
        <f>IFERROR(__xludf.DUMMYFUNCTION("GOOGLETRANSLATE(C346, ""en"", ""hi"")"),"ए) गैरी कास्पारोव, बी) व्लादिमीर क्रैमनिक, सी) अनातोली कारपोव, डी) मैग्नस कार्लसन")</f>
        <v>ए) गैरी कास्पारोव, बी) व्लादिमीर क्रैमनिक, सी) अनातोली कारपोव, डी) मैग्नस कार्लसन</v>
      </c>
      <c r="I346" s="4" t="str">
        <f>IFERROR(__xludf.DUMMYFUNCTION("GOOGLETRANSLATE(D346, ""en"", ""hi"")"),"बी) व्लादिमीर क्रैमनिक")</f>
        <v>बी) व्लादिमीर क्रैमनिक</v>
      </c>
    </row>
    <row r="347" ht="22.5" customHeight="1">
      <c r="A347" s="3">
        <v>346.0</v>
      </c>
      <c r="B347" s="4" t="s">
        <v>1481</v>
      </c>
      <c r="C347" s="4" t="s">
        <v>1482</v>
      </c>
      <c r="D347" s="4" t="s">
        <v>887</v>
      </c>
      <c r="F347" s="4" t="str">
        <f>IFERROR(__xludf.DUMMYFUNCTION("GOOGLETRANSLATE(A347, ""en"", ""hi"")"),"346")</f>
        <v>346</v>
      </c>
      <c r="G347" s="4" t="str">
        <f>IFERROR(__xludf.DUMMYFUNCTION("GOOGLETRANSLATE(B347, ""en"", ""hi"")"),"कौन सा शतरंज खिलाड़ी किंग्स इंडियन डिफेंस में 'कारपोव वेरिएशन' के लिए जाना जाता है?")</f>
        <v>कौन सा शतरंज खिलाड़ी किंग्स इंडियन डिफेंस में 'कारपोव वेरिएशन' के लिए जाना जाता है?</v>
      </c>
      <c r="H347" s="4" t="str">
        <f>IFERROR(__xludf.DUMMYFUNCTION("GOOGLETRANSLATE(C347, ""en"", ""hi"")"),"ए) अनातोली कार्पोव, बी) गैरी कास्पारोव, सी) विक्टर कोरचनोई, डी) मिखाइल बोट्वनिक")</f>
        <v>ए) अनातोली कार्पोव, बी) गैरी कास्पारोव, सी) विक्टर कोरचनोई, डी) मिखाइल बोट्वनिक</v>
      </c>
      <c r="I347" s="4" t="str">
        <f>IFERROR(__xludf.DUMMYFUNCTION("GOOGLETRANSLATE(D347, ""en"", ""hi"")"),"A) अनातोली कार्पोव")</f>
        <v>A) अनातोली कार्पोव</v>
      </c>
    </row>
    <row r="348" ht="22.5" customHeight="1">
      <c r="A348" s="3">
        <v>347.0</v>
      </c>
      <c r="B348" s="4" t="s">
        <v>1483</v>
      </c>
      <c r="C348" s="4" t="s">
        <v>1484</v>
      </c>
      <c r="D348" s="4" t="s">
        <v>1485</v>
      </c>
      <c r="F348" s="4" t="str">
        <f>IFERROR(__xludf.DUMMYFUNCTION("GOOGLETRANSLATE(A348, ""en"", ""hi"")"),"347")</f>
        <v>347</v>
      </c>
      <c r="G348" s="4" t="str">
        <f>IFERROR(__xludf.DUMMYFUNCTION("GOOGLETRANSLATE(B348, ""en"", ""hi"")"),"कौन सा प्रसिद्ध शतरंज खिलाड़ी सिसिलियन डिफेंस के 'नाज्डोर्फ वेरिएशन' में अपने योगदान के लिए जाना जाता है?")</f>
        <v>कौन सा प्रसिद्ध शतरंज खिलाड़ी सिसिलियन डिफेंस के 'नाज्डोर्फ वेरिएशन' में अपने योगदान के लिए जाना जाता है?</v>
      </c>
      <c r="H348" s="4" t="str">
        <f>IFERROR(__xludf.DUMMYFUNCTION("GOOGLETRANSLATE(C348, ""en"", ""hi"")"),"ए) मिगुएल नजदोर्फ़, बी) गैरी कास्पारोव, सी) बॉबी फिशर, डी) पॉल केरेस")</f>
        <v>ए) मिगुएल नजदोर्फ़, बी) गैरी कास्पारोव, सी) बॉबी फिशर, डी) पॉल केरेस</v>
      </c>
      <c r="I348" s="4" t="str">
        <f>IFERROR(__xludf.DUMMYFUNCTION("GOOGLETRANSLATE(D348, ""en"", ""hi"")"),"A) मिगुएल नाजडोर्फ")</f>
        <v>A) मिगुएल नाजडोर्फ</v>
      </c>
    </row>
    <row r="349" ht="22.5" customHeight="1">
      <c r="A349" s="3">
        <v>348.0</v>
      </c>
      <c r="B349" s="4" t="s">
        <v>1486</v>
      </c>
      <c r="C349" s="4" t="s">
        <v>1487</v>
      </c>
      <c r="D349" s="4" t="s">
        <v>911</v>
      </c>
      <c r="F349" s="4" t="str">
        <f>IFERROR(__xludf.DUMMYFUNCTION("GOOGLETRANSLATE(A349, ""en"", ""hi"")"),"348")</f>
        <v>348</v>
      </c>
      <c r="G349" s="4" t="str">
        <f>IFERROR(__xludf.DUMMYFUNCTION("GOOGLETRANSLATE(B349, ""en"", ""hi"")"),"'फिशर युग' के नाम से प्रसिद्ध अवधि के दौरान विश्व शतरंज चैंपियन कौन था?")</f>
        <v>'फिशर युग' के नाम से प्रसिद्ध अवधि के दौरान विश्व शतरंज चैंपियन कौन था?</v>
      </c>
      <c r="H349" s="4" t="str">
        <f>IFERROR(__xludf.DUMMYFUNCTION("GOOGLETRANSLATE(C349, ""en"", ""hi"")"),"ए) बॉबी फिशर, बी) गैरी कास्परोव, सी) अनातोली कारपोव, डी) व्लादिमीर क्रैमनिक")</f>
        <v>ए) बॉबी फिशर, बी) गैरी कास्परोव, सी) अनातोली कारपोव, डी) व्लादिमीर क्रैमनिक</v>
      </c>
      <c r="I349" s="4" t="str">
        <f>IFERROR(__xludf.DUMMYFUNCTION("GOOGLETRANSLATE(D349, ""en"", ""hi"")"),"A) बॉबी फिशर")</f>
        <v>A) बॉबी फिशर</v>
      </c>
    </row>
    <row r="350" ht="22.5" customHeight="1">
      <c r="A350" s="3">
        <v>349.0</v>
      </c>
      <c r="B350" s="4" t="s">
        <v>1488</v>
      </c>
      <c r="C350" s="4" t="s">
        <v>1441</v>
      </c>
      <c r="D350" s="4" t="s">
        <v>1124</v>
      </c>
      <c r="F350" s="4" t="str">
        <f>IFERROR(__xludf.DUMMYFUNCTION("GOOGLETRANSLATE(A350, ""en"", ""hi"")"),"349")</f>
        <v>349</v>
      </c>
      <c r="G350" s="4" t="str">
        <f>IFERROR(__xludf.DUMMYFUNCTION("GOOGLETRANSLATE(B350, ""en"", ""hi"")"),"कौन सा शतरंज खिलाड़ी 'टू नाइट्स डिफेंस' पर अपने काम के लिए जाना जाता है?")</f>
        <v>कौन सा शतरंज खिलाड़ी 'टू नाइट्स डिफेंस' पर अपने काम के लिए जाना जाता है?</v>
      </c>
      <c r="H350" s="4" t="str">
        <f>IFERROR(__xludf.DUMMYFUNCTION("GOOGLETRANSLATE(C350, ""en"", ""hi"")"),"ए) पॉल मॉर्फी, बी) गैरी कास्परोव, सी) बॉबी फिशर, डी) विक्टर कोरचनोई")</f>
        <v>ए) पॉल मॉर्फी, बी) गैरी कास्परोव, सी) बॉबी फिशर, डी) विक्टर कोरचनोई</v>
      </c>
      <c r="I350" s="4" t="str">
        <f>IFERROR(__xludf.DUMMYFUNCTION("GOOGLETRANSLATE(D350, ""en"", ""hi"")"),"A) पॉल मॉर्फी")</f>
        <v>A) पॉल मॉर्फी</v>
      </c>
    </row>
    <row r="351" ht="22.5" customHeight="1">
      <c r="A351" s="3">
        <v>350.0</v>
      </c>
      <c r="B351" s="4" t="s">
        <v>1489</v>
      </c>
      <c r="C351" s="4" t="s">
        <v>1490</v>
      </c>
      <c r="D351" s="4" t="s">
        <v>908</v>
      </c>
      <c r="F351" s="4" t="str">
        <f>IFERROR(__xludf.DUMMYFUNCTION("GOOGLETRANSLATE(A351, ""en"", ""hi"")"),"350")</f>
        <v>350</v>
      </c>
      <c r="G351" s="4" t="str">
        <f>IFERROR(__xludf.DUMMYFUNCTION("GOOGLETRANSLATE(B351, ""en"", ""hi"")"),"कौन सा शतरंज खिलाड़ी अपनी सामरिक कुशलता के लिए प्रसिद्ध है और 'रीगा का जादूगर' के नाम से जाना जाता है?")</f>
        <v>कौन सा शतरंज खिलाड़ी अपनी सामरिक कुशलता के लिए प्रसिद्ध है और 'रीगा का जादूगर' के नाम से जाना जाता है?</v>
      </c>
      <c r="H351" s="4" t="str">
        <f>IFERROR(__xludf.DUMMYFUNCTION("GOOGLETRANSLATE(C351, ""en"", ""hi"")"),"ए) मिखाइल ताल, बी) गैरी कास्पारोव, सी) विक्टर कोरचनोई, डी) बॉबी फिशर")</f>
        <v>ए) मिखाइल ताल, बी) गैरी कास्पारोव, सी) विक्टर कोरचनोई, डी) बॉबी फिशर</v>
      </c>
      <c r="I351" s="4" t="str">
        <f>IFERROR(__xludf.DUMMYFUNCTION("GOOGLETRANSLATE(D351, ""en"", ""hi"")"),"A) मिखाइल ताल")</f>
        <v>A) मिखाइल ताल</v>
      </c>
    </row>
    <row r="352" ht="22.5" customHeight="1">
      <c r="A352" s="3">
        <v>351.0</v>
      </c>
      <c r="B352" s="4" t="s">
        <v>1491</v>
      </c>
      <c r="C352" s="4" t="s">
        <v>1492</v>
      </c>
      <c r="D352" s="4" t="s">
        <v>1493</v>
      </c>
      <c r="F352" s="4" t="str">
        <f>IFERROR(__xludf.DUMMYFUNCTION("GOOGLETRANSLATE(A352, ""en"", ""hi"")"),"351")</f>
        <v>351</v>
      </c>
      <c r="G352" s="4" t="str">
        <f>IFERROR(__xludf.DUMMYFUNCTION("GOOGLETRANSLATE(B352, ""en"", ""hi"")"),"1.e4 e5 2.Nf3 Nc6 3.Bb5 से शुरू होने वाले ओपनिंग का नाम क्या है?")</f>
        <v>1.e4 e5 2.Nf3 Nc6 3.Bb5 से शुरू होने वाले ओपनिंग का नाम क्या है?</v>
      </c>
      <c r="H352" s="4" t="str">
        <f>IFERROR(__xludf.DUMMYFUNCTION("GOOGLETRANSLATE(C352, ""en"", ""hi"")"),"A) किंग्स गैम्बिट, B) रुय लोपेज़, C) सिसिलियन डिफेंस, D) फ्रेंच डिफेंस")</f>
        <v>A) किंग्स गैम्बिट, B) रुय लोपेज़, C) सिसिलियन डिफेंस, D) फ्रेंच डिफेंस</v>
      </c>
      <c r="I352" s="4" t="str">
        <f>IFERROR(__xludf.DUMMYFUNCTION("GOOGLETRANSLATE(D352, ""en"", ""hi"")"),"बी) रुय लोपेज़")</f>
        <v>बी) रुय लोपेज़</v>
      </c>
    </row>
    <row r="353" ht="22.5" customHeight="1">
      <c r="A353" s="3">
        <v>352.0</v>
      </c>
      <c r="B353" s="4" t="s">
        <v>1494</v>
      </c>
      <c r="C353" s="4" t="s">
        <v>1495</v>
      </c>
      <c r="D353" s="4" t="s">
        <v>911</v>
      </c>
      <c r="F353" s="4" t="str">
        <f>IFERROR(__xludf.DUMMYFUNCTION("GOOGLETRANSLATE(A353, ""en"", ""hi"")"),"352")</f>
        <v>352</v>
      </c>
      <c r="G353" s="4" t="str">
        <f>IFERROR(__xludf.DUMMYFUNCTION("GOOGLETRANSLATE(B353, ""en"", ""hi"")"),"1972 में किस शतरंज खिलाड़ी ने विश्व शतरंज चैंपियनशिप जीती?")</f>
        <v>1972 में किस शतरंज खिलाड़ी ने विश्व शतरंज चैंपियनशिप जीती?</v>
      </c>
      <c r="H353" s="4" t="str">
        <f>IFERROR(__xludf.DUMMYFUNCTION("GOOGLETRANSLATE(C353, ""en"", ""hi"")"),"ए) बॉबी फिशर, बी) अनातोली कार्पोव, सी) गैरी कास्परोव, डी) व्लादिमीर क्रैमनिक")</f>
        <v>ए) बॉबी फिशर, बी) अनातोली कार्पोव, सी) गैरी कास्परोव, डी) व्लादिमीर क्रैमनिक</v>
      </c>
      <c r="I353" s="4" t="str">
        <f>IFERROR(__xludf.DUMMYFUNCTION("GOOGLETRANSLATE(D353, ""en"", ""hi"")"),"A) बॉबी फिशर")</f>
        <v>A) बॉबी फिशर</v>
      </c>
    </row>
    <row r="354" ht="22.5" customHeight="1">
      <c r="A354" s="3">
        <v>353.0</v>
      </c>
      <c r="B354" s="4" t="s">
        <v>1496</v>
      </c>
      <c r="C354" s="4" t="s">
        <v>1497</v>
      </c>
      <c r="D354" s="4" t="s">
        <v>977</v>
      </c>
      <c r="F354" s="4" t="str">
        <f>IFERROR(__xludf.DUMMYFUNCTION("GOOGLETRANSLATE(A354, ""en"", ""hi"")"),"353")</f>
        <v>353</v>
      </c>
      <c r="G354" s="4" t="str">
        <f>IFERROR(__xludf.DUMMYFUNCTION("GOOGLETRANSLATE(B354, ""en"", ""hi"")"),"1960 से 1969 तक विश्व शतरंज चैंपियन कौन था?")</f>
        <v>1960 से 1969 तक विश्व शतरंज चैंपियन कौन था?</v>
      </c>
      <c r="H354" s="4" t="str">
        <f>IFERROR(__xludf.DUMMYFUNCTION("GOOGLETRANSLATE(C354, ""en"", ""hi"")"),"ए) अनातोली कारपोव, बी) गैरी कास्परोव, सी) मिखाइल बोट्वनिक, डी) जोस राउल कैपबेलैंका")</f>
        <v>ए) अनातोली कारपोव, बी) गैरी कास्परोव, सी) मिखाइल बोट्वनिक, डी) जोस राउल कैपबेलैंका</v>
      </c>
      <c r="I354" s="4" t="str">
        <f>IFERROR(__xludf.DUMMYFUNCTION("GOOGLETRANSLATE(D354, ""en"", ""hi"")"),"C) मिखाइल बोट्विननिक")</f>
        <v>C) मिखाइल बोट्विननिक</v>
      </c>
    </row>
    <row r="355" ht="22.5" customHeight="1">
      <c r="A355" s="3">
        <v>354.0</v>
      </c>
      <c r="B355" s="4" t="s">
        <v>1498</v>
      </c>
      <c r="C355" s="4" t="s">
        <v>1499</v>
      </c>
      <c r="D355" s="4" t="s">
        <v>1354</v>
      </c>
      <c r="F355" s="4" t="str">
        <f>IFERROR(__xludf.DUMMYFUNCTION("GOOGLETRANSLATE(A355, ""en"", ""hi"")"),"354")</f>
        <v>354</v>
      </c>
      <c r="G355" s="4" t="str">
        <f>IFERROR(__xludf.DUMMYFUNCTION("GOOGLETRANSLATE(B355, ""en"", ""hi"")"),"कौन सा शतरंज खिलाड़ी शतरंज के प्रति अपने 'अतिआधुनिक' दृष्टिकोण के लिए जाना जाता था?")</f>
        <v>कौन सा शतरंज खिलाड़ी शतरंज के प्रति अपने 'अतिआधुनिक' दृष्टिकोण के लिए जाना जाता था?</v>
      </c>
      <c r="H355" s="4" t="str">
        <f>IFERROR(__xludf.DUMMYFUNCTION("GOOGLETRANSLATE(C355, ""en"", ""hi"")"),"ए) एरोन निमज़ोवित्च, बी) गैरी कास्परोव, सी) पॉल केरेस, डी) बॉबी फिशर")</f>
        <v>ए) एरोन निमज़ोवित्च, बी) गैरी कास्परोव, सी) पॉल केरेस, डी) बॉबी फिशर</v>
      </c>
      <c r="I355" s="4" t="str">
        <f>IFERROR(__xludf.DUMMYFUNCTION("GOOGLETRANSLATE(D355, ""en"", ""hi"")"),"A) एरॉन निमज़ोवित्च")</f>
        <v>A) एरॉन निमज़ोवित्च</v>
      </c>
    </row>
    <row r="356" ht="22.5" customHeight="1">
      <c r="A356" s="3">
        <v>355.0</v>
      </c>
      <c r="B356" s="4" t="s">
        <v>1500</v>
      </c>
      <c r="C356" s="4" t="s">
        <v>1501</v>
      </c>
      <c r="D356" s="4" t="s">
        <v>980</v>
      </c>
      <c r="F356" s="4" t="str">
        <f>IFERROR(__xludf.DUMMYFUNCTION("GOOGLETRANSLATE(A356, ""en"", ""hi"")"),"355")</f>
        <v>355</v>
      </c>
      <c r="G356" s="4" t="str">
        <f>IFERROR(__xludf.DUMMYFUNCTION("GOOGLETRANSLATE(B356, ""en"", ""hi"")"),"किस शतरंज खिलाड़ी का उपनाम 'द ओल्ड लायन' था?")</f>
        <v>किस शतरंज खिलाड़ी का उपनाम 'द ओल्ड लायन' था?</v>
      </c>
      <c r="H356" s="4" t="str">
        <f>IFERROR(__xludf.DUMMYFUNCTION("GOOGLETRANSLATE(C356, ""en"", ""hi"")"),"ए) इमानुएल लास्कर, बी) विल्हेम स्टीनित्ज़, सी) जोस राउल कैपब्लांका, डी) अलेक्जेंडर अलेखिन")</f>
        <v>ए) इमानुएल लास्कर, बी) विल्हेम स्टीनित्ज़, सी) जोस राउल कैपब्लांका, डी) अलेक्जेंडर अलेखिन</v>
      </c>
      <c r="I356" s="4" t="str">
        <f>IFERROR(__xludf.DUMMYFUNCTION("GOOGLETRANSLATE(D356, ""en"", ""hi"")"),"A) इमानुएल लास्कर")</f>
        <v>A) इमानुएल लास्कर</v>
      </c>
    </row>
    <row r="357" ht="22.5" customHeight="1">
      <c r="A357" s="3">
        <v>356.0</v>
      </c>
      <c r="B357" s="4" t="s">
        <v>1502</v>
      </c>
      <c r="C357" s="4" t="s">
        <v>1452</v>
      </c>
      <c r="D357" s="4" t="s">
        <v>1453</v>
      </c>
      <c r="F357" s="4" t="str">
        <f>IFERROR(__xludf.DUMMYFUNCTION("GOOGLETRANSLATE(A357, ""en"", ""hi"")"),"356")</f>
        <v>356</v>
      </c>
      <c r="G357" s="4" t="str">
        <f>IFERROR(__xludf.DUMMYFUNCTION("GOOGLETRANSLATE(B357, ""en"", ""hi"")"),"कौन सा शतरंज खिलाड़ी सिसिलियन डिफेंस के 'स्वेशनिकोव वेरिएशन' के लिए जाना जाता है?")</f>
        <v>कौन सा शतरंज खिलाड़ी सिसिलियन डिफेंस के 'स्वेशनिकोव वेरिएशन' के लिए जाना जाता है?</v>
      </c>
      <c r="H357" s="4" t="str">
        <f>IFERROR(__xludf.DUMMYFUNCTION("GOOGLETRANSLATE(C357, ""en"", ""hi"")"),"ए) अलेक्जेंडर स्वेशनिकोव, बी) गैरी कास्पारोव, सी) विक्टर कोरचनोई, डी) पॉल केरेस")</f>
        <v>ए) अलेक्जेंडर स्वेशनिकोव, बी) गैरी कास्पारोव, सी) विक्टर कोरचनोई, डी) पॉल केरेस</v>
      </c>
      <c r="I357" s="4" t="str">
        <f>IFERROR(__xludf.DUMMYFUNCTION("GOOGLETRANSLATE(D357, ""en"", ""hi"")"),"A) अलेक्जेंडर स्वेशनिकोव")</f>
        <v>A) अलेक्जेंडर स्वेशनिकोव</v>
      </c>
    </row>
    <row r="358" ht="22.5" customHeight="1">
      <c r="A358" s="3">
        <v>357.0</v>
      </c>
      <c r="B358" s="4" t="s">
        <v>1503</v>
      </c>
      <c r="C358" s="4" t="s">
        <v>1504</v>
      </c>
      <c r="D358" s="4" t="s">
        <v>1505</v>
      </c>
      <c r="F358" s="4" t="str">
        <f>IFERROR(__xludf.DUMMYFUNCTION("GOOGLETRANSLATE(A358, ""en"", ""hi"")"),"357")</f>
        <v>357</v>
      </c>
      <c r="G358" s="4" t="str">
        <f>IFERROR(__xludf.DUMMYFUNCTION("GOOGLETRANSLATE(B358, ""en"", ""hi"")"),"कौन सा शतरंज ओपनिंग एक जर्मन खिलाड़ी के नाम पर रखा गया है और 1.e4 e5 2.Nf3 Nc6 3.Bb5 a6 से शुरू होता है?")</f>
        <v>कौन सा शतरंज ओपनिंग एक जर्मन खिलाड़ी के नाम पर रखा गया है और 1.e4 e5 2.Nf3 Nc6 3.Bb5 a6 से शुरू होता है?</v>
      </c>
      <c r="H358" s="4" t="str">
        <f>IFERROR(__xludf.DUMMYFUNCTION("GOOGLETRANSLATE(C358, ""en"", ""hi"")"),"ए) रुय लोपेज़, बी) किंग्स इंडियन डिफेंस, सी) फ्रेंच डिफेंस, डी) निम्ज़ो-इंडियन डिफेंस")</f>
        <v>ए) रुय लोपेज़, बी) किंग्स इंडियन डिफेंस, सी) फ्रेंच डिफेंस, डी) निम्ज़ो-इंडियन डिफेंस</v>
      </c>
      <c r="I358" s="4" t="str">
        <f>IFERROR(__xludf.DUMMYFUNCTION("GOOGLETRANSLATE(D358, ""en"", ""hi"")"),"A) रुय लोपेज़")</f>
        <v>A) रुय लोपेज़</v>
      </c>
    </row>
    <row r="359" ht="22.5" customHeight="1">
      <c r="A359" s="3">
        <v>358.0</v>
      </c>
      <c r="B359" s="4" t="s">
        <v>1506</v>
      </c>
      <c r="C359" s="4" t="s">
        <v>1507</v>
      </c>
      <c r="D359" s="4" t="s">
        <v>943</v>
      </c>
      <c r="F359" s="4" t="str">
        <f>IFERROR(__xludf.DUMMYFUNCTION("GOOGLETRANSLATE(A359, ""en"", ""hi"")"),"358")</f>
        <v>358</v>
      </c>
      <c r="G359" s="4" t="str">
        <f>IFERROR(__xludf.DUMMYFUNCTION("GOOGLETRANSLATE(B359, ""en"", ""hi"")"),"कौन सा शतरंज खिलाड़ी अपनी पुस्तक 'माई ग्रेट प्रीडेसर्स' के लिए प्रसिद्ध है?")</f>
        <v>कौन सा शतरंज खिलाड़ी अपनी पुस्तक 'माई ग्रेट प्रीडेसर्स' के लिए प्रसिद्ध है?</v>
      </c>
      <c r="H359" s="4" t="str">
        <f>IFERROR(__xludf.DUMMYFUNCTION("GOOGLETRANSLATE(C359, ""en"", ""hi"")"),"ए) गैरी कास्पारोव, बी) बॉबी फिशर, सी) व्लादिमीर क्रैमनिक, डी) अनातोली कारपोव")</f>
        <v>ए) गैरी कास्पारोव, बी) बॉबी फिशर, सी) व्लादिमीर क्रैमनिक, डी) अनातोली कारपोव</v>
      </c>
      <c r="I359" s="4" t="str">
        <f>IFERROR(__xludf.DUMMYFUNCTION("GOOGLETRANSLATE(D359, ""en"", ""hi"")"),"A) गैरी कास्पारोव")</f>
        <v>A) गैरी कास्पारोव</v>
      </c>
    </row>
    <row r="360" ht="22.5" customHeight="1">
      <c r="A360" s="3">
        <v>359.0</v>
      </c>
      <c r="B360" s="4" t="s">
        <v>1508</v>
      </c>
      <c r="C360" s="4" t="s">
        <v>1509</v>
      </c>
      <c r="D360" s="4" t="s">
        <v>985</v>
      </c>
      <c r="F360" s="4" t="str">
        <f>IFERROR(__xludf.DUMMYFUNCTION("GOOGLETRANSLATE(A360, ""en"", ""hi"")"),"359")</f>
        <v>359</v>
      </c>
      <c r="G360" s="4" t="str">
        <f>IFERROR(__xludf.DUMMYFUNCTION("GOOGLETRANSLATE(B360, ""en"", ""hi"")"),"कौन सा शतरंज खिलाड़ी अंतिम खेलों के अपने गहन ज्ञान के लिए जाना जाता है और उसे सबसे महान अंतिम खेल सिद्धांतकारों में से एक माना जाता है?")</f>
        <v>कौन सा शतरंज खिलाड़ी अंतिम खेलों के अपने गहन ज्ञान के लिए जाना जाता है और उसे सबसे महान अंतिम खेल सिद्धांतकारों में से एक माना जाता है?</v>
      </c>
      <c r="H360" s="4" t="str">
        <f>IFERROR(__xludf.DUMMYFUNCTION("GOOGLETRANSLATE(C360, ""en"", ""hi"")"),"ए) मिखाइल बोट्वनिक, बी) गैरी कास्परोव, सी) पॉल केरेस, डी) इमानुएल लास्कर")</f>
        <v>ए) मिखाइल बोट्वनिक, बी) गैरी कास्परोव, सी) पॉल केरेस, डी) इमानुएल लास्कर</v>
      </c>
      <c r="I360" s="4" t="str">
        <f>IFERROR(__xludf.DUMMYFUNCTION("GOOGLETRANSLATE(D360, ""en"", ""hi"")"),"A) मिखाइल बोट्विननिक")</f>
        <v>A) मिखाइल बोट्विननिक</v>
      </c>
    </row>
    <row r="361" ht="22.5" customHeight="1">
      <c r="A361" s="3">
        <v>360.0</v>
      </c>
      <c r="B361" s="4" t="s">
        <v>1510</v>
      </c>
      <c r="C361" s="4" t="s">
        <v>1511</v>
      </c>
      <c r="D361" s="4" t="s">
        <v>1512</v>
      </c>
      <c r="F361" s="4" t="str">
        <f>IFERROR(__xludf.DUMMYFUNCTION("GOOGLETRANSLATE(A361, ""en"", ""hi"")"),"360")</f>
        <v>360</v>
      </c>
      <c r="G361" s="4" t="str">
        <f>IFERROR(__xludf.DUMMYFUNCTION("GOOGLETRANSLATE(B361, ""en"", ""hi"")"),"कौन सा शतरंज टूर्नामेंट अपने प्रतिष्ठित इतिहास के लिए प्रसिद्ध है और विज्क आन ज़ी में प्रतिवर्ष आयोजित किया जाता है?")</f>
        <v>कौन सा शतरंज टूर्नामेंट अपने प्रतिष्ठित इतिहास के लिए प्रसिद्ध है और विज्क आन ज़ी में प्रतिवर्ष आयोजित किया जाता है?</v>
      </c>
      <c r="H361" s="4" t="str">
        <f>IFERROR(__xludf.DUMMYFUNCTION("GOOGLETRANSLATE(C361, ""en"", ""hi"")"),"A) टाटा स्टील टूर्नामेंट, B) सिंकफील्ड कप, C) कैंडिडेट्स टूर्नामेंट, D) लंदन शतरंज क्लासिक")</f>
        <v>A) टाटा स्टील टूर्नामेंट, B) सिंकफील्ड कप, C) कैंडिडेट्स टूर्नामेंट, D) लंदन शतरंज क्लासिक</v>
      </c>
      <c r="I361" s="4" t="str">
        <f>IFERROR(__xludf.DUMMYFUNCTION("GOOGLETRANSLATE(D361, ""en"", ""hi"")"),"ए) टाटा स्टील टूर्नामेंट")</f>
        <v>ए) टाटा स्टील टूर्नामेंट</v>
      </c>
    </row>
    <row r="362" ht="22.5" customHeight="1">
      <c r="A362" s="3">
        <v>361.0</v>
      </c>
      <c r="B362" s="4" t="s">
        <v>1513</v>
      </c>
      <c r="C362" s="4" t="s">
        <v>1514</v>
      </c>
      <c r="D362" s="4" t="s">
        <v>911</v>
      </c>
      <c r="F362" s="4" t="str">
        <f>IFERROR(__xludf.DUMMYFUNCTION("GOOGLETRANSLATE(A362, ""en"", ""hi"")"),"361")</f>
        <v>361</v>
      </c>
      <c r="G362" s="4" t="str">
        <f>IFERROR(__xludf.DUMMYFUNCTION("GOOGLETRANSLATE(B362, ""en"", ""hi"")"),"'फिशर रैंडम शतरंज' संस्करण का श्रेय किस शतरंज खिलाड़ी को दिया जाता है?")</f>
        <v>'फिशर रैंडम शतरंज' संस्करण का श्रेय किस शतरंज खिलाड़ी को दिया जाता है?</v>
      </c>
      <c r="H362" s="4" t="str">
        <f>IFERROR(__xludf.DUMMYFUNCTION("GOOGLETRANSLATE(C362, ""en"", ""hi"")"),"ए) बॉबी फिशर, बी) गैरी कास्परोव, सी) मैग्नस कार्लसन, डी) व्लादिमीर क्रैमनिक")</f>
        <v>ए) बॉबी फिशर, बी) गैरी कास्परोव, सी) मैग्नस कार्लसन, डी) व्लादिमीर क्रैमनिक</v>
      </c>
      <c r="I362" s="4" t="str">
        <f>IFERROR(__xludf.DUMMYFUNCTION("GOOGLETRANSLATE(D362, ""en"", ""hi"")"),"A) बॉबी फिशर")</f>
        <v>A) बॉबी फिशर</v>
      </c>
    </row>
    <row r="363" ht="22.5" customHeight="1">
      <c r="A363" s="3">
        <v>362.0</v>
      </c>
      <c r="B363" s="4" t="s">
        <v>1515</v>
      </c>
      <c r="C363" s="4" t="s">
        <v>1516</v>
      </c>
      <c r="D363" s="4" t="s">
        <v>943</v>
      </c>
      <c r="F363" s="4" t="str">
        <f>IFERROR(__xludf.DUMMYFUNCTION("GOOGLETRANSLATE(A363, ""en"", ""hi"")"),"362")</f>
        <v>362</v>
      </c>
      <c r="G363" s="4" t="str">
        <f>IFERROR(__xludf.DUMMYFUNCTION("GOOGLETRANSLATE(B363, ""en"", ""hi"")"),"कौन सा शतरंज खिलाड़ी 2800 की रेटिंग हासिल करने वाला पहला खिलाड़ी था?")</f>
        <v>कौन सा शतरंज खिलाड़ी 2800 की रेटिंग हासिल करने वाला पहला खिलाड़ी था?</v>
      </c>
      <c r="H363" s="4" t="str">
        <f>IFERROR(__xludf.DUMMYFUNCTION("GOOGLETRANSLATE(C363, ""en"", ""hi"")"),"ए) गैरी कास्पारोव, बी) मैग्नस कार्लसन, सी) व्लादिमीर क्रैमनिक, डी) अनातोली कारपोव")</f>
        <v>ए) गैरी कास्पारोव, बी) मैग्नस कार्लसन, सी) व्लादिमीर क्रैमनिक, डी) अनातोली कारपोव</v>
      </c>
      <c r="I363" s="4" t="str">
        <f>IFERROR(__xludf.DUMMYFUNCTION("GOOGLETRANSLATE(D363, ""en"", ""hi"")"),"A) गैरी कास्पारोव")</f>
        <v>A) गैरी कास्पारोव</v>
      </c>
    </row>
    <row r="364" ht="22.5" customHeight="1">
      <c r="A364" s="3">
        <v>363.0</v>
      </c>
      <c r="B364" s="4" t="s">
        <v>1517</v>
      </c>
      <c r="C364" s="4" t="s">
        <v>1380</v>
      </c>
      <c r="D364" s="4" t="s">
        <v>1338</v>
      </c>
      <c r="F364" s="4" t="str">
        <f>IFERROR(__xludf.DUMMYFUNCTION("GOOGLETRANSLATE(A364, ""en"", ""hi"")"),"363")</f>
        <v>363</v>
      </c>
      <c r="G364" s="4" t="str">
        <f>IFERROR(__xludf.DUMMYFUNCTION("GOOGLETRANSLATE(B364, ""en"", ""hi"")"),"कौन सा शतरंज खिलाड़ी किंग्स इंडियन डिफेंस के अपने अभूतपूर्व विश्लेषण के लिए जाना जाता था?")</f>
        <v>कौन सा शतरंज खिलाड़ी किंग्स इंडियन डिफेंस के अपने अभूतपूर्व विश्लेषण के लिए जाना जाता था?</v>
      </c>
      <c r="H364" s="4" t="str">
        <f>IFERROR(__xludf.DUMMYFUNCTION("GOOGLETRANSLATE(C364, ""en"", ""hi"")"),"ए) गैरी कास्पारोव, बी) विक्टर कोरचनोई, सी) बॉबी फिशर, डी) पॉल केरेस")</f>
        <v>ए) गैरी कास्पारोव, बी) विक्टर कोरचनोई, सी) बॉबी फिशर, डी) पॉल केरेस</v>
      </c>
      <c r="I364" s="4" t="str">
        <f>IFERROR(__xludf.DUMMYFUNCTION("GOOGLETRANSLATE(D364, ""en"", ""hi"")"),"बी) विक्टर कोर्चनोई")</f>
        <v>बी) विक्टर कोर्चनोई</v>
      </c>
    </row>
    <row r="365" ht="22.5" customHeight="1">
      <c r="A365" s="3">
        <v>364.0</v>
      </c>
      <c r="B365" s="4" t="s">
        <v>1518</v>
      </c>
      <c r="C365" s="4" t="s">
        <v>1519</v>
      </c>
      <c r="D365" s="4" t="s">
        <v>967</v>
      </c>
      <c r="F365" s="4" t="str">
        <f>IFERROR(__xludf.DUMMYFUNCTION("GOOGLETRANSLATE(A365, ""en"", ""hi"")"),"364")</f>
        <v>364</v>
      </c>
      <c r="G365" s="4" t="str">
        <f>IFERROR(__xludf.DUMMYFUNCTION("GOOGLETRANSLATE(B365, ""en"", ""hi"")"),"कौन सा शतरंज खिलाड़ी क्वीन्स गैम्बिट डिक्लाइन्ड के 'कैपब्लैंका वेरिएशन' के लिए जाना जाता है?")</f>
        <v>कौन सा शतरंज खिलाड़ी क्वीन्स गैम्बिट डिक्लाइन्ड के 'कैपब्लैंका वेरिएशन' के लिए जाना जाता है?</v>
      </c>
      <c r="H365" s="4" t="str">
        <f>IFERROR(__xludf.DUMMYFUNCTION("GOOGLETRANSLATE(C365, ""en"", ""hi"")"),"ए) जोस राउल कैपब्लांका, बी) गैरी कास्पारोव, सी) बॉबी फिशर, डी) व्लादिमीर क्रैमनिक")</f>
        <v>ए) जोस राउल कैपब्लांका, बी) गैरी कास्पारोव, सी) बॉबी फिशर, डी) व्लादिमीर क्रैमनिक</v>
      </c>
      <c r="I365" s="4" t="str">
        <f>IFERROR(__xludf.DUMMYFUNCTION("GOOGLETRANSLATE(D365, ""en"", ""hi"")"),"A) जोस राउल कैपब्लैंका")</f>
        <v>A) जोस राउल कैपब्लैंका</v>
      </c>
    </row>
    <row r="366" ht="22.5" customHeight="1">
      <c r="A366" s="3">
        <v>365.0</v>
      </c>
      <c r="B366" s="4" t="s">
        <v>1520</v>
      </c>
      <c r="C366" s="4" t="s">
        <v>1521</v>
      </c>
      <c r="D366" s="4" t="s">
        <v>985</v>
      </c>
      <c r="F366" s="4" t="str">
        <f>IFERROR(__xludf.DUMMYFUNCTION("GOOGLETRANSLATE(A366, ""en"", ""hi"")"),"365")</f>
        <v>365</v>
      </c>
      <c r="G366" s="4" t="str">
        <f>IFERROR(__xludf.DUMMYFUNCTION("GOOGLETRANSLATE(B366, ""en"", ""hi"")"),"1948 में विश्व शतरंज चैंपियन कौन था?")</f>
        <v>1948 में विश्व शतरंज चैंपियन कौन था?</v>
      </c>
      <c r="H366" s="4" t="str">
        <f>IFERROR(__xludf.DUMMYFUNCTION("GOOGLETRANSLATE(C366, ""en"", ""hi"")"),"ए) मिखाइल बोट्वनिक, बी) जोस राउल कैपब्लांका, सी) अलेक्जेंडर अलेखिन, डी) इमानुएल लास्कर")</f>
        <v>ए) मिखाइल बोट्वनिक, बी) जोस राउल कैपब्लांका, सी) अलेक्जेंडर अलेखिन, डी) इमानुएल लास्कर</v>
      </c>
      <c r="I366" s="4" t="str">
        <f>IFERROR(__xludf.DUMMYFUNCTION("GOOGLETRANSLATE(D366, ""en"", ""hi"")"),"A) मिखाइल बोट्विननिक")</f>
        <v>A) मिखाइल बोट्विननिक</v>
      </c>
    </row>
    <row r="367" ht="22.5" customHeight="1">
      <c r="A367" s="3">
        <v>366.0</v>
      </c>
      <c r="B367" s="4" t="s">
        <v>1522</v>
      </c>
      <c r="C367" s="4" t="s">
        <v>1523</v>
      </c>
      <c r="D367" s="4" t="s">
        <v>1447</v>
      </c>
      <c r="F367" s="4" t="str">
        <f>IFERROR(__xludf.DUMMYFUNCTION("GOOGLETRANSLATE(A367, ""en"", ""hi"")"),"366")</f>
        <v>366</v>
      </c>
      <c r="G367" s="4" t="str">
        <f>IFERROR(__xludf.DUMMYFUNCTION("GOOGLETRANSLATE(B367, ""en"", ""hi"")"),"कौन सा शतरंज खिलाड़ी 'क्वींस गैम्बिट एक्सेप्टेड' में अपने योगदान के लिए जाना जाता है?")</f>
        <v>कौन सा शतरंज खिलाड़ी 'क्वींस गैम्बिट एक्सेप्टेड' में अपने योगदान के लिए जाना जाता है?</v>
      </c>
      <c r="H367" s="4" t="str">
        <f>IFERROR(__xludf.DUMMYFUNCTION("GOOGLETRANSLATE(C367, ""en"", ""hi"")"),"ए) गैरी कास्पारोव, बी) पॉल केरेस, सी) विक्टर कोरचनोई, डी) बेंजामिन ब्लुमेनफेल्ड")</f>
        <v>ए) गैरी कास्पारोव, बी) पॉल केरेस, सी) विक्टर कोरचनोई, डी) बेंजामिन ब्लुमेनफेल्ड</v>
      </c>
      <c r="I367" s="4" t="str">
        <f>IFERROR(__xludf.DUMMYFUNCTION("GOOGLETRANSLATE(D367, ""en"", ""hi"")"),"D) बेंजामिन ब्लूमेनफेल्ड")</f>
        <v>D) बेंजामिन ब्लूमेनफेल्ड</v>
      </c>
    </row>
    <row r="368" ht="22.5" customHeight="1">
      <c r="A368" s="3">
        <v>367.0</v>
      </c>
      <c r="B368" s="4" t="s">
        <v>1524</v>
      </c>
      <c r="C368" s="4" t="s">
        <v>1441</v>
      </c>
      <c r="D368" s="4" t="s">
        <v>1124</v>
      </c>
      <c r="F368" s="4" t="str">
        <f>IFERROR(__xludf.DUMMYFUNCTION("GOOGLETRANSLATE(A368, ""en"", ""hi"")"),"367")</f>
        <v>367</v>
      </c>
      <c r="G368" s="4" t="str">
        <f>IFERROR(__xludf.DUMMYFUNCTION("GOOGLETRANSLATE(B368, ""en"", ""hi"")"),"कौन सा शतरंज खिलाड़ी एक साथ प्रदर्शनियों में अपनी उपलब्धियों के लिए जाना जाता है?")</f>
        <v>कौन सा शतरंज खिलाड़ी एक साथ प्रदर्शनियों में अपनी उपलब्धियों के लिए जाना जाता है?</v>
      </c>
      <c r="H368" s="4" t="str">
        <f>IFERROR(__xludf.DUMMYFUNCTION("GOOGLETRANSLATE(C368, ""en"", ""hi"")"),"ए) पॉल मॉर्फी, बी) गैरी कास्परोव, सी) बॉबी फिशर, डी) विक्टर कोरचनोई")</f>
        <v>ए) पॉल मॉर्फी, बी) गैरी कास्परोव, सी) बॉबी फिशर, डी) विक्टर कोरचनोई</v>
      </c>
      <c r="I368" s="4" t="str">
        <f>IFERROR(__xludf.DUMMYFUNCTION("GOOGLETRANSLATE(D368, ""en"", ""hi"")"),"A) पॉल मॉर्फी")</f>
        <v>A) पॉल मॉर्फी</v>
      </c>
    </row>
    <row r="369" ht="22.5" customHeight="1">
      <c r="A369" s="3">
        <v>368.0</v>
      </c>
      <c r="B369" s="4" t="s">
        <v>1525</v>
      </c>
      <c r="C369" s="4" t="s">
        <v>1526</v>
      </c>
      <c r="D369" s="4" t="s">
        <v>1527</v>
      </c>
      <c r="F369" s="4" t="str">
        <f>IFERROR(__xludf.DUMMYFUNCTION("GOOGLETRANSLATE(A369, ""en"", ""hi"")"),"368")</f>
        <v>368</v>
      </c>
      <c r="G369" s="4" t="str">
        <f>IFERROR(__xludf.DUMMYFUNCTION("GOOGLETRANSLATE(B369, ""en"", ""hi"")"),"कौन सा शतरंज खिलाड़ी अपने शुरुआती सिद्धांतों के लिए प्रसिद्ध था और 'शतरंज का डीन' के रूप में जाना जाता था?")</f>
        <v>कौन सा शतरंज खिलाड़ी अपने शुरुआती सिद्धांतों के लिए प्रसिद्ध था और 'शतरंज का डीन' के रूप में जाना जाता था?</v>
      </c>
      <c r="H369" s="4" t="str">
        <f>IFERROR(__xludf.DUMMYFUNCTION("GOOGLETRANSLATE(C369, ""en"", ""hi"")"),"ए) इमानुएल लास्कर, बी) गैरी कास्पारोव, सी) पॉल केरेस, डी) विल्हेम स्टीनित्ज़")</f>
        <v>ए) इमानुएल लास्कर, बी) गैरी कास्पारोव, सी) पॉल केरेस, डी) विल्हेम स्टीनित्ज़</v>
      </c>
      <c r="I369" s="4" t="str">
        <f>IFERROR(__xludf.DUMMYFUNCTION("GOOGLETRANSLATE(D369, ""en"", ""hi"")"),"D) विल्हेम स्टाइनिट्ज़")</f>
        <v>D) विल्हेम स्टाइनिट्ज़</v>
      </c>
    </row>
    <row r="370" ht="22.5" customHeight="1">
      <c r="A370" s="3">
        <v>369.0</v>
      </c>
      <c r="B370" s="4" t="s">
        <v>1528</v>
      </c>
      <c r="C370" s="4" t="s">
        <v>1529</v>
      </c>
      <c r="D370" s="4" t="s">
        <v>1530</v>
      </c>
      <c r="F370" s="4" t="str">
        <f>IFERROR(__xludf.DUMMYFUNCTION("GOOGLETRANSLATE(A370, ""en"", ""hi"")"),"369")</f>
        <v>369</v>
      </c>
      <c r="G370" s="4" t="str">
        <f>IFERROR(__xludf.DUMMYFUNCTION("GOOGLETRANSLATE(B370, ""en"", ""hi"")"),"कौन सा शतरंज खिलाड़ी 'डच डिफेंस' में अपने योगदान के लिए प्रसिद्ध है?")</f>
        <v>कौन सा शतरंज खिलाड़ी 'डच डिफेंस' में अपने योगदान के लिए प्रसिद्ध है?</v>
      </c>
      <c r="H370" s="4" t="str">
        <f>IFERROR(__xludf.DUMMYFUNCTION("GOOGLETRANSLATE(C370, ""en"", ""hi"")"),"ए) लोडविज्क प्रिन्स, बी) गैरी कास्पारोव, सी) विक्टर कोरचनोई, डी) बॉबी फिशर")</f>
        <v>ए) लोडविज्क प्रिन्स, बी) गैरी कास्पारोव, सी) विक्टर कोरचनोई, डी) बॉबी फिशर</v>
      </c>
      <c r="I370" s="4" t="str">
        <f>IFERROR(__xludf.DUMMYFUNCTION("GOOGLETRANSLATE(D370, ""en"", ""hi"")"),"A) लोडेविज्क प्रिंस")</f>
        <v>A) लोडेविज्क प्रिंस</v>
      </c>
    </row>
    <row r="371" ht="22.5" customHeight="1">
      <c r="A371" s="3">
        <v>370.0</v>
      </c>
      <c r="B371" s="4" t="s">
        <v>1531</v>
      </c>
      <c r="C371" s="4" t="s">
        <v>1380</v>
      </c>
      <c r="D371" s="4" t="s">
        <v>1338</v>
      </c>
      <c r="F371" s="4" t="str">
        <f>IFERROR(__xludf.DUMMYFUNCTION("GOOGLETRANSLATE(A371, ""en"", ""hi"")"),"370")</f>
        <v>370</v>
      </c>
      <c r="G371" s="4" t="str">
        <f>IFERROR(__xludf.DUMMYFUNCTION("GOOGLETRANSLATE(B371, ""en"", ""hi"")"),"किंग्स इंडियन डिफेंस में 'Be7 वेरिएशन' से कौन सा शतरंज खिलाड़ी जुड़ा हुआ है?")</f>
        <v>किंग्स इंडियन डिफेंस में 'Be7 वेरिएशन' से कौन सा शतरंज खिलाड़ी जुड़ा हुआ है?</v>
      </c>
      <c r="H371" s="4" t="str">
        <f>IFERROR(__xludf.DUMMYFUNCTION("GOOGLETRANSLATE(C371, ""en"", ""hi"")"),"ए) गैरी कास्पारोव, बी) विक्टर कोरचनोई, सी) बॉबी फिशर, डी) पॉल केरेस")</f>
        <v>ए) गैरी कास्पारोव, बी) विक्टर कोरचनोई, सी) बॉबी फिशर, डी) पॉल केरेस</v>
      </c>
      <c r="I371" s="4" t="str">
        <f>IFERROR(__xludf.DUMMYFUNCTION("GOOGLETRANSLATE(D371, ""en"", ""hi"")"),"बी) विक्टर कोर्चनोई")</f>
        <v>बी) विक्टर कोर्चनोई</v>
      </c>
    </row>
    <row r="372" ht="22.5" customHeight="1">
      <c r="A372" s="3">
        <v>371.0</v>
      </c>
      <c r="B372" s="4" t="s">
        <v>1532</v>
      </c>
      <c r="C372" s="4" t="s">
        <v>1533</v>
      </c>
      <c r="D372" s="4" t="s">
        <v>967</v>
      </c>
      <c r="F372" s="4" t="str">
        <f>IFERROR(__xludf.DUMMYFUNCTION("GOOGLETRANSLATE(A372, ""en"", ""hi"")"),"371")</f>
        <v>371</v>
      </c>
      <c r="G372" s="4" t="str">
        <f>IFERROR(__xludf.DUMMYFUNCTION("GOOGLETRANSLATE(B372, ""en"", ""hi"")"),"1927 में विश्व शतरंज चैंपियन कौन था?")</f>
        <v>1927 में विश्व शतरंज चैंपियन कौन था?</v>
      </c>
      <c r="H372" s="4" t="str">
        <f>IFERROR(__xludf.DUMMYFUNCTION("GOOGLETRANSLATE(C372, ""en"", ""hi"")"),"ए) जोस राउल कैपब्लांका, बी) अलेक्जेंडर अलेखिन, सी) इमानुएल लास्कर, डी) मिखाइल बोट्वनिक")</f>
        <v>ए) जोस राउल कैपब्लांका, बी) अलेक्जेंडर अलेखिन, सी) इमानुएल लास्कर, डी) मिखाइल बोट्वनिक</v>
      </c>
      <c r="I372" s="4" t="str">
        <f>IFERROR(__xludf.DUMMYFUNCTION("GOOGLETRANSLATE(D372, ""en"", ""hi"")"),"A) जोस राउल कैपब्लैंका")</f>
        <v>A) जोस राउल कैपब्लैंका</v>
      </c>
    </row>
    <row r="373" ht="22.5" customHeight="1">
      <c r="A373" s="3">
        <v>372.0</v>
      </c>
      <c r="B373" s="4" t="s">
        <v>1534</v>
      </c>
      <c r="C373" s="4" t="s">
        <v>1535</v>
      </c>
      <c r="D373" s="4" t="s">
        <v>1536</v>
      </c>
      <c r="F373" s="4" t="str">
        <f>IFERROR(__xludf.DUMMYFUNCTION("GOOGLETRANSLATE(A373, ""en"", ""hi"")"),"372")</f>
        <v>372</v>
      </c>
      <c r="G373" s="4" t="str">
        <f>IFERROR(__xludf.DUMMYFUNCTION("GOOGLETRANSLATE(B373, ""en"", ""hi"")"),"कौन सा शतरंज खिलाड़ी 'ग्रुनफेल्ड डिफेंस' के लिए जाना जाता है?")</f>
        <v>कौन सा शतरंज खिलाड़ी 'ग्रुनफेल्ड डिफेंस' के लिए जाना जाता है?</v>
      </c>
      <c r="H373" s="4" t="str">
        <f>IFERROR(__xludf.DUMMYFUNCTION("GOOGLETRANSLATE(C373, ""en"", ""hi"")"),"ए) अर्न्स्ट ग्रुनफेल्ड, बी) गैरी कास्पारोव, सी) विक्टर कोरचनोई, डी) बॉबी फिशर")</f>
        <v>ए) अर्न्स्ट ग्रुनफेल्ड, बी) गैरी कास्पारोव, सी) विक्टर कोरचनोई, डी) बॉबी फिशर</v>
      </c>
      <c r="I373" s="4" t="str">
        <f>IFERROR(__xludf.DUMMYFUNCTION("GOOGLETRANSLATE(D373, ""en"", ""hi"")"),"A) अर्न्स्ट ग्रुएनफेल्ड")</f>
        <v>A) अर्न्स्ट ग्रुएनफेल्ड</v>
      </c>
    </row>
    <row r="374" ht="22.5" customHeight="1">
      <c r="A374" s="3">
        <v>373.0</v>
      </c>
      <c r="B374" s="4" t="s">
        <v>1537</v>
      </c>
      <c r="C374" s="4" t="s">
        <v>1538</v>
      </c>
      <c r="D374" s="4" t="s">
        <v>1539</v>
      </c>
      <c r="F374" s="4" t="str">
        <f>IFERROR(__xludf.DUMMYFUNCTION("GOOGLETRANSLATE(A374, ""en"", ""hi"")"),"373")</f>
        <v>373</v>
      </c>
      <c r="G374" s="4" t="str">
        <f>IFERROR(__xludf.DUMMYFUNCTION("GOOGLETRANSLATE(B374, ""en"", ""hi"")"),"कौन सा शतरंज खिलाड़ी अपनी 'रूसी रक्षा' के लिए जाना जाता था?")</f>
        <v>कौन सा शतरंज खिलाड़ी अपनी 'रूसी रक्षा' के लिए जाना जाता था?</v>
      </c>
      <c r="H374" s="4" t="str">
        <f>IFERROR(__xludf.DUMMYFUNCTION("GOOGLETRANSLATE(C374, ""en"", ""hi"")"),"ए) अलेक्जेंडर अलेखिन, बी) गैरी कास्पारोव, सी) विक्टर कोरचनोई, डी) पॉल केरेस")</f>
        <v>ए) अलेक्जेंडर अलेखिन, बी) गैरी कास्पारोव, सी) विक्टर कोरचनोई, डी) पॉल केरेस</v>
      </c>
      <c r="I374" s="4" t="str">
        <f>IFERROR(__xludf.DUMMYFUNCTION("GOOGLETRANSLATE(D374, ""en"", ""hi"")"),"C) विक्टर कोर्चनोई")</f>
        <v>C) विक्टर कोर्चनोई</v>
      </c>
    </row>
    <row r="375" ht="22.5" customHeight="1">
      <c r="A375" s="3">
        <v>374.0</v>
      </c>
      <c r="B375" s="4" t="s">
        <v>1540</v>
      </c>
      <c r="C375" s="4" t="s">
        <v>1541</v>
      </c>
      <c r="D375" s="4" t="s">
        <v>985</v>
      </c>
      <c r="F375" s="4" t="str">
        <f>IFERROR(__xludf.DUMMYFUNCTION("GOOGLETRANSLATE(A375, ""en"", ""hi"")"),"374")</f>
        <v>374</v>
      </c>
      <c r="G375" s="4" t="str">
        <f>IFERROR(__xludf.DUMMYFUNCTION("GOOGLETRANSLATE(B375, ""en"", ""hi"")"),"किस शतरंज खिलाड़ी का उपनाम 'द ग्रेट सोवियत मास्टर' था?")</f>
        <v>किस शतरंज खिलाड़ी का उपनाम 'द ग्रेट सोवियत मास्टर' था?</v>
      </c>
      <c r="H375" s="4" t="str">
        <f>IFERROR(__xludf.DUMMYFUNCTION("GOOGLETRANSLATE(C375, ""en"", ""hi"")"),"ए) मिखाइल बोट्वनिक, बी) गैरी कास्पारोव, सी) अनातोली कारपोव, डी) विक्टर कोरचनोई")</f>
        <v>ए) मिखाइल बोट्वनिक, बी) गैरी कास्पारोव, सी) अनातोली कारपोव, डी) विक्टर कोरचनोई</v>
      </c>
      <c r="I375" s="4" t="str">
        <f>IFERROR(__xludf.DUMMYFUNCTION("GOOGLETRANSLATE(D375, ""en"", ""hi"")"),"A) मिखाइल बोट्विननिक")</f>
        <v>A) मिखाइल बोट्विननिक</v>
      </c>
    </row>
    <row r="376" ht="22.5" customHeight="1">
      <c r="A376" s="3">
        <v>375.0</v>
      </c>
      <c r="B376" s="4" t="s">
        <v>1542</v>
      </c>
      <c r="C376" s="4" t="s">
        <v>1543</v>
      </c>
      <c r="D376" s="4" t="s">
        <v>948</v>
      </c>
      <c r="F376" s="4" t="str">
        <f>IFERROR(__xludf.DUMMYFUNCTION("GOOGLETRANSLATE(A376, ""en"", ""hi"")"),"375")</f>
        <v>375</v>
      </c>
      <c r="G376" s="4" t="str">
        <f>IFERROR(__xludf.DUMMYFUNCTION("GOOGLETRANSLATE(B376, ""en"", ""hi"")"),"2000 से 2006 तक विश्व शतरंज चैंपियन कौन था?")</f>
        <v>2000 से 2006 तक विश्व शतरंज चैंपियन कौन था?</v>
      </c>
      <c r="H376" s="4" t="str">
        <f>IFERROR(__xludf.DUMMYFUNCTION("GOOGLETRANSLATE(C376, ""en"", ""hi"")"),"ए) व्लादिमीर क्रैमनिक, बी) गैरी कास्पारोव, सी) अनातोली कारपोव, डी) मैग्नस कार्लसन")</f>
        <v>ए) व्लादिमीर क्रैमनिक, बी) गैरी कास्पारोव, सी) अनातोली कारपोव, डी) मैग्नस कार्लसन</v>
      </c>
      <c r="I376" s="4" t="str">
        <f>IFERROR(__xludf.DUMMYFUNCTION("GOOGLETRANSLATE(D376, ""en"", ""hi"")"),"A) व्लादिमीर क्रैमनिक")</f>
        <v>A) व्लादिमीर क्रैमनिक</v>
      </c>
    </row>
    <row r="377" ht="22.5" customHeight="1">
      <c r="A377" s="3">
        <v>376.0</v>
      </c>
      <c r="B377" s="4" t="s">
        <v>1544</v>
      </c>
      <c r="C377" s="4" t="s">
        <v>1484</v>
      </c>
      <c r="D377" s="4" t="s">
        <v>1485</v>
      </c>
      <c r="F377" s="4" t="str">
        <f>IFERROR(__xludf.DUMMYFUNCTION("GOOGLETRANSLATE(A377, ""en"", ""hi"")"),"376")</f>
        <v>376</v>
      </c>
      <c r="G377" s="4" t="str">
        <f>IFERROR(__xludf.DUMMYFUNCTION("GOOGLETRANSLATE(B377, ""en"", ""hi"")"),"कौन सा शतरंज खिलाड़ी सिसिलियन डिफेंस के 'नाज्डोर्फ वेरिएशन' के लिए जाना जाता है?")</f>
        <v>कौन सा शतरंज खिलाड़ी सिसिलियन डिफेंस के 'नाज्डोर्फ वेरिएशन' के लिए जाना जाता है?</v>
      </c>
      <c r="H377" s="4" t="str">
        <f>IFERROR(__xludf.DUMMYFUNCTION("GOOGLETRANSLATE(C377, ""en"", ""hi"")"),"ए) मिगुएल नजदोर्फ़, बी) गैरी कास्पारोव, सी) बॉबी फिशर, डी) पॉल केरेस")</f>
        <v>ए) मिगुएल नजदोर्फ़, बी) गैरी कास्पारोव, सी) बॉबी फिशर, डी) पॉल केरेस</v>
      </c>
      <c r="I377" s="4" t="str">
        <f>IFERROR(__xludf.DUMMYFUNCTION("GOOGLETRANSLATE(D377, ""en"", ""hi"")"),"A) मिगुएल नाजडोर्फ")</f>
        <v>A) मिगुएल नाजडोर्फ</v>
      </c>
    </row>
    <row r="378" ht="22.5" customHeight="1">
      <c r="A378" s="3">
        <v>377.0</v>
      </c>
      <c r="B378" s="4" t="s">
        <v>1545</v>
      </c>
      <c r="C378" s="4" t="s">
        <v>1514</v>
      </c>
      <c r="D378" s="4" t="s">
        <v>911</v>
      </c>
      <c r="F378" s="4" t="str">
        <f>IFERROR(__xludf.DUMMYFUNCTION("GOOGLETRANSLATE(A378, ""en"", ""hi"")"),"377")</f>
        <v>377</v>
      </c>
      <c r="G378" s="4" t="str">
        <f>IFERROR(__xludf.DUMMYFUNCTION("GOOGLETRANSLATE(B378, ""en"", ""hi"")"),"'फिशर रैंडम शतरंज' (Chess960) के विकास का श्रेय किस शतरंज खिलाड़ी को दिया जाता है?")</f>
        <v>'फिशर रैंडम शतरंज' (Chess960) के विकास का श्रेय किस शतरंज खिलाड़ी को दिया जाता है?</v>
      </c>
      <c r="H378" s="4" t="str">
        <f>IFERROR(__xludf.DUMMYFUNCTION("GOOGLETRANSLATE(C378, ""en"", ""hi"")"),"ए) बॉबी फिशर, बी) गैरी कास्परोव, सी) मैग्नस कार्लसन, डी) व्लादिमीर क्रैमनिक")</f>
        <v>ए) बॉबी फिशर, बी) गैरी कास्परोव, सी) मैग्नस कार्लसन, डी) व्लादिमीर क्रैमनिक</v>
      </c>
      <c r="I378" s="4" t="str">
        <f>IFERROR(__xludf.DUMMYFUNCTION("GOOGLETRANSLATE(D378, ""en"", ""hi"")"),"A) बॉबी फिशर")</f>
        <v>A) बॉबी फिशर</v>
      </c>
    </row>
    <row r="379" ht="22.5" customHeight="1">
      <c r="A379" s="3">
        <v>378.0</v>
      </c>
      <c r="B379" s="4" t="s">
        <v>1546</v>
      </c>
      <c r="C379" s="4" t="s">
        <v>1547</v>
      </c>
      <c r="D379" s="4" t="s">
        <v>980</v>
      </c>
      <c r="F379" s="4" t="str">
        <f>IFERROR(__xludf.DUMMYFUNCTION("GOOGLETRANSLATE(A379, ""en"", ""hi"")"),"378")</f>
        <v>378</v>
      </c>
      <c r="G379" s="4" t="str">
        <f>IFERROR(__xludf.DUMMYFUNCTION("GOOGLETRANSLATE(B379, ""en"", ""hi"")"),"कौन सा शतरंज खिलाड़ी विश्व शतरंज चैंपियन का खिताब जीतने वाला पहला खिलाड़ी था और वह एक लेखक भी था?")</f>
        <v>कौन सा शतरंज खिलाड़ी विश्व शतरंज चैंपियन का खिताब जीतने वाला पहला खिलाड़ी था और वह एक लेखक भी था?</v>
      </c>
      <c r="H379" s="4" t="str">
        <f>IFERROR(__xludf.DUMMYFUNCTION("GOOGLETRANSLATE(C379, ""en"", ""hi"")"),"A) इमानुएल लास्कर, B) गैरी कास्पारोव, C) पॉल केरेस, D) अलेक्जेंडर अलेखिन")</f>
        <v>A) इमानुएल लास्कर, B) गैरी कास्पारोव, C) पॉल केरेस, D) अलेक्जेंडर अलेखिन</v>
      </c>
      <c r="I379" s="4" t="str">
        <f>IFERROR(__xludf.DUMMYFUNCTION("GOOGLETRANSLATE(D379, ""en"", ""hi"")"),"A) इमानुएल लास्कर")</f>
        <v>A) इमानुएल लास्कर</v>
      </c>
    </row>
    <row r="380" ht="22.5" customHeight="1">
      <c r="A380" s="3">
        <v>379.0</v>
      </c>
      <c r="B380" s="4" t="s">
        <v>1548</v>
      </c>
      <c r="C380" s="4" t="s">
        <v>1462</v>
      </c>
      <c r="D380" s="4" t="s">
        <v>943</v>
      </c>
      <c r="F380" s="4" t="str">
        <f>IFERROR(__xludf.DUMMYFUNCTION("GOOGLETRANSLATE(A380, ""en"", ""hi"")"),"379")</f>
        <v>379</v>
      </c>
      <c r="G380" s="4" t="str">
        <f>IFERROR(__xludf.DUMMYFUNCTION("GOOGLETRANSLATE(B380, ""en"", ""hi"")"),"कौन सा शतरंज खिलाड़ी किंग्स इंडियन डिफेंस के 'कास्पारोव वेरिएशन' के लिए जाना जाता है?")</f>
        <v>कौन सा शतरंज खिलाड़ी किंग्स इंडियन डिफेंस के 'कास्पारोव वेरिएशन' के लिए जाना जाता है?</v>
      </c>
      <c r="H380" s="4" t="str">
        <f>IFERROR(__xludf.DUMMYFUNCTION("GOOGLETRANSLATE(C380, ""en"", ""hi"")"),"ए) गैरी कास्पारोव, बी) बॉबी फिशर, सी) विक्टर कोरचनोई, डी) पॉल केरेस")</f>
        <v>ए) गैरी कास्पारोव, बी) बॉबी फिशर, सी) विक्टर कोरचनोई, डी) पॉल केरेस</v>
      </c>
      <c r="I380" s="4" t="str">
        <f>IFERROR(__xludf.DUMMYFUNCTION("GOOGLETRANSLATE(D380, ""en"", ""hi"")"),"A) गैरी कास्पारोव")</f>
        <v>A) गैरी कास्पारोव</v>
      </c>
    </row>
    <row r="381" ht="22.5" customHeight="1">
      <c r="A381" s="3">
        <v>380.0</v>
      </c>
      <c r="B381" s="4" t="s">
        <v>1549</v>
      </c>
      <c r="C381" s="4" t="s">
        <v>1550</v>
      </c>
      <c r="D381" s="4" t="s">
        <v>1275</v>
      </c>
      <c r="F381" s="4" t="str">
        <f>IFERROR(__xludf.DUMMYFUNCTION("GOOGLETRANSLATE(A381, ""en"", ""hi"")"),"380")</f>
        <v>380</v>
      </c>
      <c r="G381" s="4" t="str">
        <f>IFERROR(__xludf.DUMMYFUNCTION("GOOGLETRANSLATE(B381, ""en"", ""hi"")"),"2013 में विश्व शतरंज चैंपियन कौन था?")</f>
        <v>2013 में विश्व शतरंज चैंपियन कौन था?</v>
      </c>
      <c r="H381" s="4" t="str">
        <f>IFERROR(__xludf.DUMMYFUNCTION("GOOGLETRANSLATE(C381, ""en"", ""hi"")"),"ए) मैग्नस कार्लसन, बी) गैरी कास्परोव, सी) व्लादिमीर क्रैमनिक, डी) अनातोली कारपोव")</f>
        <v>ए) मैग्नस कार्लसन, बी) गैरी कास्परोव, सी) व्लादिमीर क्रैमनिक, डी) अनातोली कारपोव</v>
      </c>
      <c r="I381" s="4" t="str">
        <f>IFERROR(__xludf.DUMMYFUNCTION("GOOGLETRANSLATE(D381, ""en"", ""hi"")"),"A) मैग्नस कार्लसन")</f>
        <v>A) मैग्नस कार्लसन</v>
      </c>
    </row>
    <row r="382" ht="22.5" customHeight="1">
      <c r="A382" s="3">
        <v>381.0</v>
      </c>
      <c r="B382" s="4" t="s">
        <v>1551</v>
      </c>
      <c r="C382" s="4" t="s">
        <v>1552</v>
      </c>
      <c r="D382" s="4" t="s">
        <v>1401</v>
      </c>
      <c r="F382" s="4" t="str">
        <f>IFERROR(__xludf.DUMMYFUNCTION("GOOGLETRANSLATE(A382, ""en"", ""hi"")"),"381")</f>
        <v>381</v>
      </c>
      <c r="G382" s="4" t="str">
        <f>IFERROR(__xludf.DUMMYFUNCTION("GOOGLETRANSLATE(B382, ""en"", ""hi"")"),"कौन सा शतरंज खिलाड़ी 'एल्बिन काउंटर-गैम्बिट' के लिए जाना जाता था?")</f>
        <v>कौन सा शतरंज खिलाड़ी 'एल्बिन काउंटर-गैम्बिट' के लिए जाना जाता था?</v>
      </c>
      <c r="H382" s="4" t="str">
        <f>IFERROR(__xludf.DUMMYFUNCTION("GOOGLETRANSLATE(C382, ""en"", ""hi"")"),"ए) एडॉल्फ एल्बिन, बी) गैरी कास्परोव, सी) बॉबी फिशर, डी) पॉल केरेस")</f>
        <v>ए) एडॉल्फ एल्बिन, बी) गैरी कास्परोव, सी) बॉबी फिशर, डी) पॉल केरेस</v>
      </c>
      <c r="I382" s="4" t="str">
        <f>IFERROR(__xludf.DUMMYFUNCTION("GOOGLETRANSLATE(D382, ""en"", ""hi"")"),"A) एडॉल्फ एल्बिन")</f>
        <v>A) एडॉल्फ एल्बिन</v>
      </c>
    </row>
    <row r="383" ht="22.5" customHeight="1">
      <c r="A383" s="3">
        <v>382.0</v>
      </c>
      <c r="B383" s="4" t="s">
        <v>1553</v>
      </c>
      <c r="C383" s="4" t="s">
        <v>1554</v>
      </c>
      <c r="D383" s="4" t="s">
        <v>1555</v>
      </c>
      <c r="F383" s="4" t="str">
        <f>IFERROR(__xludf.DUMMYFUNCTION("GOOGLETRANSLATE(A383, ""en"", ""hi"")"),"382")</f>
        <v>382</v>
      </c>
      <c r="G383" s="4" t="str">
        <f>IFERROR(__xludf.DUMMYFUNCTION("GOOGLETRANSLATE(B383, ""en"", ""hi"")"),"कौन सा शतरंज खिलाड़ी 'मार्शल अटैक' पर अपने काम के लिए जाना जाता है?")</f>
        <v>कौन सा शतरंज खिलाड़ी 'मार्शल अटैक' पर अपने काम के लिए जाना जाता है?</v>
      </c>
      <c r="H383" s="4" t="str">
        <f>IFERROR(__xludf.DUMMYFUNCTION("GOOGLETRANSLATE(C383, ""en"", ""hi"")"),"A) फ्रैंक मार्शल, B) गैरी कास्पारोव, C) विक्टर कोर्चनोई, D) बॉबी फिशर")</f>
        <v>A) फ्रैंक मार्शल, B) गैरी कास्पारोव, C) विक्टर कोर्चनोई, D) बॉबी फिशर</v>
      </c>
      <c r="I383" s="4" t="str">
        <f>IFERROR(__xludf.DUMMYFUNCTION("GOOGLETRANSLATE(D383, ""en"", ""hi"")"),"A) फ्रैंक मार्शल")</f>
        <v>A) फ्रैंक मार्शल</v>
      </c>
    </row>
    <row r="384" ht="22.5" customHeight="1">
      <c r="A384" s="3">
        <v>383.0</v>
      </c>
      <c r="B384" s="4" t="s">
        <v>1556</v>
      </c>
      <c r="C384" s="4" t="s">
        <v>1521</v>
      </c>
      <c r="D384" s="4" t="s">
        <v>985</v>
      </c>
      <c r="F384" s="4" t="str">
        <f>IFERROR(__xludf.DUMMYFUNCTION("GOOGLETRANSLATE(A384, ""en"", ""hi"")"),"383")</f>
        <v>383</v>
      </c>
      <c r="G384" s="4" t="str">
        <f>IFERROR(__xludf.DUMMYFUNCTION("GOOGLETRANSLATE(B384, ""en"", ""hi"")"),"1966 में विश्व शतरंज चैंपियन कौन था?")</f>
        <v>1966 में विश्व शतरंज चैंपियन कौन था?</v>
      </c>
      <c r="H384" s="4" t="str">
        <f>IFERROR(__xludf.DUMMYFUNCTION("GOOGLETRANSLATE(C384, ""en"", ""hi"")"),"ए) मिखाइल बोट्वनिक, बी) जोस राउल कैपब्लांका, सी) अलेक्जेंडर अलेखिन, डी) इमानुएल लास्कर")</f>
        <v>ए) मिखाइल बोट्वनिक, बी) जोस राउल कैपब्लांका, सी) अलेक्जेंडर अलेखिन, डी) इमानुएल लास्कर</v>
      </c>
      <c r="I384" s="4" t="str">
        <f>IFERROR(__xludf.DUMMYFUNCTION("GOOGLETRANSLATE(D384, ""en"", ""hi"")"),"A) मिखाइल बोट्विननिक")</f>
        <v>A) मिखाइल बोट्विननिक</v>
      </c>
    </row>
    <row r="385" ht="22.5" customHeight="1">
      <c r="A385" s="3">
        <v>384.0</v>
      </c>
      <c r="B385" s="4" t="s">
        <v>1557</v>
      </c>
      <c r="C385" s="4" t="s">
        <v>1558</v>
      </c>
      <c r="D385" s="4" t="s">
        <v>1559</v>
      </c>
      <c r="F385" s="4" t="str">
        <f>IFERROR(__xludf.DUMMYFUNCTION("GOOGLETRANSLATE(A385, ""en"", ""hi"")"),"384")</f>
        <v>384</v>
      </c>
      <c r="G385" s="4" t="str">
        <f>IFERROR(__xludf.DUMMYFUNCTION("GOOGLETRANSLATE(B385, ""en"", ""hi"")"),"कौन सा शतरंज खिलाड़ी 'कैरो-कैन डिफेंस' में अपने योगदान के लिए जाना जाता है?")</f>
        <v>कौन सा शतरंज खिलाड़ी 'कैरो-कैन डिफेंस' में अपने योगदान के लिए जाना जाता है?</v>
      </c>
      <c r="H385" s="4" t="str">
        <f>IFERROR(__xludf.DUMMYFUNCTION("GOOGLETRANSLATE(C385, ""en"", ""hi"")"),"ए) होरेशियो कारो और मार्कस कन्न, बी) गैरी कास्पारोव, सी) विक्टर कोरचनोई, डी) बॉबी फिशर")</f>
        <v>ए) होरेशियो कारो और मार्कस कन्न, बी) गैरी कास्पारोव, सी) विक्टर कोरचनोई, डी) बॉबी फिशर</v>
      </c>
      <c r="I385" s="4" t="str">
        <f>IFERROR(__xludf.DUMMYFUNCTION("GOOGLETRANSLATE(D385, ""en"", ""hi"")"),"ए) होरेशियो कारो और मार्कस कन्न")</f>
        <v>ए) होरेशियो कारो और मार्कस कन्न</v>
      </c>
    </row>
    <row r="386" ht="22.5" customHeight="1">
      <c r="A386" s="3">
        <v>385.0</v>
      </c>
      <c r="B386" s="4" t="s">
        <v>1560</v>
      </c>
      <c r="C386" s="4" t="s">
        <v>1561</v>
      </c>
      <c r="D386" s="4" t="s">
        <v>1369</v>
      </c>
      <c r="F386" s="4" t="str">
        <f>IFERROR(__xludf.DUMMYFUNCTION("GOOGLETRANSLATE(A386, ""en"", ""hi"")"),"385")</f>
        <v>385</v>
      </c>
      <c r="G386" s="4" t="str">
        <f>IFERROR(__xludf.DUMMYFUNCTION("GOOGLETRANSLATE(B386, ""en"", ""hi"")"),"पेरिस 1858 टूर्नामेंट में पॉल मॉर्फी के खिलाफ अपने प्रसिद्ध खेल के लिए कौन सा शतरंज खिलाड़ी जाना जाता था?")</f>
        <v>पेरिस 1858 टूर्नामेंट में पॉल मॉर्फी के खिलाफ अपने प्रसिद्ध खेल के लिए कौन सा शतरंज खिलाड़ी जाना जाता था?</v>
      </c>
      <c r="H386" s="4" t="str">
        <f>IFERROR(__xludf.DUMMYFUNCTION("GOOGLETRANSLATE(C386, ""en"", ""hi"")"),"A) हॉवर्ड स्टॉन्टन, B) गैरी कास्पारोव, C) बॉबी फिशर, D) विक्टर कोर्चनोई")</f>
        <v>A) हॉवर्ड स्टॉन्टन, B) गैरी कास्पारोव, C) बॉबी फिशर, D) विक्टर कोर्चनोई</v>
      </c>
      <c r="I386" s="4" t="str">
        <f>IFERROR(__xludf.DUMMYFUNCTION("GOOGLETRANSLATE(D386, ""en"", ""hi"")"),"A) हॉवर्ड स्टॉन्टन")</f>
        <v>A) हॉवर्ड स्टॉन्टन</v>
      </c>
    </row>
    <row r="387" ht="22.5" customHeight="1">
      <c r="A387" s="3">
        <v>386.0</v>
      </c>
      <c r="B387" s="4" t="s">
        <v>1562</v>
      </c>
      <c r="C387" s="4" t="s">
        <v>1563</v>
      </c>
      <c r="D387" s="4" t="s">
        <v>962</v>
      </c>
      <c r="F387" s="4" t="str">
        <f>IFERROR(__xludf.DUMMYFUNCTION("GOOGLETRANSLATE(A387, ""en"", ""hi"")"),"386")</f>
        <v>386</v>
      </c>
      <c r="G387" s="4" t="str">
        <f>IFERROR(__xludf.DUMMYFUNCTION("GOOGLETRANSLATE(B387, ""en"", ""hi"")"),"'शतरंज के जनक' के रूप में किसे जाना जाता है?")</f>
        <v>'शतरंज के जनक' के रूप में किसे जाना जाता है?</v>
      </c>
      <c r="H387" s="4" t="str">
        <f>IFERROR(__xludf.DUMMYFUNCTION("GOOGLETRANSLATE(C387, ""en"", ""hi"")"),"ए) विल्हेम स्टीनित्ज़, बी) गैरी कास्पारोव, सी) बॉबी फिशर, डी) इमानुएल लास्कर")</f>
        <v>ए) विल्हेम स्टीनित्ज़, बी) गैरी कास्पारोव, सी) बॉबी फिशर, डी) इमानुएल लास्कर</v>
      </c>
      <c r="I387" s="4" t="str">
        <f>IFERROR(__xludf.DUMMYFUNCTION("GOOGLETRANSLATE(D387, ""en"", ""hi"")"),"A) विल्हेम स्टाइनिट्ज़")</f>
        <v>A) विल्हेम स्टाइनिट्ज़</v>
      </c>
    </row>
    <row r="388" ht="22.5" customHeight="1">
      <c r="A388" s="3">
        <v>387.0</v>
      </c>
      <c r="B388" s="4" t="s">
        <v>1564</v>
      </c>
      <c r="C388" s="4" t="s">
        <v>1565</v>
      </c>
      <c r="D388" s="4" t="s">
        <v>37</v>
      </c>
      <c r="F388" s="4" t="str">
        <f>IFERROR(__xludf.DUMMYFUNCTION("GOOGLETRANSLATE(A388, ""en"", ""hi"")"),"387")</f>
        <v>387</v>
      </c>
      <c r="G388" s="4" t="str">
        <f>IFERROR(__xludf.DUMMYFUNCTION("GOOGLETRANSLATE(B388, ""en"", ""hi"")"),"शतरंज की उत्पत्ति किस देश में हुई?")</f>
        <v>शतरंज की उत्पत्ति किस देश में हुई?</v>
      </c>
      <c r="H388" s="4" t="str">
        <f>IFERROR(__xludf.DUMMYFUNCTION("GOOGLETRANSLATE(C388, ""en"", ""hi"")"),"A) भारत, B) फारस, C) चीन, D) मिस्र")</f>
        <v>A) भारत, B) फारस, C) चीन, D) मिस्र</v>
      </c>
      <c r="I388" s="4" t="str">
        <f>IFERROR(__xludf.DUMMYFUNCTION("GOOGLETRANSLATE(D388, ""en"", ""hi"")"),"ए) भारत")</f>
        <v>ए) भारत</v>
      </c>
    </row>
    <row r="389" ht="22.5" customHeight="1">
      <c r="A389" s="3">
        <v>388.0</v>
      </c>
      <c r="B389" s="4" t="s">
        <v>1566</v>
      </c>
      <c r="C389" s="4" t="s">
        <v>1567</v>
      </c>
      <c r="D389" s="4" t="s">
        <v>1568</v>
      </c>
      <c r="F389" s="4" t="str">
        <f>IFERROR(__xludf.DUMMYFUNCTION("GOOGLETRANSLATE(A389, ""en"", ""hi"")"),"388")</f>
        <v>388</v>
      </c>
      <c r="G389" s="4" t="str">
        <f>IFERROR(__xludf.DUMMYFUNCTION("GOOGLETRANSLATE(B389, ""en"", ""hi"")"),"उस खेल का नाम क्या है जिसे शतरंज का पूर्ववर्ती माना जाता है?")</f>
        <v>उस खेल का नाम क्या है जिसे शतरंज का पूर्ववर्ती माना जाता है?</v>
      </c>
      <c r="H389" s="4" t="str">
        <f>IFERROR(__xludf.DUMMYFUNCTION("GOOGLETRANSLATE(C389, ""en"", ""hi"")"),"ए) शोगी, बी) चतुरंगा, सी) जियांगकी, डी) गो")</f>
        <v>ए) शोगी, बी) चतुरंगा, सी) जियांगकी, डी) गो</v>
      </c>
      <c r="I389" s="4" t="str">
        <f>IFERROR(__xludf.DUMMYFUNCTION("GOOGLETRANSLATE(D389, ""en"", ""hi"")"),"बी) चतुरंग")</f>
        <v>बी) चतुरंग</v>
      </c>
    </row>
    <row r="390" ht="22.5" customHeight="1">
      <c r="A390" s="3">
        <v>389.0</v>
      </c>
      <c r="B390" s="4" t="s">
        <v>1569</v>
      </c>
      <c r="C390" s="4" t="s">
        <v>1570</v>
      </c>
      <c r="D390" s="4" t="s">
        <v>962</v>
      </c>
      <c r="F390" s="4" t="str">
        <f>IFERROR(__xludf.DUMMYFUNCTION("GOOGLETRANSLATE(A390, ""en"", ""hi"")"),"389")</f>
        <v>389</v>
      </c>
      <c r="G390" s="4" t="str">
        <f>IFERROR(__xludf.DUMMYFUNCTION("GOOGLETRANSLATE(B390, ""en"", ""hi"")"),"प्रथम आधिकारिक विश्व शतरंज चैंपियन कौन था?")</f>
        <v>प्रथम आधिकारिक विश्व शतरंज चैंपियन कौन था?</v>
      </c>
      <c r="H390" s="4" t="str">
        <f>IFERROR(__xludf.DUMMYFUNCTION("GOOGLETRANSLATE(C390, ""en"", ""hi"")"),"A) विल्हेम स्टीनिट्ज़, B) इमानुएल लास्कर, C) अलेक्जेंडर अलेखिन, D) पॉल मॉर्फी")</f>
        <v>A) विल्हेम स्टीनिट्ज़, B) इमानुएल लास्कर, C) अलेक्जेंडर अलेखिन, D) पॉल मॉर्फी</v>
      </c>
      <c r="I390" s="4" t="str">
        <f>IFERROR(__xludf.DUMMYFUNCTION("GOOGLETRANSLATE(D390, ""en"", ""hi"")"),"A) विल्हेम स्टाइनिट्ज़")</f>
        <v>A) विल्हेम स्टाइनिट्ज़</v>
      </c>
    </row>
    <row r="391" ht="22.5" customHeight="1">
      <c r="A391" s="3">
        <v>390.0</v>
      </c>
      <c r="B391" s="4" t="s">
        <v>1571</v>
      </c>
      <c r="C391" s="4" t="s">
        <v>1572</v>
      </c>
      <c r="D391" s="4" t="s">
        <v>1573</v>
      </c>
      <c r="F391" s="4" t="str">
        <f>IFERROR(__xludf.DUMMYFUNCTION("GOOGLETRANSLATE(A391, ""en"", ""hi"")"),"390")</f>
        <v>390</v>
      </c>
      <c r="G391" s="4" t="str">
        <f>IFERROR(__xludf.DUMMYFUNCTION("GOOGLETRANSLATE(B391, ""en"", ""hi"")"),"पहला आधुनिक शतरंज टूर्नामेंट किस वर्ष आयोजित किया गया था?")</f>
        <v>पहला आधुनिक शतरंज टूर्नामेंट किस वर्ष आयोजित किया गया था?</v>
      </c>
      <c r="H391" s="4" t="str">
        <f>IFERROR(__xludf.DUMMYFUNCTION("GOOGLETRANSLATE(C391, ""en"", ""hi"")"),"ए) 1851, बी) 1866, सी) 1872, डी) 1886")</f>
        <v>ए) 1851, बी) 1866, सी) 1872, डी) 1886</v>
      </c>
      <c r="I391" s="4" t="str">
        <f>IFERROR(__xludf.DUMMYFUNCTION("GOOGLETRANSLATE(D391, ""en"", ""hi"")"),"ए) 1851")</f>
        <v>ए) 1851</v>
      </c>
    </row>
    <row r="392" ht="22.5" customHeight="1">
      <c r="A392" s="3">
        <v>391.0</v>
      </c>
      <c r="B392" s="4" t="s">
        <v>1574</v>
      </c>
      <c r="C392" s="4" t="s">
        <v>1575</v>
      </c>
      <c r="D392" s="4" t="s">
        <v>1576</v>
      </c>
      <c r="F392" s="4" t="str">
        <f>IFERROR(__xludf.DUMMYFUNCTION("GOOGLETRANSLATE(A392, ""en"", ""hi"")"),"391")</f>
        <v>391</v>
      </c>
      <c r="G392" s="4" t="str">
        <f>IFERROR(__xludf.DUMMYFUNCTION("GOOGLETRANSLATE(B392, ""en"", ""hi"")"),"बॉबी फिशर से पहले विश्व शतरंज चैंपियन कौन था?")</f>
        <v>बॉबी फिशर से पहले विश्व शतरंज चैंपियन कौन था?</v>
      </c>
      <c r="H392" s="4" t="str">
        <f>IFERROR(__xludf.DUMMYFUNCTION("GOOGLETRANSLATE(C392, ""en"", ""hi"")"),"ए) मिखाइल बोट्वनिक, बी) बोरिस स्पैस्की, सी) तिगरान पेट्रोसियन, डी) अनातोली कारपोव")</f>
        <v>ए) मिखाइल बोट्वनिक, बी) बोरिस स्पैस्की, सी) तिगरान पेट्रोसियन, डी) अनातोली कारपोव</v>
      </c>
      <c r="I392" s="4" t="str">
        <f>IFERROR(__xludf.DUMMYFUNCTION("GOOGLETRANSLATE(D392, ""en"", ""hi"")"),"बी) बोरिस स्पैस्की")</f>
        <v>बी) बोरिस स्पैस्की</v>
      </c>
    </row>
    <row r="393" ht="22.5" customHeight="1">
      <c r="A393" s="3">
        <v>392.0</v>
      </c>
      <c r="B393" s="4" t="s">
        <v>1577</v>
      </c>
      <c r="C393" s="4" t="s">
        <v>1578</v>
      </c>
      <c r="D393" s="4" t="s">
        <v>1579</v>
      </c>
      <c r="F393" s="4" t="str">
        <f>IFERROR(__xludf.DUMMYFUNCTION("GOOGLETRANSLATE(A393, ""en"", ""hi"")"),"392")</f>
        <v>392</v>
      </c>
      <c r="G393" s="4" t="str">
        <f>IFERROR(__xludf.DUMMYFUNCTION("GOOGLETRANSLATE(B393, ""en"", ""hi"")"),"कौन सा शतरंज का मोहरा 15वीं शताब्दी में यूरोप में प्रचलित हुआ था और अपनी शक्तिशाली विकर्ण गति के लिए जाना जाता है?")</f>
        <v>कौन सा शतरंज का मोहरा 15वीं शताब्दी में यूरोप में प्रचलित हुआ था और अपनी शक्तिशाली विकर्ण गति के लिए जाना जाता है?</v>
      </c>
      <c r="H393" s="4" t="str">
        <f>IFERROR(__xludf.DUMMYFUNCTION("GOOGLETRANSLATE(C393, ""en"", ""hi"")"),"A) रानी, ​​B) बिशप, C) रूक, D) नाइट")</f>
        <v>A) रानी, ​​B) बिशप, C) रूक, D) नाइट</v>
      </c>
      <c r="I393" s="4" t="str">
        <f>IFERROR(__xludf.DUMMYFUNCTION("GOOGLETRANSLATE(D393, ""en"", ""hi"")"),"ए) रानी")</f>
        <v>ए) रानी</v>
      </c>
    </row>
    <row r="394" ht="22.5" customHeight="1">
      <c r="A394" s="3">
        <v>393.0</v>
      </c>
      <c r="B394" s="4" t="s">
        <v>1580</v>
      </c>
      <c r="C394" s="4" t="s">
        <v>1581</v>
      </c>
      <c r="D394" s="4" t="s">
        <v>1582</v>
      </c>
      <c r="F394" s="4" t="str">
        <f>IFERROR(__xludf.DUMMYFUNCTION("GOOGLETRANSLATE(A394, ""en"", ""hi"")"),"393")</f>
        <v>393</v>
      </c>
      <c r="G394" s="4" t="str">
        <f>IFERROR(__xludf.DUMMYFUNCTION("GOOGLETRANSLATE(B394, ""en"", ""hi"")"),"आधुनिक शतरंज के मोहरे का मूल नाम क्या था जिसे अब 'बिशप' कहा जाता है?")</f>
        <v>आधुनिक शतरंज के मोहरे का मूल नाम क्या था जिसे अब 'बिशप' कहा जाता है?</v>
      </c>
      <c r="H394" s="4" t="str">
        <f>IFERROR(__xludf.DUMMYFUNCTION("GOOGLETRANSLATE(C394, ""en"", ""hi"")"),"A) हाथी, B) ऊँट, C) घोड़ा, D) रथ")</f>
        <v>A) हाथी, B) ऊँट, C) घोड़ा, D) रथ</v>
      </c>
      <c r="I394" s="4" t="str">
        <f>IFERROR(__xludf.DUMMYFUNCTION("GOOGLETRANSLATE(D394, ""en"", ""hi"")"),"A) हाथी")</f>
        <v>A) हाथी</v>
      </c>
    </row>
    <row r="395" ht="22.5" customHeight="1">
      <c r="A395" s="3">
        <v>394.0</v>
      </c>
      <c r="B395" s="4" t="s">
        <v>1583</v>
      </c>
      <c r="C395" s="4" t="s">
        <v>1584</v>
      </c>
      <c r="D395" s="4" t="s">
        <v>1585</v>
      </c>
      <c r="F395" s="4" t="str">
        <f>IFERROR(__xludf.DUMMYFUNCTION("GOOGLETRANSLATE(A395, ""en"", ""hi"")"),"394")</f>
        <v>394</v>
      </c>
      <c r="G395" s="4" t="str">
        <f>IFERROR(__xludf.DUMMYFUNCTION("GOOGLETRANSLATE(B395, ""en"", ""hi"")"),"किस प्रसिद्ध शतरंज खिलाड़ी को 'रीगा का प्रतिभाशाली' के नाम से जाना जाता था?")</f>
        <v>किस प्रसिद्ध शतरंज खिलाड़ी को 'रीगा का प्रतिभाशाली' के नाम से जाना जाता था?</v>
      </c>
      <c r="H395" s="4" t="str">
        <f>IFERROR(__xludf.DUMMYFUNCTION("GOOGLETRANSLATE(C395, ""en"", ""hi"")"),"ए) मिखाइल ताल, बी) पॉल केरेस, सी) अलेक्जेंडर अलेखिन, डी) विक्टर कोरचनोई")</f>
        <v>ए) मिखाइल ताल, बी) पॉल केरेस, सी) अलेक्जेंडर अलेखिन, डी) विक्टर कोरचनोई</v>
      </c>
      <c r="I395" s="4" t="str">
        <f>IFERROR(__xludf.DUMMYFUNCTION("GOOGLETRANSLATE(D395, ""en"", ""hi"")"),"बी) पॉल केरेस")</f>
        <v>बी) पॉल केरेस</v>
      </c>
    </row>
    <row r="396" ht="22.5" customHeight="1">
      <c r="A396" s="3">
        <v>395.0</v>
      </c>
      <c r="B396" s="4" t="s">
        <v>1586</v>
      </c>
      <c r="C396" s="4" t="s">
        <v>1116</v>
      </c>
      <c r="D396" s="4" t="s">
        <v>911</v>
      </c>
      <c r="F396" s="4" t="str">
        <f>IFERROR(__xludf.DUMMYFUNCTION("GOOGLETRANSLATE(A396, ""en"", ""hi"")"),"395")</f>
        <v>395</v>
      </c>
      <c r="G396" s="4" t="str">
        <f>IFERROR(__xludf.DUMMYFUNCTION("GOOGLETRANSLATE(B396, ""en"", ""hi"")"),"बोरिस स्पास्की के विरुद्ध प्रसिद्ध 1972 विश्व शतरंज चैम्पियनशिप किसने जीती?")</f>
        <v>बोरिस स्पास्की के विरुद्ध प्रसिद्ध 1972 विश्व शतरंज चैम्पियनशिप किसने जीती?</v>
      </c>
      <c r="H396" s="4" t="str">
        <f>IFERROR(__xludf.DUMMYFUNCTION("GOOGLETRANSLATE(C396, ""en"", ""hi"")"),"ए) बॉबी फिशर, बी) गैरी कास्पारोव, सी) अनातोली कारपोव, डी) मिखाइल बोट्वनिक")</f>
        <v>ए) बॉबी फिशर, बी) गैरी कास्पारोव, सी) अनातोली कारपोव, डी) मिखाइल बोट्वनिक</v>
      </c>
      <c r="I396" s="4" t="str">
        <f>IFERROR(__xludf.DUMMYFUNCTION("GOOGLETRANSLATE(D396, ""en"", ""hi"")"),"A) बॉबी फिशर")</f>
        <v>A) बॉबी फिशर</v>
      </c>
    </row>
    <row r="397" ht="22.5" customHeight="1">
      <c r="A397" s="3">
        <v>396.0</v>
      </c>
      <c r="B397" s="4" t="s">
        <v>1587</v>
      </c>
      <c r="C397" s="4" t="s">
        <v>1588</v>
      </c>
      <c r="D397" s="4" t="s">
        <v>881</v>
      </c>
      <c r="F397" s="4" t="str">
        <f>IFERROR(__xludf.DUMMYFUNCTION("GOOGLETRANSLATE(A397, ""en"", ""hi"")"),"396")</f>
        <v>396</v>
      </c>
      <c r="G397" s="4" t="str">
        <f>IFERROR(__xludf.DUMMYFUNCTION("GOOGLETRANSLATE(B397, ""en"", ""hi"")"),"पहली आधिकारिक FIDE विश्व शतरंज चैंपियनशिप किस वर्ष आयोजित हुई थी?")</f>
        <v>पहली आधिकारिक FIDE विश्व शतरंज चैंपियनशिप किस वर्ष आयोजित हुई थी?</v>
      </c>
      <c r="H397" s="4" t="str">
        <f>IFERROR(__xludf.DUMMYFUNCTION("GOOGLETRANSLATE(C397, ""en"", ""hi"")"),"ए) 1886, बी) 1907, सी) 1927, डी) 1948")</f>
        <v>ए) 1886, बी) 1907, सी) 1927, डी) 1948</v>
      </c>
      <c r="I397" s="4" t="str">
        <f>IFERROR(__xludf.DUMMYFUNCTION("GOOGLETRANSLATE(D397, ""en"", ""hi"")"),"ए) 1886")</f>
        <v>ए) 1886</v>
      </c>
    </row>
    <row r="398" ht="22.5" customHeight="1">
      <c r="A398" s="3">
        <v>397.0</v>
      </c>
      <c r="B398" s="4" t="s">
        <v>1589</v>
      </c>
      <c r="C398" s="4" t="s">
        <v>1590</v>
      </c>
      <c r="D398" s="4" t="s">
        <v>923</v>
      </c>
      <c r="F398" s="4" t="str">
        <f>IFERROR(__xludf.DUMMYFUNCTION("GOOGLETRANSLATE(A398, ""en"", ""hi"")"),"397")</f>
        <v>397</v>
      </c>
      <c r="G398" s="4" t="str">
        <f>IFERROR(__xludf.DUMMYFUNCTION("GOOGLETRANSLATE(B398, ""en"", ""hi"")"),"द्वितीय विश्व युद्ध के दौरान विश्व शतरंज चैंपियन कौन था?")</f>
        <v>द्वितीय विश्व युद्ध के दौरान विश्व शतरंज चैंपियन कौन था?</v>
      </c>
      <c r="H398" s="4" t="str">
        <f>IFERROR(__xludf.DUMMYFUNCTION("GOOGLETRANSLATE(C398, ""en"", ""hi"")"),"ए) अलेक्जेंडर अलेखिन, बी) इमानुएल लास्कर, सी) मिखाइल बोट्वनिक, डी) जोस राउल कैपब्लांका")</f>
        <v>ए) अलेक्जेंडर अलेखिन, बी) इमानुएल लास्कर, सी) मिखाइल बोट्वनिक, डी) जोस राउल कैपब्लांका</v>
      </c>
      <c r="I398" s="4" t="str">
        <f>IFERROR(__xludf.DUMMYFUNCTION("GOOGLETRANSLATE(D398, ""en"", ""hi"")"),"A) अलेक्जेंडर अलेखिन")</f>
        <v>A) अलेक्जेंडर अलेखिन</v>
      </c>
    </row>
    <row r="399" ht="22.5" customHeight="1">
      <c r="A399" s="3">
        <v>398.0</v>
      </c>
      <c r="B399" s="4" t="s">
        <v>1591</v>
      </c>
      <c r="C399" s="4" t="s">
        <v>1592</v>
      </c>
      <c r="D399" s="4" t="s">
        <v>1593</v>
      </c>
      <c r="F399" s="4" t="str">
        <f>IFERROR(__xludf.DUMMYFUNCTION("GOOGLETRANSLATE(A399, ""en"", ""hi"")"),"398")</f>
        <v>398</v>
      </c>
      <c r="G399" s="4" t="str">
        <f>IFERROR(__xludf.DUMMYFUNCTION("GOOGLETRANSLATE(B399, ""en"", ""hi"")"),"1.e4 e5 2.Nf3 Nc6 3.Bb5 से शुरू होने वाले शतरंज ओपनिंग का नाम क्या है?")</f>
        <v>1.e4 e5 2.Nf3 Nc6 3.Bb5 से शुरू होने वाले शतरंज ओपनिंग का नाम क्या है?</v>
      </c>
      <c r="H399" s="4" t="str">
        <f>IFERROR(__xludf.DUMMYFUNCTION("GOOGLETRANSLATE(C399, ""en"", ""hi"")"),"A) सिसिलियन डिफेंस, B) किंग्स गैम्बिट, C) रुय लोपेज़, D) फ्रेंच डिफेंस")</f>
        <v>A) सिसिलियन डिफेंस, B) किंग्स गैम्बिट, C) रुय लोपेज़, D) फ्रेंच डिफेंस</v>
      </c>
      <c r="I399" s="4" t="str">
        <f>IFERROR(__xludf.DUMMYFUNCTION("GOOGLETRANSLATE(D399, ""en"", ""hi"")"),"C) रुय लोपेज़")</f>
        <v>C) रुय लोपेज़</v>
      </c>
    </row>
    <row r="400" ht="22.5" customHeight="1">
      <c r="A400" s="3">
        <v>399.0</v>
      </c>
      <c r="B400" s="4" t="s">
        <v>1594</v>
      </c>
      <c r="C400" s="4" t="s">
        <v>1595</v>
      </c>
      <c r="D400" s="4" t="s">
        <v>1295</v>
      </c>
      <c r="F400" s="4" t="str">
        <f>IFERROR(__xludf.DUMMYFUNCTION("GOOGLETRANSLATE(A400, ""en"", ""hi"")"),"399")</f>
        <v>399</v>
      </c>
      <c r="G400" s="4" t="str">
        <f>IFERROR(__xludf.DUMMYFUNCTION("GOOGLETRANSLATE(B400, ""en"", ""hi"")"),"शतरंज की दुनिया में 'द रेड हरिकेन' के नाम से किसे जाना जाता था?")</f>
        <v>शतरंज की दुनिया में 'द रेड हरिकेन' के नाम से किसे जाना जाता था?</v>
      </c>
      <c r="H400" s="4" t="str">
        <f>IFERROR(__xludf.DUMMYFUNCTION("GOOGLETRANSLATE(C400, ""en"", ""hi"")"),"ए) गैरी कास्परोव, बी) मिखाइल ताल, सी) बॉबी फिशर, डी) विक्टर कोरचनोई")</f>
        <v>ए) गैरी कास्परोव, बी) मिखाइल ताल, सी) बॉबी फिशर, डी) विक्टर कोरचनोई</v>
      </c>
      <c r="I400" s="4" t="str">
        <f>IFERROR(__xludf.DUMMYFUNCTION("GOOGLETRANSLATE(D400, ""en"", ""hi"")"),"B) मिखाइल ताल")</f>
        <v>B) मिखाइल ताल</v>
      </c>
    </row>
    <row r="401" ht="22.5" customHeight="1">
      <c r="A401" s="3">
        <v>400.0</v>
      </c>
      <c r="B401" s="4" t="s">
        <v>1596</v>
      </c>
      <c r="C401" s="4" t="s">
        <v>1597</v>
      </c>
      <c r="D401" s="4" t="s">
        <v>1598</v>
      </c>
      <c r="F401" s="4" t="str">
        <f>IFERROR(__xludf.DUMMYFUNCTION("GOOGLETRANSLATE(A401, ""en"", ""hi"")"),"400")</f>
        <v>400</v>
      </c>
      <c r="G401" s="4" t="str">
        <f>IFERROR(__xludf.DUMMYFUNCTION("GOOGLETRANSLATE(B401, ""en"", ""hi"")"),"कौन सा शतरंज खिलाड़ी 'शतरंज गलतियों का खेल है' कथन के लिए प्रसिद्ध है?")</f>
        <v>कौन सा शतरंज खिलाड़ी 'शतरंज गलतियों का खेल है' कथन के लिए प्रसिद्ध है?</v>
      </c>
      <c r="H401" s="4" t="str">
        <f>IFERROR(__xludf.DUMMYFUNCTION("GOOGLETRANSLATE(C401, ""en"", ""hi"")"),"ए) गैरी कास्पारोव, बी) बॉबी फिशर, सी) जोस राउल कैपब्लांका, डी) इमानुएल लास्कर")</f>
        <v>ए) गैरी कास्पारोव, बी) बॉबी फिशर, सी) जोस राउल कैपब्लांका, डी) इमानुएल लास्कर</v>
      </c>
      <c r="I401" s="4" t="str">
        <f>IFERROR(__xludf.DUMMYFUNCTION("GOOGLETRANSLATE(D401, ""en"", ""hi"")"),"D) इमानुएल लास्कर")</f>
        <v>D) इमानुएल लास्कर</v>
      </c>
    </row>
    <row r="402" ht="22.5" customHeight="1">
      <c r="A402" s="3">
        <v>401.0</v>
      </c>
      <c r="B402" s="4" t="s">
        <v>1599</v>
      </c>
      <c r="C402" s="4" t="s">
        <v>1600</v>
      </c>
      <c r="D402" s="4" t="s">
        <v>1046</v>
      </c>
      <c r="F402" s="4" t="str">
        <f>IFERROR(__xludf.DUMMYFUNCTION("GOOGLETRANSLATE(A402, ""en"", ""hi"")"),"401")</f>
        <v>401</v>
      </c>
      <c r="G402" s="4" t="str">
        <f>IFERROR(__xludf.DUMMYFUNCTION("GOOGLETRANSLATE(B402, ""en"", ""hi"")"),"2024 तक इतिहास में सबसे युवा ग्रैंडमास्टर कौन था?")</f>
        <v>2024 तक इतिहास में सबसे युवा ग्रैंडमास्टर कौन था?</v>
      </c>
      <c r="H402" s="4" t="str">
        <f>IFERROR(__xludf.DUMMYFUNCTION("GOOGLETRANSLATE(C402, ""en"", ""hi"")"),"ए) सर्गेई कारजाकिन, बी) मैग्नस कार्लसन, सी) अनीश गिरी, डी) फैबियानो कारुआना")</f>
        <v>ए) सर्गेई कारजाकिन, बी) मैग्नस कार्लसन, सी) अनीश गिरी, डी) फैबियानो कारुआना</v>
      </c>
      <c r="I402" s="4" t="str">
        <f>IFERROR(__xludf.DUMMYFUNCTION("GOOGLETRANSLATE(D402, ""en"", ""hi"")"),"A) सर्गेई कार्जाकिन")</f>
        <v>A) सर्गेई कार्जाकिन</v>
      </c>
    </row>
    <row r="403" ht="22.5" customHeight="1">
      <c r="A403" s="3">
        <v>402.0</v>
      </c>
      <c r="B403" s="4" t="s">
        <v>1601</v>
      </c>
      <c r="C403" s="4" t="s">
        <v>1602</v>
      </c>
      <c r="D403" s="4" t="s">
        <v>1603</v>
      </c>
      <c r="F403" s="4" t="str">
        <f>IFERROR(__xludf.DUMMYFUNCTION("GOOGLETRANSLATE(A403, ""en"", ""hi"")"),"402")</f>
        <v>402</v>
      </c>
      <c r="G403" s="4" t="str">
        <f>IFERROR(__xludf.DUMMYFUNCTION("GOOGLETRANSLATE(B403, ""en"", ""hi"")"),"कौन सा शतरंज खिलाड़ी अपने अंतिम खेल कौशल के लिए जाना जाता था और इस विषय पर कई किताबें लिखी थीं?")</f>
        <v>कौन सा शतरंज खिलाड़ी अपने अंतिम खेल कौशल के लिए जाना जाता था और इस विषय पर कई किताबें लिखी थीं?</v>
      </c>
      <c r="H403" s="4" t="str">
        <f>IFERROR(__xludf.DUMMYFUNCTION("GOOGLETRANSLATE(C403, ""en"", ""hi"")"),"ए) मिखाइल बोट्वनिक, बी) पॉल केरेस, सी) मार्क ड्वॉर्त्स्की, डी) गैरी कास्परोव")</f>
        <v>ए) मिखाइल बोट्वनिक, बी) पॉल केरेस, सी) मार्क ड्वॉर्त्स्की, डी) गैरी कास्परोव</v>
      </c>
      <c r="I403" s="4" t="str">
        <f>IFERROR(__xludf.DUMMYFUNCTION("GOOGLETRANSLATE(D403, ""en"", ""hi"")"),"C) मार्क ड्वोरेत्स्की")</f>
        <v>C) मार्क ड्वोरेत्स्की</v>
      </c>
    </row>
    <row r="404" ht="22.5" customHeight="1">
      <c r="A404" s="3">
        <v>403.0</v>
      </c>
      <c r="B404" s="4" t="s">
        <v>1604</v>
      </c>
      <c r="C404" s="4" t="s">
        <v>1605</v>
      </c>
      <c r="D404" s="4" t="s">
        <v>1606</v>
      </c>
      <c r="F404" s="4" t="str">
        <f>IFERROR(__xludf.DUMMYFUNCTION("GOOGLETRANSLATE(A404, ""en"", ""hi"")"),"403")</f>
        <v>403</v>
      </c>
      <c r="G404" s="4" t="str">
        <f>IFERROR(__xludf.DUMMYFUNCTION("GOOGLETRANSLATE(B404, ""en"", ""hi"")"),"किस शतरंज ओपनिंग को 'क्वींस पॉन ओपनिंग' के नाम से भी जाना जाता है?")</f>
        <v>किस शतरंज ओपनिंग को 'क्वींस पॉन ओपनिंग' के नाम से भी जाना जाता है?</v>
      </c>
      <c r="H404" s="4" t="str">
        <f>IFERROR(__xludf.DUMMYFUNCTION("GOOGLETRANSLATE(C404, ""en"", ""hi"")"),"A) किंग्स इंडियन डिफेंस, B) इंग्लिश ओपनिंग, C) किंग्स गैम्बिट, D) क्वीन्स गैम्बिट")</f>
        <v>A) किंग्स इंडियन डिफेंस, B) इंग्लिश ओपनिंग, C) किंग्स गैम्बिट, D) क्वीन्स गैम्बिट</v>
      </c>
      <c r="I404" s="4" t="str">
        <f>IFERROR(__xludf.DUMMYFUNCTION("GOOGLETRANSLATE(D404, ""en"", ""hi"")"),"D) क्वीन्स गैम्बिट")</f>
        <v>D) क्वीन्स गैम्बिट</v>
      </c>
    </row>
    <row r="405" ht="22.5" customHeight="1">
      <c r="A405" s="3">
        <v>404.0</v>
      </c>
      <c r="B405" s="4" t="s">
        <v>1607</v>
      </c>
      <c r="C405" s="4" t="s">
        <v>1608</v>
      </c>
      <c r="D405" s="4" t="s">
        <v>1222</v>
      </c>
      <c r="F405" s="4" t="str">
        <f>IFERROR(__xludf.DUMMYFUNCTION("GOOGLETRANSLATE(A405, ""en"", ""hi"")"),"404")</f>
        <v>404</v>
      </c>
      <c r="G405" s="4" t="str">
        <f>IFERROR(__xludf.DUMMYFUNCTION("GOOGLETRANSLATE(B405, ""en"", ""hi"")"),"शतरंज का अंतर्राष्ट्रीय मास्टर बनने वाला पहला अफ्रीकी-अमेरिकी कौन था?")</f>
        <v>शतरंज का अंतर्राष्ट्रीय मास्टर बनने वाला पहला अफ्रीकी-अमेरिकी कौन था?</v>
      </c>
      <c r="H405" s="4" t="str">
        <f>IFERROR(__xludf.DUMMYFUNCTION("GOOGLETRANSLATE(C405, ""en"", ""hi"")"),"A) मौरिस एश्ले, B) एमोरी टेट, C) जेम्स कोलमैन, D) रॉबर्ट हैरिस")</f>
        <v>A) मौरिस एश्ले, B) एमोरी टेट, C) जेम्स कोलमैन, D) रॉबर्ट हैरिस</v>
      </c>
      <c r="I405" s="4" t="str">
        <f>IFERROR(__xludf.DUMMYFUNCTION("GOOGLETRANSLATE(D405, ""en"", ""hi"")"),"A) मौरिस एशले")</f>
        <v>A) मौरिस एशले</v>
      </c>
    </row>
    <row r="406" ht="22.5" customHeight="1">
      <c r="A406" s="3">
        <v>405.0</v>
      </c>
      <c r="B406" s="4" t="s">
        <v>1609</v>
      </c>
      <c r="C406" s="4" t="s">
        <v>1610</v>
      </c>
      <c r="D406" s="4" t="s">
        <v>1611</v>
      </c>
      <c r="F406" s="4" t="str">
        <f>IFERROR(__xludf.DUMMYFUNCTION("GOOGLETRANSLATE(A406, ""en"", ""hi"")"),"405")</f>
        <v>405</v>
      </c>
      <c r="G406" s="4" t="str">
        <f>IFERROR(__xludf.DUMMYFUNCTION("GOOGLETRANSLATE(B406, ""en"", ""hi"")"),"नये विश्व शतरंज चैंपियन का निर्धारण करने के लिए 1948 में आयोजित प्रसिद्ध शतरंज टूर्नामेंट का नाम क्या था?")</f>
        <v>नये विश्व शतरंज चैंपियन का निर्धारण करने के लिए 1948 में आयोजित प्रसिद्ध शतरंज टूर्नामेंट का नाम क्या था?</v>
      </c>
      <c r="H406" s="4" t="str">
        <f>IFERROR(__xludf.DUMMYFUNCTION("GOOGLETRANSLATE(C406, ""en"", ""hi"")"),"A) ज्यूरिख टूर्नामेंट, B) कैंडिडेट्स टूर्नामेंट, C) मॉस्को टूर्नामेंट, D) लंदन टूर्नामेंट")</f>
        <v>A) ज्यूरिख टूर्नामेंट, B) कैंडिडेट्स टूर्नामेंट, C) मॉस्को टूर्नामेंट, D) लंदन टूर्नामेंट</v>
      </c>
      <c r="I406" s="4" t="str">
        <f>IFERROR(__xludf.DUMMYFUNCTION("GOOGLETRANSLATE(D406, ""en"", ""hi"")"),"C) मॉस्को टूर्नामेंट")</f>
        <v>C) मॉस्को टूर्नामेंट</v>
      </c>
    </row>
    <row r="407" ht="22.5" customHeight="1">
      <c r="A407" s="3">
        <v>406.0</v>
      </c>
      <c r="B407" s="4" t="s">
        <v>1612</v>
      </c>
      <c r="C407" s="4" t="s">
        <v>1420</v>
      </c>
      <c r="D407" s="4" t="s">
        <v>1613</v>
      </c>
      <c r="F407" s="4" t="str">
        <f>IFERROR(__xludf.DUMMYFUNCTION("GOOGLETRANSLATE(A407, ""en"", ""hi"")"),"406")</f>
        <v>406</v>
      </c>
      <c r="G407" s="4" t="str">
        <f>IFERROR(__xludf.DUMMYFUNCTION("GOOGLETRANSLATE(B407, ""en"", ""hi"")"),"खेल के पुराने संस्करणों में किस शतरंज के मोहरे को पारंपरिक रूप से 'कैसल' कहा जाता था?")</f>
        <v>खेल के पुराने संस्करणों में किस शतरंज के मोहरे को पारंपरिक रूप से 'कैसल' कहा जाता था?</v>
      </c>
      <c r="H407" s="4" t="str">
        <f>IFERROR(__xludf.DUMMYFUNCTION("GOOGLETRANSLATE(C407, ""en"", ""hi"")"),"A) बिशप, B) नाइट, C) रूक, D) क्वीन")</f>
        <v>A) बिशप, B) नाइट, C) रूक, D) क्वीन</v>
      </c>
      <c r="I407" s="4" t="str">
        <f>IFERROR(__xludf.DUMMYFUNCTION("GOOGLETRANSLATE(D407, ""en"", ""hi"")"),"सी) रूक")</f>
        <v>सी) रूक</v>
      </c>
    </row>
    <row r="408" ht="22.5" customHeight="1">
      <c r="A408" s="3">
        <v>407.0</v>
      </c>
      <c r="B408" s="4" t="s">
        <v>1614</v>
      </c>
      <c r="C408" s="4" t="s">
        <v>1533</v>
      </c>
      <c r="D408" s="4" t="s">
        <v>967</v>
      </c>
      <c r="F408" s="4" t="str">
        <f>IFERROR(__xludf.DUMMYFUNCTION("GOOGLETRANSLATE(A408, ""en"", ""hi"")"),"407")</f>
        <v>407</v>
      </c>
      <c r="G408" s="4" t="str">
        <f>IFERROR(__xludf.DUMMYFUNCTION("GOOGLETRANSLATE(B408, ""en"", ""hi"")"),"1921 से 1927 तक विश्व शतरंज चैंपियन कौन था?")</f>
        <v>1921 से 1927 तक विश्व शतरंज चैंपियन कौन था?</v>
      </c>
      <c r="H408" s="4" t="str">
        <f>IFERROR(__xludf.DUMMYFUNCTION("GOOGLETRANSLATE(C408, ""en"", ""hi"")"),"ए) जोस राउल कैपब्लांका, बी) अलेक्जेंडर अलेखिन, सी) इमानुएल लास्कर, डी) मिखाइल बोट्वनिक")</f>
        <v>ए) जोस राउल कैपब्लांका, बी) अलेक्जेंडर अलेखिन, सी) इमानुएल लास्कर, डी) मिखाइल बोट्वनिक</v>
      </c>
      <c r="I408" s="4" t="str">
        <f>IFERROR(__xludf.DUMMYFUNCTION("GOOGLETRANSLATE(D408, ""en"", ""hi"")"),"A) जोस राउल कैपब्लैंका")</f>
        <v>A) जोस राउल कैपब्लैंका</v>
      </c>
    </row>
    <row r="409" ht="22.5" customHeight="1">
      <c r="A409" s="3">
        <v>408.0</v>
      </c>
      <c r="B409" s="4" t="s">
        <v>1615</v>
      </c>
      <c r="C409" s="4" t="s">
        <v>1616</v>
      </c>
      <c r="D409" s="4" t="s">
        <v>1617</v>
      </c>
      <c r="F409" s="4" t="str">
        <f>IFERROR(__xludf.DUMMYFUNCTION("GOOGLETRANSLATE(A409, ""en"", ""hi"")"),"408")</f>
        <v>408</v>
      </c>
      <c r="G409" s="4" t="str">
        <f>IFERROR(__xludf.DUMMYFUNCTION("GOOGLETRANSLATE(B409, ""en"", ""hi"")"),"कौन सा प्रसिद्ध शतरंज खेल 'अमर खेल' के नाम से जाना जाता है?")</f>
        <v>कौन सा प्रसिद्ध शतरंज खेल 'अमर खेल' के नाम से जाना जाता है?</v>
      </c>
      <c r="H409" s="4" t="str">
        <f>IFERROR(__xludf.DUMMYFUNCTION("GOOGLETRANSLATE(C409, ""en"", ""hi"")"),"ए) एंडर्सन बनाम कीसेरिट्ज़की, बी) फिशर बनाम स्पैस्की, सी) ताल बनाम बोट्वनिक, डी) कास्पारोव बनाम कारपोव")</f>
        <v>ए) एंडर्सन बनाम कीसेरिट्ज़की, बी) फिशर बनाम स्पैस्की, सी) ताल बनाम बोट्वनिक, डी) कास्पारोव बनाम कारपोव</v>
      </c>
      <c r="I409" s="4" t="str">
        <f>IFERROR(__xludf.DUMMYFUNCTION("GOOGLETRANSLATE(D409, ""en"", ""hi"")"),"ए) एंडरसन बनाम कीसेरित्ज़की")</f>
        <v>ए) एंडरसन बनाम कीसेरित्ज़की</v>
      </c>
    </row>
    <row r="410" ht="22.5" customHeight="1">
      <c r="A410" s="3">
        <v>409.0</v>
      </c>
      <c r="B410" s="4" t="s">
        <v>1618</v>
      </c>
      <c r="C410" s="4" t="s">
        <v>1619</v>
      </c>
      <c r="D410" s="4" t="s">
        <v>1620</v>
      </c>
      <c r="F410" s="4" t="str">
        <f>IFERROR(__xludf.DUMMYFUNCTION("GOOGLETRANSLATE(A410, ""en"", ""hi"")"),"409")</f>
        <v>409</v>
      </c>
      <c r="G410" s="4" t="str">
        <f>IFERROR(__xludf.DUMMYFUNCTION("GOOGLETRANSLATE(B410, ""en"", ""hi"")"),"प्रसिद्ध शतरंज खिलाड़ी जोस राउल कैपब्लांका का घर कौन सा देश है?")</f>
        <v>प्रसिद्ध शतरंज खिलाड़ी जोस राउल कैपब्लांका का घर कौन सा देश है?</v>
      </c>
      <c r="H410" s="4" t="str">
        <f>IFERROR(__xludf.DUMMYFUNCTION("GOOGLETRANSLATE(C410, ""en"", ""hi"")"),"A) अर्जेंटीना, B) स्पेन, C) क्यूबा, ​​D) मेक्सिको")</f>
        <v>A) अर्जेंटीना, B) स्पेन, C) क्यूबा, ​​D) मेक्सिको</v>
      </c>
      <c r="I410" s="4" t="str">
        <f>IFERROR(__xludf.DUMMYFUNCTION("GOOGLETRANSLATE(D410, ""en"", ""hi"")"),"C) क्यूबा")</f>
        <v>C) क्यूबा</v>
      </c>
    </row>
    <row r="411" ht="22.5" customHeight="1">
      <c r="A411" s="3">
        <v>410.0</v>
      </c>
      <c r="B411" s="4" t="s">
        <v>1621</v>
      </c>
      <c r="C411" s="4" t="s">
        <v>1622</v>
      </c>
      <c r="D411" s="4" t="s">
        <v>1043</v>
      </c>
      <c r="F411" s="4" t="str">
        <f>IFERROR(__xludf.DUMMYFUNCTION("GOOGLETRANSLATE(A411, ""en"", ""hi"")"),"410")</f>
        <v>410</v>
      </c>
      <c r="G411" s="4" t="str">
        <f>IFERROR(__xludf.DUMMYFUNCTION("GOOGLETRANSLATE(B411, ""en"", ""hi"")"),"कौन सा शतरंज खिलाड़ी 2013 में सबसे कम उम्र का विश्व शतरंज चैंपियन बना?")</f>
        <v>कौन सा शतरंज खिलाड़ी 2013 में सबसे कम उम्र का विश्व शतरंज चैंपियन बना?</v>
      </c>
      <c r="H411" s="4" t="str">
        <f>IFERROR(__xludf.DUMMYFUNCTION("GOOGLETRANSLATE(C411, ""en"", ""hi"")"),"ए) विश्वनाथन आनंद, बी) मैग्नस कार्लसन, सी) गैरी कास्परोव, डी) व्लादिमीर क्रैमनिक")</f>
        <v>ए) विश्वनाथन आनंद, बी) मैग्नस कार्लसन, सी) गैरी कास्परोव, डी) व्लादिमीर क्रैमनिक</v>
      </c>
      <c r="I411" s="4" t="str">
        <f>IFERROR(__xludf.DUMMYFUNCTION("GOOGLETRANSLATE(D411, ""en"", ""hi"")"),"B) मैग्नस कार्लसन")</f>
        <v>B) मैग्नस कार्लसन</v>
      </c>
    </row>
    <row r="412" ht="22.5" customHeight="1">
      <c r="A412" s="3">
        <v>411.0</v>
      </c>
      <c r="B412" s="4" t="s">
        <v>1623</v>
      </c>
      <c r="C412" s="4" t="s">
        <v>1624</v>
      </c>
      <c r="D412" s="4" t="s">
        <v>1625</v>
      </c>
      <c r="F412" s="4" t="str">
        <f>IFERROR(__xludf.DUMMYFUNCTION("GOOGLETRANSLATE(A412, ""en"", ""hi"")"),"411")</f>
        <v>411</v>
      </c>
      <c r="G412" s="4" t="str">
        <f>IFERROR(__xludf.DUMMYFUNCTION("GOOGLETRANSLATE(B412, ""en"", ""hi"")"),"'द तुर्क' के नाम से कौन जाना जाता था और अपनी यांत्रिक शतरंज खेलने वाली मशीन के लिए प्रसिद्ध था?")</f>
        <v>'द तुर्क' के नाम से कौन जाना जाता था और अपनी यांत्रिक शतरंज खेलने वाली मशीन के लिए प्रसिद्ध था?</v>
      </c>
      <c r="H412" s="4" t="str">
        <f>IFERROR(__xludf.DUMMYFUNCTION("GOOGLETRANSLATE(C412, ""en"", ""hi"")"),"ए) वोल्फगैंग वॉन केम्पलेन, बी) चार्ल्स बैबेज, सी) रिचर्ड रेती, डी) विल्हेम स्टीनित्ज़")</f>
        <v>ए) वोल्फगैंग वॉन केम्पलेन, बी) चार्ल्स बैबेज, सी) रिचर्ड रेती, डी) विल्हेम स्टीनित्ज़</v>
      </c>
      <c r="I412" s="4" t="str">
        <f>IFERROR(__xludf.DUMMYFUNCTION("GOOGLETRANSLATE(D412, ""en"", ""hi"")"),"A) वोल्फगैंग वॉन केम्पेलेन")</f>
        <v>A) वोल्फगैंग वॉन केम्पेलेन</v>
      </c>
    </row>
    <row r="413" ht="22.5" customHeight="1">
      <c r="A413" s="3">
        <v>412.0</v>
      </c>
      <c r="B413" s="4" t="s">
        <v>1626</v>
      </c>
      <c r="C413" s="4" t="s">
        <v>1627</v>
      </c>
      <c r="D413" s="4" t="s">
        <v>1021</v>
      </c>
      <c r="F413" s="4" t="str">
        <f>IFERROR(__xludf.DUMMYFUNCTION("GOOGLETRANSLATE(A413, ""en"", ""hi"")"),"412")</f>
        <v>412</v>
      </c>
      <c r="G413" s="4" t="str">
        <f>IFERROR(__xludf.DUMMYFUNCTION("GOOGLETRANSLATE(B413, ""en"", ""hi"")"),"उस शतरंज खिलाड़ी का नाम क्या था जिसने 1997 में आईबीएम के डीप ब्लू के खिलाफ खेले गए खेल में गैरी कास्पारोव को हराया था?")</f>
        <v>उस शतरंज खिलाड़ी का नाम क्या था जिसने 1997 में आईबीएम के डीप ब्लू के खिलाफ खेले गए खेल में गैरी कास्पारोव को हराया था?</v>
      </c>
      <c r="H413" s="4" t="str">
        <f>IFERROR(__xludf.DUMMYFUNCTION("GOOGLETRANSLATE(C413, ""en"", ""hi"")"),"ए) व्लादिमीर क्रैमनिक, बी) बोरिस स्पैस्की, सी) अनातोली कारपोव, डी) गैरी कास्परोव")</f>
        <v>ए) व्लादिमीर क्रैमनिक, बी) बोरिस स्पैस्की, सी) अनातोली कारपोव, डी) गैरी कास्परोव</v>
      </c>
      <c r="I413" s="4" t="str">
        <f>IFERROR(__xludf.DUMMYFUNCTION("GOOGLETRANSLATE(D413, ""en"", ""hi"")"),"D) गैरी कास्परोव")</f>
        <v>D) गैरी कास्परोव</v>
      </c>
    </row>
    <row r="414" ht="22.5" customHeight="1">
      <c r="A414" s="3">
        <v>413.0</v>
      </c>
      <c r="B414" s="4" t="s">
        <v>1628</v>
      </c>
      <c r="C414" s="4" t="s">
        <v>1629</v>
      </c>
      <c r="D414" s="4" t="s">
        <v>1095</v>
      </c>
      <c r="F414" s="4" t="str">
        <f>IFERROR(__xludf.DUMMYFUNCTION("GOOGLETRANSLATE(A414, ""en"", ""hi"")"),"413")</f>
        <v>413</v>
      </c>
      <c r="G414" s="4" t="str">
        <f>IFERROR(__xludf.DUMMYFUNCTION("GOOGLETRANSLATE(B414, ""en"", ""hi"")"),"वह विश्व शतरंज चैंपियन कौन था जिसने 1969 से 1985 तक 20 वर्षों तक खिताब अपने पास रखा?")</f>
        <v>वह विश्व शतरंज चैंपियन कौन था जिसने 1969 से 1985 तक 20 वर्षों तक खिताब अपने पास रखा?</v>
      </c>
      <c r="H414" s="4" t="str">
        <f>IFERROR(__xludf.DUMMYFUNCTION("GOOGLETRANSLATE(C414, ""en"", ""hi"")"),"ए) बॉबी फिशर, बी) गैरी कास्पारोव, सी) अनातोली कारपोव, डी) इमानुएल लास्कर")</f>
        <v>ए) बॉबी फिशर, बी) गैरी कास्पारोव, सी) अनातोली कारपोव, डी) इमानुएल लास्कर</v>
      </c>
      <c r="I414" s="4" t="str">
        <f>IFERROR(__xludf.DUMMYFUNCTION("GOOGLETRANSLATE(D414, ""en"", ""hi"")"),"C) अनातोली कार्पोव")</f>
        <v>C) अनातोली कार्पोव</v>
      </c>
    </row>
    <row r="415" ht="22.5" customHeight="1">
      <c r="A415" s="3">
        <v>414.0</v>
      </c>
      <c r="B415" s="4" t="s">
        <v>1630</v>
      </c>
      <c r="C415" s="4" t="s">
        <v>1631</v>
      </c>
      <c r="D415" s="4" t="s">
        <v>1632</v>
      </c>
      <c r="F415" s="4" t="str">
        <f>IFERROR(__xludf.DUMMYFUNCTION("GOOGLETRANSLATE(A415, ""en"", ""hi"")"),"414")</f>
        <v>414</v>
      </c>
      <c r="G415" s="4" t="str">
        <f>IFERROR(__xludf.DUMMYFUNCTION("GOOGLETRANSLATE(B415, ""en"", ""hi"")"),"कौन सा शतरंज टूर्नामेंट विश्व स्तर के प्रतिभागियों की उच्च संख्या के लिए जाना जाता है और नीदरलैंड के विज्क आन ज़ी में प्रतिवर्ष आयोजित किया जाता है?")</f>
        <v>कौन सा शतरंज टूर्नामेंट विश्व स्तर के प्रतिभागियों की उच्च संख्या के लिए जाना जाता है और नीदरलैंड के विज्क आन ज़ी में प्रतिवर्ष आयोजित किया जाता है?</v>
      </c>
      <c r="H415" s="4" t="str">
        <f>IFERROR(__xludf.DUMMYFUNCTION("GOOGLETRANSLATE(C415, ""en"", ""hi"")"),"ए) टाटा स्टील शतरंज टूर्नामेंट, बी) सिंकफील्ड कप, सी) लंदन शतरंज क्लासिक, डी) कैंडिडेट्स टूर्नामेंट")</f>
        <v>ए) टाटा स्टील शतरंज टूर्नामेंट, बी) सिंकफील्ड कप, सी) लंदन शतरंज क्लासिक, डी) कैंडिडेट्स टूर्नामेंट</v>
      </c>
      <c r="I415" s="4" t="str">
        <f>IFERROR(__xludf.DUMMYFUNCTION("GOOGLETRANSLATE(D415, ""en"", ""hi"")"),"ए) टाटा स्टील शतरंज टूर्नामेंट")</f>
        <v>ए) टाटा स्टील शतरंज टूर्नामेंट</v>
      </c>
    </row>
    <row r="416" ht="22.5" customHeight="1">
      <c r="A416" s="3">
        <v>415.0</v>
      </c>
      <c r="B416" s="4" t="s">
        <v>1633</v>
      </c>
      <c r="C416" s="4" t="s">
        <v>1634</v>
      </c>
      <c r="D416" s="4" t="s">
        <v>1635</v>
      </c>
      <c r="F416" s="4" t="str">
        <f>IFERROR(__xludf.DUMMYFUNCTION("GOOGLETRANSLATE(A416, ""en"", ""hi"")"),"415")</f>
        <v>415</v>
      </c>
      <c r="G416" s="4" t="str">
        <f>IFERROR(__xludf.DUMMYFUNCTION("GOOGLETRANSLATE(B416, ""en"", ""hi"")"),"किस शतरंज खिलाड़ी को 'रीगा का गौरव' के नाम से जाना जाता था?")</f>
        <v>किस शतरंज खिलाड़ी को 'रीगा का गौरव' के नाम से जाना जाता था?</v>
      </c>
      <c r="H416" s="4" t="str">
        <f>IFERROR(__xludf.DUMMYFUNCTION("GOOGLETRANSLATE(C416, ""en"", ""hi"")"),"ए) पॉल केरेस, बी) मिखाइल ताल, सी) विक्टर कोरचनोई, डी) अलेक्जेंडर अलेखिन")</f>
        <v>ए) पॉल केरेस, बी) मिखाइल ताल, सी) विक्टर कोरचनोई, डी) अलेक्जेंडर अलेखिन</v>
      </c>
      <c r="I416" s="4" t="str">
        <f>IFERROR(__xludf.DUMMYFUNCTION("GOOGLETRANSLATE(D416, ""en"", ""hi"")"),"A) पॉल केरेस")</f>
        <v>A) पॉल केरेस</v>
      </c>
    </row>
    <row r="417" ht="22.5" customHeight="1">
      <c r="A417" s="3">
        <v>416.0</v>
      </c>
      <c r="B417" s="4" t="s">
        <v>1636</v>
      </c>
      <c r="C417" s="4" t="s">
        <v>1637</v>
      </c>
      <c r="D417" s="4" t="s">
        <v>1638</v>
      </c>
      <c r="F417" s="4" t="str">
        <f>IFERROR(__xludf.DUMMYFUNCTION("GOOGLETRANSLATE(A417, ""en"", ""hi"")"),"416")</f>
        <v>416</v>
      </c>
      <c r="G417" s="4" t="str">
        <f>IFERROR(__xludf.DUMMYFUNCTION("GOOGLETRANSLATE(B417, ""en"", ""hi"")"),"यूरोप में शतरंज को लोकप्रियता किस शताब्दी में मिलनी शुरू हुई?")</f>
        <v>यूरोप में शतरंज को लोकप्रियता किस शताब्दी में मिलनी शुरू हुई?</v>
      </c>
      <c r="H417" s="4" t="str">
        <f>IFERROR(__xludf.DUMMYFUNCTION("GOOGLETRANSLATE(C417, ""en"", ""hi"")"),"A) 12वीं शताब्दी, B) 14वीं शताब्दी, C) 16वीं शताब्दी, D) 18वीं शताब्दी")</f>
        <v>A) 12वीं शताब्दी, B) 14वीं शताब्दी, C) 16वीं शताब्दी, D) 18वीं शताब्दी</v>
      </c>
      <c r="I417" s="4" t="str">
        <f>IFERROR(__xludf.DUMMYFUNCTION("GOOGLETRANSLATE(D417, ""en"", ""hi"")"),"सी) 16वीं शताब्दी")</f>
        <v>सी) 16वीं शताब्दी</v>
      </c>
    </row>
    <row r="418" ht="22.5" customHeight="1">
      <c r="A418" s="3">
        <v>417.0</v>
      </c>
      <c r="B418" s="4" t="s">
        <v>1639</v>
      </c>
      <c r="C418" s="4" t="s">
        <v>1640</v>
      </c>
      <c r="D418" s="4" t="s">
        <v>943</v>
      </c>
      <c r="F418" s="4" t="str">
        <f>IFERROR(__xludf.DUMMYFUNCTION("GOOGLETRANSLATE(A418, ""en"", ""hi"")"),"417")</f>
        <v>417</v>
      </c>
      <c r="G418" s="4" t="str">
        <f>IFERROR(__xludf.DUMMYFUNCTION("GOOGLETRANSLATE(B418, ""en"", ""hi"")"),"कौन सा प्रसिद्ध शतरंज खिलाड़ी अपनी पुस्तक 'माई ग्रेट प्रीडेसर्स' श्रृंखला के लिए जाना जाता था?")</f>
        <v>कौन सा प्रसिद्ध शतरंज खिलाड़ी अपनी पुस्तक 'माई ग्रेट प्रीडेसर्स' श्रृंखला के लिए जाना जाता था?</v>
      </c>
      <c r="H418" s="4" t="str">
        <f>IFERROR(__xludf.DUMMYFUNCTION("GOOGLETRANSLATE(C418, ""en"", ""hi"")"),"ए) गैरी कास्पारोव, बी) बॉबी फिशर, सी) इमानुएल लास्कर, डी) जोस राउल कैपब्लांका")</f>
        <v>ए) गैरी कास्पारोव, बी) बॉबी फिशर, सी) इमानुएल लास्कर, डी) जोस राउल कैपब्लांका</v>
      </c>
      <c r="I418" s="4" t="str">
        <f>IFERROR(__xludf.DUMMYFUNCTION("GOOGLETRANSLATE(D418, ""en"", ""hi"")"),"A) गैरी कास्पारोव")</f>
        <v>A) गैरी कास्पारोव</v>
      </c>
    </row>
    <row r="419" ht="22.5" customHeight="1">
      <c r="A419" s="3">
        <v>418.0</v>
      </c>
      <c r="B419" s="4" t="s">
        <v>1641</v>
      </c>
      <c r="C419" s="4" t="s">
        <v>1642</v>
      </c>
      <c r="D419" s="4" t="s">
        <v>905</v>
      </c>
      <c r="F419" s="4" t="str">
        <f>IFERROR(__xludf.DUMMYFUNCTION("GOOGLETRANSLATE(A419, ""en"", ""hi"")"),"418")</f>
        <v>418</v>
      </c>
      <c r="G419" s="4" t="str">
        <f>IFERROR(__xludf.DUMMYFUNCTION("GOOGLETRANSLATE(B419, ""en"", ""hi"")"),"उस कंप्यूटर का नाम क्या था जिसने 1996 और 1997 में गैरी कास्पारोव को कई मैचों में हराया था?")</f>
        <v>उस कंप्यूटर का नाम क्या था जिसने 1996 और 1997 में गैरी कास्पारोव को कई मैचों में हराया था?</v>
      </c>
      <c r="H419" s="4" t="str">
        <f>IFERROR(__xludf.DUMMYFUNCTION("GOOGLETRANSLATE(C419, ""en"", ""hi"")"),"A) डीप ब्लू, B) डीप माइंड, C) वॉटसन, D) अल्फागो")</f>
        <v>A) डीप ब्लू, B) डीप माइंड, C) वॉटसन, D) अल्फागो</v>
      </c>
      <c r="I419" s="4" t="str">
        <f>IFERROR(__xludf.DUMMYFUNCTION("GOOGLETRANSLATE(D419, ""en"", ""hi"")"),"A) गहरा नीला")</f>
        <v>A) गहरा नीला</v>
      </c>
    </row>
    <row r="420" ht="22.5" customHeight="1">
      <c r="A420" s="3">
        <v>419.0</v>
      </c>
      <c r="B420" s="4" t="s">
        <v>1643</v>
      </c>
      <c r="C420" s="4" t="s">
        <v>1644</v>
      </c>
      <c r="D420" s="4" t="s">
        <v>985</v>
      </c>
      <c r="F420" s="4" t="str">
        <f>IFERROR(__xludf.DUMMYFUNCTION("GOOGLETRANSLATE(A420, ""en"", ""hi"")"),"419")</f>
        <v>419</v>
      </c>
      <c r="G420" s="4" t="str">
        <f>IFERROR(__xludf.DUMMYFUNCTION("GOOGLETRANSLATE(B420, ""en"", ""hi"")"),"कौन सा शतरंज खिलाड़ी शतरंज सिद्धांत में अपने योगदान के लिए जाना जाता था और सोवियत शतरंज स्कूल में एक अग्रणी व्यक्ति था?")</f>
        <v>कौन सा शतरंज खिलाड़ी शतरंज सिद्धांत में अपने योगदान के लिए जाना जाता था और सोवियत शतरंज स्कूल में एक अग्रणी व्यक्ति था?</v>
      </c>
      <c r="H420" s="4" t="str">
        <f>IFERROR(__xludf.DUMMYFUNCTION("GOOGLETRANSLATE(C420, ""en"", ""hi"")"),"ए) मिखाइल बोट्वनिक, बी) अलेक्जेंडर अलेखिन, सी) पॉल केरेस, डी) बोरिस स्पैस्की")</f>
        <v>ए) मिखाइल बोट्वनिक, बी) अलेक्जेंडर अलेखिन, सी) पॉल केरेस, डी) बोरिस स्पैस्की</v>
      </c>
      <c r="I420" s="4" t="str">
        <f>IFERROR(__xludf.DUMMYFUNCTION("GOOGLETRANSLATE(D420, ""en"", ""hi"")"),"A) मिखाइल बोट्विननिक")</f>
        <v>A) मिखाइल बोट्विननिक</v>
      </c>
    </row>
    <row r="421" ht="22.5" customHeight="1">
      <c r="A421" s="3">
        <v>420.0</v>
      </c>
      <c r="B421" s="4" t="s">
        <v>1645</v>
      </c>
      <c r="C421" s="4" t="s">
        <v>1646</v>
      </c>
      <c r="D421" s="4" t="s">
        <v>1647</v>
      </c>
      <c r="F421" s="4" t="str">
        <f>IFERROR(__xludf.DUMMYFUNCTION("GOOGLETRANSLATE(A421, ""en"", ""hi"")"),"420")</f>
        <v>420</v>
      </c>
      <c r="G421" s="4" t="str">
        <f>IFERROR(__xludf.DUMMYFUNCTION("GOOGLETRANSLATE(B421, ""en"", ""hi"")"),"कौन सा प्रसिद्ध शतरंज खिलाड़ी 2020 नेटफ्लिक्स श्रृंखला 'द क्वीन्स गैम्बिट' का विषय था?")</f>
        <v>कौन सा प्रसिद्ध शतरंज खिलाड़ी 2020 नेटफ्लिक्स श्रृंखला 'द क्वीन्स गैम्बिट' का विषय था?</v>
      </c>
      <c r="H421" s="4" t="str">
        <f>IFERROR(__xludf.DUMMYFUNCTION("GOOGLETRANSLATE(C421, ""en"", ""hi"")"),"A) बेथ हार्मन, B) गैरी कास्परोव, C) बॉबी फिशर, D) मैग्नस कार्लसन")</f>
        <v>A) बेथ हार्मन, B) गैरी कास्परोव, C) बॉबी फिशर, D) मैग्नस कार्लसन</v>
      </c>
      <c r="I421" s="4" t="str">
        <f>IFERROR(__xludf.DUMMYFUNCTION("GOOGLETRANSLATE(D421, ""en"", ""hi"")"),"A) बेथ हार्मन")</f>
        <v>A) बेथ हार्मन</v>
      </c>
    </row>
    <row r="422" ht="22.5" customHeight="1">
      <c r="A422" s="3">
        <v>421.0</v>
      </c>
      <c r="B422" s="4" t="s">
        <v>1648</v>
      </c>
      <c r="C422" s="4" t="s">
        <v>1649</v>
      </c>
      <c r="D422" s="4" t="s">
        <v>1650</v>
      </c>
      <c r="F422" s="4" t="str">
        <f>IFERROR(__xludf.DUMMYFUNCTION("GOOGLETRANSLATE(A422, ""en"", ""hi"")"),"421")</f>
        <v>421</v>
      </c>
      <c r="G422" s="4" t="str">
        <f>IFERROR(__xludf.DUMMYFUNCTION("GOOGLETRANSLATE(B422, ""en"", ""hi"")"),"'सिसिलियन डिफेंस' नामक ओपनिंग के निर्माण के लिए कौन जाना जाता है?")</f>
        <v>'सिसिलियन डिफेंस' नामक ओपनिंग के निर्माण के लिए कौन जाना जाता है?</v>
      </c>
      <c r="H422" s="4" t="str">
        <f>IFERROR(__xludf.DUMMYFUNCTION("GOOGLETRANSLATE(C422, ""en"", ""hi"")"),"ए) गैरी कास्पारोव, बी) बॉबी फिशर, सी) पॉल केरेस, डी) पिएत्रो कैरेरा")</f>
        <v>ए) गैरी कास्पारोव, बी) बॉबी फिशर, सी) पॉल केरेस, डी) पिएत्रो कैरेरा</v>
      </c>
      <c r="I422" s="4" t="str">
        <f>IFERROR(__xludf.DUMMYFUNCTION("GOOGLETRANSLATE(D422, ""en"", ""hi"")"),"D) पिएत्रो कैरेरा")</f>
        <v>D) पिएत्रो कैरेरा</v>
      </c>
    </row>
    <row r="423" ht="22.5" customHeight="1">
      <c r="A423" s="3">
        <v>422.0</v>
      </c>
      <c r="B423" s="4" t="s">
        <v>1651</v>
      </c>
      <c r="C423" s="4" t="s">
        <v>1652</v>
      </c>
      <c r="D423" s="4" t="s">
        <v>1653</v>
      </c>
      <c r="F423" s="4" t="str">
        <f>IFERROR(__xludf.DUMMYFUNCTION("GOOGLETRANSLATE(A423, ""en"", ""hi"")"),"422")</f>
        <v>422</v>
      </c>
      <c r="G423" s="4" t="str">
        <f>IFERROR(__xludf.DUMMYFUNCTION("GOOGLETRANSLATE(B423, ""en"", ""hi"")"),"शतरंज के उस मोहरे का नाम क्या है जिसे खेल के पुराने संस्करणों में 'रथ' के नाम से जाना जाता था?")</f>
        <v>शतरंज के उस मोहरे का नाम क्या है जिसे खेल के पुराने संस्करणों में 'रथ' के नाम से जाना जाता था?</v>
      </c>
      <c r="H423" s="4" t="str">
        <f>IFERROR(__xludf.DUMMYFUNCTION("GOOGLETRANSLATE(C423, ""en"", ""hi"")"),"A) नाइट, B) रूक, C) बिशप, D) क्वीन")</f>
        <v>A) नाइट, B) रूक, C) बिशप, D) क्वीन</v>
      </c>
      <c r="I423" s="4" t="str">
        <f>IFERROR(__xludf.DUMMYFUNCTION("GOOGLETRANSLATE(D423, ""en"", ""hi"")"),"बी) रूक")</f>
        <v>बी) रूक</v>
      </c>
    </row>
    <row r="424" ht="22.5" customHeight="1">
      <c r="A424" s="3">
        <v>423.0</v>
      </c>
      <c r="B424" s="4" t="s">
        <v>1654</v>
      </c>
      <c r="C424" s="4" t="s">
        <v>1024</v>
      </c>
      <c r="D424" s="4" t="s">
        <v>1110</v>
      </c>
      <c r="F424" s="4" t="str">
        <f>IFERROR(__xludf.DUMMYFUNCTION("GOOGLETRANSLATE(A424, ""en"", ""hi"")"),"423")</f>
        <v>423</v>
      </c>
      <c r="G424" s="4" t="str">
        <f>IFERROR(__xludf.DUMMYFUNCTION("GOOGLETRANSLATE(B424, ""en"", ""hi"")"),"कौन सा विश्व शतरंज चैंपियन अपनी गहन और जटिल अंतिम तकनीकों के लिए जाना जाता है और एक प्रमुख लेखक और शिक्षक भी था?")</f>
        <v>कौन सा विश्व शतरंज चैंपियन अपनी गहन और जटिल अंतिम तकनीकों के लिए जाना जाता है और एक प्रमुख लेखक और शिक्षक भी था?</v>
      </c>
      <c r="H424" s="4" t="str">
        <f>IFERROR(__xludf.DUMMYFUNCTION("GOOGLETRANSLATE(C424,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424" s="4" t="str">
        <f>IFERROR(__xludf.DUMMYFUNCTION("GOOGLETRANSLATE(D424, ""en"", ""hi"")"),"B) जोस राउल कैपब्लैंका")</f>
        <v>B) जोस राउल कैपब्लैंका</v>
      </c>
    </row>
    <row r="425" ht="22.5" customHeight="1">
      <c r="A425" s="3">
        <v>424.0</v>
      </c>
      <c r="B425" s="4" t="s">
        <v>1655</v>
      </c>
      <c r="C425" s="4" t="s">
        <v>1656</v>
      </c>
      <c r="D425" s="4" t="s">
        <v>1657</v>
      </c>
      <c r="F425" s="4" t="str">
        <f>IFERROR(__xludf.DUMMYFUNCTION("GOOGLETRANSLATE(A425, ""en"", ""hi"")"),"424")</f>
        <v>424</v>
      </c>
      <c r="G425" s="4" t="str">
        <f>IFERROR(__xludf.DUMMYFUNCTION("GOOGLETRANSLATE(B425, ""en"", ""hi"")"),"पहली आधिकारिक FIDE विश्व शतरंज चैंपियनशिप किस वर्ष आयोजित हुई थी?")</f>
        <v>पहली आधिकारिक FIDE विश्व शतरंज चैंपियनशिप किस वर्ष आयोजित हुई थी?</v>
      </c>
      <c r="H425" s="4" t="str">
        <f>IFERROR(__xludf.DUMMYFUNCTION("GOOGLETRANSLATE(C425, ""en"", ""hi"")"),"ए) 1927, बी) 1948, सी) 1955, डी) 1969")</f>
        <v>ए) 1927, बी) 1948, सी) 1955, डी) 1969</v>
      </c>
      <c r="I425" s="4" t="str">
        <f>IFERROR(__xludf.DUMMYFUNCTION("GOOGLETRANSLATE(D425, ""en"", ""hi"")"),"बी) 1948")</f>
        <v>बी) 1948</v>
      </c>
    </row>
    <row r="426" ht="22.5" customHeight="1">
      <c r="A426" s="3">
        <v>425.0</v>
      </c>
      <c r="B426" s="4" t="s">
        <v>1658</v>
      </c>
      <c r="C426" s="4" t="s">
        <v>1659</v>
      </c>
      <c r="D426" s="4" t="s">
        <v>943</v>
      </c>
      <c r="F426" s="4" t="str">
        <f>IFERROR(__xludf.DUMMYFUNCTION("GOOGLETRANSLATE(A426, ""en"", ""hi"")"),"425")</f>
        <v>425</v>
      </c>
      <c r="G426" s="4" t="str">
        <f>IFERROR(__xludf.DUMMYFUNCTION("GOOGLETRANSLATE(B426, ""en"", ""hi"")"),"कौन सा शतरंज खिलाड़ी अपनी गहरी शुरुआती तैयारी के लिए जाना जाता था और अक्सर शतरंज के 'कास्पारोव स्कूल' से जुड़ा हुआ था?")</f>
        <v>कौन सा शतरंज खिलाड़ी अपनी गहरी शुरुआती तैयारी के लिए जाना जाता था और अक्सर शतरंज के 'कास्पारोव स्कूल' से जुड़ा हुआ था?</v>
      </c>
      <c r="H426" s="4" t="str">
        <f>IFERROR(__xludf.DUMMYFUNCTION("GOOGLETRANSLATE(C426, ""en"", ""hi"")"),"ए) गैरी कास्पारोव, बी) अनातोली कार्पोव, सी) व्लादिमीर क्रैमनिक, डी) विश्वनाथन आनंद")</f>
        <v>ए) गैरी कास्पारोव, बी) अनातोली कार्पोव, सी) व्लादिमीर क्रैमनिक, डी) विश्वनाथन आनंद</v>
      </c>
      <c r="I426" s="4" t="str">
        <f>IFERROR(__xludf.DUMMYFUNCTION("GOOGLETRANSLATE(D426, ""en"", ""hi"")"),"A) गैरी कास्पारोव")</f>
        <v>A) गैरी कास्पारोव</v>
      </c>
    </row>
    <row r="427" ht="22.5" customHeight="1">
      <c r="A427" s="3">
        <v>426.0</v>
      </c>
      <c r="B427" s="4" t="s">
        <v>1660</v>
      </c>
      <c r="C427" s="4" t="s">
        <v>1661</v>
      </c>
      <c r="D427" s="4" t="s">
        <v>1295</v>
      </c>
      <c r="F427" s="4" t="str">
        <f>IFERROR(__xludf.DUMMYFUNCTION("GOOGLETRANSLATE(A427, ""en"", ""hi"")"),"426")</f>
        <v>426</v>
      </c>
      <c r="G427" s="4" t="str">
        <f>IFERROR(__xludf.DUMMYFUNCTION("GOOGLETRANSLATE(B427, ""en"", ""hi"")"),"किस प्रसिद्ध शतरंज खिलाड़ी को 'रीगा का स्फिंक्स' उपनाम दिया गया था?")</f>
        <v>किस प्रसिद्ध शतरंज खिलाड़ी को 'रीगा का स्फिंक्स' उपनाम दिया गया था?</v>
      </c>
      <c r="H427" s="4" t="str">
        <f>IFERROR(__xludf.DUMMYFUNCTION("GOOGLETRANSLATE(C427, ""en"", ""hi"")"),"ए) पॉल केरेस, बी) मिखाइल ताल, सी) विक्टर कोरचनोई, डी) अनातोली कारपोव")</f>
        <v>ए) पॉल केरेस, बी) मिखाइल ताल, सी) विक्टर कोरचनोई, डी) अनातोली कारपोव</v>
      </c>
      <c r="I427" s="4" t="str">
        <f>IFERROR(__xludf.DUMMYFUNCTION("GOOGLETRANSLATE(D427, ""en"", ""hi"")"),"B) मिखाइल ताल")</f>
        <v>B) मिखाइल ताल</v>
      </c>
    </row>
    <row r="428" ht="22.5" customHeight="1">
      <c r="A428" s="3">
        <v>427.0</v>
      </c>
      <c r="B428" s="4" t="s">
        <v>1662</v>
      </c>
      <c r="C428" s="4" t="s">
        <v>1610</v>
      </c>
      <c r="D428" s="4" t="s">
        <v>1663</v>
      </c>
      <c r="F428" s="4" t="str">
        <f>IFERROR(__xludf.DUMMYFUNCTION("GOOGLETRANSLATE(A428, ""en"", ""hi"")"),"427")</f>
        <v>427</v>
      </c>
      <c r="G428" s="4" t="str">
        <f>IFERROR(__xludf.DUMMYFUNCTION("GOOGLETRANSLATE(B428, ""en"", ""hi"")"),"1953 में आयोजित उस शतरंज टूर्नामेंट का नाम क्या था जो अपने समय की सबसे प्रतिष्ठित प्रतियोगिताओं में से एक थी?")</f>
        <v>1953 में आयोजित उस शतरंज टूर्नामेंट का नाम क्या था जो अपने समय की सबसे प्रतिष्ठित प्रतियोगिताओं में से एक थी?</v>
      </c>
      <c r="H428" s="4" t="str">
        <f>IFERROR(__xludf.DUMMYFUNCTION("GOOGLETRANSLATE(C428, ""en"", ""hi"")"),"A) ज्यूरिख टूर्नामेंट, B) कैंडिडेट्स टूर्नामेंट, C) मॉस्को टूर्नामेंट, D) लंदन टूर्नामेंट")</f>
        <v>A) ज्यूरिख टूर्नामेंट, B) कैंडिडेट्स टूर्नामेंट, C) मॉस्को टूर्नामेंट, D) लंदन टूर्नामेंट</v>
      </c>
      <c r="I428" s="4" t="str">
        <f>IFERROR(__xludf.DUMMYFUNCTION("GOOGLETRANSLATE(D428, ""en"", ""hi"")"),"ए) ज्यूरिख टूर्नामेंट")</f>
        <v>ए) ज्यूरिख टूर्नामेंट</v>
      </c>
    </row>
    <row r="429" ht="22.5" customHeight="1">
      <c r="A429" s="3">
        <v>428.0</v>
      </c>
      <c r="B429" s="4" t="s">
        <v>1664</v>
      </c>
      <c r="C429" s="4" t="s">
        <v>1665</v>
      </c>
      <c r="D429" s="4" t="s">
        <v>943</v>
      </c>
      <c r="F429" s="4" t="str">
        <f>IFERROR(__xludf.DUMMYFUNCTION("GOOGLETRANSLATE(A429, ""en"", ""hi"")"),"428")</f>
        <v>428</v>
      </c>
      <c r="G429" s="4" t="str">
        <f>IFERROR(__xludf.DUMMYFUNCTION("GOOGLETRANSLATE(B429, ""en"", ""hi"")"),"किस शतरंज खिलाड़ी ने 1996 में एक मैच में कंप्यूटर डीप ब्लू को हराया था?")</f>
        <v>किस शतरंज खिलाड़ी ने 1996 में एक मैच में कंप्यूटर डीप ब्लू को हराया था?</v>
      </c>
      <c r="H429" s="4" t="str">
        <f>IFERROR(__xludf.DUMMYFUNCTION("GOOGLETRANSLATE(C429, ""en"", ""hi"")"),"ए) गैरी कास्पारोव, बी) व्लादिमीर क्रैमनिक, सी) अनातोली कारपोव, डी) बॉबी फिशर")</f>
        <v>ए) गैरी कास्पारोव, बी) व्लादिमीर क्रैमनिक, सी) अनातोली कारपोव, डी) बॉबी फिशर</v>
      </c>
      <c r="I429" s="4" t="str">
        <f>IFERROR(__xludf.DUMMYFUNCTION("GOOGLETRANSLATE(D429, ""en"", ""hi"")"),"A) गैरी कास्पारोव")</f>
        <v>A) गैरी कास्पारोव</v>
      </c>
    </row>
    <row r="430" ht="22.5" customHeight="1">
      <c r="A430" s="3">
        <v>429.0</v>
      </c>
      <c r="B430" s="4" t="s">
        <v>1666</v>
      </c>
      <c r="C430" s="4" t="s">
        <v>1024</v>
      </c>
      <c r="D430" s="4" t="s">
        <v>980</v>
      </c>
      <c r="F430" s="4" t="str">
        <f>IFERROR(__xludf.DUMMYFUNCTION("GOOGLETRANSLATE(A430, ""en"", ""hi"")"),"429")</f>
        <v>429</v>
      </c>
      <c r="G430" s="4" t="str">
        <f>IFERROR(__xludf.DUMMYFUNCTION("GOOGLETRANSLATE(B430, ""en"", ""hi"")"),"1907 से 1921 तक विश्व शतरंज चैंपियन कौन था?")</f>
        <v>1907 से 1921 तक विश्व शतरंज चैंपियन कौन था?</v>
      </c>
      <c r="H430" s="4" t="str">
        <f>IFERROR(__xludf.DUMMYFUNCTION("GOOGLETRANSLATE(C430,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430" s="4" t="str">
        <f>IFERROR(__xludf.DUMMYFUNCTION("GOOGLETRANSLATE(D430, ""en"", ""hi"")"),"A) इमानुएल लास्कर")</f>
        <v>A) इमानुएल लास्कर</v>
      </c>
    </row>
    <row r="431" ht="22.5" customHeight="1">
      <c r="A431" s="3">
        <v>430.0</v>
      </c>
      <c r="B431" s="4" t="s">
        <v>1667</v>
      </c>
      <c r="C431" s="4" t="s">
        <v>1668</v>
      </c>
      <c r="D431" s="4" t="s">
        <v>908</v>
      </c>
      <c r="F431" s="4" t="str">
        <f>IFERROR(__xludf.DUMMYFUNCTION("GOOGLETRANSLATE(A431, ""en"", ""hi"")"),"430")</f>
        <v>430</v>
      </c>
      <c r="G431" s="4" t="str">
        <f>IFERROR(__xludf.DUMMYFUNCTION("GOOGLETRANSLATE(B431, ""en"", ""hi"")"),"किस शतरंज खिलाड़ी को 'रीगा का जादूगर' के नाम से जाना जाता था?")</f>
        <v>किस शतरंज खिलाड़ी को 'रीगा का जादूगर' के नाम से जाना जाता था?</v>
      </c>
      <c r="H431" s="4" t="str">
        <f>IFERROR(__xludf.DUMMYFUNCTION("GOOGLETRANSLATE(C431, ""en"", ""hi"")"),"ए) मिखाइल ताल, बी) पॉल केरेस, सी) विक्टर कोरचनोई, डी) अलेक्जेंडर अलेखिन")</f>
        <v>ए) मिखाइल ताल, बी) पॉल केरेस, सी) विक्टर कोरचनोई, डी) अलेक्जेंडर अलेखिन</v>
      </c>
      <c r="I431" s="4" t="str">
        <f>IFERROR(__xludf.DUMMYFUNCTION("GOOGLETRANSLATE(D431, ""en"", ""hi"")"),"A) मिखाइल ताल")</f>
        <v>A) मिखाइल ताल</v>
      </c>
    </row>
    <row r="432" ht="22.5" customHeight="1">
      <c r="A432" s="3">
        <v>431.0</v>
      </c>
      <c r="B432" s="4" t="s">
        <v>1669</v>
      </c>
      <c r="C432" s="4" t="s">
        <v>1670</v>
      </c>
      <c r="D432" s="4" t="s">
        <v>1110</v>
      </c>
      <c r="F432" s="4" t="str">
        <f>IFERROR(__xludf.DUMMYFUNCTION("GOOGLETRANSLATE(A432, ""en"", ""hi"")"),"431")</f>
        <v>431</v>
      </c>
      <c r="G432" s="4" t="str">
        <f>IFERROR(__xludf.DUMMYFUNCTION("GOOGLETRANSLATE(B432, ""en"", ""hi"")"),"अलेक्जेंडर अलेखिन के तुरंत बाद विश्व शतरंज चैंपियन कौन था?")</f>
        <v>अलेक्जेंडर अलेखिन के तुरंत बाद विश्व शतरंज चैंपियन कौन था?</v>
      </c>
      <c r="H432" s="4" t="str">
        <f>IFERROR(__xludf.DUMMYFUNCTION("GOOGLETRANSLATE(C432, ""en"", ""hi"")"),"ए) इमानुएल लास्कर, बी) जोस राउल कैपब्लांका, सी) अनातोली कारपोव, डी) मिखाइल बोट्वनिक")</f>
        <v>ए) इमानुएल लास्कर, बी) जोस राउल कैपब्लांका, सी) अनातोली कारपोव, डी) मिखाइल बोट्वनिक</v>
      </c>
      <c r="I432" s="4" t="str">
        <f>IFERROR(__xludf.DUMMYFUNCTION("GOOGLETRANSLATE(D432, ""en"", ""hi"")"),"B) जोस राउल कैपब्लैंका")</f>
        <v>B) जोस राउल कैपब्लैंका</v>
      </c>
    </row>
    <row r="433" ht="22.5" customHeight="1">
      <c r="A433" s="3">
        <v>432.0</v>
      </c>
      <c r="B433" s="4" t="s">
        <v>1671</v>
      </c>
      <c r="C433" s="4" t="s">
        <v>1672</v>
      </c>
      <c r="D433" s="4" t="s">
        <v>1295</v>
      </c>
      <c r="F433" s="4" t="str">
        <f>IFERROR(__xludf.DUMMYFUNCTION("GOOGLETRANSLATE(A433, ""en"", ""hi"")"),"432")</f>
        <v>432</v>
      </c>
      <c r="G433" s="4" t="str">
        <f>IFERROR(__xludf.DUMMYFUNCTION("GOOGLETRANSLATE(B433, ""en"", ""hi"")"),"कौन सा प्रसिद्ध शतरंज खिलाड़ी अपनी पुस्तक 'द आर्ट ऑफ अटैक इन चेस' के लिए जाना जाता था?")</f>
        <v>कौन सा प्रसिद्ध शतरंज खिलाड़ी अपनी पुस्तक 'द आर्ट ऑफ अटैक इन चेस' के लिए जाना जाता था?</v>
      </c>
      <c r="H433" s="4" t="str">
        <f>IFERROR(__xludf.DUMMYFUNCTION("GOOGLETRANSLATE(C433, ""en"", ""hi"")"),"ए) गैरी कास्पारोव, बी) मिखाइल ताल, सी) पॉल केरेस, डी) इमानुएल लास्कर")</f>
        <v>ए) गैरी कास्पारोव, बी) मिखाइल ताल, सी) पॉल केरेस, डी) इमानुएल लास्कर</v>
      </c>
      <c r="I433" s="4" t="str">
        <f>IFERROR(__xludf.DUMMYFUNCTION("GOOGLETRANSLATE(D433, ""en"", ""hi"")"),"B) मिखाइल ताल")</f>
        <v>B) मिखाइल ताल</v>
      </c>
    </row>
    <row r="434" ht="22.5" customHeight="1">
      <c r="A434" s="3">
        <v>433.0</v>
      </c>
      <c r="B434" s="4" t="s">
        <v>1673</v>
      </c>
      <c r="C434" s="4" t="s">
        <v>1136</v>
      </c>
      <c r="D434" s="4" t="s">
        <v>962</v>
      </c>
      <c r="F434" s="4" t="str">
        <f>IFERROR(__xludf.DUMMYFUNCTION("GOOGLETRANSLATE(A434, ""en"", ""hi"")"),"433")</f>
        <v>433</v>
      </c>
      <c r="G434" s="4" t="str">
        <f>IFERROR(__xludf.DUMMYFUNCTION("GOOGLETRANSLATE(B434, ""en"", ""hi"")"),"उस शतरंज खिलाड़ी का नाम क्या था जिसने खिताबी मुकाबले में मौजूदा चैंपियन को हराकर विश्व शतरंज चैंपियनशिप जीतने वाला पहला खिलाड़ी था?")</f>
        <v>उस शतरंज खिलाड़ी का नाम क्या था जिसने खिताबी मुकाबले में मौजूदा चैंपियन को हराकर विश्व शतरंज चैंपियनशिप जीतने वाला पहला खिलाड़ी था?</v>
      </c>
      <c r="H434" s="4" t="str">
        <f>IFERROR(__xludf.DUMMYFUNCTION("GOOGLETRANSLATE(C434, ""en"", ""hi"")"),"A) विल्हेम स्टीनिट्ज़, B) इमानुएल लास्कर, C) अलेक्जेंडर अलेखिन, D) गैरी कास्पारोव")</f>
        <v>A) विल्हेम स्टीनिट्ज़, B) इमानुएल लास्कर, C) अलेक्जेंडर अलेखिन, D) गैरी कास्पारोव</v>
      </c>
      <c r="I434" s="4" t="str">
        <f>IFERROR(__xludf.DUMMYFUNCTION("GOOGLETRANSLATE(D434, ""en"", ""hi"")"),"A) विल्हेम स्टाइनिट्ज़")</f>
        <v>A) विल्हेम स्टाइनिट्ज़</v>
      </c>
    </row>
    <row r="435" ht="22.5" customHeight="1">
      <c r="A435" s="3">
        <v>434.0</v>
      </c>
      <c r="B435" s="4" t="s">
        <v>1674</v>
      </c>
      <c r="C435" s="4" t="s">
        <v>1675</v>
      </c>
      <c r="D435" s="4" t="s">
        <v>1676</v>
      </c>
      <c r="F435" s="4" t="str">
        <f>IFERROR(__xludf.DUMMYFUNCTION("GOOGLETRANSLATE(A435, ""en"", ""hi"")"),"434")</f>
        <v>434</v>
      </c>
      <c r="G435" s="4" t="str">
        <f>IFERROR(__xludf.DUMMYFUNCTION("GOOGLETRANSLATE(B435, ""en"", ""hi"")"),"कौन सा प्रसिद्ध शतरंज खिलाड़ी 'शतरंज त्रुटि के विरुद्ध संघर्ष है' कथन के लिए जाना जाता है?")</f>
        <v>कौन सा प्रसिद्ध शतरंज खिलाड़ी 'शतरंज त्रुटि के विरुद्ध संघर्ष है' कथन के लिए जाना जाता है?</v>
      </c>
      <c r="H435" s="4" t="str">
        <f>IFERROR(__xludf.DUMMYFUNCTION("GOOGLETRANSLATE(C435, ""en"", ""hi"")"),"ए) गैरी कास्पारोव, बी) बॉबी फिशर, सी) इमानुएल लास्कर, डी) मिखाइल ताल")</f>
        <v>ए) गैरी कास्पारोव, बी) बॉबी फिशर, सी) इमानुएल लास्कर, डी) मिखाइल ताल</v>
      </c>
      <c r="I435" s="4" t="str">
        <f>IFERROR(__xludf.DUMMYFUNCTION("GOOGLETRANSLATE(D435, ""en"", ""hi"")"),"C) इमानुएल लास्कर")</f>
        <v>C) इमानुएल लास्कर</v>
      </c>
    </row>
    <row r="436" ht="22.5" customHeight="1">
      <c r="A436" s="3">
        <v>435.0</v>
      </c>
      <c r="B436" s="4" t="s">
        <v>1677</v>
      </c>
      <c r="C436" s="4" t="s">
        <v>1678</v>
      </c>
      <c r="D436" s="4" t="s">
        <v>1539</v>
      </c>
      <c r="F436" s="4" t="str">
        <f>IFERROR(__xludf.DUMMYFUNCTION("GOOGLETRANSLATE(A436, ""en"", ""hi"")"),"435")</f>
        <v>435</v>
      </c>
      <c r="G436" s="4" t="str">
        <f>IFERROR(__xludf.DUMMYFUNCTION("GOOGLETRANSLATE(B436, ""en"", ""hi"")"),"कौन सा शतरंज खिलाड़ी किंग्स इंडियन डिफेंस के विकास में अपने योगदान के लिए जाना जाता था?")</f>
        <v>कौन सा शतरंज खिलाड़ी किंग्स इंडियन डिफेंस के विकास में अपने योगदान के लिए जाना जाता था?</v>
      </c>
      <c r="H436" s="4" t="str">
        <f>IFERROR(__xludf.DUMMYFUNCTION("GOOGLETRANSLATE(C436, ""en"", ""hi"")"),"ए) गैरी कास्पारोव, बी) बॉबी फिशर, सी) विक्टर कोरचनोई, डी) मिखाइल बोट्वनिक")</f>
        <v>ए) गैरी कास्पारोव, बी) बॉबी फिशर, सी) विक्टर कोरचनोई, डी) मिखाइल बोट्वनिक</v>
      </c>
      <c r="I436" s="4" t="str">
        <f>IFERROR(__xludf.DUMMYFUNCTION("GOOGLETRANSLATE(D436, ""en"", ""hi"")"),"C) विक्टर कोर्चनोई")</f>
        <v>C) विक्टर कोर्चनोई</v>
      </c>
    </row>
    <row r="437" ht="22.5" customHeight="1">
      <c r="A437" s="3">
        <v>436.0</v>
      </c>
      <c r="B437" s="4" t="s">
        <v>1679</v>
      </c>
      <c r="C437" s="4" t="s">
        <v>1680</v>
      </c>
      <c r="D437" s="4" t="s">
        <v>1681</v>
      </c>
      <c r="F437" s="4" t="str">
        <f>IFERROR(__xludf.DUMMYFUNCTION("GOOGLETRANSLATE(A437, ""en"", ""hi"")"),"436")</f>
        <v>436</v>
      </c>
      <c r="G437" s="4" t="str">
        <f>IFERROR(__xludf.DUMMYFUNCTION("GOOGLETRANSLATE(B437, ""en"", ""hi"")"),"कौन सा शतरंज खिलाड़ी 'सिसिलियन ड्रैगन' ओपनिंग के निर्माण के लिए जाना जाता है?")</f>
        <v>कौन सा शतरंज खिलाड़ी 'सिसिलियन ड्रैगन' ओपनिंग के निर्माण के लिए जाना जाता है?</v>
      </c>
      <c r="H437" s="4" t="str">
        <f>IFERROR(__xludf.DUMMYFUNCTION("GOOGLETRANSLATE(C437, ""en"", ""hi"")"),"A) गैरी कास्परोव, B) बॉबी फिशर, C) रॉबर्ट फिशर, D) ड्रैगन फिशर")</f>
        <v>A) गैरी कास्परोव, B) बॉबी फिशर, C) रॉबर्ट फिशर, D) ड्रैगन फिशर</v>
      </c>
      <c r="I437" s="4" t="str">
        <f>IFERROR(__xludf.DUMMYFUNCTION("GOOGLETRANSLATE(D437, ""en"", ""hi"")"),"C) रॉबर्ट फिशर")</f>
        <v>C) रॉबर्ट फिशर</v>
      </c>
    </row>
    <row r="438" ht="22.5" customHeight="1">
      <c r="A438" s="3">
        <v>437.0</v>
      </c>
      <c r="B438" s="4" t="s">
        <v>1682</v>
      </c>
      <c r="C438" s="4" t="s">
        <v>1424</v>
      </c>
      <c r="D438" s="4" t="s">
        <v>943</v>
      </c>
      <c r="F438" s="4" t="str">
        <f>IFERROR(__xludf.DUMMYFUNCTION("GOOGLETRANSLATE(A438, ""en"", ""hi"")"),"437")</f>
        <v>437</v>
      </c>
      <c r="G438" s="4" t="str">
        <f>IFERROR(__xludf.DUMMYFUNCTION("GOOGLETRANSLATE(B438, ""en"", ""hi"")"),"अपनी पुस्तक 'माई ग्रेट प्रीडेसर्स' के लिए प्रसिद्ध शतरंज खिलाड़ी का नाम क्या था?")</f>
        <v>अपनी पुस्तक 'माई ग्रेट प्रीडेसर्स' के लिए प्रसिद्ध शतरंज खिलाड़ी का नाम क्या था?</v>
      </c>
      <c r="H438" s="4" t="str">
        <f>IFERROR(__xludf.DUMMYFUNCTION("GOOGLETRANSLATE(C438, ""en"", ""hi"")"),"ए) गैरी कास्पारोव, बी) बॉबी फिशर, सी) व्लादिमीर क्रैमनिक, डी) जोस राउल कैपब्लांका")</f>
        <v>ए) गैरी कास्पारोव, बी) बॉबी फिशर, सी) व्लादिमीर क्रैमनिक, डी) जोस राउल कैपब्लांका</v>
      </c>
      <c r="I438" s="4" t="str">
        <f>IFERROR(__xludf.DUMMYFUNCTION("GOOGLETRANSLATE(D438, ""en"", ""hi"")"),"A) गैरी कास्पारोव")</f>
        <v>A) गैरी कास्पारोव</v>
      </c>
    </row>
    <row r="439" ht="22.5" customHeight="1">
      <c r="A439" s="3">
        <v>438.0</v>
      </c>
      <c r="B439" s="4" t="s">
        <v>1683</v>
      </c>
      <c r="C439" s="4" t="s">
        <v>1684</v>
      </c>
      <c r="D439" s="4" t="s">
        <v>1685</v>
      </c>
      <c r="F439" s="4" t="str">
        <f>IFERROR(__xludf.DUMMYFUNCTION("GOOGLETRANSLATE(A439, ""en"", ""hi"")"),"438")</f>
        <v>438</v>
      </c>
      <c r="G439" s="4" t="str">
        <f>IFERROR(__xludf.DUMMYFUNCTION("GOOGLETRANSLATE(B439, ""en"", ""hi"")"),"किस शतरंज खिलाड़ी को 'बाकू का जानवर' के नाम से जाना जाता था?")</f>
        <v>किस शतरंज खिलाड़ी को 'बाकू का जानवर' के नाम से जाना जाता था?</v>
      </c>
      <c r="H439" s="4" t="str">
        <f>IFERROR(__xludf.DUMMYFUNCTION("GOOGLETRANSLATE(C439, ""en"", ""hi"")"),"ए) गैरी कास्पारोव, बी) व्लादिमीर क्रैमनिक, सी) शखरियार मामेद्यारोव, डी) सर्गेई कारजाकिन")</f>
        <v>ए) गैरी कास्पारोव, बी) व्लादिमीर क्रैमनिक, सी) शखरियार मामेद्यारोव, डी) सर्गेई कारजाकिन</v>
      </c>
      <c r="I439" s="4" t="str">
        <f>IFERROR(__xludf.DUMMYFUNCTION("GOOGLETRANSLATE(D439, ""en"", ""hi"")"),"C) शखरियार मामेद्यारोव")</f>
        <v>C) शखरियार मामेद्यारोव</v>
      </c>
    </row>
    <row r="440" ht="22.5" customHeight="1">
      <c r="A440" s="3">
        <v>439.0</v>
      </c>
      <c r="B440" s="4" t="s">
        <v>1686</v>
      </c>
      <c r="C440" s="4" t="s">
        <v>1687</v>
      </c>
      <c r="D440" s="4" t="s">
        <v>1049</v>
      </c>
      <c r="F440" s="4" t="str">
        <f>IFERROR(__xludf.DUMMYFUNCTION("GOOGLETRANSLATE(A440, ""en"", ""hi"")"),"439")</f>
        <v>439</v>
      </c>
      <c r="G440" s="4" t="str">
        <f>IFERROR(__xludf.DUMMYFUNCTION("GOOGLETRANSLATE(B440, ""en"", ""hi"")"),"2013 से 2021 तक विश्व शतरंज चैंपियन कौन था?")</f>
        <v>2013 से 2021 तक विश्व शतरंज चैंपियन कौन था?</v>
      </c>
      <c r="H440" s="4" t="str">
        <f>IFERROR(__xludf.DUMMYFUNCTION("GOOGLETRANSLATE(C440, ""en"", ""hi"")"),"ए) गैरी कास्पारोव, बी) व्लादिमीर क्रैमनिक, सी) मैग्नस कार्लसन, डी) अनातोली कारपोव")</f>
        <v>ए) गैरी कास्पारोव, बी) व्लादिमीर क्रैमनिक, सी) मैग्नस कार्लसन, डी) अनातोली कारपोव</v>
      </c>
      <c r="I440" s="4" t="str">
        <f>IFERROR(__xludf.DUMMYFUNCTION("GOOGLETRANSLATE(D440, ""en"", ""hi"")"),"C) मैग्नस कार्लसन")</f>
        <v>C) मैग्नस कार्लसन</v>
      </c>
    </row>
    <row r="441" ht="22.5" customHeight="1">
      <c r="A441" s="3">
        <v>440.0</v>
      </c>
      <c r="B441" s="4" t="s">
        <v>1688</v>
      </c>
      <c r="C441" s="4" t="s">
        <v>1689</v>
      </c>
      <c r="D441" s="4" t="s">
        <v>1690</v>
      </c>
      <c r="F441" s="4" t="str">
        <f>IFERROR(__xludf.DUMMYFUNCTION("GOOGLETRANSLATE(A441, ""en"", ""hi"")"),"440")</f>
        <v>440</v>
      </c>
      <c r="G441" s="4" t="str">
        <f>IFERROR(__xludf.DUMMYFUNCTION("GOOGLETRANSLATE(B441, ""en"", ""hi"")"),"1.e4 e5 2.Nf3 d6 से शुरू होने वाले शतरंज ओपनिंग का नाम क्या है?")</f>
        <v>1.e4 e5 2.Nf3 d6 से शुरू होने वाले शतरंज ओपनिंग का नाम क्या है?</v>
      </c>
      <c r="H441" s="4" t="str">
        <f>IFERROR(__xludf.DUMMYFUNCTION("GOOGLETRANSLATE(C441, ""en"", ""hi"")"),"A) किंग्स गैम्बिट, B) फ्रेंच डिफेंस, C) किंग्स इंडियन डिफेंस, D) फिलिडोर डिफेंस")</f>
        <v>A) किंग्स गैम्बिट, B) फ्रेंच डिफेंस, C) किंग्स इंडियन डिफेंस, D) फिलिडोर डिफेंस</v>
      </c>
      <c r="I441" s="4" t="str">
        <f>IFERROR(__xludf.DUMMYFUNCTION("GOOGLETRANSLATE(D441, ""en"", ""hi"")"),"D) फिलिडोर डिफेंस")</f>
        <v>D) फिलिडोर डिफेंस</v>
      </c>
    </row>
    <row r="442" ht="22.5" customHeight="1">
      <c r="A442" s="3">
        <v>441.0</v>
      </c>
      <c r="B442" s="4" t="s">
        <v>1691</v>
      </c>
      <c r="C442" s="4" t="s">
        <v>1024</v>
      </c>
      <c r="D442" s="4" t="s">
        <v>1110</v>
      </c>
      <c r="F442" s="4" t="str">
        <f>IFERROR(__xludf.DUMMYFUNCTION("GOOGLETRANSLATE(A442, ""en"", ""hi"")"),"441")</f>
        <v>441</v>
      </c>
      <c r="G442" s="4" t="str">
        <f>IFERROR(__xludf.DUMMYFUNCTION("GOOGLETRANSLATE(B442, ""en"", ""hi"")"),"वह विश्व शतरंज चैंपियन कौन था जो 'आर्ट ऑफ द एंडगेम' पर अपने काम के लिए जाना जाता था?")</f>
        <v>वह विश्व शतरंज चैंपियन कौन था जो 'आर्ट ऑफ द एंडगेम' पर अपने काम के लिए जाना जाता था?</v>
      </c>
      <c r="H442" s="4" t="str">
        <f>IFERROR(__xludf.DUMMYFUNCTION("GOOGLETRANSLATE(C442,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442" s="4" t="str">
        <f>IFERROR(__xludf.DUMMYFUNCTION("GOOGLETRANSLATE(D442, ""en"", ""hi"")"),"B) जोस राउल कैपब्लैंका")</f>
        <v>B) जोस राउल कैपब्लैंका</v>
      </c>
    </row>
    <row r="443" ht="22.5" customHeight="1">
      <c r="A443" s="3">
        <v>442.0</v>
      </c>
      <c r="B443" s="4" t="s">
        <v>1692</v>
      </c>
      <c r="C443" s="4" t="s">
        <v>1490</v>
      </c>
      <c r="D443" s="4" t="s">
        <v>908</v>
      </c>
      <c r="F443" s="4" t="str">
        <f>IFERROR(__xludf.DUMMYFUNCTION("GOOGLETRANSLATE(A443, ""en"", ""hi"")"),"442")</f>
        <v>442</v>
      </c>
      <c r="G443" s="4" t="str">
        <f>IFERROR(__xludf.DUMMYFUNCTION("GOOGLETRANSLATE(B443, ""en"", ""hi"")"),"कौन सा प्रसिद्ध शतरंज खिलाड़ी 'द लाइफ एंड गेम्स ऑफ मिखाइल ताल' नामक पुस्तकों की श्रृंखला के लिए जाना जाता है?")</f>
        <v>कौन सा प्रसिद्ध शतरंज खिलाड़ी 'द लाइफ एंड गेम्स ऑफ मिखाइल ताल' नामक पुस्तकों की श्रृंखला के लिए जाना जाता है?</v>
      </c>
      <c r="H443" s="4" t="str">
        <f>IFERROR(__xludf.DUMMYFUNCTION("GOOGLETRANSLATE(C443, ""en"", ""hi"")"),"ए) मिखाइल ताल, बी) गैरी कास्पारोव, सी) विक्टर कोरचनोई, डी) बॉबी फिशर")</f>
        <v>ए) मिखाइल ताल, बी) गैरी कास्पारोव, सी) विक्टर कोरचनोई, डी) बॉबी फिशर</v>
      </c>
      <c r="I443" s="4" t="str">
        <f>IFERROR(__xludf.DUMMYFUNCTION("GOOGLETRANSLATE(D443, ""en"", ""hi"")"),"A) मिखाइल ताल")</f>
        <v>A) मिखाइल ताल</v>
      </c>
    </row>
    <row r="444" ht="22.5" customHeight="1">
      <c r="A444" s="3">
        <v>443.0</v>
      </c>
      <c r="B444" s="4" t="s">
        <v>1693</v>
      </c>
      <c r="C444" s="4" t="s">
        <v>1694</v>
      </c>
      <c r="D444" s="4" t="s">
        <v>1695</v>
      </c>
      <c r="F444" s="4" t="str">
        <f>IFERROR(__xludf.DUMMYFUNCTION("GOOGLETRANSLATE(A444, ""en"", ""hi"")"),"443")</f>
        <v>443</v>
      </c>
      <c r="G444" s="4" t="str">
        <f>IFERROR(__xludf.DUMMYFUNCTION("GOOGLETRANSLATE(B444, ""en"", ""hi"")"),"1.e4 e5 2.Nf3 Nc6 3.d4 exd4 4.Nxd4 Nf6 से शुरू होने वाले शतरंज ओपनिंग का नाम क्या है?")</f>
        <v>1.e4 e5 2.Nf3 Nc6 3.d4 exd4 4.Nxd4 Nf6 से शुरू होने वाले शतरंज ओपनिंग का नाम क्या है?</v>
      </c>
      <c r="H444" s="4" t="str">
        <f>IFERROR(__xludf.DUMMYFUNCTION("GOOGLETRANSLATE(C444, ""en"", ""hi"")"),"A) इटैलियन गेम, B) स्कॉच गेम, C) फोर नाइट्स गेम, D) रुय लोपेज़")</f>
        <v>A) इटैलियन गेम, B) स्कॉच गेम, C) फोर नाइट्स गेम, D) रुय लोपेज़</v>
      </c>
      <c r="I444" s="4" t="str">
        <f>IFERROR(__xludf.DUMMYFUNCTION("GOOGLETRANSLATE(D444, ""en"", ""hi"")"),"सी) फोर नाइट्स गेम")</f>
        <v>सी) फोर नाइट्स गेम</v>
      </c>
    </row>
    <row r="445" ht="22.5" customHeight="1">
      <c r="A445" s="3">
        <v>444.0</v>
      </c>
      <c r="B445" s="4" t="s">
        <v>1696</v>
      </c>
      <c r="C445" s="4" t="s">
        <v>1242</v>
      </c>
      <c r="D445" s="4" t="s">
        <v>1243</v>
      </c>
      <c r="F445" s="4" t="str">
        <f>IFERROR(__xludf.DUMMYFUNCTION("GOOGLETRANSLATE(A445, ""en"", ""hi"")"),"444")</f>
        <v>444</v>
      </c>
      <c r="G445" s="4" t="str">
        <f>IFERROR(__xludf.DUMMYFUNCTION("GOOGLETRANSLATE(B445, ""en"", ""hi"")"),"FIDE से ग्रैंडमास्टर (GM) का खिताब पाने वाली पहली महिला कौन थी?")</f>
        <v>FIDE से ग्रैंडमास्टर (GM) का खिताब पाने वाली पहली महिला कौन थी?</v>
      </c>
      <c r="H445" s="4" t="str">
        <f>IFERROR(__xludf.DUMMYFUNCTION("GOOGLETRANSLATE(C445, ""en"", ""hi"")"),"ए) जूडिट पोल्गर, बी) नोना गैप्रिंडाश्विली, सी) माइया चिबुरदानिद्ज़े, डी) पिया क्रैमिंग")</f>
        <v>ए) जूडिट पोल्गर, बी) नोना गैप्रिंडाश्विली, सी) माइया चिबुरदानिद्ज़े, डी) पिया क्रैमिंग</v>
      </c>
      <c r="I445" s="4" t="str">
        <f>IFERROR(__xludf.DUMMYFUNCTION("GOOGLETRANSLATE(D445, ""en"", ""hi"")"),"A) जुडिट पोल्गर")</f>
        <v>A) जुडिट पोल्गर</v>
      </c>
    </row>
    <row r="446" ht="22.5" customHeight="1">
      <c r="A446" s="3">
        <v>445.0</v>
      </c>
      <c r="B446" s="4" t="s">
        <v>1697</v>
      </c>
      <c r="C446" s="4" t="s">
        <v>1698</v>
      </c>
      <c r="D446" s="4" t="s">
        <v>878</v>
      </c>
      <c r="F446" s="4" t="str">
        <f>IFERROR(__xludf.DUMMYFUNCTION("GOOGLETRANSLATE(A446, ""en"", ""hi"")"),"445")</f>
        <v>445</v>
      </c>
      <c r="G446" s="4" t="str">
        <f>IFERROR(__xludf.DUMMYFUNCTION("GOOGLETRANSLATE(B446, ""en"", ""hi"")"),"कौन सा शतरंज खिलाड़ी क्वीन्स गैम्बिट के विकास में अपने योगदान के लिए जाना जाता था?")</f>
        <v>कौन सा शतरंज खिलाड़ी क्वीन्स गैम्बिट के विकास में अपने योगदान के लिए जाना जाता था?</v>
      </c>
      <c r="H446" s="4" t="str">
        <f>IFERROR(__xludf.DUMMYFUNCTION("GOOGLETRANSLATE(C446, ""en"", ""hi"")"),"ए) गैरी कास्परोव, बी) विल्हेम स्टीनित्ज़, सी) बॉबी फिशर, डी) जोस राउल कैपबेलैंका")</f>
        <v>ए) गैरी कास्परोव, बी) विल्हेम स्टीनित्ज़, सी) बॉबी फिशर, डी) जोस राउल कैपबेलैंका</v>
      </c>
      <c r="I446" s="4" t="str">
        <f>IFERROR(__xludf.DUMMYFUNCTION("GOOGLETRANSLATE(D446, ""en"", ""hi"")"),"बी) विल्हेम स्टाइनिट्ज़")</f>
        <v>बी) विल्हेम स्टाइनिट्ज़</v>
      </c>
    </row>
    <row r="447" ht="22.5" customHeight="1">
      <c r="A447" s="3">
        <v>446.0</v>
      </c>
      <c r="B447" s="4" t="s">
        <v>1699</v>
      </c>
      <c r="C447" s="4" t="s">
        <v>1424</v>
      </c>
      <c r="D447" s="4" t="s">
        <v>943</v>
      </c>
      <c r="F447" s="4" t="str">
        <f>IFERROR(__xludf.DUMMYFUNCTION("GOOGLETRANSLATE(A447, ""en"", ""hi"")"),"446")</f>
        <v>446</v>
      </c>
      <c r="G447" s="4" t="str">
        <f>IFERROR(__xludf.DUMMYFUNCTION("GOOGLETRANSLATE(B447, ""en"", ""hi"")"),"कौन सा प्रसिद्ध शतरंज खिलाड़ी अपनी पुस्तक 'माई ग्रेट प्रीडेसर्स' के लिए जाना जाता है?")</f>
        <v>कौन सा प्रसिद्ध शतरंज खिलाड़ी अपनी पुस्तक 'माई ग्रेट प्रीडेसर्स' के लिए जाना जाता है?</v>
      </c>
      <c r="H447" s="4" t="str">
        <f>IFERROR(__xludf.DUMMYFUNCTION("GOOGLETRANSLATE(C447, ""en"", ""hi"")"),"ए) गैरी कास्पारोव, बी) बॉबी फिशर, सी) व्लादिमीर क्रैमनिक, डी) जोस राउल कैपब्लांका")</f>
        <v>ए) गैरी कास्पारोव, बी) बॉबी फिशर, सी) व्लादिमीर क्रैमनिक, डी) जोस राउल कैपब्लांका</v>
      </c>
      <c r="I447" s="4" t="str">
        <f>IFERROR(__xludf.DUMMYFUNCTION("GOOGLETRANSLATE(D447, ""en"", ""hi"")"),"A) गैरी कास्पारोव")</f>
        <v>A) गैरी कास्पारोव</v>
      </c>
    </row>
    <row r="448" ht="22.5" customHeight="1">
      <c r="A448" s="3">
        <v>447.0</v>
      </c>
      <c r="B448" s="4" t="s">
        <v>1700</v>
      </c>
      <c r="C448" s="4" t="s">
        <v>1590</v>
      </c>
      <c r="D448" s="4" t="s">
        <v>977</v>
      </c>
      <c r="F448" s="4" t="str">
        <f>IFERROR(__xludf.DUMMYFUNCTION("GOOGLETRANSLATE(A448, ""en"", ""hi"")"),"447")</f>
        <v>447</v>
      </c>
      <c r="G448" s="4" t="str">
        <f>IFERROR(__xludf.DUMMYFUNCTION("GOOGLETRANSLATE(B448, ""en"", ""hi"")"),"मैच के बजाय टूर्नामेंट प्रारूप में विश्व शतरंज चैंपियन का खिताब जीतने वाला पहला शतरंज खिलाड़ी कौन था?")</f>
        <v>मैच के बजाय टूर्नामेंट प्रारूप में विश्व शतरंज चैंपियन का खिताब जीतने वाला पहला शतरंज खिलाड़ी कौन था?</v>
      </c>
      <c r="H448" s="4" t="str">
        <f>IFERROR(__xludf.DUMMYFUNCTION("GOOGLETRANSLATE(C448, ""en"", ""hi"")"),"ए) अलेक्जेंडर अलेखिन, बी) इमानुएल लास्कर, सी) मिखाइल बोट्वनिक, डी) जोस राउल कैपब्लांका")</f>
        <v>ए) अलेक्जेंडर अलेखिन, बी) इमानुएल लास्कर, सी) मिखाइल बोट्वनिक, डी) जोस राउल कैपब्लांका</v>
      </c>
      <c r="I448" s="4" t="str">
        <f>IFERROR(__xludf.DUMMYFUNCTION("GOOGLETRANSLATE(D448, ""en"", ""hi"")"),"C) मिखाइल बोट्विननिक")</f>
        <v>C) मिखाइल बोट्विननिक</v>
      </c>
    </row>
    <row r="449" ht="22.5" customHeight="1">
      <c r="A449" s="3">
        <v>448.0</v>
      </c>
      <c r="B449" s="4" t="s">
        <v>1701</v>
      </c>
      <c r="C449" s="4" t="s">
        <v>1702</v>
      </c>
      <c r="D449" s="4" t="s">
        <v>1338</v>
      </c>
      <c r="F449" s="4" t="str">
        <f>IFERROR(__xludf.DUMMYFUNCTION("GOOGLETRANSLATE(A449, ""en"", ""hi"")"),"448")</f>
        <v>448</v>
      </c>
      <c r="G449" s="4" t="str">
        <f>IFERROR(__xludf.DUMMYFUNCTION("GOOGLETRANSLATE(B449, ""en"", ""hi"")"),"कौन सा शतरंज खिलाड़ी किंग्स इंडियन डिफेंस के सिद्धांत में अपने योगदान के लिए जाना जाता है?")</f>
        <v>कौन सा शतरंज खिलाड़ी किंग्स इंडियन डिफेंस के सिद्धांत में अपने योगदान के लिए जाना जाता है?</v>
      </c>
      <c r="H449" s="4" t="str">
        <f>IFERROR(__xludf.DUMMYFUNCTION("GOOGLETRANSLATE(C449, ""en"", ""hi"")"),"ए) गैरी कास्परोव, बी) विक्टर कोरचनोई, सी) मिखाइल ताल, डी) बॉबी फिशर")</f>
        <v>ए) गैरी कास्परोव, बी) विक्टर कोरचनोई, सी) मिखाइल ताल, डी) बॉबी फिशर</v>
      </c>
      <c r="I449" s="4" t="str">
        <f>IFERROR(__xludf.DUMMYFUNCTION("GOOGLETRANSLATE(D449, ""en"", ""hi"")"),"बी) विक्टर कोर्चनोई")</f>
        <v>बी) विक्टर कोर्चनोई</v>
      </c>
    </row>
    <row r="450" ht="22.5" customHeight="1">
      <c r="A450" s="3">
        <v>449.0</v>
      </c>
      <c r="B450" s="4" t="s">
        <v>1703</v>
      </c>
      <c r="C450" s="4" t="s">
        <v>1687</v>
      </c>
      <c r="D450" s="4" t="s">
        <v>1049</v>
      </c>
      <c r="F450" s="4" t="str">
        <f>IFERROR(__xludf.DUMMYFUNCTION("GOOGLETRANSLATE(A450, ""en"", ""hi"")"),"449")</f>
        <v>449</v>
      </c>
      <c r="G450" s="4" t="str">
        <f>IFERROR(__xludf.DUMMYFUNCTION("GOOGLETRANSLATE(B450, ""en"", ""hi"")"),"शास्त्रीय और रैपिड दोनों प्रारूपों में विश्व शतरंज चैंपियन बनने वाला एकमात्र खिलाड़ी कौन है?")</f>
        <v>शास्त्रीय और रैपिड दोनों प्रारूपों में विश्व शतरंज चैंपियन बनने वाला एकमात्र खिलाड़ी कौन है?</v>
      </c>
      <c r="H450" s="4" t="str">
        <f>IFERROR(__xludf.DUMMYFUNCTION("GOOGLETRANSLATE(C450, ""en"", ""hi"")"),"ए) गैरी कास्पारोव, बी) व्लादिमीर क्रैमनिक, सी) मैग्नस कार्लसन, डी) अनातोली कारपोव")</f>
        <v>ए) गैरी कास्पारोव, बी) व्लादिमीर क्रैमनिक, सी) मैग्नस कार्लसन, डी) अनातोली कारपोव</v>
      </c>
      <c r="I450" s="4" t="str">
        <f>IFERROR(__xludf.DUMMYFUNCTION("GOOGLETRANSLATE(D450, ""en"", ""hi"")"),"C) मैग्नस कार्लसन")</f>
        <v>C) मैग्नस कार्लसन</v>
      </c>
    </row>
    <row r="451" ht="22.5" customHeight="1">
      <c r="A451" s="3">
        <v>450.0</v>
      </c>
      <c r="B451" s="4" t="s">
        <v>1704</v>
      </c>
      <c r="C451" s="4" t="s">
        <v>1659</v>
      </c>
      <c r="D451" s="4" t="s">
        <v>943</v>
      </c>
      <c r="F451" s="4" t="str">
        <f>IFERROR(__xludf.DUMMYFUNCTION("GOOGLETRANSLATE(A451, ""en"", ""hi"")"),"450")</f>
        <v>450</v>
      </c>
      <c r="G451" s="4" t="str">
        <f>IFERROR(__xludf.DUMMYFUNCTION("GOOGLETRANSLATE(B451, ""en"", ""hi"")"),"कौन सा प्रसिद्ध शतरंज खिलाड़ी अपनी गहरी शुरुआती तैयारी के लिए जाना जाता था और अक्सर शतरंज के 'कास्पारोव स्कूल' से जुड़ा हुआ था?")</f>
        <v>कौन सा प्रसिद्ध शतरंज खिलाड़ी अपनी गहरी शुरुआती तैयारी के लिए जाना जाता था और अक्सर शतरंज के 'कास्पारोव स्कूल' से जुड़ा हुआ था?</v>
      </c>
      <c r="H451" s="4" t="str">
        <f>IFERROR(__xludf.DUMMYFUNCTION("GOOGLETRANSLATE(C451, ""en"", ""hi"")"),"ए) गैरी कास्पारोव, बी) अनातोली कार्पोव, सी) व्लादिमीर क्रैमनिक, डी) विश्वनाथन आनंद")</f>
        <v>ए) गैरी कास्पारोव, बी) अनातोली कार्पोव, सी) व्लादिमीर क्रैमनिक, डी) विश्वनाथन आनंद</v>
      </c>
      <c r="I451" s="4" t="str">
        <f>IFERROR(__xludf.DUMMYFUNCTION("GOOGLETRANSLATE(D451, ""en"", ""hi"")"),"A) गैरी कास्पारोव")</f>
        <v>A) गैरी कास्पारोव</v>
      </c>
    </row>
    <row r="452" ht="22.5" customHeight="1">
      <c r="A452" s="3">
        <v>451.0</v>
      </c>
      <c r="B452" s="4" t="s">
        <v>1705</v>
      </c>
      <c r="C452" s="4" t="s">
        <v>1706</v>
      </c>
      <c r="D452" s="4" t="s">
        <v>887</v>
      </c>
      <c r="F452" s="4" t="str">
        <f>IFERROR(__xludf.DUMMYFUNCTION("GOOGLETRANSLATE(A452, ""en"", ""hi"")"),"451")</f>
        <v>451</v>
      </c>
      <c r="G452" s="4" t="str">
        <f>IFERROR(__xludf.DUMMYFUNCTION("GOOGLETRANSLATE(B452, ""en"", ""hi"")"),"कौन सा शतरंज खिलाड़ी 1990 के दशक के दौरान गैरी कास्पारोव के खिलाफ अपने शानदार मुकाबलों के लिए जाना जाता है?")</f>
        <v>कौन सा शतरंज खिलाड़ी 1990 के दशक के दौरान गैरी कास्पारोव के खिलाफ अपने शानदार मुकाबलों के लिए जाना जाता है?</v>
      </c>
      <c r="H452" s="4" t="str">
        <f>IFERROR(__xludf.DUMMYFUNCTION("GOOGLETRANSLATE(C452, ""en"", ""hi"")"),"ए) अनातोली कारपोव, बी) व्लादिमीर क्रैमनिक, सी) मैग्नस कार्लसन, डी) बॉबी फिशर")</f>
        <v>ए) अनातोली कारपोव, बी) व्लादिमीर क्रैमनिक, सी) मैग्नस कार्लसन, डी) बॉबी फिशर</v>
      </c>
      <c r="I452" s="4" t="str">
        <f>IFERROR(__xludf.DUMMYFUNCTION("GOOGLETRANSLATE(D452, ""en"", ""hi"")"),"A) अनातोली कार्पोव")</f>
        <v>A) अनातोली कार्पोव</v>
      </c>
    </row>
    <row r="453" ht="22.5" customHeight="1">
      <c r="A453" s="3">
        <v>452.0</v>
      </c>
      <c r="B453" s="4" t="s">
        <v>1707</v>
      </c>
      <c r="C453" s="4" t="s">
        <v>1708</v>
      </c>
      <c r="D453" s="4" t="s">
        <v>962</v>
      </c>
      <c r="F453" s="4" t="str">
        <f>IFERROR(__xludf.DUMMYFUNCTION("GOOGLETRANSLATE(A453, ""en"", ""hi"")"),"452")</f>
        <v>452</v>
      </c>
      <c r="G453" s="4" t="str">
        <f>IFERROR(__xludf.DUMMYFUNCTION("GOOGLETRANSLATE(B453, ""en"", ""hi"")"),"इमैनुएल लास्कर से पहले विश्व शतरंज चैंपियन कौन था?")</f>
        <v>इमैनुएल लास्कर से पहले विश्व शतरंज चैंपियन कौन था?</v>
      </c>
      <c r="H453" s="4" t="str">
        <f>IFERROR(__xludf.DUMMYFUNCTION("GOOGLETRANSLATE(C453, ""en"", ""hi"")"),"ए) विल्हेम स्टीनित्ज़, बी) जोस राउल कैपब्लांका, सी) अलेक्जेंडर अलेखिन, डी) मिखाइल बोट्वनिक")</f>
        <v>ए) विल्हेम स्टीनित्ज़, बी) जोस राउल कैपब्लांका, सी) अलेक्जेंडर अलेखिन, डी) मिखाइल बोट्वनिक</v>
      </c>
      <c r="I453" s="4" t="str">
        <f>IFERROR(__xludf.DUMMYFUNCTION("GOOGLETRANSLATE(D453, ""en"", ""hi"")"),"A) विल्हेम स्टाइनिट्ज़")</f>
        <v>A) विल्हेम स्टाइनिट्ज़</v>
      </c>
    </row>
    <row r="454" ht="22.5" customHeight="1">
      <c r="A454" s="3">
        <v>453.0</v>
      </c>
      <c r="B454" s="4" t="s">
        <v>1709</v>
      </c>
      <c r="C454" s="4" t="s">
        <v>1710</v>
      </c>
      <c r="D454" s="4" t="s">
        <v>908</v>
      </c>
      <c r="F454" s="4" t="str">
        <f>IFERROR(__xludf.DUMMYFUNCTION("GOOGLETRANSLATE(A454, ""en"", ""hi"")"),"453")</f>
        <v>453</v>
      </c>
      <c r="G454" s="4" t="str">
        <f>IFERROR(__xludf.DUMMYFUNCTION("GOOGLETRANSLATE(B454, ""en"", ""hi"")"),"कौन सा शतरंज खिलाड़ी अपनी पुस्तक 'द आर्ट ऑफ अटैक इन चेस' के लिए जाना जाता है?")</f>
        <v>कौन सा शतरंज खिलाड़ी अपनी पुस्तक 'द आर्ट ऑफ अटैक इन चेस' के लिए जाना जाता है?</v>
      </c>
      <c r="H454" s="4" t="str">
        <f>IFERROR(__xludf.DUMMYFUNCTION("GOOGLETRANSLATE(C454, ""en"", ""hi"")"),"ए) मिखाइल ताल, बी) गैरी कास्परोव, सी) पॉल केरेस, डी) इमानुएल लास्कर")</f>
        <v>ए) मिखाइल ताल, बी) गैरी कास्परोव, सी) पॉल केरेस, डी) इमानुएल लास्कर</v>
      </c>
      <c r="I454" s="4" t="str">
        <f>IFERROR(__xludf.DUMMYFUNCTION("GOOGLETRANSLATE(D454, ""en"", ""hi"")"),"A) मिखाइल ताल")</f>
        <v>A) मिखाइल ताल</v>
      </c>
    </row>
    <row r="455" ht="22.5" customHeight="1">
      <c r="A455" s="3">
        <v>454.0</v>
      </c>
      <c r="B455" s="4" t="s">
        <v>1711</v>
      </c>
      <c r="C455" s="4" t="s">
        <v>1665</v>
      </c>
      <c r="D455" s="4" t="s">
        <v>943</v>
      </c>
      <c r="F455" s="4" t="str">
        <f>IFERROR(__xludf.DUMMYFUNCTION("GOOGLETRANSLATE(A455, ""en"", ""hi"")"),"454")</f>
        <v>454</v>
      </c>
      <c r="G455" s="4" t="str">
        <f>IFERROR(__xludf.DUMMYFUNCTION("GOOGLETRANSLATE(B455, ""en"", ""hi"")"),"1985 से 2000 तक विश्व शतरंज चैंपियन कौन था?")</f>
        <v>1985 से 2000 तक विश्व शतरंज चैंपियन कौन था?</v>
      </c>
      <c r="H455" s="4" t="str">
        <f>IFERROR(__xludf.DUMMYFUNCTION("GOOGLETRANSLATE(C455, ""en"", ""hi"")"),"ए) गैरी कास्पारोव, बी) व्लादिमीर क्रैमनिक, सी) अनातोली कारपोव, डी) बॉबी फिशर")</f>
        <v>ए) गैरी कास्पारोव, बी) व्लादिमीर क्रैमनिक, सी) अनातोली कारपोव, डी) बॉबी फिशर</v>
      </c>
      <c r="I455" s="4" t="str">
        <f>IFERROR(__xludf.DUMMYFUNCTION("GOOGLETRANSLATE(D455, ""en"", ""hi"")"),"A) गैरी कास्पारोव")</f>
        <v>A) गैरी कास्पारोव</v>
      </c>
    </row>
    <row r="456" ht="22.5" customHeight="1">
      <c r="A456" s="3">
        <v>455.0</v>
      </c>
      <c r="B456" s="4" t="s">
        <v>1712</v>
      </c>
      <c r="C456" s="4" t="s">
        <v>1713</v>
      </c>
      <c r="D456" s="4" t="s">
        <v>911</v>
      </c>
      <c r="F456" s="4" t="str">
        <f>IFERROR(__xludf.DUMMYFUNCTION("GOOGLETRANSLATE(A456, ""en"", ""hi"")"),"455")</f>
        <v>455</v>
      </c>
      <c r="G456" s="4" t="str">
        <f>IFERROR(__xludf.DUMMYFUNCTION("GOOGLETRANSLATE(B456, ""en"", ""hi"")"),"कौन सा शतरंज खिलाड़ी सिसिलियन डिफेंस में अपने नवाचारों के लिए जाना जाता है?")</f>
        <v>कौन सा शतरंज खिलाड़ी सिसिलियन डिफेंस में अपने नवाचारों के लिए जाना जाता है?</v>
      </c>
      <c r="H456" s="4" t="str">
        <f>IFERROR(__xludf.DUMMYFUNCTION("GOOGLETRANSLATE(C456, ""en"", ""hi"")"),"ए) बॉबी फिशर, बी) गैरी कास्पारोव, सी) विक्टर कोरचनोई, डी) पॉल केरेस")</f>
        <v>ए) बॉबी फिशर, बी) गैरी कास्पारोव, सी) विक्टर कोरचनोई, डी) पॉल केरेस</v>
      </c>
      <c r="I456" s="4" t="str">
        <f>IFERROR(__xludf.DUMMYFUNCTION("GOOGLETRANSLATE(D456, ""en"", ""hi"")"),"A) बॉबी फिशर")</f>
        <v>A) बॉबी फिशर</v>
      </c>
    </row>
    <row r="457" ht="22.5" customHeight="1">
      <c r="A457" s="3">
        <v>456.0</v>
      </c>
      <c r="B457" s="4" t="s">
        <v>1714</v>
      </c>
      <c r="C457" s="4" t="s">
        <v>1715</v>
      </c>
      <c r="D457" s="4" t="s">
        <v>911</v>
      </c>
      <c r="F457" s="4" t="str">
        <f>IFERROR(__xludf.DUMMYFUNCTION("GOOGLETRANSLATE(A457, ""en"", ""hi"")"),"456")</f>
        <v>456</v>
      </c>
      <c r="G457" s="4" t="str">
        <f>IFERROR(__xludf.DUMMYFUNCTION("GOOGLETRANSLATE(B457, ""en"", ""hi"")"),"अनातोली कार्पोव से पहले विश्व शतरंज चैंपियन कौन था?")</f>
        <v>अनातोली कार्पोव से पहले विश्व शतरंज चैंपियन कौन था?</v>
      </c>
      <c r="H457" s="4" t="str">
        <f>IFERROR(__xludf.DUMMYFUNCTION("GOOGLETRANSLATE(C457, ""en"", ""hi"")"),"ए) बॉबी फिशर, बी) गैरी कास्परोव, सी) व्लादिमीर क्रैमनिक, डी) मिखाइल बोट्वनिक")</f>
        <v>ए) बॉबी फिशर, बी) गैरी कास्परोव, सी) व्लादिमीर क्रैमनिक, डी) मिखाइल बोट्वनिक</v>
      </c>
      <c r="I457" s="4" t="str">
        <f>IFERROR(__xludf.DUMMYFUNCTION("GOOGLETRANSLATE(D457, ""en"", ""hi"")"),"A) बॉबी फिशर")</f>
        <v>A) बॉबी फिशर</v>
      </c>
    </row>
    <row r="458" ht="22.5" customHeight="1">
      <c r="A458" s="3">
        <v>457.0</v>
      </c>
      <c r="B458" s="4" t="s">
        <v>1716</v>
      </c>
      <c r="C458" s="4" t="s">
        <v>1717</v>
      </c>
      <c r="D458" s="4" t="s">
        <v>1354</v>
      </c>
      <c r="F458" s="4" t="str">
        <f>IFERROR(__xludf.DUMMYFUNCTION("GOOGLETRANSLATE(A458, ""en"", ""hi"")"),"457")</f>
        <v>457</v>
      </c>
      <c r="G458" s="4" t="str">
        <f>IFERROR(__xludf.DUMMYFUNCTION("GOOGLETRANSLATE(B458, ""en"", ""hi"")"),"कौन सा शतरंज खिलाड़ी 'निमजो-इंडियन डिफेंस' के विकास के लिए जाना जाता है?")</f>
        <v>कौन सा शतरंज खिलाड़ी 'निमजो-इंडियन डिफेंस' के विकास के लिए जाना जाता है?</v>
      </c>
      <c r="H458" s="4" t="str">
        <f>IFERROR(__xludf.DUMMYFUNCTION("GOOGLETRANSLATE(C458, ""en"", ""hi"")"),"ए) एरोन निमज़ोवित्च, बी) गैरी कास्परोव, सी) पॉल केरेस, डी) विक्टर कोरचनोई")</f>
        <v>ए) एरोन निमज़ोवित्च, बी) गैरी कास्परोव, सी) पॉल केरेस, डी) विक्टर कोरचनोई</v>
      </c>
      <c r="I458" s="4" t="str">
        <f>IFERROR(__xludf.DUMMYFUNCTION("GOOGLETRANSLATE(D458, ""en"", ""hi"")"),"A) एरॉन निमज़ोवित्च")</f>
        <v>A) एरॉन निमज़ोवित्च</v>
      </c>
    </row>
    <row r="459" ht="22.5" customHeight="1">
      <c r="A459" s="3">
        <v>458.0</v>
      </c>
      <c r="B459" s="4" t="s">
        <v>1718</v>
      </c>
      <c r="C459" s="4" t="s">
        <v>1719</v>
      </c>
      <c r="D459" s="4" t="s">
        <v>1377</v>
      </c>
      <c r="F459" s="4" t="str">
        <f>IFERROR(__xludf.DUMMYFUNCTION("GOOGLETRANSLATE(A459, ""en"", ""hi"")"),"458")</f>
        <v>458</v>
      </c>
      <c r="G459" s="4" t="str">
        <f>IFERROR(__xludf.DUMMYFUNCTION("GOOGLETRANSLATE(B459, ""en"", ""hi"")"),"कौन सा शतरंज खिलाड़ी 'फिलिडोर डिफेंस' में अपने योगदान के लिए जाना जाता था?")</f>
        <v>कौन सा शतरंज खिलाड़ी 'फिलिडोर डिफेंस' में अपने योगदान के लिए जाना जाता था?</v>
      </c>
      <c r="H459" s="4" t="str">
        <f>IFERROR(__xludf.DUMMYFUNCTION("GOOGLETRANSLATE(C459, ""en"", ""hi"")"),"ए) फ्रांकोइस-आंद्रे डैनिकन फिलिडोर, बी) गैरी कास्पारोव, सी) बॉबी फिशर, डी) पॉल केरेस")</f>
        <v>ए) फ्रांकोइस-आंद्रे डैनिकन फिलिडोर, बी) गैरी कास्पारोव, सी) बॉबी फिशर, डी) पॉल केरेस</v>
      </c>
      <c r="I459" s="4" t="str">
        <f>IFERROR(__xludf.DUMMYFUNCTION("GOOGLETRANSLATE(D459, ""en"", ""hi"")"),"ए) फ्रांकोइस-आंद्रे डैनिकन फिलिडोर")</f>
        <v>ए) फ्रांकोइस-आंद्रे डैनिकन फिलिडोर</v>
      </c>
    </row>
    <row r="460" ht="22.5" customHeight="1">
      <c r="A460" s="3">
        <v>459.0</v>
      </c>
      <c r="B460" s="4" t="s">
        <v>1720</v>
      </c>
      <c r="C460" s="4" t="s">
        <v>1004</v>
      </c>
      <c r="D460" s="4" t="s">
        <v>887</v>
      </c>
      <c r="F460" s="4" t="str">
        <f>IFERROR(__xludf.DUMMYFUNCTION("GOOGLETRANSLATE(A460, ""en"", ""hi"")"),"459")</f>
        <v>459</v>
      </c>
      <c r="G460" s="4" t="str">
        <f>IFERROR(__xludf.DUMMYFUNCTION("GOOGLETRANSLATE(B460, ""en"", ""hi"")"),"1984 में विश्व शतरंज चैंपियनशिप किसने जीती?")</f>
        <v>1984 में विश्व शतरंज चैंपियनशिप किसने जीती?</v>
      </c>
      <c r="H460" s="4" t="str">
        <f>IFERROR(__xludf.DUMMYFUNCTION("GOOGLETRANSLATE(C460, ""en"", ""hi"")"),"ए) अनातोली कार्पोव, बी) गैरी कास्परोव, सी) व्लादिमीर क्रैमनिक, डी) बॉबी फिशर")</f>
        <v>ए) अनातोली कार्पोव, बी) गैरी कास्परोव, सी) व्लादिमीर क्रैमनिक, डी) बॉबी फिशर</v>
      </c>
      <c r="I460" s="4" t="str">
        <f>IFERROR(__xludf.DUMMYFUNCTION("GOOGLETRANSLATE(D460, ""en"", ""hi"")"),"A) अनातोली कार्पोव")</f>
        <v>A) अनातोली कार्पोव</v>
      </c>
    </row>
    <row r="461" ht="22.5" customHeight="1">
      <c r="A461" s="3">
        <v>460.0</v>
      </c>
      <c r="B461" s="4" t="s">
        <v>1721</v>
      </c>
      <c r="C461" s="4" t="s">
        <v>1722</v>
      </c>
      <c r="D461" s="4" t="s">
        <v>1723</v>
      </c>
      <c r="F461" s="4" t="str">
        <f>IFERROR(__xludf.DUMMYFUNCTION("GOOGLETRANSLATE(A461, ""en"", ""hi"")"),"460")</f>
        <v>460</v>
      </c>
      <c r="G461" s="4" t="str">
        <f>IFERROR(__xludf.DUMMYFUNCTION("GOOGLETRANSLATE(B461, ""en"", ""hi"")"),"कौन सा शतरंज खिलाड़ी अपने 'बोगो-इंडियन डिफेंस' के लिए जाना जाता है?")</f>
        <v>कौन सा शतरंज खिलाड़ी अपने 'बोगो-इंडियन डिफेंस' के लिए जाना जाता है?</v>
      </c>
      <c r="H461" s="4" t="str">
        <f>IFERROR(__xludf.DUMMYFUNCTION("GOOGLETRANSLATE(C461, ""en"", ""hi"")"),"ए) एफिम बोगोलजुबोव, बी) गैरी कास्पारोव, सी) विक्टर कोरचनोई, डी) बॉबी फिशर")</f>
        <v>ए) एफिम बोगोलजुबोव, बी) गैरी कास्पारोव, सी) विक्टर कोरचनोई, डी) बॉबी फिशर</v>
      </c>
      <c r="I461" s="4" t="str">
        <f>IFERROR(__xludf.DUMMYFUNCTION("GOOGLETRANSLATE(D461, ""en"", ""hi"")"),"A) एफिम बोगोल्जुबोव")</f>
        <v>A) एफिम बोगोल्जुबोव</v>
      </c>
    </row>
    <row r="462" ht="22.5" customHeight="1">
      <c r="A462" s="3">
        <v>461.0</v>
      </c>
      <c r="B462" s="4" t="s">
        <v>1724</v>
      </c>
      <c r="C462" s="4" t="s">
        <v>1507</v>
      </c>
      <c r="D462" s="4" t="s">
        <v>943</v>
      </c>
      <c r="F462" s="4" t="str">
        <f>IFERROR(__xludf.DUMMYFUNCTION("GOOGLETRANSLATE(A462, ""en"", ""hi"")"),"461")</f>
        <v>461</v>
      </c>
      <c r="G462" s="4" t="str">
        <f>IFERROR(__xludf.DUMMYFUNCTION("GOOGLETRANSLATE(B462, ""en"", ""hi"")"),"कौन सा शतरंज खिलाड़ी अपनी पुस्तक 'माई ग्रेट प्रीडेसर्स' के लिए जाना जाता था?")</f>
        <v>कौन सा शतरंज खिलाड़ी अपनी पुस्तक 'माई ग्रेट प्रीडेसर्स' के लिए जाना जाता था?</v>
      </c>
      <c r="H462" s="4" t="str">
        <f>IFERROR(__xludf.DUMMYFUNCTION("GOOGLETRANSLATE(C462, ""en"", ""hi"")"),"ए) गैरी कास्पारोव, बी) बॉबी फिशर, सी) व्लादिमीर क्रैमनिक, डी) अनातोली कारपोव")</f>
        <v>ए) गैरी कास्पारोव, बी) बॉबी फिशर, सी) व्लादिमीर क्रैमनिक, डी) अनातोली कारपोव</v>
      </c>
      <c r="I462" s="4" t="str">
        <f>IFERROR(__xludf.DUMMYFUNCTION("GOOGLETRANSLATE(D462, ""en"", ""hi"")"),"A) गैरी कास्पारोव")</f>
        <v>A) गैरी कास्पारोव</v>
      </c>
    </row>
    <row r="463" ht="22.5" customHeight="1">
      <c r="A463" s="3">
        <v>462.0</v>
      </c>
      <c r="B463" s="4" t="s">
        <v>1725</v>
      </c>
      <c r="C463" s="4" t="s">
        <v>1480</v>
      </c>
      <c r="D463" s="4" t="s">
        <v>943</v>
      </c>
      <c r="F463" s="4" t="str">
        <f>IFERROR(__xludf.DUMMYFUNCTION("GOOGLETRANSLATE(A463, ""en"", ""hi"")"),"462")</f>
        <v>462</v>
      </c>
      <c r="G463" s="4" t="str">
        <f>IFERROR(__xludf.DUMMYFUNCTION("GOOGLETRANSLATE(B463, ""en"", ""hi"")"),"1995 से 2000 तक विश्व शतरंज चैंपियन कौन था?")</f>
        <v>1995 से 2000 तक विश्व शतरंज चैंपियन कौन था?</v>
      </c>
      <c r="H463" s="4" t="str">
        <f>IFERROR(__xludf.DUMMYFUNCTION("GOOGLETRANSLATE(C463, ""en"", ""hi"")"),"ए) गैरी कास्पारोव, बी) व्लादिमीर क्रैमनिक, सी) अनातोली कारपोव, डी) मैग्नस कार्लसन")</f>
        <v>ए) गैरी कास्पारोव, बी) व्लादिमीर क्रैमनिक, सी) अनातोली कारपोव, डी) मैग्नस कार्लसन</v>
      </c>
      <c r="I463" s="4" t="str">
        <f>IFERROR(__xludf.DUMMYFUNCTION("GOOGLETRANSLATE(D463, ""en"", ""hi"")"),"A) गैरी कास्पारोव")</f>
        <v>A) गैरी कास्पारोव</v>
      </c>
    </row>
    <row r="464" ht="22.5" customHeight="1">
      <c r="A464" s="3">
        <v>463.0</v>
      </c>
      <c r="B464" s="4" t="s">
        <v>1726</v>
      </c>
      <c r="C464" s="4" t="s">
        <v>1727</v>
      </c>
      <c r="D464" s="4" t="s">
        <v>1728</v>
      </c>
      <c r="F464" s="4" t="str">
        <f>IFERROR(__xludf.DUMMYFUNCTION("GOOGLETRANSLATE(A464, ""en"", ""hi"")"),"463")</f>
        <v>463</v>
      </c>
      <c r="G464" s="4" t="str">
        <f>IFERROR(__xludf.DUMMYFUNCTION("GOOGLETRANSLATE(B464, ""en"", ""hi"")"),"कौन सा शतरंज खिलाड़ी 'एच4 ओपनिंग' में अपने योगदान के लिए जाना जाता है?")</f>
        <v>कौन सा शतरंज खिलाड़ी 'एच4 ओपनिंग' में अपने योगदान के लिए जाना जाता है?</v>
      </c>
      <c r="H464" s="4" t="str">
        <f>IFERROR(__xludf.DUMMYFUNCTION("GOOGLETRANSLATE(C464, ""en"", ""hi"")"),"ए) हैरी नेल्सन पिल्सबरी, बी) गैरी कास्पारोव, सी) बॉबी फिशर, डी) पॉल केरेस")</f>
        <v>ए) हैरी नेल्सन पिल्सबरी, बी) गैरी कास्पारोव, सी) बॉबी फिशर, डी) पॉल केरेस</v>
      </c>
      <c r="I464" s="4" t="str">
        <f>IFERROR(__xludf.DUMMYFUNCTION("GOOGLETRANSLATE(D464, ""en"", ""hi"")"),"A) हैरी नेल्सन पिल्सबरी")</f>
        <v>A) हैरी नेल्सन पिल्सबरी</v>
      </c>
    </row>
    <row r="465" ht="22.5" customHeight="1">
      <c r="A465" s="3">
        <v>464.0</v>
      </c>
      <c r="B465" s="4" t="s">
        <v>1729</v>
      </c>
      <c r="C465" s="4" t="s">
        <v>1730</v>
      </c>
      <c r="D465" s="4" t="s">
        <v>985</v>
      </c>
      <c r="F465" s="4" t="str">
        <f>IFERROR(__xludf.DUMMYFUNCTION("GOOGLETRANSLATE(A465, ""en"", ""hi"")"),"464")</f>
        <v>464</v>
      </c>
      <c r="G465" s="4" t="str">
        <f>IFERROR(__xludf.DUMMYFUNCTION("GOOGLETRANSLATE(B465, ""en"", ""hi"")"),"कौन सा शतरंज खिलाड़ी अपने प्रसिद्ध अंतिम खेल अध्ययन 'द गोल्डन गेम' के लिए जाना जाता था?")</f>
        <v>कौन सा शतरंज खिलाड़ी अपने प्रसिद्ध अंतिम खेल अध्ययन 'द गोल्डन गेम' के लिए जाना जाता था?</v>
      </c>
      <c r="H465" s="4" t="str">
        <f>IFERROR(__xludf.DUMMYFUNCTION("GOOGLETRANSLATE(C465, ""en"", ""hi"")"),"ए) मिखाइल बोट्वनिक, बी) गैरी कास्पारोव, सी) बॉबी फिशर, डी) इमानुएल लास्कर")</f>
        <v>ए) मिखाइल बोट्वनिक, बी) गैरी कास्पारोव, सी) बॉबी फिशर, डी) इमानुएल लास्कर</v>
      </c>
      <c r="I465" s="4" t="str">
        <f>IFERROR(__xludf.DUMMYFUNCTION("GOOGLETRANSLATE(D465, ""en"", ""hi"")"),"A) मिखाइल बोट्विननिक")</f>
        <v>A) मिखाइल बोट्विननिक</v>
      </c>
    </row>
    <row r="466" ht="22.5" customHeight="1">
      <c r="A466" s="3">
        <v>465.0</v>
      </c>
      <c r="B466" s="4" t="s">
        <v>1731</v>
      </c>
      <c r="C466" s="4" t="s">
        <v>1732</v>
      </c>
      <c r="D466" s="4" t="s">
        <v>948</v>
      </c>
      <c r="F466" s="4" t="str">
        <f>IFERROR(__xludf.DUMMYFUNCTION("GOOGLETRANSLATE(A466, ""en"", ""hi"")"),"465")</f>
        <v>465</v>
      </c>
      <c r="G466" s="4" t="str">
        <f>IFERROR(__xludf.DUMMYFUNCTION("GOOGLETRANSLATE(B466, ""en"", ""hi"")"),"2006 में किस शतरंज खिलाड़ी ने विश्व शतरंज चैंपियनशिप जीती?")</f>
        <v>2006 में किस शतरंज खिलाड़ी ने विश्व शतरंज चैंपियनशिप जीती?</v>
      </c>
      <c r="H466" s="4" t="str">
        <f>IFERROR(__xludf.DUMMYFUNCTION("GOOGLETRANSLATE(C466, ""en"", ""hi"")"),"ए) व्लादिमीर क्रैमनिक, बी) गैरी कास्परोव, सी) मैग्नस कार्लसन, डी) अनातोली कारपोव")</f>
        <v>ए) व्लादिमीर क्रैमनिक, बी) गैरी कास्परोव, सी) मैग्नस कार्लसन, डी) अनातोली कारपोव</v>
      </c>
      <c r="I466" s="4" t="str">
        <f>IFERROR(__xludf.DUMMYFUNCTION("GOOGLETRANSLATE(D466, ""en"", ""hi"")"),"A) व्लादिमीर क्रैमनिक")</f>
        <v>A) व्लादिमीर क्रैमनिक</v>
      </c>
    </row>
    <row r="467" ht="22.5" customHeight="1">
      <c r="A467" s="3">
        <v>466.0</v>
      </c>
      <c r="B467" s="4" t="s">
        <v>975</v>
      </c>
      <c r="C467" s="4" t="s">
        <v>1733</v>
      </c>
      <c r="D467" s="4" t="s">
        <v>934</v>
      </c>
      <c r="F467" s="4" t="str">
        <f>IFERROR(__xludf.DUMMYFUNCTION("GOOGLETRANSLATE(A467, ""en"", ""hi"")"),"466")</f>
        <v>466</v>
      </c>
      <c r="G467" s="4" t="str">
        <f>IFERROR(__xludf.DUMMYFUNCTION("GOOGLETRANSLATE(B467, ""en"", ""hi"")"),"20वीं सदी में जन्म लेने वाला पहला विश्व शतरंज चैंपियन कौन था?")</f>
        <v>20वीं सदी में जन्म लेने वाला पहला विश्व शतरंज चैंपियन कौन था?</v>
      </c>
      <c r="H467" s="4" t="str">
        <f>IFERROR(__xludf.DUMMYFUNCTION("GOOGLETRANSLATE(C467, ""en"", ""hi"")"),"ए) अलेक्जेंडर अलेखिन, बी) मिखाइल बोट्वनिक, सी) अनातोली कारपोव, डी) गैरी कास्परोव")</f>
        <v>ए) अलेक्जेंडर अलेखिन, बी) मिखाइल बोट्वनिक, सी) अनातोली कारपोव, डी) गैरी कास्परोव</v>
      </c>
      <c r="I467" s="4" t="str">
        <f>IFERROR(__xludf.DUMMYFUNCTION("GOOGLETRANSLATE(D467, ""en"", ""hi"")"),"B) मिखाइल बोट्विननिक")</f>
        <v>B) मिखाइल बोट्विननिक</v>
      </c>
    </row>
    <row r="468" ht="22.5" customHeight="1">
      <c r="A468" s="3">
        <v>467.0</v>
      </c>
      <c r="B468" s="4" t="s">
        <v>1734</v>
      </c>
      <c r="C468" s="4" t="s">
        <v>1735</v>
      </c>
      <c r="D468" s="4" t="s">
        <v>1736</v>
      </c>
      <c r="F468" s="4" t="str">
        <f>IFERROR(__xludf.DUMMYFUNCTION("GOOGLETRANSLATE(A468, ""en"", ""hi"")"),"467")</f>
        <v>467</v>
      </c>
      <c r="G468" s="4" t="str">
        <f>IFERROR(__xludf.DUMMYFUNCTION("GOOGLETRANSLATE(B468, ""en"", ""hi"")"),"कौन सा शतरंज खिलाड़ी 'श्लीमैन डिफेंस' के लिए जाना जाता है?")</f>
        <v>कौन सा शतरंज खिलाड़ी 'श्लीमैन डिफेंस' के लिए जाना जाता है?</v>
      </c>
      <c r="H468" s="4" t="str">
        <f>IFERROR(__xludf.DUMMYFUNCTION("GOOGLETRANSLATE(C468, ""en"", ""hi"")"),"ए) अर्न्स्ट श्लीमैन, बी) गैरी कास्परोव, सी) विक्टर कोरचनोई, डी) बॉबी फिशर")</f>
        <v>ए) अर्न्स्ट श्लीमैन, बी) गैरी कास्परोव, सी) विक्टर कोरचनोई, डी) बॉबी फिशर</v>
      </c>
      <c r="I468" s="4" t="str">
        <f>IFERROR(__xludf.DUMMYFUNCTION("GOOGLETRANSLATE(D468, ""en"", ""hi"")"),"A) अर्न्स्ट श्लीमैन")</f>
        <v>A) अर्न्स्ट श्लीमैन</v>
      </c>
    </row>
    <row r="469" ht="22.5" customHeight="1">
      <c r="A469" s="3">
        <v>468.0</v>
      </c>
      <c r="B469" s="4" t="s">
        <v>1737</v>
      </c>
      <c r="C469" s="4" t="s">
        <v>1738</v>
      </c>
      <c r="D469" s="4" t="s">
        <v>1739</v>
      </c>
      <c r="F469" s="4" t="str">
        <f>IFERROR(__xludf.DUMMYFUNCTION("GOOGLETRANSLATE(A469, ""en"", ""hi"")"),"468")</f>
        <v>468</v>
      </c>
      <c r="G469" s="4" t="str">
        <f>IFERROR(__xludf.DUMMYFUNCTION("GOOGLETRANSLATE(B469, ""en"", ""hi"")"),"कौन सा शतरंज खिलाड़ी अपने 'वेनिसियन खेल' के लिए जाना जाता था?")</f>
        <v>कौन सा शतरंज खिलाड़ी अपने 'वेनिसियन खेल' के लिए जाना जाता था?</v>
      </c>
      <c r="H469" s="4" t="str">
        <f>IFERROR(__xludf.DUMMYFUNCTION("GOOGLETRANSLATE(C469, ""en"", ""hi"")"),"ए) डोमेनिको पोंज़ियानी, बी) गैरी कास्पारोव, सी) विक्टर कोरचनोई, डी) पॉल केरेस")</f>
        <v>ए) डोमेनिको पोंज़ियानी, बी) गैरी कास्पारोव, सी) विक्टर कोरचनोई, डी) पॉल केरेस</v>
      </c>
      <c r="I469" s="4" t="str">
        <f>IFERROR(__xludf.DUMMYFUNCTION("GOOGLETRANSLATE(D469, ""en"", ""hi"")"),"A) डोमेनिको पोंज़ियानी")</f>
        <v>A) डोमेनिको पोंज़ियानी</v>
      </c>
    </row>
    <row r="470" ht="22.5" customHeight="1">
      <c r="A470" s="3">
        <v>469.0</v>
      </c>
      <c r="B470" s="4" t="s">
        <v>1740</v>
      </c>
      <c r="C470" s="4" t="s">
        <v>1741</v>
      </c>
      <c r="D470" s="4" t="s">
        <v>943</v>
      </c>
      <c r="F470" s="4" t="str">
        <f>IFERROR(__xludf.DUMMYFUNCTION("GOOGLETRANSLATE(A470, ""en"", ""hi"")"),"469")</f>
        <v>469</v>
      </c>
      <c r="G470" s="4" t="str">
        <f>IFERROR(__xludf.DUMMYFUNCTION("GOOGLETRANSLATE(B470, ""en"", ""hi"")"),"1986 में विश्व शतरंज चैंपियन कौन था?")</f>
        <v>1986 में विश्व शतरंज चैंपियन कौन था?</v>
      </c>
      <c r="H470" s="4" t="str">
        <f>IFERROR(__xludf.DUMMYFUNCTION("GOOGLETRANSLATE(C470, ""en"", ""hi"")"),"ए) गैरी कास्परोव, बी) अनातोली कार्पोव, सी) व्लादिमीर क्रैमनिक, डी) मैग्नस कार्लसन")</f>
        <v>ए) गैरी कास्परोव, बी) अनातोली कार्पोव, सी) व्लादिमीर क्रैमनिक, डी) मैग्नस कार्लसन</v>
      </c>
      <c r="I470" s="4" t="str">
        <f>IFERROR(__xludf.DUMMYFUNCTION("GOOGLETRANSLATE(D470, ""en"", ""hi"")"),"A) गैरी कास्पारोव")</f>
        <v>A) गैरी कास्पारोव</v>
      </c>
    </row>
    <row r="471" ht="22.5" customHeight="1">
      <c r="A471" s="3">
        <v>470.0</v>
      </c>
      <c r="B471" s="4" t="s">
        <v>1742</v>
      </c>
      <c r="C471" s="4" t="s">
        <v>1554</v>
      </c>
      <c r="D471" s="4" t="s">
        <v>1555</v>
      </c>
      <c r="F471" s="4" t="str">
        <f>IFERROR(__xludf.DUMMYFUNCTION("GOOGLETRANSLATE(A471, ""en"", ""hi"")"),"470")</f>
        <v>470</v>
      </c>
      <c r="G471" s="4" t="str">
        <f>IFERROR(__xludf.DUMMYFUNCTION("GOOGLETRANSLATE(B471, ""en"", ""hi"")"),"कौन सा शतरंज खिलाड़ी 'मार्शल अटैक' के लिए जाना जाता था?")</f>
        <v>कौन सा शतरंज खिलाड़ी 'मार्शल अटैक' के लिए जाना जाता था?</v>
      </c>
      <c r="H471" s="4" t="str">
        <f>IFERROR(__xludf.DUMMYFUNCTION("GOOGLETRANSLATE(C471, ""en"", ""hi"")"),"A) फ्रैंक मार्शल, B) गैरी कास्पारोव, C) विक्टर कोर्चनोई, D) बॉबी फिशर")</f>
        <v>A) फ्रैंक मार्शल, B) गैरी कास्पारोव, C) विक्टर कोर्चनोई, D) बॉबी फिशर</v>
      </c>
      <c r="I471" s="4" t="str">
        <f>IFERROR(__xludf.DUMMYFUNCTION("GOOGLETRANSLATE(D471, ""en"", ""hi"")"),"A) फ्रैंक मार्शल")</f>
        <v>A) फ्रैंक मार्शल</v>
      </c>
    </row>
    <row r="472" ht="22.5" customHeight="1">
      <c r="A472" s="3">
        <v>471.0</v>
      </c>
      <c r="B472" s="4" t="s">
        <v>1743</v>
      </c>
      <c r="C472" s="4" t="s">
        <v>1744</v>
      </c>
      <c r="D472" s="4" t="s">
        <v>1745</v>
      </c>
      <c r="F472" s="4" t="str">
        <f>IFERROR(__xludf.DUMMYFUNCTION("GOOGLETRANSLATE(A472, ""en"", ""hi"")"),"471")</f>
        <v>471</v>
      </c>
      <c r="G472" s="4" t="str">
        <f>IFERROR(__xludf.DUMMYFUNCTION("GOOGLETRANSLATE(B472, ""en"", ""hi"")"),"कौन सा शतरंज खिलाड़ी 'सिसिलियन ड्रैगन' वेरिएशन के लिए जाना जाता है?")</f>
        <v>कौन सा शतरंज खिलाड़ी 'सिसिलियन ड्रैगन' वेरिएशन के लिए जाना जाता है?</v>
      </c>
      <c r="H472" s="4" t="str">
        <f>IFERROR(__xludf.DUMMYFUNCTION("GOOGLETRANSLATE(C472, ""en"", ""hi"")"),"A) विक्टर कोर्चनोई, B) गैरी कास्पारोव, C) बॉबी फिशर, D) ड्रैगन सिसिलियन")</f>
        <v>A) विक्टर कोर्चनोई, B) गैरी कास्पारोव, C) बॉबी फिशर, D) ड्रैगन सिसिलियन</v>
      </c>
      <c r="I472" s="4" t="str">
        <f>IFERROR(__xludf.DUMMYFUNCTION("GOOGLETRANSLATE(D472, ""en"", ""hi"")"),"D) ड्रैगन सिसिलियन")</f>
        <v>D) ड्रैगन सिसिलियन</v>
      </c>
    </row>
    <row r="473" ht="22.5" customHeight="1">
      <c r="A473" s="3">
        <v>472.0</v>
      </c>
      <c r="B473" s="4" t="s">
        <v>1746</v>
      </c>
      <c r="C473" s="4" t="s">
        <v>1747</v>
      </c>
      <c r="D473" s="4" t="s">
        <v>923</v>
      </c>
      <c r="F473" s="4" t="str">
        <f>IFERROR(__xludf.DUMMYFUNCTION("GOOGLETRANSLATE(A473, ""en"", ""hi"")"),"472")</f>
        <v>472</v>
      </c>
      <c r="G473" s="4" t="str">
        <f>IFERROR(__xludf.DUMMYFUNCTION("GOOGLETRANSLATE(B473, ""en"", ""hi"")"),"कौन सा शतरंज खिलाड़ी अपनी पुस्तक 'माई बेस्ट गेम्स ऑफ चेस' के लिए प्रसिद्ध था?")</f>
        <v>कौन सा शतरंज खिलाड़ी अपनी पुस्तक 'माई बेस्ट गेम्स ऑफ चेस' के लिए प्रसिद्ध था?</v>
      </c>
      <c r="H473" s="4" t="str">
        <f>IFERROR(__xludf.DUMMYFUNCTION("GOOGLETRANSLATE(C473, ""en"", ""hi"")"),"A) अलेक्जेंडर अलेखिन, B) गैरी कास्पारोव, C) बॉबी फिशर, D) पॉल केरेस")</f>
        <v>A) अलेक्जेंडर अलेखिन, B) गैरी कास्पारोव, C) बॉबी फिशर, D) पॉल केरेस</v>
      </c>
      <c r="I473" s="4" t="str">
        <f>IFERROR(__xludf.DUMMYFUNCTION("GOOGLETRANSLATE(D473, ""en"", ""hi"")"),"A) अलेक्जेंडर अलेखिन")</f>
        <v>A) अलेक्जेंडर अलेखिन</v>
      </c>
    </row>
    <row r="474" ht="22.5" customHeight="1">
      <c r="A474" s="3">
        <v>473.0</v>
      </c>
      <c r="B474" s="4" t="s">
        <v>1748</v>
      </c>
      <c r="C474" s="4" t="s">
        <v>1480</v>
      </c>
      <c r="D474" s="4" t="s">
        <v>943</v>
      </c>
      <c r="F474" s="4" t="str">
        <f>IFERROR(__xludf.DUMMYFUNCTION("GOOGLETRANSLATE(A474, ""en"", ""hi"")"),"473")</f>
        <v>473</v>
      </c>
      <c r="G474" s="4" t="str">
        <f>IFERROR(__xludf.DUMMYFUNCTION("GOOGLETRANSLATE(B474, ""en"", ""hi"")"),"1993 में किस शतरंज खिलाड़ी ने विश्व शतरंज चैंपियनशिप जीती?")</f>
        <v>1993 में किस शतरंज खिलाड़ी ने विश्व शतरंज चैंपियनशिप जीती?</v>
      </c>
      <c r="H474" s="4" t="str">
        <f>IFERROR(__xludf.DUMMYFUNCTION("GOOGLETRANSLATE(C474, ""en"", ""hi"")"),"ए) गैरी कास्पारोव, बी) व्लादिमीर क्रैमनिक, सी) अनातोली कारपोव, डी) मैग्नस कार्लसन")</f>
        <v>ए) गैरी कास्पारोव, बी) व्लादिमीर क्रैमनिक, सी) अनातोली कारपोव, डी) मैग्नस कार्लसन</v>
      </c>
      <c r="I474" s="4" t="str">
        <f>IFERROR(__xludf.DUMMYFUNCTION("GOOGLETRANSLATE(D474, ""en"", ""hi"")"),"A) गैरी कास्पारोव")</f>
        <v>A) गैरी कास्पारोव</v>
      </c>
    </row>
    <row r="475" ht="22.5" customHeight="1">
      <c r="A475" s="3">
        <v>474.0</v>
      </c>
      <c r="B475" s="4" t="s">
        <v>1749</v>
      </c>
      <c r="C475" s="4" t="s">
        <v>1550</v>
      </c>
      <c r="D475" s="4" t="s">
        <v>1275</v>
      </c>
      <c r="F475" s="4" t="str">
        <f>IFERROR(__xludf.DUMMYFUNCTION("GOOGLETRANSLATE(A475, ""en"", ""hi"")"),"474")</f>
        <v>474</v>
      </c>
      <c r="G475" s="4" t="str">
        <f>IFERROR(__xludf.DUMMYFUNCTION("GOOGLETRANSLATE(B475, ""en"", ""hi"")"),"2018 में विश्व शतरंज चैंपियन कौन था?")</f>
        <v>2018 में विश्व शतरंज चैंपियन कौन था?</v>
      </c>
      <c r="H475" s="4" t="str">
        <f>IFERROR(__xludf.DUMMYFUNCTION("GOOGLETRANSLATE(C475, ""en"", ""hi"")"),"ए) मैग्नस कार्लसन, बी) गैरी कास्परोव, सी) व्लादिमीर क्रैमनिक, डी) अनातोली कारपोव")</f>
        <v>ए) मैग्नस कार्लसन, बी) गैरी कास्परोव, सी) व्लादिमीर क्रैमनिक, डी) अनातोली कारपोव</v>
      </c>
      <c r="I475" s="4" t="str">
        <f>IFERROR(__xludf.DUMMYFUNCTION("GOOGLETRANSLATE(D475, ""en"", ""hi"")"),"A) मैग्नस कार्लसन")</f>
        <v>A) मैग्नस कार्लसन</v>
      </c>
    </row>
    <row r="476" ht="22.5" customHeight="1">
      <c r="A476" s="3">
        <v>475.0</v>
      </c>
      <c r="B476" s="4" t="s">
        <v>1750</v>
      </c>
      <c r="C476" s="4" t="s">
        <v>1558</v>
      </c>
      <c r="D476" s="4" t="s">
        <v>1559</v>
      </c>
      <c r="F476" s="4" t="str">
        <f>IFERROR(__xludf.DUMMYFUNCTION("GOOGLETRANSLATE(A476, ""en"", ""hi"")"),"475")</f>
        <v>475</v>
      </c>
      <c r="G476" s="4" t="str">
        <f>IFERROR(__xludf.DUMMYFUNCTION("GOOGLETRANSLATE(B476, ""en"", ""hi"")"),"कौन सा शतरंज खिलाड़ी 'कैरो-कन्न डिफेंस' के लिए जाना जाता है?")</f>
        <v>कौन सा शतरंज खिलाड़ी 'कैरो-कन्न डिफेंस' के लिए जाना जाता है?</v>
      </c>
      <c r="H476" s="4" t="str">
        <f>IFERROR(__xludf.DUMMYFUNCTION("GOOGLETRANSLATE(C476, ""en"", ""hi"")"),"ए) होरेशियो कारो और मार्कस कन्न, बी) गैरी कास्पारोव, सी) विक्टर कोरचनोई, डी) बॉबी फिशर")</f>
        <v>ए) होरेशियो कारो और मार्कस कन्न, बी) गैरी कास्पारोव, सी) विक्टर कोरचनोई, डी) बॉबी फिशर</v>
      </c>
      <c r="I476" s="4" t="str">
        <f>IFERROR(__xludf.DUMMYFUNCTION("GOOGLETRANSLATE(D476, ""en"", ""hi"")"),"ए) होरेशियो कारो और मार्कस कन्न")</f>
        <v>ए) होरेशियो कारो और मार्कस कन्न</v>
      </c>
    </row>
    <row r="477" ht="22.5" customHeight="1">
      <c r="A477" s="3">
        <v>476.0</v>
      </c>
      <c r="B477" s="4" t="s">
        <v>1751</v>
      </c>
      <c r="C477" s="4" t="s">
        <v>1441</v>
      </c>
      <c r="D477" s="4" t="s">
        <v>1124</v>
      </c>
      <c r="F477" s="4" t="str">
        <f>IFERROR(__xludf.DUMMYFUNCTION("GOOGLETRANSLATE(A477, ""en"", ""hi"")"),"476")</f>
        <v>476</v>
      </c>
      <c r="G477" s="4" t="str">
        <f>IFERROR(__xludf.DUMMYFUNCTION("GOOGLETRANSLATE(B477, ""en"", ""hi"")"),"कौन सा शतरंज खिलाड़ी 'डेयरिंग नाइट' ओपनिंग के विकास के लिए जाना जाता था?")</f>
        <v>कौन सा शतरंज खिलाड़ी 'डेयरिंग नाइट' ओपनिंग के विकास के लिए जाना जाता था?</v>
      </c>
      <c r="H477" s="4" t="str">
        <f>IFERROR(__xludf.DUMMYFUNCTION("GOOGLETRANSLATE(C477, ""en"", ""hi"")"),"ए) पॉल मॉर्फी, बी) गैरी कास्परोव, सी) बॉबी फिशर, डी) विक्टर कोरचनोई")</f>
        <v>ए) पॉल मॉर्फी, बी) गैरी कास्परोव, सी) बॉबी फिशर, डी) विक्टर कोरचनोई</v>
      </c>
      <c r="I477" s="4" t="str">
        <f>IFERROR(__xludf.DUMMYFUNCTION("GOOGLETRANSLATE(D477, ""en"", ""hi"")"),"A) पॉल मॉर्फी")</f>
        <v>A) पॉल मॉर्फी</v>
      </c>
    </row>
    <row r="478" ht="22.5" customHeight="1">
      <c r="A478" s="3">
        <v>477.0</v>
      </c>
      <c r="B478" s="4" t="s">
        <v>1752</v>
      </c>
      <c r="C478" s="4" t="s">
        <v>1480</v>
      </c>
      <c r="D478" s="4" t="s">
        <v>943</v>
      </c>
      <c r="F478" s="4" t="str">
        <f>IFERROR(__xludf.DUMMYFUNCTION("GOOGLETRANSLATE(A478, ""en"", ""hi"")"),"477")</f>
        <v>477</v>
      </c>
      <c r="G478" s="4" t="str">
        <f>IFERROR(__xludf.DUMMYFUNCTION("GOOGLETRANSLATE(B478, ""en"", ""hi"")"),"2700 रेटिंग प्राप्त करने वाला पहला शतरंज खिलाड़ी कौन था?")</f>
        <v>2700 रेटिंग प्राप्त करने वाला पहला शतरंज खिलाड़ी कौन था?</v>
      </c>
      <c r="H478" s="4" t="str">
        <f>IFERROR(__xludf.DUMMYFUNCTION("GOOGLETRANSLATE(C478, ""en"", ""hi"")"),"ए) गैरी कास्पारोव, बी) व्लादिमीर क्रैमनिक, सी) अनातोली कारपोव, डी) मैग्नस कार्लसन")</f>
        <v>ए) गैरी कास्पारोव, बी) व्लादिमीर क्रैमनिक, सी) अनातोली कारपोव, डी) मैग्नस कार्लसन</v>
      </c>
      <c r="I478" s="4" t="str">
        <f>IFERROR(__xludf.DUMMYFUNCTION("GOOGLETRANSLATE(D478, ""en"", ""hi"")"),"A) गैरी कास्पारोव")</f>
        <v>A) गैरी कास्पारोव</v>
      </c>
    </row>
    <row r="479" ht="22.5" customHeight="1">
      <c r="A479" s="3">
        <v>478.0</v>
      </c>
      <c r="B479" s="4" t="s">
        <v>1753</v>
      </c>
      <c r="C479" s="4" t="s">
        <v>1024</v>
      </c>
      <c r="D479" s="4" t="s">
        <v>980</v>
      </c>
      <c r="F479" s="4" t="str">
        <f>IFERROR(__xludf.DUMMYFUNCTION("GOOGLETRANSLATE(A479, ""en"", ""hi"")"),"478")</f>
        <v>478</v>
      </c>
      <c r="G479" s="4" t="str">
        <f>IFERROR(__xludf.DUMMYFUNCTION("GOOGLETRANSLATE(B479, ""en"", ""hi"")"),"1910 में विश्व शतरंज चैंपियन कौन था?")</f>
        <v>1910 में विश्व शतरंज चैंपियन कौन था?</v>
      </c>
      <c r="H479" s="4" t="str">
        <f>IFERROR(__xludf.DUMMYFUNCTION("GOOGLETRANSLATE(C479, ""en"", ""hi"")"),"ए) इमानुएल लास्कर, बी) जोस राउल कैपब्लांका, सी) अलेक्जेंडर अलेखिन, डी) मिखाइल बोट्वनिक")</f>
        <v>ए) इमानुएल लास्कर, बी) जोस राउल कैपब्लांका, सी) अलेक्जेंडर अलेखिन, डी) मिखाइल बोट्वनिक</v>
      </c>
      <c r="I479" s="4" t="str">
        <f>IFERROR(__xludf.DUMMYFUNCTION("GOOGLETRANSLATE(D479, ""en"", ""hi"")"),"A) इमानुएल लास्कर")</f>
        <v>A) इमानुएल लास्कर</v>
      </c>
    </row>
    <row r="480" ht="22.5" customHeight="1">
      <c r="A480" s="3">
        <v>479.0</v>
      </c>
      <c r="B480" s="4" t="s">
        <v>1754</v>
      </c>
      <c r="C480" s="4" t="s">
        <v>1755</v>
      </c>
      <c r="D480" s="4" t="s">
        <v>943</v>
      </c>
      <c r="F480" s="4" t="str">
        <f>IFERROR(__xludf.DUMMYFUNCTION("GOOGLETRANSLATE(A480, ""en"", ""hi"")"),"479")</f>
        <v>479</v>
      </c>
      <c r="G480" s="4" t="str">
        <f>IFERROR(__xludf.DUMMYFUNCTION("GOOGLETRANSLATE(B480, ""en"", ""hi"")"),"कौन सा शतरंज खिलाड़ी 'किंग्स इंडियन अटैक' में अपने योगदान के लिए जाना जाता था?")</f>
        <v>कौन सा शतरंज खिलाड़ी 'किंग्स इंडियन अटैक' में अपने योगदान के लिए जाना जाता था?</v>
      </c>
      <c r="H480" s="4" t="str">
        <f>IFERROR(__xludf.DUMMYFUNCTION("GOOGLETRANSLATE(C480, ""en"", ""hi"")"),"ए) गैरी कास्परोव, बी) विक्टर कोरचनोई, सी) पॉल केरेस, डी) बॉबी फिशर")</f>
        <v>ए) गैरी कास्परोव, बी) विक्टर कोरचनोई, सी) पॉल केरेस, डी) बॉबी फिशर</v>
      </c>
      <c r="I480" s="4" t="str">
        <f>IFERROR(__xludf.DUMMYFUNCTION("GOOGLETRANSLATE(D480, ""en"", ""hi"")"),"A) गैरी कास्पारोव")</f>
        <v>A) गैरी कास्पारोव</v>
      </c>
    </row>
    <row r="481" ht="22.5" customHeight="1">
      <c r="A481" s="3">
        <v>480.0</v>
      </c>
      <c r="B481" s="4" t="s">
        <v>1756</v>
      </c>
      <c r="C481" s="4" t="s">
        <v>1757</v>
      </c>
      <c r="D481" s="4" t="s">
        <v>1758</v>
      </c>
      <c r="F481" s="4" t="str">
        <f>IFERROR(__xludf.DUMMYFUNCTION("GOOGLETRANSLATE(A481, ""en"", ""hi"")"),"480")</f>
        <v>480</v>
      </c>
      <c r="G481" s="4" t="str">
        <f>IFERROR(__xludf.DUMMYFUNCTION("GOOGLETRANSLATE(B481, ""en"", ""hi"")"),"कौन सा शतरंज खिलाड़ी अपनी प्रसिद्ध पुस्तक 'द आर्ट ऑफ सैक्रिफाइस' के लिए जाना जाता था?")</f>
        <v>कौन सा शतरंज खिलाड़ी अपनी प्रसिद्ध पुस्तक 'द आर्ट ऑफ सैक्रिफाइस' के लिए जाना जाता था?</v>
      </c>
      <c r="H481" s="4" t="str">
        <f>IFERROR(__xludf.DUMMYFUNCTION("GOOGLETRANSLATE(C481, ""en"", ""hi"")"),"ए) रुडोल्फ स्पीलमैन, बी) गैरी कास्परोव, सी) बॉबी फिशर, डी) विक्टर कोरचनोई")</f>
        <v>ए) रुडोल्फ स्पीलमैन, बी) गैरी कास्परोव, सी) बॉबी फिशर, डी) विक्टर कोरचनोई</v>
      </c>
      <c r="I481" s="4" t="str">
        <f>IFERROR(__xludf.DUMMYFUNCTION("GOOGLETRANSLATE(D481, ""en"", ""hi"")"),"A) रुडोल्फ स्पीलमैन")</f>
        <v>A) रुडोल्फ स्पीलमैन</v>
      </c>
    </row>
    <row r="482" ht="22.5" customHeight="1">
      <c r="A482" s="3">
        <v>481.0</v>
      </c>
      <c r="B482" s="4" t="s">
        <v>1759</v>
      </c>
      <c r="C482" s="4" t="s">
        <v>1760</v>
      </c>
      <c r="D482" s="4" t="s">
        <v>1761</v>
      </c>
      <c r="F482" s="4" t="str">
        <f>IFERROR(__xludf.DUMMYFUNCTION("GOOGLETRANSLATE(A482, ""en"", ""hi"")"),"481")</f>
        <v>481</v>
      </c>
      <c r="G482" s="4" t="str">
        <f>IFERROR(__xludf.DUMMYFUNCTION("GOOGLETRANSLATE(B482, ""en"", ""hi"")"),"कौन सा शतरंज खिलाड़ी अपनी 'पोलिश ओपनिंग' के लिए जाना जाता है?")</f>
        <v>कौन सा शतरंज खिलाड़ी अपनी 'पोलिश ओपनिंग' के लिए जाना जाता है?</v>
      </c>
      <c r="H482" s="4" t="str">
        <f>IFERROR(__xludf.DUMMYFUNCTION("GOOGLETRANSLATE(C482, ""en"", ""hi"")"),"ए) जॉर्ज कोल्टानोव्स्की, बी) गैरी कास्पारोव, सी) विक्टर कोरचनोई, डी) पॉल केरेस")</f>
        <v>ए) जॉर्ज कोल्टानोव्स्की, बी) गैरी कास्पारोव, सी) विक्टर कोरचनोई, डी) पॉल केरेस</v>
      </c>
      <c r="I482" s="4" t="str">
        <f>IFERROR(__xludf.DUMMYFUNCTION("GOOGLETRANSLATE(D482, ""en"", ""hi"")"),"A) जॉर्ज कोल्टानोव्स्की")</f>
        <v>A) जॉर्ज कोल्टानोव्स्की</v>
      </c>
    </row>
    <row r="483" ht="22.5" customHeight="1">
      <c r="A483" s="3">
        <v>482.0</v>
      </c>
      <c r="B483" s="4" t="s">
        <v>1762</v>
      </c>
      <c r="C483" s="4" t="s">
        <v>1550</v>
      </c>
      <c r="D483" s="4" t="s">
        <v>1275</v>
      </c>
      <c r="F483" s="4" t="str">
        <f>IFERROR(__xludf.DUMMYFUNCTION("GOOGLETRANSLATE(A483, ""en"", ""hi"")"),"482")</f>
        <v>482</v>
      </c>
      <c r="G483" s="4" t="str">
        <f>IFERROR(__xludf.DUMMYFUNCTION("GOOGLETRANSLATE(B483, ""en"", ""hi"")"),"2012 में विश्व शतरंज चैंपियन कौन था?")</f>
        <v>2012 में विश्व शतरंज चैंपियन कौन था?</v>
      </c>
      <c r="H483" s="4" t="str">
        <f>IFERROR(__xludf.DUMMYFUNCTION("GOOGLETRANSLATE(C483, ""en"", ""hi"")"),"ए) मैग्नस कार्लसन, बी) गैरी कास्परोव, सी) व्लादिमीर क्रैमनिक, डी) अनातोली कारपोव")</f>
        <v>ए) मैग्नस कार्लसन, बी) गैरी कास्परोव, सी) व्लादिमीर क्रैमनिक, डी) अनातोली कारपोव</v>
      </c>
      <c r="I483" s="4" t="str">
        <f>IFERROR(__xludf.DUMMYFUNCTION("GOOGLETRANSLATE(D483, ""en"", ""hi"")"),"A) मैग्नस कार्लसन")</f>
        <v>A) मैग्नस कार्लसन</v>
      </c>
    </row>
    <row r="484" ht="22.5" customHeight="1">
      <c r="A484" s="3">
        <v>483.0</v>
      </c>
      <c r="B484" s="4" t="s">
        <v>1763</v>
      </c>
      <c r="C484" s="4" t="s">
        <v>1764</v>
      </c>
      <c r="D484" s="4" t="s">
        <v>887</v>
      </c>
      <c r="F484" s="4" t="str">
        <f>IFERROR(__xludf.DUMMYFUNCTION("GOOGLETRANSLATE(A484, ""en"", ""hi"")"),"483")</f>
        <v>483</v>
      </c>
      <c r="G484" s="4" t="str">
        <f>IFERROR(__xludf.DUMMYFUNCTION("GOOGLETRANSLATE(B484, ""en"", ""hi"")"),"कौन सा शतरंज खिलाड़ी 1978 में विक्टर कोर्चनोई के खिलाफ अपने प्रसिद्ध खेल के लिए जाना जाता है?")</f>
        <v>कौन सा शतरंज खिलाड़ी 1978 में विक्टर कोर्चनोई के खिलाफ अपने प्रसिद्ध खेल के लिए जाना जाता है?</v>
      </c>
      <c r="H484" s="4" t="str">
        <f>IFERROR(__xludf.DUMMYFUNCTION("GOOGLETRANSLATE(C484, ""en"", ""hi"")"),"ए) अनातोली कार्पोव, बी) गैरी कास्पारोव, सी) बॉबी फिशर, डी) पॉल केरेस")</f>
        <v>ए) अनातोली कार्पोव, बी) गैरी कास्पारोव, सी) बॉबी फिशर, डी) पॉल केरेस</v>
      </c>
      <c r="I484" s="4" t="str">
        <f>IFERROR(__xludf.DUMMYFUNCTION("GOOGLETRANSLATE(D484, ""en"", ""hi"")"),"A) अनातोली कार्पोव")</f>
        <v>A) अनातोली कार्पोव</v>
      </c>
    </row>
    <row r="485" ht="22.5" customHeight="1">
      <c r="A485" s="3">
        <v>484.0</v>
      </c>
      <c r="B485" s="4" t="s">
        <v>1765</v>
      </c>
      <c r="C485" s="4" t="s">
        <v>1452</v>
      </c>
      <c r="D485" s="4" t="s">
        <v>1453</v>
      </c>
      <c r="F485" s="4" t="str">
        <f>IFERROR(__xludf.DUMMYFUNCTION("GOOGLETRANSLATE(A485, ""en"", ""hi"")"),"484")</f>
        <v>484</v>
      </c>
      <c r="G485" s="4" t="str">
        <f>IFERROR(__xludf.DUMMYFUNCTION("GOOGLETRANSLATE(B485, ""en"", ""hi"")"),"कौन सा शतरंज खिलाड़ी सिसिलियन डिफेंस में 'स्वेशनिकोव वेरिएशन' के लिए जाना जाता है?")</f>
        <v>कौन सा शतरंज खिलाड़ी सिसिलियन डिफेंस में 'स्वेशनिकोव वेरिएशन' के लिए जाना जाता है?</v>
      </c>
      <c r="H485" s="4" t="str">
        <f>IFERROR(__xludf.DUMMYFUNCTION("GOOGLETRANSLATE(C485, ""en"", ""hi"")"),"ए) अलेक्जेंडर स्वेशनिकोव, बी) गैरी कास्पारोव, सी) विक्टर कोरचनोई, डी) पॉल केरेस")</f>
        <v>ए) अलेक्जेंडर स्वेशनिकोव, बी) गैरी कास्पारोव, सी) विक्टर कोरचनोई, डी) पॉल केरेस</v>
      </c>
      <c r="I485" s="4" t="str">
        <f>IFERROR(__xludf.DUMMYFUNCTION("GOOGLETRANSLATE(D485, ""en"", ""hi"")"),"A) अलेक्जेंडर स्वेशनिकोव")</f>
        <v>A) अलेक्जेंडर स्वेशनिकोव</v>
      </c>
    </row>
    <row r="486" ht="22.5" customHeight="1">
      <c r="A486" s="3">
        <v>485.0</v>
      </c>
      <c r="B486" s="4" t="s">
        <v>1766</v>
      </c>
      <c r="C486" s="4" t="s">
        <v>1767</v>
      </c>
      <c r="D486" s="4" t="s">
        <v>1635</v>
      </c>
      <c r="F486" s="4" t="str">
        <f>IFERROR(__xludf.DUMMYFUNCTION("GOOGLETRANSLATE(A486, ""en"", ""hi"")"),"485")</f>
        <v>485</v>
      </c>
      <c r="G486" s="4" t="str">
        <f>IFERROR(__xludf.DUMMYFUNCTION("GOOGLETRANSLATE(B486, ""en"", ""hi"")"),"कौन सा शतरंज खिलाड़ी 1957 में मिखाइल ताल के विरुद्ध अपने प्रसिद्ध खेल के लिए जाना जाता था?")</f>
        <v>कौन सा शतरंज खिलाड़ी 1957 में मिखाइल ताल के विरुद्ध अपने प्रसिद्ध खेल के लिए जाना जाता था?</v>
      </c>
      <c r="H486" s="4" t="str">
        <f>IFERROR(__xludf.DUMMYFUNCTION("GOOGLETRANSLATE(C486, ""en"", ""hi"")"),"ए) पॉल केरेस, बी) गैरी कास्पारोव, सी) बॉबी फिशर, डी) विक्टर कोरचनोई")</f>
        <v>ए) पॉल केरेस, बी) गैरी कास्पारोव, सी) बॉबी फिशर, डी) विक्टर कोरचनोई</v>
      </c>
      <c r="I486" s="4" t="str">
        <f>IFERROR(__xludf.DUMMYFUNCTION("GOOGLETRANSLATE(D486, ""en"", ""hi"")"),"A) पॉल केरेस")</f>
        <v>A) पॉल केरेस</v>
      </c>
    </row>
    <row r="487" ht="22.5" customHeight="1">
      <c r="A487" s="3">
        <v>486.0</v>
      </c>
      <c r="B487" s="4" t="s">
        <v>1768</v>
      </c>
      <c r="C487" s="4" t="s">
        <v>1769</v>
      </c>
      <c r="D487" s="4" t="s">
        <v>1770</v>
      </c>
      <c r="F487" s="4" t="str">
        <f>IFERROR(__xludf.DUMMYFUNCTION("GOOGLETRANSLATE(A487, ""en"", ""hi"")"),"486")</f>
        <v>486</v>
      </c>
      <c r="G487" s="4" t="str">
        <f>IFERROR(__xludf.DUMMYFUNCTION("GOOGLETRANSLATE(B487, ""en"", ""hi"")"),"कौन सा शतरंज खिलाड़ी अपने 'टोरे अटैक' के लिए प्रसिद्ध था?")</f>
        <v>कौन सा शतरंज खिलाड़ी अपने 'टोरे अटैक' के लिए प्रसिद्ध था?</v>
      </c>
      <c r="H487" s="4" t="str">
        <f>IFERROR(__xludf.DUMMYFUNCTION("GOOGLETRANSLATE(C487, ""en"", ""hi"")"),"ए) फ्रांसिस्को टोरे, बी) गैरी कास्पारोव, सी) विक्टर कोरचनोई, डी) बॉबी फिशर")</f>
        <v>ए) फ्रांसिस्को टोरे, बी) गैरी कास्पारोव, सी) विक्टर कोरचनोई, डी) बॉबी फिशर</v>
      </c>
      <c r="I487" s="4" t="str">
        <f>IFERROR(__xludf.DUMMYFUNCTION("GOOGLETRANSLATE(D487, ""en"", ""hi"")"),"A) फ्रांसिस्को टोरे")</f>
        <v>A) फ्रांसिस्को टोरे</v>
      </c>
    </row>
    <row r="488" ht="22.5" customHeight="1">
      <c r="A488" s="3">
        <v>487.0</v>
      </c>
      <c r="B488" s="4" t="s">
        <v>1520</v>
      </c>
      <c r="C488" s="4" t="s">
        <v>1521</v>
      </c>
      <c r="D488" s="4" t="s">
        <v>985</v>
      </c>
      <c r="F488" s="4" t="str">
        <f>IFERROR(__xludf.DUMMYFUNCTION("GOOGLETRANSLATE(A488, ""en"", ""hi"")"),"487")</f>
        <v>487</v>
      </c>
      <c r="G488" s="4" t="str">
        <f>IFERROR(__xludf.DUMMYFUNCTION("GOOGLETRANSLATE(B488, ""en"", ""hi"")"),"1948 में विश्व शतरंज चैंपियन कौन था?")</f>
        <v>1948 में विश्व शतरंज चैंपियन कौन था?</v>
      </c>
      <c r="H488" s="4" t="str">
        <f>IFERROR(__xludf.DUMMYFUNCTION("GOOGLETRANSLATE(C488, ""en"", ""hi"")"),"ए) मिखाइल बोट्वनिक, बी) जोस राउल कैपब्लांका, सी) अलेक्जेंडर अलेखिन, डी) इमानुएल लास्कर")</f>
        <v>ए) मिखाइल बोट्वनिक, बी) जोस राउल कैपब्लांका, सी) अलेक्जेंडर अलेखिन, डी) इमानुएल लास्कर</v>
      </c>
      <c r="I488" s="4" t="str">
        <f>IFERROR(__xludf.DUMMYFUNCTION("GOOGLETRANSLATE(D488, ""en"", ""hi"")"),"A) मिखाइल बोट्विननिक")</f>
        <v>A) मिखाइल बोट्विननिक</v>
      </c>
    </row>
    <row r="489" ht="22.5" customHeight="1">
      <c r="A489" s="3">
        <v>488.0</v>
      </c>
      <c r="B489" s="4" t="s">
        <v>1771</v>
      </c>
      <c r="C489" s="4" t="s">
        <v>1772</v>
      </c>
      <c r="D489" s="4" t="s">
        <v>1369</v>
      </c>
      <c r="F489" s="4" t="str">
        <f>IFERROR(__xludf.DUMMYFUNCTION("GOOGLETRANSLATE(A489, ""en"", ""hi"")"),"488")</f>
        <v>488</v>
      </c>
      <c r="G489" s="4" t="str">
        <f>IFERROR(__xludf.DUMMYFUNCTION("GOOGLETRANSLATE(B489, ""en"", ""hi"")"),"कौन सा शतरंज खिलाड़ी 'टू नाइट्स डिफेंस' के विकास के लिए जाना जाता है?")</f>
        <v>कौन सा शतरंज खिलाड़ी 'टू नाइट्स डिफेंस' के विकास के लिए जाना जाता है?</v>
      </c>
      <c r="H489" s="4" t="str">
        <f>IFERROR(__xludf.DUMMYFUNCTION("GOOGLETRANSLATE(C489, ""en"", ""hi"")"),"ए) हॉवर्ड स्टॉन्टन, बी) गैरी कास्परोव, सी) विक्टर कोरचनोई, डी) पॉल केरेस")</f>
        <v>ए) हॉवर्ड स्टॉन्टन, बी) गैरी कास्परोव, सी) विक्टर कोरचनोई, डी) पॉल केरेस</v>
      </c>
      <c r="I489" s="4" t="str">
        <f>IFERROR(__xludf.DUMMYFUNCTION("GOOGLETRANSLATE(D489, ""en"", ""hi"")"),"A) हॉवर्ड स्टॉन्टन")</f>
        <v>A) हॉवर्ड स्टॉन्टन</v>
      </c>
    </row>
    <row r="490" ht="22.5" customHeight="1">
      <c r="A490" s="3">
        <v>489.0</v>
      </c>
      <c r="B490" s="4" t="s">
        <v>1773</v>
      </c>
      <c r="C490" s="4" t="s">
        <v>1774</v>
      </c>
      <c r="D490" s="4" t="s">
        <v>1474</v>
      </c>
      <c r="F490" s="4" t="str">
        <f>IFERROR(__xludf.DUMMYFUNCTION("GOOGLETRANSLATE(A490, ""en"", ""hi"")"),"489")</f>
        <v>489</v>
      </c>
      <c r="G490" s="4" t="str">
        <f>IFERROR(__xludf.DUMMYFUNCTION("GOOGLETRANSLATE(B490, ""en"", ""hi"")"),"कौन सा शतरंज खिलाड़ी 1995 पीसीए विश्व शतरंज चैम्पियनशिप में गैरी कास्पारोव के खिलाफ अपने प्रसिद्ध खेल के लिए जाना जाता था?")</f>
        <v>कौन सा शतरंज खिलाड़ी 1995 पीसीए विश्व शतरंज चैम्पियनशिप में गैरी कास्पारोव के खिलाफ अपने प्रसिद्ध खेल के लिए जाना जाता था?</v>
      </c>
      <c r="H490" s="4" t="str">
        <f>IFERROR(__xludf.DUMMYFUNCTION("GOOGLETRANSLATE(C490, ""en"", ""hi"")"),"ए) विश्वनाथन आनंद, बी) गैरी कास्परोव, सी) व्लादिमीर क्रैमनिक, डी) अनातोली कारपोव")</f>
        <v>ए) विश्वनाथन आनंद, बी) गैरी कास्परोव, सी) व्लादिमीर क्रैमनिक, डी) अनातोली कारपोव</v>
      </c>
      <c r="I490" s="4" t="str">
        <f>IFERROR(__xludf.DUMMYFUNCTION("GOOGLETRANSLATE(D490, ""en"", ""hi"")"),"A) विश्वनाथन आनंद")</f>
        <v>A) विश्वनाथन आनंद</v>
      </c>
    </row>
    <row r="491" ht="22.5" customHeight="1">
      <c r="A491" s="3">
        <v>490.0</v>
      </c>
      <c r="B491" s="4" t="s">
        <v>1775</v>
      </c>
      <c r="C491" s="4" t="s">
        <v>1776</v>
      </c>
      <c r="D491" s="4" t="s">
        <v>1559</v>
      </c>
      <c r="F491" s="4" t="str">
        <f>IFERROR(__xludf.DUMMYFUNCTION("GOOGLETRANSLATE(A491, ""en"", ""hi"")"),"490")</f>
        <v>490</v>
      </c>
      <c r="G491" s="4" t="str">
        <f>IFERROR(__xludf.DUMMYFUNCTION("GOOGLETRANSLATE(B491, ""en"", ""hi"")"),"कौन सा शतरंज खिलाड़ी 'बर्लिन डिफेंस' के लिए जाना जाता है?")</f>
        <v>कौन सा शतरंज खिलाड़ी 'बर्लिन डिफेंस' के लिए जाना जाता है?</v>
      </c>
      <c r="H491" s="4" t="str">
        <f>IFERROR(__xludf.DUMMYFUNCTION("GOOGLETRANSLATE(C491, ""en"", ""hi"")"),"ए) होरेशियो कारो और मार्कस कन्न, बी) गैरी कास्परोव, सी) विक्टर कोरचनोई, डी) पॉल केरेस")</f>
        <v>ए) होरेशियो कारो और मार्कस कन्न, बी) गैरी कास्परोव, सी) विक्टर कोरचनोई, डी) पॉल केरेस</v>
      </c>
      <c r="I491" s="4" t="str">
        <f>IFERROR(__xludf.DUMMYFUNCTION("GOOGLETRANSLATE(D491, ""en"", ""hi"")"),"ए) होरेशियो कारो और मार्कस कन्न")</f>
        <v>ए) होरेशियो कारो और मार्कस कन्न</v>
      </c>
    </row>
    <row r="492" ht="22.5" customHeight="1">
      <c r="A492" s="3">
        <v>491.0</v>
      </c>
      <c r="B492" s="4" t="s">
        <v>1777</v>
      </c>
      <c r="C492" s="4" t="s">
        <v>1732</v>
      </c>
      <c r="D492" s="4" t="s">
        <v>948</v>
      </c>
      <c r="F492" s="4" t="str">
        <f>IFERROR(__xludf.DUMMYFUNCTION("GOOGLETRANSLATE(A492, ""en"", ""hi"")"),"491")</f>
        <v>491</v>
      </c>
      <c r="G492" s="4" t="str">
        <f>IFERROR(__xludf.DUMMYFUNCTION("GOOGLETRANSLATE(B492, ""en"", ""hi"")"),"2004 में विश्व शतरंज चैंपियन कौन था?")</f>
        <v>2004 में विश्व शतरंज चैंपियन कौन था?</v>
      </c>
      <c r="H492" s="4" t="str">
        <f>IFERROR(__xludf.DUMMYFUNCTION("GOOGLETRANSLATE(C492, ""en"", ""hi"")"),"ए) व्लादिमीर क्रैमनिक, बी) गैरी कास्परोव, सी) मैग्नस कार्लसन, डी) अनातोली कारपोव")</f>
        <v>ए) व्लादिमीर क्रैमनिक, बी) गैरी कास्परोव, सी) मैग्नस कार्लसन, डी) अनातोली कारपोव</v>
      </c>
      <c r="I492" s="4" t="str">
        <f>IFERROR(__xludf.DUMMYFUNCTION("GOOGLETRANSLATE(D492, ""en"", ""hi"")"),"A) व्लादिमीर क्रैमनिक")</f>
        <v>A) व्लादिमीर क्रैमनिक</v>
      </c>
    </row>
    <row r="493" ht="22.5" customHeight="1">
      <c r="A493" s="3">
        <v>492.0</v>
      </c>
      <c r="B493" s="4" t="s">
        <v>1778</v>
      </c>
      <c r="C493" s="4" t="s">
        <v>1779</v>
      </c>
      <c r="D493" s="4" t="s">
        <v>1780</v>
      </c>
      <c r="F493" s="4" t="str">
        <f>IFERROR(__xludf.DUMMYFUNCTION("GOOGLETRANSLATE(A493, ""en"", ""hi"")"),"492")</f>
        <v>492</v>
      </c>
      <c r="G493" s="4" t="str">
        <f>IFERROR(__xludf.DUMMYFUNCTION("GOOGLETRANSLATE(B493, ""en"", ""hi"")"),"कौन सा शतरंज खिलाड़ी 'मॉडर्न बेनोनी डिफेंस' पर अपने काम के लिए जाना जाता है?")</f>
        <v>कौन सा शतरंज खिलाड़ी 'मॉडर्न बेनोनी डिफेंस' पर अपने काम के लिए जाना जाता है?</v>
      </c>
      <c r="H493" s="4" t="str">
        <f>IFERROR(__xludf.DUMMYFUNCTION("GOOGLETRANSLATE(C493, ""en"", ""hi"")"),"A) बेनोनी, B) गैरी कास्पारोव, C) विक्टर कोर्चनोई, D) बॉबी फिशर")</f>
        <v>A) बेनोनी, B) गैरी कास्पारोव, C) विक्टर कोर्चनोई, D) बॉबी फिशर</v>
      </c>
      <c r="I493" s="4" t="str">
        <f>IFERROR(__xludf.DUMMYFUNCTION("GOOGLETRANSLATE(D493, ""en"", ""hi"")"),"ए) बेनोनी")</f>
        <v>ए) बेनोनी</v>
      </c>
    </row>
    <row r="494" ht="22.5" customHeight="1">
      <c r="A494" s="3">
        <v>493.0</v>
      </c>
      <c r="B494" s="4" t="s">
        <v>1781</v>
      </c>
      <c r="C494" s="4" t="s">
        <v>1782</v>
      </c>
      <c r="D494" s="4" t="s">
        <v>985</v>
      </c>
      <c r="F494" s="4" t="str">
        <f>IFERROR(__xludf.DUMMYFUNCTION("GOOGLETRANSLATE(A494, ""en"", ""hi"")"),"493")</f>
        <v>493</v>
      </c>
      <c r="G494" s="4" t="str">
        <f>IFERROR(__xludf.DUMMYFUNCTION("GOOGLETRANSLATE(B494, ""en"", ""hi"")"),"कौन सा शतरंज खिलाड़ी 1950 में जोस राउल कैपब्लांका के विरुद्ध खेले गए अपने प्रसिद्ध खेल के लिए जाना जाता था?")</f>
        <v>कौन सा शतरंज खिलाड़ी 1950 में जोस राउल कैपब्लांका के विरुद्ध खेले गए अपने प्रसिद्ध खेल के लिए जाना जाता था?</v>
      </c>
      <c r="H494" s="4" t="str">
        <f>IFERROR(__xludf.DUMMYFUNCTION("GOOGLETRANSLATE(C494, ""en"", ""hi"")"),"ए) मिखाइल बोट्वनिक, बी) गैरी कास्पारोव, सी) बॉबी फिशर, डी) विक्टर कोरचनोई")</f>
        <v>ए) मिखाइल बोट्वनिक, बी) गैरी कास्पारोव, सी) बॉबी फिशर, डी) विक्टर कोरचनोई</v>
      </c>
      <c r="I494" s="4" t="str">
        <f>IFERROR(__xludf.DUMMYFUNCTION("GOOGLETRANSLATE(D494, ""en"", ""hi"")"),"A) मिखाइल बोट्विननिक")</f>
        <v>A) मिखाइल बोट्विननिक</v>
      </c>
    </row>
    <row r="495" ht="22.5" customHeight="1">
      <c r="A495" s="3">
        <v>494.0</v>
      </c>
      <c r="B495" s="4" t="s">
        <v>1783</v>
      </c>
      <c r="C495" s="4" t="s">
        <v>1784</v>
      </c>
      <c r="D495" s="4" t="s">
        <v>980</v>
      </c>
      <c r="F495" s="4" t="str">
        <f>IFERROR(__xludf.DUMMYFUNCTION("GOOGLETRANSLATE(A495, ""en"", ""hi"")"),"494")</f>
        <v>494</v>
      </c>
      <c r="G495" s="4" t="str">
        <f>IFERROR(__xludf.DUMMYFUNCTION("GOOGLETRANSLATE(B495, ""en"", ""hi"")"),"विश्व शतरंज चैंपियनशिप दो बार जीतने वाला पहला खिलाड़ी कौन था?")</f>
        <v>विश्व शतरंज चैंपियनशिप दो बार जीतने वाला पहला खिलाड़ी कौन था?</v>
      </c>
      <c r="H495" s="4" t="str">
        <f>IFERROR(__xludf.DUMMYFUNCTION("GOOGLETRANSLATE(C495, ""en"", ""hi"")"),"ए) इमानुएल लास्कर, बी) गैरी कास्पारोव, सी) व्लादिमीर क्रैमनिक, डी) अनातोली कारपोव")</f>
        <v>ए) इमानुएल लास्कर, बी) गैरी कास्पारोव, सी) व्लादिमीर क्रैमनिक, डी) अनातोली कारपोव</v>
      </c>
      <c r="I495" s="4" t="str">
        <f>IFERROR(__xludf.DUMMYFUNCTION("GOOGLETRANSLATE(D495, ""en"", ""hi"")"),"A) इमानुएल लास्कर")</f>
        <v>A) इमानुएल लास्कर</v>
      </c>
    </row>
    <row r="496" ht="22.5" customHeight="1">
      <c r="A496" s="3">
        <v>495.0</v>
      </c>
      <c r="B496" s="4" t="s">
        <v>1785</v>
      </c>
      <c r="C496" s="4" t="s">
        <v>1786</v>
      </c>
      <c r="D496" s="4" t="s">
        <v>1354</v>
      </c>
      <c r="F496" s="4" t="str">
        <f>IFERROR(__xludf.DUMMYFUNCTION("GOOGLETRANSLATE(A496, ""en"", ""hi"")"),"495")</f>
        <v>495</v>
      </c>
      <c r="G496" s="4" t="str">
        <f>IFERROR(__xludf.DUMMYFUNCTION("GOOGLETRANSLATE(B496, ""en"", ""hi"")"),"कौन सा शतरंज खिलाड़ी अपने 'किंग्स इंडियन डिफेंस' के लिए जाना जाता था?")</f>
        <v>कौन सा शतरंज खिलाड़ी अपने 'किंग्स इंडियन डिफेंस' के लिए जाना जाता था?</v>
      </c>
      <c r="H496" s="4" t="str">
        <f>IFERROR(__xludf.DUMMYFUNCTION("GOOGLETRANSLATE(C496, ""en"", ""hi"")"),"ए) एरोन निमज़ोवित्च, बी) गैरी कास्पारोव, सी) विक्टर कोरचनोई, डी) बॉबी फिशर")</f>
        <v>ए) एरोन निमज़ोवित्च, बी) गैरी कास्पारोव, सी) विक्टर कोरचनोई, डी) बॉबी फिशर</v>
      </c>
      <c r="I496" s="4" t="str">
        <f>IFERROR(__xludf.DUMMYFUNCTION("GOOGLETRANSLATE(D496, ""en"", ""hi"")"),"A) एरॉन निमज़ोवित्च")</f>
        <v>A) एरॉन निमज़ोवित्च</v>
      </c>
    </row>
    <row r="497" ht="22.5" customHeight="1">
      <c r="A497" s="3">
        <v>496.0</v>
      </c>
      <c r="B497" s="4" t="s">
        <v>1787</v>
      </c>
      <c r="C497" s="4" t="s">
        <v>1788</v>
      </c>
      <c r="D497" s="4" t="s">
        <v>887</v>
      </c>
      <c r="F497" s="4" t="str">
        <f>IFERROR(__xludf.DUMMYFUNCTION("GOOGLETRANSLATE(A497, ""en"", ""hi"")"),"496")</f>
        <v>496</v>
      </c>
      <c r="G497" s="4" t="str">
        <f>IFERROR(__xludf.DUMMYFUNCTION("GOOGLETRANSLATE(B497, ""en"", ""hi"")"),"1980 में विश्व शतरंज चैंपियन कौन था?")</f>
        <v>1980 में विश्व शतरंज चैंपियन कौन था?</v>
      </c>
      <c r="H497" s="4" t="str">
        <f>IFERROR(__xludf.DUMMYFUNCTION("GOOGLETRANSLATE(C497, ""en"", ""hi"")"),"ए) अनातोली कार्पोव, बी) गैरी कास्पारोव, सी) व्लादिमीर क्रैमनिक, डी) मैग्नस कार्लसन")</f>
        <v>ए) अनातोली कार्पोव, बी) गैरी कास्पारोव, सी) व्लादिमीर क्रैमनिक, डी) मैग्नस कार्लसन</v>
      </c>
      <c r="I497" s="4" t="str">
        <f>IFERROR(__xludf.DUMMYFUNCTION("GOOGLETRANSLATE(D497, ""en"", ""hi"")"),"A) अनातोली कार्पोव")</f>
        <v>A) अनातोली कार्पोव</v>
      </c>
    </row>
    <row r="498" ht="22.5" customHeight="1">
      <c r="A498" s="3">
        <v>497.0</v>
      </c>
      <c r="B498" s="4" t="s">
        <v>1789</v>
      </c>
      <c r="C498" s="4" t="s">
        <v>1790</v>
      </c>
      <c r="D498" s="4" t="s">
        <v>1791</v>
      </c>
      <c r="F498" s="4" t="str">
        <f>IFERROR(__xludf.DUMMYFUNCTION("GOOGLETRANSLATE(A498, ""en"", ""hi"")"),"497")</f>
        <v>497</v>
      </c>
      <c r="G498" s="4" t="str">
        <f>IFERROR(__xludf.DUMMYFUNCTION("GOOGLETRANSLATE(B498, ""en"", ""hi"")"),"कौन सा शतरंज खिलाड़ी 'पिर्क डिफेंस' के विकास के लिए जाना जाता था?")</f>
        <v>कौन सा शतरंज खिलाड़ी 'पिर्क डिफेंस' के विकास के लिए जाना जाता था?</v>
      </c>
      <c r="H498" s="4" t="str">
        <f>IFERROR(__xludf.DUMMYFUNCTION("GOOGLETRANSLATE(C498, ""en"", ""hi"")"),"ए) वास्जा पिर्क, बी) गैरी कास्पारोव, सी) विक्टर कोरचनोई, डी) पॉल केरेस")</f>
        <v>ए) वास्जा पिर्क, बी) गैरी कास्पारोव, सी) विक्टर कोरचनोई, डी) पॉल केरेस</v>
      </c>
      <c r="I498" s="4" t="str">
        <f>IFERROR(__xludf.DUMMYFUNCTION("GOOGLETRANSLATE(D498, ""en"", ""hi"")"),"A) वासजा पिरक")</f>
        <v>A) वासजा पिरक</v>
      </c>
    </row>
    <row r="499" ht="22.5" customHeight="1">
      <c r="A499" s="3">
        <v>498.0</v>
      </c>
      <c r="B499" s="4" t="s">
        <v>1792</v>
      </c>
      <c r="C499" s="4" t="s">
        <v>1480</v>
      </c>
      <c r="D499" s="4" t="s">
        <v>943</v>
      </c>
      <c r="F499" s="4" t="str">
        <f>IFERROR(__xludf.DUMMYFUNCTION("GOOGLETRANSLATE(A499, ""en"", ""hi"")"),"498")</f>
        <v>498</v>
      </c>
      <c r="G499" s="4" t="str">
        <f>IFERROR(__xludf.DUMMYFUNCTION("GOOGLETRANSLATE(B499, ""en"", ""hi"")"),"कौन सा शतरंज खिलाड़ी 1999 में वेसलिन टोपालोव के विरुद्ध अपने प्रसिद्ध खेल के लिए जाना जाता था?")</f>
        <v>कौन सा शतरंज खिलाड़ी 1999 में वेसलिन टोपालोव के विरुद्ध अपने प्रसिद्ध खेल के लिए जाना जाता था?</v>
      </c>
      <c r="H499" s="4" t="str">
        <f>IFERROR(__xludf.DUMMYFUNCTION("GOOGLETRANSLATE(C499, ""en"", ""hi"")"),"ए) गैरी कास्पारोव, बी) व्लादिमीर क्रैमनिक, सी) अनातोली कारपोव, डी) मैग्नस कार्लसन")</f>
        <v>ए) गैरी कास्पारोव, बी) व्लादिमीर क्रैमनिक, सी) अनातोली कारपोव, डी) मैग्नस कार्लसन</v>
      </c>
      <c r="I499" s="4" t="str">
        <f>IFERROR(__xludf.DUMMYFUNCTION("GOOGLETRANSLATE(D499, ""en"", ""hi"")"),"A) गैरी कास्पारोव")</f>
        <v>A) गैरी कास्पारोव</v>
      </c>
    </row>
    <row r="500" ht="22.5" customHeight="1">
      <c r="A500" s="3">
        <v>499.0</v>
      </c>
      <c r="B500" s="4" t="s">
        <v>1793</v>
      </c>
      <c r="C500" s="4" t="s">
        <v>1794</v>
      </c>
      <c r="D500" s="4" t="s">
        <v>962</v>
      </c>
      <c r="F500" s="4" t="str">
        <f>IFERROR(__xludf.DUMMYFUNCTION("GOOGLETRANSLATE(A500, ""en"", ""hi"")"),"499")</f>
        <v>499</v>
      </c>
      <c r="G500" s="4" t="str">
        <f>IFERROR(__xludf.DUMMYFUNCTION("GOOGLETRANSLATE(B500, ""en"", ""hi"")"),"कौन सा शतरंज खिलाड़ी 'क्वींस गैम्बिट डिक्लाइन्ड' में अपने योगदान के लिए जाना जाता था?")</f>
        <v>कौन सा शतरंज खिलाड़ी 'क्वींस गैम्बिट डिक्लाइन्ड' में अपने योगदान के लिए जाना जाता था?</v>
      </c>
      <c r="H500" s="4" t="str">
        <f>IFERROR(__xludf.DUMMYFUNCTION("GOOGLETRANSLATE(C500, ""en"", ""hi"")"),"ए) विल्हेम स्टीनित्ज़, बी) गैरी कास्पारोव, सी) विक्टर कोरचनोई, डी) बॉबी फिशर")</f>
        <v>ए) विल्हेम स्टीनित्ज़, बी) गैरी कास्पारोव, सी) विक्टर कोरचनोई, डी) बॉबी फिशर</v>
      </c>
      <c r="I500" s="4" t="str">
        <f>IFERROR(__xludf.DUMMYFUNCTION("GOOGLETRANSLATE(D500, ""en"", ""hi"")"),"A) विल्हेम स्टाइनिट्ज़")</f>
        <v>A) विल्हेम स्टाइनिट्ज़</v>
      </c>
    </row>
    <row r="501" ht="22.5" customHeight="1">
      <c r="A501" s="3">
        <v>500.0</v>
      </c>
      <c r="B501" s="4" t="s">
        <v>1795</v>
      </c>
      <c r="C501" s="4" t="s">
        <v>1480</v>
      </c>
      <c r="D501" s="4" t="s">
        <v>943</v>
      </c>
      <c r="F501" s="4" t="str">
        <f>IFERROR(__xludf.DUMMYFUNCTION("GOOGLETRANSLATE(A501, ""en"", ""hi"")"),"500")</f>
        <v>500</v>
      </c>
      <c r="G501" s="4" t="str">
        <f>IFERROR(__xludf.DUMMYFUNCTION("GOOGLETRANSLATE(B501, ""en"", ""hi"")"),"1999 में विश्व शतरंज चैंपियन कौन था?")</f>
        <v>1999 में विश्व शतरंज चैंपियन कौन था?</v>
      </c>
      <c r="H501" s="4" t="str">
        <f>IFERROR(__xludf.DUMMYFUNCTION("GOOGLETRANSLATE(C501, ""en"", ""hi"")"),"ए) गैरी कास्पारोव, बी) व्लादिमीर क्रैमनिक, सी) अनातोली कारपोव, डी) मैग्नस कार्लसन")</f>
        <v>ए) गैरी कास्पारोव, बी) व्लादिमीर क्रैमनिक, सी) अनातोली कारपोव, डी) मैग्नस कार्लसन</v>
      </c>
      <c r="I501" s="4" t="str">
        <f>IFERROR(__xludf.DUMMYFUNCTION("GOOGLETRANSLATE(D501, ""en"", ""hi"")"),"A) गैरी कास्पारोव")</f>
        <v>A) गैरी कास्पारोव</v>
      </c>
    </row>
    <row r="502" ht="22.5" customHeight="1">
      <c r="A502" s="3">
        <v>501.0</v>
      </c>
      <c r="B502" s="4" t="s">
        <v>1796</v>
      </c>
      <c r="C502" s="4" t="s">
        <v>1452</v>
      </c>
      <c r="D502" s="4" t="s">
        <v>1453</v>
      </c>
      <c r="F502" s="4" t="str">
        <f>IFERROR(__xludf.DUMMYFUNCTION("GOOGLETRANSLATE(A502, ""en"", ""hi"")"),"501")</f>
        <v>501</v>
      </c>
      <c r="G502" s="4" t="str">
        <f>IFERROR(__xludf.DUMMYFUNCTION("GOOGLETRANSLATE(B502, ""en"", ""hi"")"),"कौन सा शतरंज खिलाड़ी 'एक्सीलरेटेड ड्रैगन' पर अपने काम के लिए जाना जाता है?")</f>
        <v>कौन सा शतरंज खिलाड़ी 'एक्सीलरेटेड ड्रैगन' पर अपने काम के लिए जाना जाता है?</v>
      </c>
      <c r="H502" s="4" t="str">
        <f>IFERROR(__xludf.DUMMYFUNCTION("GOOGLETRANSLATE(C502, ""en"", ""hi"")"),"ए) अलेक्जेंडर स्वेशनिकोव, बी) गैरी कास्पारोव, सी) विक्टर कोरचनोई, डी) पॉल केरेस")</f>
        <v>ए) अलेक्जेंडर स्वेशनिकोव, बी) गैरी कास्पारोव, सी) विक्टर कोरचनोई, डी) पॉल केरेस</v>
      </c>
      <c r="I502" s="4" t="str">
        <f>IFERROR(__xludf.DUMMYFUNCTION("GOOGLETRANSLATE(D502, ""en"", ""hi"")"),"A) अलेक्जेंडर स्वेशनिकोव")</f>
        <v>A) अलेक्जेंडर स्वेशनिकोव</v>
      </c>
    </row>
    <row r="503" ht="22.5" customHeight="1">
      <c r="A503" s="3">
        <v>502.0</v>
      </c>
      <c r="B503" s="4" t="s">
        <v>1797</v>
      </c>
      <c r="C503" s="4" t="s">
        <v>1767</v>
      </c>
      <c r="D503" s="4" t="s">
        <v>1635</v>
      </c>
      <c r="F503" s="4" t="str">
        <f>IFERROR(__xludf.DUMMYFUNCTION("GOOGLETRANSLATE(A503, ""en"", ""hi"")"),"502")</f>
        <v>502</v>
      </c>
      <c r="G503" s="4" t="str">
        <f>IFERROR(__xludf.DUMMYFUNCTION("GOOGLETRANSLATE(B503, ""en"", ""hi"")"),"कौन सा शतरंज खिलाड़ी 1956 में मिखाइल ताल के खिलाफ अपने प्रसिद्ध खेल के लिए जाना जाता था?")</f>
        <v>कौन सा शतरंज खिलाड़ी 1956 में मिखाइल ताल के खिलाफ अपने प्रसिद्ध खेल के लिए जाना जाता था?</v>
      </c>
      <c r="H503" s="4" t="str">
        <f>IFERROR(__xludf.DUMMYFUNCTION("GOOGLETRANSLATE(C503, ""en"", ""hi"")"),"ए) पॉल केरेस, बी) गैरी कास्पारोव, सी) बॉबी फिशर, डी) विक्टर कोरचनोई")</f>
        <v>ए) पॉल केरेस, बी) गैरी कास्पारोव, सी) बॉबी फिशर, डी) विक्टर कोरचनोई</v>
      </c>
      <c r="I503" s="4" t="str">
        <f>IFERROR(__xludf.DUMMYFUNCTION("GOOGLETRANSLATE(D503, ""en"", ""hi"")"),"A) पॉल केरेस")</f>
        <v>A) पॉल केरेस</v>
      </c>
    </row>
    <row r="504" ht="22.5" customHeight="1">
      <c r="A504" s="3">
        <v>503.0</v>
      </c>
      <c r="B504" s="4" t="s">
        <v>1798</v>
      </c>
      <c r="C504" s="4" t="s">
        <v>1799</v>
      </c>
      <c r="D504" s="4" t="s">
        <v>1800</v>
      </c>
      <c r="F504" s="4" t="str">
        <f>IFERROR(__xludf.DUMMYFUNCTION("GOOGLETRANSLATE(A504, ""en"", ""hi"")"),"503")</f>
        <v>503</v>
      </c>
      <c r="G504" s="4" t="str">
        <f>IFERROR(__xludf.DUMMYFUNCTION("GOOGLETRANSLATE(B504, ""en"", ""hi"")"),"कौन सा शतरंज खिलाड़ी अपने प्रसिद्ध 'डच डिफेंस' के लिए जाना जाता था?")</f>
        <v>कौन सा शतरंज खिलाड़ी अपने प्रसिद्ध 'डच डिफेंस' के लिए जाना जाता था?</v>
      </c>
      <c r="H504" s="4" t="str">
        <f>IFERROR(__xludf.DUMMYFUNCTION("GOOGLETRANSLATE(C504, ""en"", ""hi"")"),"ए) एलियास स्टीन, बी) गैरी कास्पारोव, सी) विक्टर कोरचनोई, डी) पॉल केरेस")</f>
        <v>ए) एलियास स्टीन, बी) गैरी कास्पारोव, सी) विक्टर कोरचनोई, डी) पॉल केरेस</v>
      </c>
      <c r="I504" s="4" t="str">
        <f>IFERROR(__xludf.DUMMYFUNCTION("GOOGLETRANSLATE(D504, ""en"", ""hi"")"),"A) एलियास स्टीन")</f>
        <v>A) एलियास स्टीन</v>
      </c>
    </row>
    <row r="505" ht="22.5" customHeight="1">
      <c r="A505" s="3">
        <v>504.0</v>
      </c>
      <c r="B505" s="4" t="s">
        <v>1801</v>
      </c>
      <c r="C505" s="4" t="s">
        <v>1480</v>
      </c>
      <c r="D505" s="4" t="s">
        <v>943</v>
      </c>
      <c r="F505" s="4" t="str">
        <f>IFERROR(__xludf.DUMMYFUNCTION("GOOGLETRANSLATE(A505, ""en"", ""hi"")"),"504")</f>
        <v>504</v>
      </c>
      <c r="G505" s="4" t="str">
        <f>IFERROR(__xludf.DUMMYFUNCTION("GOOGLETRANSLATE(B505, ""en"", ""hi"")"),"1998 में किस शतरंज खिलाड़ी ने विश्व शतरंज चैंपियनशिप जीती?")</f>
        <v>1998 में किस शतरंज खिलाड़ी ने विश्व शतरंज चैंपियनशिप जीती?</v>
      </c>
      <c r="H505" s="4" t="str">
        <f>IFERROR(__xludf.DUMMYFUNCTION("GOOGLETRANSLATE(C505, ""en"", ""hi"")"),"ए) गैरी कास्पारोव, बी) व्लादिमीर क्रैमनिक, सी) अनातोली कारपोव, डी) मैग्नस कार्लसन")</f>
        <v>ए) गैरी कास्पारोव, बी) व्लादिमीर क्रैमनिक, सी) अनातोली कारपोव, डी) मैग्नस कार्लसन</v>
      </c>
      <c r="I505" s="4" t="str">
        <f>IFERROR(__xludf.DUMMYFUNCTION("GOOGLETRANSLATE(D505, ""en"", ""hi"")"),"A) गैरी कास्पारोव")</f>
        <v>A) गैरी कास्पारोव</v>
      </c>
    </row>
    <row r="506" ht="22.5" customHeight="1">
      <c r="A506" s="3">
        <v>505.0</v>
      </c>
      <c r="B506" s="4" t="s">
        <v>1802</v>
      </c>
      <c r="C506" s="4" t="s">
        <v>1764</v>
      </c>
      <c r="D506" s="4" t="s">
        <v>887</v>
      </c>
      <c r="F506" s="4" t="str">
        <f>IFERROR(__xludf.DUMMYFUNCTION("GOOGLETRANSLATE(A506, ""en"", ""hi"")"),"505")</f>
        <v>505</v>
      </c>
      <c r="G506" s="4" t="str">
        <f>IFERROR(__xludf.DUMMYFUNCTION("GOOGLETRANSLATE(B506, ""en"", ""hi"")"),"कौन सा शतरंज खिलाड़ी 1978 में विक्टर कोर्चनोई के खिलाफ अपने प्रसिद्ध खेल के लिए जाना जाता था?")</f>
        <v>कौन सा शतरंज खिलाड़ी 1978 में विक्टर कोर्चनोई के खिलाफ अपने प्रसिद्ध खेल के लिए जाना जाता था?</v>
      </c>
      <c r="H506" s="4" t="str">
        <f>IFERROR(__xludf.DUMMYFUNCTION("GOOGLETRANSLATE(C506, ""en"", ""hi"")"),"ए) अनातोली कार्पोव, बी) गैरी कास्पारोव, सी) बॉबी फिशर, डी) पॉल केरेस")</f>
        <v>ए) अनातोली कार्पोव, बी) गैरी कास्पारोव, सी) बॉबी फिशर, डी) पॉल केरेस</v>
      </c>
      <c r="I506" s="4" t="str">
        <f>IFERROR(__xludf.DUMMYFUNCTION("GOOGLETRANSLATE(D506, ""en"", ""hi"")"),"A) अनातोली कार्पोव")</f>
        <v>A) अनातोली कार्पोव</v>
      </c>
    </row>
    <row r="507" ht="22.5" customHeight="1">
      <c r="A507" s="3">
        <v>506.0</v>
      </c>
      <c r="B507" s="4" t="s">
        <v>1803</v>
      </c>
      <c r="C507" s="4" t="s">
        <v>1779</v>
      </c>
      <c r="D507" s="4" t="s">
        <v>1780</v>
      </c>
      <c r="F507" s="4" t="str">
        <f>IFERROR(__xludf.DUMMYFUNCTION("GOOGLETRANSLATE(A507, ""en"", ""hi"")"),"506")</f>
        <v>506</v>
      </c>
      <c r="G507" s="4" t="str">
        <f>IFERROR(__xludf.DUMMYFUNCTION("GOOGLETRANSLATE(B507, ""en"", ""hi"")"),"कौन सा शतरंज खिलाड़ी 'बेनोनी डिफेंस' में अपने योगदान के लिए जाना जाता है?")</f>
        <v>कौन सा शतरंज खिलाड़ी 'बेनोनी डिफेंस' में अपने योगदान के लिए जाना जाता है?</v>
      </c>
      <c r="H507" s="4" t="str">
        <f>IFERROR(__xludf.DUMMYFUNCTION("GOOGLETRANSLATE(C507, ""en"", ""hi"")"),"A) बेनोनी, B) गैरी कास्पारोव, C) विक्टर कोर्चनोई, D) बॉबी फिशर")</f>
        <v>A) बेनोनी, B) गैरी कास्पारोव, C) विक्टर कोर्चनोई, D) बॉबी फिशर</v>
      </c>
      <c r="I507" s="4" t="str">
        <f>IFERROR(__xludf.DUMMYFUNCTION("GOOGLETRANSLATE(D507, ""en"", ""hi"")"),"ए) बेनोनी")</f>
        <v>ए) बेनोनी</v>
      </c>
    </row>
    <row r="508" ht="22.5" customHeight="1">
      <c r="A508" s="3">
        <v>507.0</v>
      </c>
      <c r="B508" s="4" t="s">
        <v>1532</v>
      </c>
      <c r="C508" s="4" t="s">
        <v>1533</v>
      </c>
      <c r="D508" s="4" t="s">
        <v>967</v>
      </c>
      <c r="F508" s="4" t="str">
        <f>IFERROR(__xludf.DUMMYFUNCTION("GOOGLETRANSLATE(A508, ""en"", ""hi"")"),"507")</f>
        <v>507</v>
      </c>
      <c r="G508" s="4" t="str">
        <f>IFERROR(__xludf.DUMMYFUNCTION("GOOGLETRANSLATE(B508, ""en"", ""hi"")"),"1927 में विश्व शतरंज चैंपियन कौन था?")</f>
        <v>1927 में विश्व शतरंज चैंपियन कौन था?</v>
      </c>
      <c r="H508" s="4" t="str">
        <f>IFERROR(__xludf.DUMMYFUNCTION("GOOGLETRANSLATE(C508, ""en"", ""hi"")"),"ए) जोस राउल कैपब्लांका, बी) अलेक्जेंडर अलेखिन, सी) इमानुएल लास्कर, डी) मिखाइल बोट्वनिक")</f>
        <v>ए) जोस राउल कैपब्लांका, बी) अलेक्जेंडर अलेखिन, सी) इमानुएल लास्कर, डी) मिखाइल बोट्वनिक</v>
      </c>
      <c r="I508" s="4" t="str">
        <f>IFERROR(__xludf.DUMMYFUNCTION("GOOGLETRANSLATE(D508, ""en"", ""hi"")"),"A) जोस राउल कैपब्लैंका")</f>
        <v>A) जोस राउल कैपब्लैंका</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8" width="37.63"/>
    <col customWidth="1" min="9" max="9" width="23.88"/>
  </cols>
  <sheetData>
    <row r="1" ht="22.5" customHeight="1">
      <c r="A1" s="6" t="s">
        <v>0</v>
      </c>
      <c r="B1" s="6" t="s">
        <v>1</v>
      </c>
      <c r="C1" s="6" t="s">
        <v>2</v>
      </c>
      <c r="D1" s="6" t="s">
        <v>3</v>
      </c>
      <c r="F1" s="2" t="s">
        <v>4</v>
      </c>
      <c r="G1" s="2" t="s">
        <v>5</v>
      </c>
      <c r="H1" s="2" t="s">
        <v>6</v>
      </c>
      <c r="I1" s="2" t="s">
        <v>7</v>
      </c>
    </row>
    <row r="2" ht="22.5" customHeight="1">
      <c r="A2" s="7">
        <v>1.0</v>
      </c>
      <c r="B2" s="8" t="s">
        <v>1804</v>
      </c>
      <c r="C2" s="8" t="s">
        <v>1805</v>
      </c>
      <c r="D2" s="8" t="s">
        <v>222</v>
      </c>
      <c r="F2" s="5" t="str">
        <f>IFERROR(__xludf.DUMMYFUNCTION("GOOGLETRANSLATE(A2, ""en"", ""hi"")"),"1")</f>
        <v>1</v>
      </c>
      <c r="G2" s="5" t="str">
        <f>IFERROR(__xludf.DUMMYFUNCTION("GOOGLETRANSLATE(B2, ""en"", ""hi"")"),"किस प्राचीन भारतीय ग्रंथ में खो-खो को शारीरिक शिक्षा के एक भाग के रूप में उल्लेखित किया गया है?")</f>
        <v>किस प्राचीन भारतीय ग्रंथ में खो-खो को शारीरिक शिक्षा के एक भाग के रूप में उल्लेखित किया गया है?</v>
      </c>
      <c r="H2" s="5" t="str">
        <f>IFERROR(__xludf.DUMMYFUNCTION("GOOGLETRANSLATE(C2, ""en"", ""hi"")"),"ए) महाभारत, बी) रामायण, सी) मनुस्मृति, डी) अर्थशास्त्र")</f>
        <v>ए) महाभारत, बी) रामायण, सी) मनुस्मृति, डी) अर्थशास्त्र</v>
      </c>
      <c r="I2" s="5" t="str">
        <f>IFERROR(__xludf.DUMMYFUNCTION("GOOGLETRANSLATE(D2, ""en"", ""hi"")"),"A) महाभारत")</f>
        <v>A) महाभारत</v>
      </c>
    </row>
    <row r="3" ht="22.5" customHeight="1">
      <c r="A3" s="7">
        <v>2.0</v>
      </c>
      <c r="B3" s="8" t="s">
        <v>1806</v>
      </c>
      <c r="C3" s="8" t="s">
        <v>1807</v>
      </c>
      <c r="D3" s="8" t="s">
        <v>1808</v>
      </c>
      <c r="F3" s="5" t="str">
        <f>IFERROR(__xludf.DUMMYFUNCTION("GOOGLETRANSLATE(A3, ""en"", ""hi"")"),"2")</f>
        <v>2</v>
      </c>
      <c r="G3" s="5" t="str">
        <f>IFERROR(__xludf.DUMMYFUNCTION("GOOGLETRANSLATE(B3, ""en"", ""hi"")"),"भारतीय खो-खो महासंघ के प्रथम अध्यक्ष कौन थे?")</f>
        <v>भारतीय खो-खो महासंघ के प्रथम अध्यक्ष कौन थे?</v>
      </c>
      <c r="H3" s="5" t="str">
        <f>IFERROR(__xludf.DUMMYFUNCTION("GOOGLETRANSLATE(C3, ""en"", ""hi"")"),"A) वी.जी. खेर, B) बी.एस. बाबू, C) पी.के. शर्मा, D) एम.आर. सिंह")</f>
        <v>A) वी.जी. खेर, B) बी.एस. बाबू, C) पी.के. शर्मा, D) एम.आर. सिंह</v>
      </c>
      <c r="I3" s="5" t="str">
        <f>IFERROR(__xludf.DUMMYFUNCTION("GOOGLETRANSLATE(D3, ""en"", ""hi"")"),"A) वी.जी. खेर")</f>
        <v>A) वी.जी. खेर</v>
      </c>
    </row>
    <row r="4" ht="22.5" customHeight="1">
      <c r="A4" s="7">
        <v>3.0</v>
      </c>
      <c r="B4" s="8" t="s">
        <v>1809</v>
      </c>
      <c r="C4" s="8" t="s">
        <v>1810</v>
      </c>
      <c r="D4" s="8" t="s">
        <v>1811</v>
      </c>
      <c r="F4" s="5" t="str">
        <f>IFERROR(__xludf.DUMMYFUNCTION("GOOGLETRANSLATE(A4, ""en"", ""hi"")"),"3")</f>
        <v>3</v>
      </c>
      <c r="G4" s="5" t="str">
        <f>IFERROR(__xludf.DUMMYFUNCTION("GOOGLETRANSLATE(B4, ""en"", ""hi"")"),"खो-खो को भारतीय ओलंपिक संघ से आधिकारिक मान्यता किस वर्ष मिली?")</f>
        <v>खो-खो को भारतीय ओलंपिक संघ से आधिकारिक मान्यता किस वर्ष मिली?</v>
      </c>
      <c r="H4" s="5" t="str">
        <f>IFERROR(__xludf.DUMMYFUNCTION("GOOGLETRANSLATE(C4, ""en"", ""hi"")"),"ए) 1962, बी) 1965, सी) 1970, डी) 1975")</f>
        <v>ए) 1962, बी) 1965, सी) 1970, डी) 1975</v>
      </c>
      <c r="I4" s="5" t="str">
        <f>IFERROR(__xludf.DUMMYFUNCTION("GOOGLETRANSLATE(D4, ""en"", ""hi"")"),"बी) 1965")</f>
        <v>बी) 1965</v>
      </c>
    </row>
    <row r="5" ht="22.5" customHeight="1">
      <c r="A5" s="7">
        <v>4.0</v>
      </c>
      <c r="B5" s="8" t="s">
        <v>1812</v>
      </c>
      <c r="C5" s="8" t="s">
        <v>1813</v>
      </c>
      <c r="D5" s="8" t="s">
        <v>1814</v>
      </c>
      <c r="F5" s="5" t="str">
        <f>IFERROR(__xludf.DUMMYFUNCTION("GOOGLETRANSLATE(A5, ""en"", ""hi"")"),"4")</f>
        <v>4</v>
      </c>
      <c r="G5" s="5" t="str">
        <f>IFERROR(__xludf.DUMMYFUNCTION("GOOGLETRANSLATE(B5, ""en"", ""hi"")"),"1982 में खो-खो के नियमों में क्या महत्वपूर्ण परिवर्तन किया गया?")</f>
        <v>1982 में खो-खो के नियमों में क्या महत्वपूर्ण परिवर्तन किया गया?</v>
      </c>
      <c r="H5" s="5" t="str">
        <f>IFERROR(__xludf.DUMMYFUNCTION("GOOGLETRANSLATE(C5, ""en"", ""hi"")"),"ए) नई स्कोरिंग प्रणाली की शुरूआत, बी) मैदान के आयामों में परिवर्तन, सी) खेल अवधि का मानकीकरण, डी) नए पदों को जोड़ना")</f>
        <v>ए) नई स्कोरिंग प्रणाली की शुरूआत, बी) मैदान के आयामों में परिवर्तन, सी) खेल अवधि का मानकीकरण, डी) नए पदों को जोड़ना</v>
      </c>
      <c r="I5" s="5" t="str">
        <f>IFERROR(__xludf.DUMMYFUNCTION("GOOGLETRANSLATE(D5, ""en"", ""hi"")"),"C) खेल अवधि का मानकीकरण")</f>
        <v>C) खेल अवधि का मानकीकरण</v>
      </c>
    </row>
    <row r="6" ht="22.5" customHeight="1">
      <c r="A6" s="7">
        <v>5.0</v>
      </c>
      <c r="B6" s="8" t="s">
        <v>1815</v>
      </c>
      <c r="C6" s="8" t="s">
        <v>1816</v>
      </c>
      <c r="D6" s="8" t="s">
        <v>236</v>
      </c>
      <c r="F6" s="5" t="str">
        <f>IFERROR(__xludf.DUMMYFUNCTION("GOOGLETRANSLATE(A6, ""en"", ""hi"")"),"5")</f>
        <v>5</v>
      </c>
      <c r="G6" s="5" t="str">
        <f>IFERROR(__xludf.DUMMYFUNCTION("GOOGLETRANSLATE(B6, ""en"", ""hi"")"),"1980 में किस भारतीय राज्य ने पहली अंतर्राष्ट्रीय खो-खो प्रतियोगिता की मेजबानी की?")</f>
        <v>1980 में किस भारतीय राज्य ने पहली अंतर्राष्ट्रीय खो-खो प्रतियोगिता की मेजबानी की?</v>
      </c>
      <c r="H6" s="5" t="str">
        <f>IFERROR(__xludf.DUMMYFUNCTION("GOOGLETRANSLATE(C6, ""en"", ""hi"")"),"ए) महाराष्ट्र, बी) दिल्ली, सी) पंजाब, डी) कर्नाटक")</f>
        <v>ए) महाराष्ट्र, बी) दिल्ली, सी) पंजाब, डी) कर्नाटक</v>
      </c>
      <c r="I6" s="5" t="str">
        <f>IFERROR(__xludf.DUMMYFUNCTION("GOOGLETRANSLATE(D6, ""en"", ""hi"")"),"बी) दिल्ली")</f>
        <v>बी) दिल्ली</v>
      </c>
    </row>
    <row r="7" ht="22.5" customHeight="1">
      <c r="A7" s="7">
        <v>6.0</v>
      </c>
      <c r="B7" s="8" t="s">
        <v>1817</v>
      </c>
      <c r="C7" s="8" t="s">
        <v>1818</v>
      </c>
      <c r="D7" s="8" t="s">
        <v>1819</v>
      </c>
      <c r="F7" s="5" t="str">
        <f>IFERROR(__xludf.DUMMYFUNCTION("GOOGLETRANSLATE(A7, ""en"", ""hi"")"),"6")</f>
        <v>6</v>
      </c>
      <c r="G7" s="5" t="str">
        <f>IFERROR(__xludf.DUMMYFUNCTION("GOOGLETRANSLATE(B7, ""en"", ""hi"")"),"आधुनिक खो-खो कोचिंग पद्धतियों की शुरुआत का श्रेय किसे दिया जाता है?")</f>
        <v>आधुनिक खो-खो कोचिंग पद्धतियों की शुरुआत का श्रेय किसे दिया जाता है?</v>
      </c>
      <c r="H7" s="5" t="str">
        <f>IFERROR(__xludf.DUMMYFUNCTION("GOOGLETRANSLATE(C7, ""en"", ""hi"")"),"A) ए.आर. सुंदर, B) वी.के. जोशी, C) एम.के. राव, D) एच.पी. सिंह")</f>
        <v>A) ए.आर. सुंदर, B) वी.के. जोशी, C) एम.के. राव, D) एच.पी. सिंह</v>
      </c>
      <c r="I7" s="5" t="str">
        <f>IFERROR(__xludf.DUMMYFUNCTION("GOOGLETRANSLATE(D7, ""en"", ""hi"")"),"बी) वी.के. जोशी")</f>
        <v>बी) वी.के. जोशी</v>
      </c>
    </row>
    <row r="8" ht="22.5" customHeight="1">
      <c r="A8" s="7">
        <v>7.0</v>
      </c>
      <c r="B8" s="8" t="s">
        <v>1820</v>
      </c>
      <c r="C8" s="8" t="s">
        <v>1821</v>
      </c>
      <c r="D8" s="8" t="s">
        <v>1822</v>
      </c>
      <c r="F8" s="5" t="str">
        <f>IFERROR(__xludf.DUMMYFUNCTION("GOOGLETRANSLATE(A8, ""en"", ""hi"")"),"7")</f>
        <v>7</v>
      </c>
      <c r="G8" s="5" t="str">
        <f>IFERROR(__xludf.DUMMYFUNCTION("GOOGLETRANSLATE(B8, ""en"", ""hi"")"),"भारतीय खो-खो महासंघ किस वर्ष अंतर्राष्ट्रीय खो-खो महासंघ का पूर्ण सदस्य बना?")</f>
        <v>भारतीय खो-खो महासंघ किस वर्ष अंतर्राष्ट्रीय खो-खो महासंघ का पूर्ण सदस्य बना?</v>
      </c>
      <c r="H8" s="5" t="str">
        <f>IFERROR(__xludf.DUMMYFUNCTION("GOOGLETRANSLATE(C8, ""en"", ""hi"")"),"ए) 1978, बी) 1982, सी) 1986, डी) 1990")</f>
        <v>ए) 1978, बी) 1982, सी) 1986, डी) 1990</v>
      </c>
      <c r="I8" s="5" t="str">
        <f>IFERROR(__xludf.DUMMYFUNCTION("GOOGLETRANSLATE(D8, ""en"", ""hi"")"),"बी) 1982")</f>
        <v>बी) 1982</v>
      </c>
    </row>
    <row r="9" ht="22.5" customHeight="1">
      <c r="A9" s="7">
        <v>8.0</v>
      </c>
      <c r="B9" s="8" t="s">
        <v>1823</v>
      </c>
      <c r="C9" s="8" t="s">
        <v>1824</v>
      </c>
      <c r="D9" s="8" t="s">
        <v>1825</v>
      </c>
      <c r="F9" s="5" t="str">
        <f>IFERROR(__xludf.DUMMYFUNCTION("GOOGLETRANSLATE(A9, ""en"", ""hi"")"),"8")</f>
        <v>8</v>
      </c>
      <c r="G9" s="5" t="str">
        <f>IFERROR(__xludf.DUMMYFUNCTION("GOOGLETRANSLATE(B9, ""en"", ""hi"")"),"1991 में किस ऐतिहासिक घटना ने खो-खो की लोकप्रियता पर महत्वपूर्ण प्रभाव डाला?")</f>
        <v>1991 में किस ऐतिहासिक घटना ने खो-खो की लोकप्रियता पर महत्वपूर्ण प्रभाव डाला?</v>
      </c>
      <c r="H9" s="5" t="str">
        <f>IFERROR(__xludf.DUMMYFUNCTION("GOOGLETRANSLATE(C9, ""en"", ""hi"")"),"A) पहला खो-खो विश्व कप, B) एशियाई खेलों में खो-खो की शुरुआत, C) खो-खो विकास कोष की स्थापना, D) महिला खो-खो की शुरुआत")</f>
        <v>A) पहला खो-खो विश्व कप, B) एशियाई खेलों में खो-खो की शुरुआत, C) खो-खो विकास कोष की स्थापना, D) महिला खो-खो की शुरुआत</v>
      </c>
      <c r="I9" s="5" t="str">
        <f>IFERROR(__xludf.DUMMYFUNCTION("GOOGLETRANSLATE(D9, ""en"", ""hi"")"),"A) पहला खो-खो विश्व कप")</f>
        <v>A) पहला खो-खो विश्व कप</v>
      </c>
    </row>
    <row r="10" ht="22.5" customHeight="1">
      <c r="A10" s="7">
        <v>9.0</v>
      </c>
      <c r="B10" s="8" t="s">
        <v>1826</v>
      </c>
      <c r="C10" s="8" t="s">
        <v>1827</v>
      </c>
      <c r="D10" s="8" t="s">
        <v>37</v>
      </c>
      <c r="F10" s="5" t="str">
        <f>IFERROR(__xludf.DUMMYFUNCTION("GOOGLETRANSLATE(A10, ""en"", ""hi"")"),"9")</f>
        <v>9</v>
      </c>
      <c r="G10" s="5" t="str">
        <f>IFERROR(__xludf.DUMMYFUNCTION("GOOGLETRANSLATE(B10, ""en"", ""hi"")"),"2023 तक किस देश ने सबसे अधिक खो-खो विश्व कप जीते हैं?")</f>
        <v>2023 तक किस देश ने सबसे अधिक खो-खो विश्व कप जीते हैं?</v>
      </c>
      <c r="H10" s="5" t="str">
        <f>IFERROR(__xludf.DUMMYFUNCTION("GOOGLETRANSLATE(C10, ""en"", ""hi"")"),"ए) भारत, बी) पाकिस्तान, सी) श्रीलंका, डी) नेपाल")</f>
        <v>ए) भारत, बी) पाकिस्तान, सी) श्रीलंका, डी) नेपाल</v>
      </c>
      <c r="I10" s="5" t="str">
        <f>IFERROR(__xludf.DUMMYFUNCTION("GOOGLETRANSLATE(D10, ""en"", ""hi"")"),"ए) भारत")</f>
        <v>ए) भारत</v>
      </c>
    </row>
    <row r="11" ht="22.5" customHeight="1">
      <c r="A11" s="7">
        <v>10.0</v>
      </c>
      <c r="B11" s="8" t="s">
        <v>1828</v>
      </c>
      <c r="C11" s="8" t="s">
        <v>1829</v>
      </c>
      <c r="D11" s="8" t="s">
        <v>1830</v>
      </c>
      <c r="F11" s="5" t="str">
        <f>IFERROR(__xludf.DUMMYFUNCTION("GOOGLETRANSLATE(A11, ""en"", ""hi"")"),"10")</f>
        <v>10</v>
      </c>
      <c r="G11" s="5" t="str">
        <f>IFERROR(__xludf.DUMMYFUNCTION("GOOGLETRANSLATE(B11, ""en"", ""hi"")"),"1955 में अखिल भारतीय खो-खो महासंघ के गठन का मुख्य कारण क्या था?")</f>
        <v>1955 में अखिल भारतीय खो-खो महासंघ के गठन का मुख्य कारण क्या था?</v>
      </c>
      <c r="H11" s="5" t="str">
        <f>IFERROR(__xludf.DUMMYFUNCTION("GOOGLETRANSLATE(C11, ""en"", ""hi"")"),"A) नियमों का मानकीकरण करना, B) राष्ट्रीय टूर्नामेंट आयोजित करना, C) स्कूलों में खो-खो को बढ़ावा देना, D) अंतर्राष्ट्रीय उपस्थिति स्थापित करना")</f>
        <v>A) नियमों का मानकीकरण करना, B) राष्ट्रीय टूर्नामेंट आयोजित करना, C) स्कूलों में खो-खो को बढ़ावा देना, D) अंतर्राष्ट्रीय उपस्थिति स्थापित करना</v>
      </c>
      <c r="I11" s="5" t="str">
        <f>IFERROR(__xludf.DUMMYFUNCTION("GOOGLETRANSLATE(D11, ""en"", ""hi"")"),"बी) राष्ट्रीय टूर्नामेंट आयोजित करना")</f>
        <v>बी) राष्ट्रीय टूर्नामेंट आयोजित करना</v>
      </c>
    </row>
    <row r="12" ht="22.5" customHeight="1">
      <c r="A12" s="7">
        <v>11.0</v>
      </c>
      <c r="B12" s="8" t="s">
        <v>1831</v>
      </c>
      <c r="C12" s="8" t="s">
        <v>1832</v>
      </c>
      <c r="D12" s="8" t="s">
        <v>1833</v>
      </c>
      <c r="F12" s="5" t="str">
        <f>IFERROR(__xludf.DUMMYFUNCTION("GOOGLETRANSLATE(A12, ""en"", ""hi"")"),"11")</f>
        <v>11</v>
      </c>
      <c r="G12" s="5" t="str">
        <f>IFERROR(__xludf.DUMMYFUNCTION("GOOGLETRANSLATE(B12, ""en"", ""hi"")"),"खो-खो में योगदान के लिए पद्म भूषण पुरस्कार पाने वाला पहला भारतीय खिलाड़ी कौन था?")</f>
        <v>खो-खो में योगदान के लिए पद्म भूषण पुरस्कार पाने वाला पहला भारतीय खिलाड़ी कौन था?</v>
      </c>
      <c r="H12" s="5" t="str">
        <f>IFERROR(__xludf.DUMMYFUNCTION("GOOGLETRANSLATE(C12, ""en"", ""hi"")"),"A) पी.के. शर्मा, B) एस. कुमार, C) आर.एन. राव, D) एच.पी. सिंह")</f>
        <v>A) पी.के. शर्मा, B) एस. कुमार, C) आर.एन. राव, D) एच.पी. सिंह</v>
      </c>
      <c r="I12" s="5" t="str">
        <f>IFERROR(__xludf.DUMMYFUNCTION("GOOGLETRANSLATE(D12, ""en"", ""hi"")"),"D) एच. पी. सिंह")</f>
        <v>D) एच. पी. सिंह</v>
      </c>
    </row>
    <row r="13" ht="22.5" customHeight="1">
      <c r="A13" s="7">
        <v>12.0</v>
      </c>
      <c r="B13" s="8" t="s">
        <v>1834</v>
      </c>
      <c r="C13" s="8" t="s">
        <v>1835</v>
      </c>
      <c r="D13" s="8" t="s">
        <v>1836</v>
      </c>
      <c r="F13" s="5" t="str">
        <f>IFERROR(__xludf.DUMMYFUNCTION("GOOGLETRANSLATE(A13, ""en"", ""hi"")"),"12")</f>
        <v>12</v>
      </c>
      <c r="G13" s="5" t="str">
        <f>IFERROR(__xludf.DUMMYFUNCTION("GOOGLETRANSLATE(B13, ""en"", ""hi"")"),"पहली खो-खो राष्ट्रीय चैम्पियनशिप किस वर्ष आयोजित की गई थी?")</f>
        <v>पहली खो-खो राष्ट्रीय चैम्पियनशिप किस वर्ष आयोजित की गई थी?</v>
      </c>
      <c r="H13" s="5" t="str">
        <f>IFERROR(__xludf.DUMMYFUNCTION("GOOGLETRANSLATE(C13, ""en"", ""hi"")"),"ए) 1950, बी) 1955, सी) 1960, डी) 1965")</f>
        <v>ए) 1950, बी) 1955, सी) 1960, डी) 1965</v>
      </c>
      <c r="I13" s="5" t="str">
        <f>IFERROR(__xludf.DUMMYFUNCTION("GOOGLETRANSLATE(D13, ""en"", ""hi"")"),"बी) 1955")</f>
        <v>बी) 1955</v>
      </c>
    </row>
    <row r="14" ht="22.5" customHeight="1">
      <c r="A14" s="7">
        <v>13.0</v>
      </c>
      <c r="B14" s="8" t="s">
        <v>1837</v>
      </c>
      <c r="C14" s="8" t="s">
        <v>1838</v>
      </c>
      <c r="D14" s="8" t="s">
        <v>1825</v>
      </c>
      <c r="F14" s="5" t="str">
        <f>IFERROR(__xludf.DUMMYFUNCTION("GOOGLETRANSLATE(A14, ""en"", ""hi"")"),"13")</f>
        <v>13</v>
      </c>
      <c r="G14" s="5" t="str">
        <f>IFERROR(__xludf.DUMMYFUNCTION("GOOGLETRANSLATE(B14, ""en"", ""hi"")"),"1987 में कौन सी उल्लेखनीय घटना खो-खो की अंतर्राष्ट्रीय उपस्थिति के लिए एक महत्वपूर्ण मोड़ साबित हुई?")</f>
        <v>1987 में कौन सी उल्लेखनीय घटना खो-खो की अंतर्राष्ट्रीय उपस्थिति के लिए एक महत्वपूर्ण मोड़ साबित हुई?</v>
      </c>
      <c r="H14" s="5" t="str">
        <f>IFERROR(__xludf.DUMMYFUNCTION("GOOGLETRANSLATE(C14, ""en"", ""hi"")"),"A) पहला खो-खो विश्व कप, B) राष्ट्रमंडल खेलों में खो-खो का प्रवेश, C) एशियाई खो-खो महासंघ का गठन, D) ओलंपिक खेलों में खो-खो की स्थापना")</f>
        <v>A) पहला खो-खो विश्व कप, B) राष्ट्रमंडल खेलों में खो-खो का प्रवेश, C) एशियाई खो-खो महासंघ का गठन, D) ओलंपिक खेलों में खो-खो की स्थापना</v>
      </c>
      <c r="I14" s="5" t="str">
        <f>IFERROR(__xludf.DUMMYFUNCTION("GOOGLETRANSLATE(D14, ""en"", ""hi"")"),"A) पहला खो-खो विश्व कप")</f>
        <v>A) पहला खो-खो विश्व कप</v>
      </c>
    </row>
    <row r="15" ht="22.5" customHeight="1">
      <c r="A15" s="7">
        <v>14.0</v>
      </c>
      <c r="B15" s="8" t="s">
        <v>1839</v>
      </c>
      <c r="C15" s="8" t="s">
        <v>1840</v>
      </c>
      <c r="D15" s="8" t="s">
        <v>1841</v>
      </c>
      <c r="F15" s="5" t="str">
        <f>IFERROR(__xludf.DUMMYFUNCTION("GOOGLETRANSLATE(A15, ""en"", ""hi"")"),"14")</f>
        <v>14</v>
      </c>
      <c r="G15" s="5" t="str">
        <f>IFERROR(__xludf.DUMMYFUNCTION("GOOGLETRANSLATE(B15, ""en"", ""hi"")"),"खो-खो के लिए वर्ष 2000 का ऐतिहासिक महत्व क्या है?")</f>
        <v>खो-खो के लिए वर्ष 2000 का ऐतिहासिक महत्व क्या है?</v>
      </c>
      <c r="H15" s="5" t="str">
        <f>IFERROR(__xludf.DUMMYFUNCTION("GOOGLETRANSLATE(C15, ""en"", ""hi"")"),"A) नए खेल नियमों का परिचय, B) पहले खो-खो अंतर्राष्ट्रीय टूर्नामेंट की मेजबानी, C) दक्षिण एशियाई खेलों में खो-खो को एक मान्यता प्राप्त खेल के रूप में स्थापित करना, D) वीडियो समीक्षा प्रणाली का कार्यान्वयन")</f>
        <v>A) नए खेल नियमों का परिचय, B) पहले खो-खो अंतर्राष्ट्रीय टूर्नामेंट की मेजबानी, C) दक्षिण एशियाई खेलों में खो-खो को एक मान्यता प्राप्त खेल के रूप में स्थापित करना, D) वीडियो समीक्षा प्रणाली का कार्यान्वयन</v>
      </c>
      <c r="I15" s="5" t="str">
        <f>IFERROR(__xludf.DUMMYFUNCTION("GOOGLETRANSLATE(D15, ""en"", ""hi"")"),"ग) दक्षिण एशियाई खेलों में खो-खो को एक मान्यता प्राप्त खेल के रूप में स्थापित करना")</f>
        <v>ग) दक्षिण एशियाई खेलों में खो-खो को एक मान्यता प्राप्त खेल के रूप में स्थापित करना</v>
      </c>
    </row>
    <row r="16" ht="22.5" customHeight="1">
      <c r="A16" s="7">
        <v>15.0</v>
      </c>
      <c r="B16" s="8" t="s">
        <v>1842</v>
      </c>
      <c r="C16" s="8" t="s">
        <v>1843</v>
      </c>
      <c r="D16" s="8" t="s">
        <v>603</v>
      </c>
      <c r="F16" s="5" t="str">
        <f>IFERROR(__xludf.DUMMYFUNCTION("GOOGLETRANSLATE(A16, ""en"", ""hi"")"),"15")</f>
        <v>15</v>
      </c>
      <c r="G16" s="5" t="str">
        <f>IFERROR(__xludf.DUMMYFUNCTION("GOOGLETRANSLATE(B16, ""en"", ""hi"")"),"कौन सा भारतीय राज्य सबसे अधिक संख्या में राष्ट्रीय खो-खो खिलाड़ी पैदा करने के लिए जाना जाता है?")</f>
        <v>कौन सा भारतीय राज्य सबसे अधिक संख्या में राष्ट्रीय खो-खो खिलाड़ी पैदा करने के लिए जाना जाता है?</v>
      </c>
      <c r="H16" s="5" t="str">
        <f>IFERROR(__xludf.DUMMYFUNCTION("GOOGLETRANSLATE(C16, ""en"", ""hi"")"),"A) उत्तर प्रदेश, B) हरियाणा, C) गुजरात, D) पश्चिम बंगाल")</f>
        <v>A) उत्तर प्रदेश, B) हरियाणा, C) गुजरात, D) पश्चिम बंगाल</v>
      </c>
      <c r="I16" s="5" t="str">
        <f>IFERROR(__xludf.DUMMYFUNCTION("GOOGLETRANSLATE(D16, ""en"", ""hi"")"),"बी) हरियाणा")</f>
        <v>बी) हरियाणा</v>
      </c>
    </row>
    <row r="17" ht="22.5" customHeight="1">
      <c r="A17" s="7">
        <v>16.0</v>
      </c>
      <c r="B17" s="8" t="s">
        <v>1844</v>
      </c>
      <c r="C17" s="8" t="s">
        <v>1845</v>
      </c>
      <c r="D17" s="8" t="s">
        <v>1846</v>
      </c>
      <c r="F17" s="5" t="str">
        <f>IFERROR(__xludf.DUMMYFUNCTION("GOOGLETRANSLATE(A17, ""en"", ""hi"")"),"16")</f>
        <v>16</v>
      </c>
      <c r="G17" s="5" t="str">
        <f>IFERROR(__xludf.DUMMYFUNCTION("GOOGLETRANSLATE(B17, ""en"", ""hi"")"),"खो-खो क्षेत्र के आयामों का ऐतिहासिक उद्गम क्या है?")</f>
        <v>खो-खो क्षेत्र के आयामों का ऐतिहासिक उद्गम क्या है?</v>
      </c>
      <c r="H17" s="5" t="str">
        <f>IFERROR(__xludf.DUMMYFUNCTION("GOOGLETRANSLATE(C17, ""en"", ""hi"")"),"A)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f>
        <v>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v>
      </c>
      <c r="I17" s="5" t="str">
        <f>IFERROR(__xludf.DUMMYFUNCTION("GOOGLETRANSLATE(D17, ""en"", ""hi"")"),"A) प्राचीन भारतीय सैन्य प्रशिक्षण मैदानों पर आधारित")</f>
        <v>A) प्राचीन भारतीय सैन्य प्रशिक्षण मैदानों पर आधारित</v>
      </c>
    </row>
    <row r="18" ht="22.5" customHeight="1">
      <c r="A18" s="7">
        <v>17.0</v>
      </c>
      <c r="B18" s="8" t="s">
        <v>1847</v>
      </c>
      <c r="C18" s="8" t="s">
        <v>1848</v>
      </c>
      <c r="D18" s="8" t="s">
        <v>1849</v>
      </c>
      <c r="F18" s="5" t="str">
        <f>IFERROR(__xludf.DUMMYFUNCTION("GOOGLETRANSLATE(A18, ""en"", ""hi"")"),"17")</f>
        <v>17</v>
      </c>
      <c r="G18" s="5" t="str">
        <f>IFERROR(__xludf.DUMMYFUNCTION("GOOGLETRANSLATE(B18, ""en"", ""hi"")"),"मुंबई में आयोजित पहले खो-खो विश्व कप का मुख्य आयोजक कौन था?")</f>
        <v>मुंबई में आयोजित पहले खो-खो विश्व कप का मुख्य आयोजक कौन था?</v>
      </c>
      <c r="H18" s="5" t="str">
        <f>IFERROR(__xludf.DUMMYFUNCTION("GOOGLETRANSLATE(C18, ""en"", ""hi"")"),"A) एन.के. राव, B) वी.के. जोशी, C) एम.के. शर्मा, D) एच.पी. सिंह")</f>
        <v>A) एन.के. राव, B) वी.के. जोशी, C) एम.के. शर्मा, D) एच.पी. सिंह</v>
      </c>
      <c r="I18" s="5" t="str">
        <f>IFERROR(__xludf.DUMMYFUNCTION("GOOGLETRANSLATE(D18, ""en"", ""hi"")"),"A) एन.के. राव")</f>
        <v>A) एन.के. राव</v>
      </c>
    </row>
    <row r="19" ht="22.5" customHeight="1">
      <c r="A19" s="7">
        <v>18.0</v>
      </c>
      <c r="B19" s="8" t="s">
        <v>1850</v>
      </c>
      <c r="C19" s="8" t="s">
        <v>1851</v>
      </c>
      <c r="D19" s="8" t="s">
        <v>1852</v>
      </c>
      <c r="F19" s="5" t="str">
        <f>IFERROR(__xludf.DUMMYFUNCTION("GOOGLETRANSLATE(A19, ""en"", ""hi"")"),"18")</f>
        <v>18</v>
      </c>
      <c r="G19" s="5" t="str">
        <f>IFERROR(__xludf.DUMMYFUNCTION("GOOGLETRANSLATE(B19, ""en"", ""hi"")"),"1975 में खो-खो में कौन सा प्रमुख नियम परिवर्तन हुआ?")</f>
        <v>1975 में खो-खो में कौन सा प्रमुख नियम परिवर्तन हुआ?</v>
      </c>
      <c r="H19" s="5" t="str">
        <f>IFERROR(__xludf.DUMMYFUNCTION("GOOGLETRANSLATE(C19, ""en"", ""hi"")"),"ए) इलेक्ट्रॉनिक स्कोरिंग की शुरूआत, बी) खिलाड़ियों की संख्या में परिवर्तन, सी) मैदान के आयामों में संशोधन, डी) खेल अवधि का मानकीकरण")</f>
        <v>ए) इलेक्ट्रॉनिक स्कोरिंग की शुरूआत, बी) खिलाड़ियों की संख्या में परिवर्तन, सी) मैदान के आयामों में संशोधन, डी) खेल अवधि का मानकीकरण</v>
      </c>
      <c r="I19" s="5" t="str">
        <f>IFERROR(__xludf.DUMMYFUNCTION("GOOGLETRANSLATE(D19, ""en"", ""hi"")"),"डी) खेल अवधि का मानकीकरण")</f>
        <v>डी) खेल अवधि का मानकीकरण</v>
      </c>
    </row>
    <row r="20" ht="22.5" customHeight="1">
      <c r="A20" s="7">
        <v>19.0</v>
      </c>
      <c r="B20" s="8" t="s">
        <v>1853</v>
      </c>
      <c r="C20" s="8" t="s">
        <v>1854</v>
      </c>
      <c r="D20" s="8" t="s">
        <v>1855</v>
      </c>
      <c r="F20" s="5" t="str">
        <f>IFERROR(__xludf.DUMMYFUNCTION("GOOGLETRANSLATE(A20, ""en"", ""hi"")"),"19")</f>
        <v>19</v>
      </c>
      <c r="G20" s="5" t="str">
        <f>IFERROR(__xludf.DUMMYFUNCTION("GOOGLETRANSLATE(B20, ""en"", ""hi"")"),"राष्ट्रीय स्तर पर महिलाओं के लिए खो-खो की शुरुआत किस वर्ष हुई?")</f>
        <v>राष्ट्रीय स्तर पर महिलाओं के लिए खो-खो की शुरुआत किस वर्ष हुई?</v>
      </c>
      <c r="H20" s="5" t="str">
        <f>IFERROR(__xludf.DUMMYFUNCTION("GOOGLETRANSLATE(C20, ""en"", ""hi"")"),"ए) 1970, बी) 1980, सी) 1990, डी) 2000")</f>
        <v>ए) 1970, बी) 1980, सी) 1990, डी) 2000</v>
      </c>
      <c r="I20" s="5" t="str">
        <f>IFERROR(__xludf.DUMMYFUNCTION("GOOGLETRANSLATE(D20, ""en"", ""hi"")"),"सी) 1990")</f>
        <v>सी) 1990</v>
      </c>
    </row>
    <row r="21" ht="22.5" customHeight="1">
      <c r="A21" s="7">
        <v>20.0</v>
      </c>
      <c r="B21" s="8" t="s">
        <v>1856</v>
      </c>
      <c r="C21" s="8" t="s">
        <v>1857</v>
      </c>
      <c r="D21" s="8" t="s">
        <v>543</v>
      </c>
      <c r="F21" s="5" t="str">
        <f>IFERROR(__xludf.DUMMYFUNCTION("GOOGLETRANSLATE(A21, ""en"", ""hi"")"),"20")</f>
        <v>20</v>
      </c>
      <c r="G21" s="5" t="str">
        <f>IFERROR(__xludf.DUMMYFUNCTION("GOOGLETRANSLATE(B21, ""en"", ""hi"")"),"1988 में पहली एशियाई खो-खो चैंपियनशिप किस शहर में आयोजित की गई थी?")</f>
        <v>1988 में पहली एशियाई खो-खो चैंपियनशिप किस शहर में आयोजित की गई थी?</v>
      </c>
      <c r="H21" s="5" t="str">
        <f>IFERROR(__xludf.DUMMYFUNCTION("GOOGLETRANSLATE(C21, ""en"", ""hi"")"),"ए) दिल्ली, बी) मुंबई, सी) कोलकाता, डी) बैंगलोर")</f>
        <v>ए) दिल्ली, बी) मुंबई, सी) कोलकाता, डी) बैंगलोर</v>
      </c>
      <c r="I21" s="5" t="str">
        <f>IFERROR(__xludf.DUMMYFUNCTION("GOOGLETRANSLATE(D21, ""en"", ""hi"")"),"ए) दिल्ली")</f>
        <v>ए) दिल्ली</v>
      </c>
    </row>
    <row r="22" ht="22.5" customHeight="1">
      <c r="A22" s="7">
        <v>21.0</v>
      </c>
      <c r="B22" s="8" t="s">
        <v>1858</v>
      </c>
      <c r="C22" s="8" t="s">
        <v>1859</v>
      </c>
      <c r="D22" s="8" t="s">
        <v>1860</v>
      </c>
      <c r="F22" s="5" t="str">
        <f>IFERROR(__xludf.DUMMYFUNCTION("GOOGLETRANSLATE(A22, ""en"", ""hi"")"),"21")</f>
        <v>21</v>
      </c>
      <c r="G22" s="5" t="str">
        <f>IFERROR(__xludf.DUMMYFUNCTION("GOOGLETRANSLATE(B22, ""en"", ""hi"")"),"खो-खो किस वर्ष आधिकारिक तौर पर भारतीय स्कूल खेल महासंघ के पाठ्यक्रम का हिस्सा बन गया?")</f>
        <v>खो-खो किस वर्ष आधिकारिक तौर पर भारतीय स्कूल खेल महासंघ के पाठ्यक्रम का हिस्सा बन गया?</v>
      </c>
      <c r="H22" s="5" t="str">
        <f>IFERROR(__xludf.DUMMYFUNCTION("GOOGLETRANSLATE(C22, ""en"", ""hi"")"),"ए) 1965, बी) 1975, सी) 1985, डी) 1995")</f>
        <v>ए) 1965, बी) 1975, सी) 1985, डी) 1995</v>
      </c>
      <c r="I22" s="5" t="str">
        <f>IFERROR(__xludf.DUMMYFUNCTION("GOOGLETRANSLATE(D22, ""en"", ""hi"")"),"बी) 1975")</f>
        <v>बी) 1975</v>
      </c>
    </row>
    <row r="23" ht="22.5" customHeight="1">
      <c r="A23" s="7">
        <v>22.0</v>
      </c>
      <c r="B23" s="8" t="s">
        <v>1861</v>
      </c>
      <c r="C23" s="8" t="s">
        <v>1862</v>
      </c>
      <c r="D23" s="8" t="s">
        <v>1863</v>
      </c>
      <c r="F23" s="5" t="str">
        <f>IFERROR(__xludf.DUMMYFUNCTION("GOOGLETRANSLATE(A23, ""en"", ""hi"")"),"22")</f>
        <v>22</v>
      </c>
      <c r="G23" s="5" t="str">
        <f>IFERROR(__xludf.DUMMYFUNCTION("GOOGLETRANSLATE(B23, ""en"", ""hi"")"),"2004 में किस प्रमुख खो-खो खिलाड़ी को राजीव गांधी खेल रत्न पुरस्कार से सम्मानित किया गया था?")</f>
        <v>2004 में किस प्रमुख खो-खो खिलाड़ी को राजीव गांधी खेल रत्न पुरस्कार से सम्मानित किया गया था?</v>
      </c>
      <c r="H23" s="5" t="str">
        <f>IFERROR(__xludf.DUMMYFUNCTION("GOOGLETRANSLATE(C23, ""en"", ""hi"")"),"A) आर.एस. कुमार, B) एम.के. राव, C) एस.पी. सिंह, D) एच.पी. सिंह")</f>
        <v>A) आर.एस. कुमार, B) एम.के. राव, C) एस.पी. सिंह, D) एच.पी. सिंह</v>
      </c>
      <c r="I23" s="5" t="str">
        <f>IFERROR(__xludf.DUMMYFUNCTION("GOOGLETRANSLATE(D23, ""en"", ""hi"")"),"D) एच.पी. सिंह")</f>
        <v>D) एच.पी. सिंह</v>
      </c>
    </row>
    <row r="24" ht="22.5" customHeight="1">
      <c r="A24" s="7">
        <v>23.0</v>
      </c>
      <c r="B24" s="8" t="s">
        <v>1864</v>
      </c>
      <c r="C24" s="8" t="s">
        <v>1865</v>
      </c>
      <c r="D24" s="8" t="s">
        <v>1866</v>
      </c>
      <c r="F24" s="5" t="str">
        <f>IFERROR(__xludf.DUMMYFUNCTION("GOOGLETRANSLATE(A24, ""en"", ""hi"")"),"23")</f>
        <v>23</v>
      </c>
      <c r="G24" s="5" t="str">
        <f>IFERROR(__xludf.DUMMYFUNCTION("GOOGLETRANSLATE(B24, ""en"", ""hi"")"),"1982 में अंतर्राष्ट्रीय खो-खो महासंघ के गठन के पीछे कौन सी ऐतिहासिक घटना थी?")</f>
        <v>1982 में अंतर्राष्ट्रीय खो-खो महासंघ के गठन के पीछे कौन सी ऐतिहासिक घटना थी?</v>
      </c>
      <c r="H24" s="5" t="str">
        <f>IFERROR(__xludf.DUMMYFUNCTION("GOOGLETRANSLATE(C24, ""en"", ""hi"")"),"A) खो-खो विश्व कप की स्थापना, B) एशियाई खो-खो महासंघ का गठन, C) पहला खो-खो अंतर्राष्ट्रीय टूर्नामेंट, D) नियमों का मानकीकरण")</f>
        <v>A) खो-खो विश्व कप की स्थापना, B) एशियाई खो-खो महासंघ का गठन, C) पहला खो-खो अंतर्राष्ट्रीय टूर्नामेंट, D) नियमों का मानकीकरण</v>
      </c>
      <c r="I24" s="5" t="str">
        <f>IFERROR(__xludf.DUMMYFUNCTION("GOOGLETRANSLATE(D24, ""en"", ""hi"")"),"C) पहला खो-खो अंतर्राष्ट्रीय टूर्नामेंट")</f>
        <v>C) पहला खो-खो अंतर्राष्ट्रीय टूर्नामेंट</v>
      </c>
    </row>
    <row r="25" ht="22.5" customHeight="1">
      <c r="A25" s="7">
        <v>24.0</v>
      </c>
      <c r="B25" s="8" t="s">
        <v>1867</v>
      </c>
      <c r="C25" s="8" t="s">
        <v>1868</v>
      </c>
      <c r="D25" s="8" t="s">
        <v>1808</v>
      </c>
      <c r="F25" s="5" t="str">
        <f>IFERROR(__xludf.DUMMYFUNCTION("GOOGLETRANSLATE(A25, ""en"", ""hi"")"),"24")</f>
        <v>24</v>
      </c>
      <c r="G25" s="5" t="str">
        <f>IFERROR(__xludf.DUMMYFUNCTION("GOOGLETRANSLATE(B25, ""en"", ""hi"")"),"20वीं सदी के आरंभ में खो-खो को लोकप्रिय बनाने का श्रेय किस ऐतिहासिक व्यक्ति को दिया जाता है?")</f>
        <v>20वीं सदी के आरंभ में खो-खो को लोकप्रिय बनाने का श्रेय किस ऐतिहासिक व्यक्ति को दिया जाता है?</v>
      </c>
      <c r="H25" s="5" t="str">
        <f>IFERROR(__xludf.DUMMYFUNCTION("GOOGLETRANSLATE(C25, ""en"", ""hi"")"),"A) वी.जी. खेर, B) ए.आर. सुंदर, C) एम.के. शर्मा, D) एच.पी. सिंह")</f>
        <v>A) वी.जी. खेर, B) ए.आर. सुंदर, C) एम.के. शर्मा, D) एच.पी. सिंह</v>
      </c>
      <c r="I25" s="5" t="str">
        <f>IFERROR(__xludf.DUMMYFUNCTION("GOOGLETRANSLATE(D25, ""en"", ""hi"")"),"A) वी.जी. खेर")</f>
        <v>A) वी.जी. खेर</v>
      </c>
    </row>
    <row r="26" ht="22.5" customHeight="1">
      <c r="A26" s="7">
        <v>25.0</v>
      </c>
      <c r="B26" s="8" t="s">
        <v>1869</v>
      </c>
      <c r="C26" s="8" t="s">
        <v>1870</v>
      </c>
      <c r="D26" s="8" t="s">
        <v>1871</v>
      </c>
      <c r="F26" s="5" t="str">
        <f>IFERROR(__xludf.DUMMYFUNCTION("GOOGLETRANSLATE(A26, ""en"", ""hi"")"),"25")</f>
        <v>25</v>
      </c>
      <c r="G26" s="5" t="str">
        <f>IFERROR(__xludf.DUMMYFUNCTION("GOOGLETRANSLATE(B26, ""en"", ""hi"")"),"1965 में मानकीकृत खो-खो मैदान की लंबाई कितनी है?")</f>
        <v>1965 में मानकीकृत खो-खो मैदान की लंबाई कितनी है?</v>
      </c>
      <c r="H26" s="5" t="str">
        <f>IFERROR(__xludf.DUMMYFUNCTION("GOOGLETRANSLATE(C26, ""en"", ""hi"")"),"A) 40 मीटर, B) 50 मीटर, C) 60 मीटर, D) 70 मीटर")</f>
        <v>A) 40 मीटर, B) 50 मीटर, C) 60 मीटर, D) 70 मीटर</v>
      </c>
      <c r="I26" s="5" t="str">
        <f>IFERROR(__xludf.DUMMYFUNCTION("GOOGLETRANSLATE(D26, ""en"", ""hi"")"),"सी) 60 मीटर")</f>
        <v>सी) 60 मीटर</v>
      </c>
    </row>
    <row r="27" ht="22.5" customHeight="1">
      <c r="A27" s="7">
        <v>26.0</v>
      </c>
      <c r="B27" s="8" t="s">
        <v>1872</v>
      </c>
      <c r="C27" s="8" t="s">
        <v>1873</v>
      </c>
      <c r="D27" s="8" t="s">
        <v>1874</v>
      </c>
      <c r="F27" s="5" t="str">
        <f>IFERROR(__xludf.DUMMYFUNCTION("GOOGLETRANSLATE(A27, ""en"", ""hi"")"),"26")</f>
        <v>26</v>
      </c>
      <c r="G27" s="5" t="str">
        <f>IFERROR(__xludf.DUMMYFUNCTION("GOOGLETRANSLATE(B27, ""en"", ""hi"")"),"भारतीय कॉलेज खेलों में खो-खो की शुरुआत किस वर्ष हुई?")</f>
        <v>भारतीय कॉलेज खेलों में खो-खो की शुरुआत किस वर्ष हुई?</v>
      </c>
      <c r="H27" s="5" t="str">
        <f>IFERROR(__xludf.DUMMYFUNCTION("GOOGLETRANSLATE(C27, ""en"", ""hi"")"),"ए) 1960, बी) 1965, सी) 1970, डी) 1975")</f>
        <v>ए) 1960, बी) 1965, सी) 1970, डी) 1975</v>
      </c>
      <c r="I27" s="5" t="str">
        <f>IFERROR(__xludf.DUMMYFUNCTION("GOOGLETRANSLATE(D27, ""en"", ""hi"")"),"डी) 1975")</f>
        <v>डी) 1975</v>
      </c>
    </row>
    <row r="28" ht="22.5" customHeight="1">
      <c r="A28" s="7">
        <v>27.0</v>
      </c>
      <c r="B28" s="8" t="s">
        <v>1875</v>
      </c>
      <c r="C28" s="8" t="s">
        <v>1876</v>
      </c>
      <c r="D28" s="8" t="s">
        <v>1877</v>
      </c>
      <c r="F28" s="5" t="str">
        <f>IFERROR(__xludf.DUMMYFUNCTION("GOOGLETRANSLATE(A28, ""en"", ""hi"")"),"27")</f>
        <v>27</v>
      </c>
      <c r="G28" s="5" t="str">
        <f>IFERROR(__xludf.DUMMYFUNCTION("GOOGLETRANSLATE(B28, ""en"", ""hi"")"),"1980 के दशक के प्रारंभ में खो-खो अकादमी स्थापित करने वाला पहला भारतीय राज्य कौन सा था?")</f>
        <v>1980 के दशक के प्रारंभ में खो-खो अकादमी स्थापित करने वाला पहला भारतीय राज्य कौन सा था?</v>
      </c>
      <c r="H28" s="5" t="str">
        <f>IFERROR(__xludf.DUMMYFUNCTION("GOOGLETRANSLATE(C28, ""en"", ""hi"")"),"ए) महाराष्ट्र, बी) पंजाब, सी) हरियाणा, डी) उत्तर प्रदेश")</f>
        <v>ए) महाराष्ट्र, बी) पंजाब, सी) हरियाणा, डी) उत्तर प्रदेश</v>
      </c>
      <c r="I28" s="5" t="str">
        <f>IFERROR(__xludf.DUMMYFUNCTION("GOOGLETRANSLATE(D28, ""en"", ""hi"")"),"C) हरियाणा")</f>
        <v>C) हरियाणा</v>
      </c>
    </row>
    <row r="29" ht="22.5" customHeight="1">
      <c r="A29" s="7">
        <v>28.0</v>
      </c>
      <c r="B29" s="8" t="s">
        <v>1878</v>
      </c>
      <c r="C29" s="8" t="s">
        <v>771</v>
      </c>
      <c r="D29" s="8" t="s">
        <v>772</v>
      </c>
      <c r="F29" s="5" t="str">
        <f>IFERROR(__xludf.DUMMYFUNCTION("GOOGLETRANSLATE(A29, ""en"", ""hi"")"),"28")</f>
        <v>28</v>
      </c>
      <c r="G29" s="5" t="str">
        <f>IFERROR(__xludf.DUMMYFUNCTION("GOOGLETRANSLATE(B29, ""en"", ""hi"")"),"दक्षिण एशियाई खेलों में खो-खो की शुरुआत किस वर्ष हुई?")</f>
        <v>दक्षिण एशियाई खेलों में खो-खो की शुरुआत किस वर्ष हुई?</v>
      </c>
      <c r="H29" s="5" t="str">
        <f>IFERROR(__xludf.DUMMYFUNCTION("GOOGLETRANSLATE(C29, ""en"", ""hi"")"),"ए) 1984, बी) 1986, सी) 1988, डी) 1990")</f>
        <v>ए) 1984, बी) 1986, सी) 1988, डी) 1990</v>
      </c>
      <c r="I29" s="5" t="str">
        <f>IFERROR(__xludf.DUMMYFUNCTION("GOOGLETRANSLATE(D29, ""en"", ""hi"")"),"बी) 1986")</f>
        <v>बी) 1986</v>
      </c>
    </row>
    <row r="30" ht="22.5" customHeight="1">
      <c r="A30" s="7">
        <v>29.0</v>
      </c>
      <c r="B30" s="8" t="s">
        <v>1879</v>
      </c>
      <c r="C30" s="8" t="s">
        <v>1880</v>
      </c>
      <c r="D30" s="8" t="s">
        <v>37</v>
      </c>
      <c r="F30" s="5" t="str">
        <f>IFERROR(__xludf.DUMMYFUNCTION("GOOGLETRANSLATE(A30, ""en"", ""hi"")"),"29")</f>
        <v>29</v>
      </c>
      <c r="G30" s="5" t="str">
        <f>IFERROR(__xludf.DUMMYFUNCTION("GOOGLETRANSLATE(B30, ""en"", ""hi"")"),"1970 के दशक में किस देश ने खो-खो खेल को अंतर्राष्ट्रीय स्तर पर पेश किया?")</f>
        <v>1970 के दशक में किस देश ने खो-खो खेल को अंतर्राष्ट्रीय स्तर पर पेश किया?</v>
      </c>
      <c r="H30" s="5" t="str">
        <f>IFERROR(__xludf.DUMMYFUNCTION("GOOGLETRANSLATE(C30, ""en"", ""hi"")"),"A) भारत, B) पाकिस्तान, C) श्रीलंका, D) बांग्लादेश")</f>
        <v>A) भारत, B) पाकिस्तान, C) श्रीलंका, D) बांग्लादेश</v>
      </c>
      <c r="I30" s="5" t="str">
        <f>IFERROR(__xludf.DUMMYFUNCTION("GOOGLETRANSLATE(D30, ""en"", ""hi"")"),"ए) भारत")</f>
        <v>ए) भारत</v>
      </c>
    </row>
    <row r="31" ht="22.5" customHeight="1">
      <c r="A31" s="7">
        <v>30.0</v>
      </c>
      <c r="B31" s="8" t="s">
        <v>1881</v>
      </c>
      <c r="C31" s="8" t="s">
        <v>1882</v>
      </c>
      <c r="D31" s="8" t="s">
        <v>1883</v>
      </c>
      <c r="F31" s="5" t="str">
        <f>IFERROR(__xludf.DUMMYFUNCTION("GOOGLETRANSLATE(A31, ""en"", ""hi"")"),"30")</f>
        <v>30</v>
      </c>
      <c r="G31" s="5" t="str">
        <f>IFERROR(__xludf.DUMMYFUNCTION("GOOGLETRANSLATE(B31, ""en"", ""hi"")"),"खो-खो के लिए वर्ष 2010 का ऐतिहासिक महत्व क्या है?")</f>
        <v>खो-खो के लिए वर्ष 2010 का ऐतिहासिक महत्व क्या है?</v>
      </c>
      <c r="H31" s="5" t="str">
        <f>IFERROR(__xludf.DUMMYFUNCTION("GOOGLETRANSLATE(C31, ""en"", ""hi"")"),"A)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f>
        <v>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v>
      </c>
      <c r="I31" s="5" t="str">
        <f>IFERROR(__xludf.DUMMYFUNCTION("GOOGLETRANSLATE(D31, ""en"", ""hi"")"),"D) खो-खो विकास कार्यक्रम का शुभारंभ")</f>
        <v>D) खो-खो विकास कार्यक्रम का शुभारंभ</v>
      </c>
    </row>
    <row r="32" ht="22.5" customHeight="1">
      <c r="A32" s="7">
        <v>31.0</v>
      </c>
      <c r="B32" s="8" t="s">
        <v>1884</v>
      </c>
      <c r="C32" s="8" t="s">
        <v>1885</v>
      </c>
      <c r="D32" s="8" t="s">
        <v>1886</v>
      </c>
      <c r="F32" s="5" t="str">
        <f>IFERROR(__xludf.DUMMYFUNCTION("GOOGLETRANSLATE(A32, ""en"", ""hi"")"),"31")</f>
        <v>31</v>
      </c>
      <c r="G32" s="5" t="str">
        <f>IFERROR(__xludf.DUMMYFUNCTION("GOOGLETRANSLATE(B32, ""en"", ""hi"")"),"अर्जुन पुरस्कार प्राप्त करने वाली पहली महिला खो-खो खिलाड़ी कौन थी?")</f>
        <v>अर्जुन पुरस्कार प्राप्त करने वाली पहली महिला खो-खो खिलाड़ी कौन थी?</v>
      </c>
      <c r="H32" s="5" t="str">
        <f>IFERROR(__xludf.DUMMYFUNCTION("GOOGLETRANSLATE(C32, ""en"", ""hi"")"),"A) पी.के. शर्मा, B) ए.आर. सुंदर, C) आर.एन. राव, D) एस. सिंह")</f>
        <v>A) पी.के. शर्मा, B) ए.आर. सुंदर, C) आर.एन. राव, D) एस. सिंह</v>
      </c>
      <c r="I32" s="5" t="str">
        <f>IFERROR(__xludf.DUMMYFUNCTION("GOOGLETRANSLATE(D32, ""en"", ""hi"")"),"D) एस. सिंह")</f>
        <v>D) एस. सिंह</v>
      </c>
    </row>
    <row r="33" ht="22.5" customHeight="1">
      <c r="A33" s="7">
        <v>32.0</v>
      </c>
      <c r="B33" s="8" t="s">
        <v>1887</v>
      </c>
      <c r="C33" s="8" t="s">
        <v>1888</v>
      </c>
      <c r="D33" s="8" t="s">
        <v>1889</v>
      </c>
      <c r="F33" s="5" t="str">
        <f>IFERROR(__xludf.DUMMYFUNCTION("GOOGLETRANSLATE(A33, ""en"", ""hi"")"),"32")</f>
        <v>32</v>
      </c>
      <c r="G33" s="5" t="str">
        <f>IFERROR(__xludf.DUMMYFUNCTION("GOOGLETRANSLATE(B33, ""en"", ""hi"")"),"कौन सा शहर 2000 से वार्षिक राष्ट्रीय खो-खो चैंपियनशिप की मेजबानी के लिए जाना जाता है?")</f>
        <v>कौन सा शहर 2000 से वार्षिक राष्ट्रीय खो-खो चैंपियनशिप की मेजबानी के लिए जाना जाता है?</v>
      </c>
      <c r="H33" s="5" t="str">
        <f>IFERROR(__xludf.DUMMYFUNCTION("GOOGLETRANSLATE(C33, ""en"", ""hi"")"),"A) मुंबई, B) दिल्ली, C) पुणे, D) बैंगलोर")</f>
        <v>A) मुंबई, B) दिल्ली, C) पुणे, D) बैंगलोर</v>
      </c>
      <c r="I33" s="5" t="str">
        <f>IFERROR(__xludf.DUMMYFUNCTION("GOOGLETRANSLATE(D33, ""en"", ""hi"")"),"C) पुणे")</f>
        <v>C) पुणे</v>
      </c>
    </row>
    <row r="34" ht="22.5" customHeight="1">
      <c r="A34" s="7">
        <v>33.0</v>
      </c>
      <c r="B34" s="8" t="s">
        <v>1890</v>
      </c>
      <c r="C34" s="8" t="s">
        <v>1891</v>
      </c>
      <c r="D34" s="8" t="s">
        <v>1892</v>
      </c>
      <c r="F34" s="5" t="str">
        <f>IFERROR(__xludf.DUMMYFUNCTION("GOOGLETRANSLATE(A34, ""en"", ""hi"")"),"33")</f>
        <v>33</v>
      </c>
      <c r="G34" s="5" t="str">
        <f>IFERROR(__xludf.DUMMYFUNCTION("GOOGLETRANSLATE(B34, ""en"", ""hi"")"),"1995 में खो-खो विकास कोष के निर्माण का मुख्य कारण क्या था?")</f>
        <v>1995 में खो-खो विकास कोष के निर्माण का मुख्य कारण क्या था?</v>
      </c>
      <c r="H34" s="5" t="str">
        <f>IFERROR(__xludf.DUMMYFUNCTION("GOOGLETRANSLATE(C34, ""en"", ""hi"")"),"A) अंतर्राष्ट्रीय टूर्नामेंटों को बढ़ावा देना, B) जमीनी स्तर पर विकास का समर्थन करना, C) नए क्षेत्र आयाम स्थापित करना, D) खेल में प्रौद्योगिकी का परिचय देना")</f>
        <v>A) अंतर्राष्ट्रीय टूर्नामेंटों को बढ़ावा देना, B) जमीनी स्तर पर विकास का समर्थन करना, C) नए क्षेत्र आयाम स्थापित करना, D) खेल में प्रौद्योगिकी का परिचय देना</v>
      </c>
      <c r="I34" s="5" t="str">
        <f>IFERROR(__xludf.DUMMYFUNCTION("GOOGLETRANSLATE(D34, ""en"", ""hi"")"),"बी) जमीनी स्तर पर विकास का समर्थन करना")</f>
        <v>बी) जमीनी स्तर पर विकास का समर्थन करना</v>
      </c>
    </row>
    <row r="35" ht="22.5" customHeight="1">
      <c r="A35" s="7">
        <v>34.0</v>
      </c>
      <c r="B35" s="8" t="s">
        <v>1893</v>
      </c>
      <c r="C35" s="8" t="s">
        <v>1894</v>
      </c>
      <c r="D35" s="8" t="s">
        <v>603</v>
      </c>
      <c r="F35" s="5" t="str">
        <f>IFERROR(__xludf.DUMMYFUNCTION("GOOGLETRANSLATE(A35, ""en"", ""hi"")"),"34")</f>
        <v>34</v>
      </c>
      <c r="G35" s="5" t="str">
        <f>IFERROR(__xludf.DUMMYFUNCTION("GOOGLETRANSLATE(B35, ""en"", ""hi"")"),"1980 में किस भारतीय राज्य ने पहली बार खो-खो स्कूल खेलों की मेजबानी की थी?")</f>
        <v>1980 में किस भारतीय राज्य ने पहली बार खो-खो स्कूल खेलों की मेजबानी की थी?</v>
      </c>
      <c r="H35" s="5" t="str">
        <f>IFERROR(__xludf.DUMMYFUNCTION("GOOGLETRANSLATE(C35, ""en"", ""hi"")"),"ए) पंजाब, बी) हरियाणा, सी) उत्तर प्रदेश, डी) महाराष्ट्र")</f>
        <v>ए) पंजाब, बी) हरियाणा, सी) उत्तर प्रदेश, डी) महाराष्ट्र</v>
      </c>
      <c r="I35" s="5" t="str">
        <f>IFERROR(__xludf.DUMMYFUNCTION("GOOGLETRANSLATE(D35, ""en"", ""hi"")"),"बी) हरियाणा")</f>
        <v>बी) हरियाणा</v>
      </c>
    </row>
    <row r="36" ht="22.5" customHeight="1">
      <c r="A36" s="7">
        <v>35.0</v>
      </c>
      <c r="B36" s="8" t="s">
        <v>1895</v>
      </c>
      <c r="C36" s="8" t="s">
        <v>1896</v>
      </c>
      <c r="D36" s="8" t="s">
        <v>1822</v>
      </c>
      <c r="F36" s="5" t="str">
        <f>IFERROR(__xludf.DUMMYFUNCTION("GOOGLETRANSLATE(A36, ""en"", ""hi"")"),"35")</f>
        <v>35</v>
      </c>
      <c r="G36" s="5" t="str">
        <f>IFERROR(__xludf.DUMMYFUNCTION("GOOGLETRANSLATE(B36, ""en"", ""hi"")"),"खो-खो विश्व कप पहली बार किस वर्ष आयोजित किया गया था?")</f>
        <v>खो-खो विश्व कप पहली बार किस वर्ष आयोजित किया गया था?</v>
      </c>
      <c r="H36" s="5" t="str">
        <f>IFERROR(__xludf.DUMMYFUNCTION("GOOGLETRANSLATE(C36, ""en"", ""hi"")"),"ए) 1980, बी) 1982, सी) 1984, डी) 1986")</f>
        <v>ए) 1980, बी) 1982, सी) 1984, डी) 1986</v>
      </c>
      <c r="I36" s="5" t="str">
        <f>IFERROR(__xludf.DUMMYFUNCTION("GOOGLETRANSLATE(D36, ""en"", ""hi"")"),"बी) 1982")</f>
        <v>बी) 1982</v>
      </c>
    </row>
    <row r="37" ht="22.5" customHeight="1">
      <c r="A37" s="7">
        <v>36.0</v>
      </c>
      <c r="B37" s="8" t="s">
        <v>1897</v>
      </c>
      <c r="C37" s="8" t="s">
        <v>1898</v>
      </c>
      <c r="D37" s="8" t="s">
        <v>1899</v>
      </c>
      <c r="F37" s="5" t="str">
        <f>IFERROR(__xludf.DUMMYFUNCTION("GOOGLETRANSLATE(A37, ""en"", ""hi"")"),"36")</f>
        <v>36</v>
      </c>
      <c r="G37" s="5" t="str">
        <f>IFERROR(__xludf.DUMMYFUNCTION("GOOGLETRANSLATE(B37, ""en"", ""hi"")"),"2002 खो-खो विश्व कप में अग्रणी स्कोरर कौन था?")</f>
        <v>2002 खो-खो विश्व कप में अग्रणी स्कोरर कौन था?</v>
      </c>
      <c r="H37" s="5" t="str">
        <f>IFERROR(__xludf.DUMMYFUNCTION("GOOGLETRANSLATE(C37, ""en"", ""hi"")"),"A) आर. कुमार, B) एस. वर्मा, C) ए. पटेल, D) एच. सिंह")</f>
        <v>A) आर. कुमार, B) एस. वर्मा, C) ए. पटेल, D) एच. सिंह</v>
      </c>
      <c r="I37" s="5" t="str">
        <f>IFERROR(__xludf.DUMMYFUNCTION("GOOGLETRANSLATE(D37, ""en"", ""hi"")"),"बी) एस. वर्मा")</f>
        <v>बी) एस. वर्मा</v>
      </c>
    </row>
    <row r="38" ht="22.5" customHeight="1">
      <c r="A38" s="7">
        <v>37.0</v>
      </c>
      <c r="B38" s="8" t="s">
        <v>1900</v>
      </c>
      <c r="C38" s="8" t="s">
        <v>1901</v>
      </c>
      <c r="D38" s="8" t="s">
        <v>1902</v>
      </c>
      <c r="F38" s="5" t="str">
        <f>IFERROR(__xludf.DUMMYFUNCTION("GOOGLETRANSLATE(A38, ""en"", ""hi"")"),"37")</f>
        <v>37</v>
      </c>
      <c r="G38" s="5" t="str">
        <f>IFERROR(__xludf.DUMMYFUNCTION("GOOGLETRANSLATE(B38, ""en"", ""hi"")"),"खो-खो राष्ट्रीय लीग की शुरुआत किस वर्ष हुई?")</f>
        <v>खो-खो राष्ट्रीय लीग की शुरुआत किस वर्ष हुई?</v>
      </c>
      <c r="H38" s="5" t="str">
        <f>IFERROR(__xludf.DUMMYFUNCTION("GOOGLETRANSLATE(C38, ""en"", ""hi"")"),"ए) 1985, बी) 1990, सी) 1995, डी) 2000")</f>
        <v>ए) 1985, बी) 1990, सी) 1995, डी) 2000</v>
      </c>
      <c r="I38" s="5" t="str">
        <f>IFERROR(__xludf.DUMMYFUNCTION("GOOGLETRANSLATE(D38, ""en"", ""hi"")"),"सी) 1995")</f>
        <v>सी) 1995</v>
      </c>
    </row>
    <row r="39" ht="22.5" customHeight="1">
      <c r="A39" s="7">
        <v>38.0</v>
      </c>
      <c r="B39" s="8" t="s">
        <v>1903</v>
      </c>
      <c r="C39" s="8" t="s">
        <v>1904</v>
      </c>
      <c r="D39" s="8" t="s">
        <v>1905</v>
      </c>
      <c r="F39" s="5" t="str">
        <f>IFERROR(__xludf.DUMMYFUNCTION("GOOGLETRANSLATE(A39, ""en"", ""hi"")"),"38")</f>
        <v>38</v>
      </c>
      <c r="G39" s="5" t="str">
        <f>IFERROR(__xludf.DUMMYFUNCTION("GOOGLETRANSLATE(B39, ""en"", ""hi"")"),"1998 में खो-खो के नियमों में क्या महत्वपूर्ण परिवर्तन किया गया?")</f>
        <v>1998 में खो-खो के नियमों में क्या महत्वपूर्ण परिवर्तन किया गया?</v>
      </c>
      <c r="H39" s="5" t="str">
        <f>IFERROR(__xludf.DUMMYFUNCTION("GOOGLETRANSLATE(C39, ""en"", ""hi"")"),"ए) नए स्कोरिंग तरीकों को जोड़ना, बी) टैगिंग के लिए समय सीमा का परिचय, सी) मैदान की सीमाओं में संशोधन, डी) खिलाड़ियों की वर्दी का मानकीकरण")</f>
        <v>ए) नए स्कोरिंग तरीकों को जोड़ना, बी) टैगिंग के लिए समय सीमा का परिचय, सी) मैदान की सीमाओं में संशोधन, डी) खिलाड़ियों की वर्दी का मानकीकरण</v>
      </c>
      <c r="I39" s="5" t="str">
        <f>IFERROR(__xludf.DUMMYFUNCTION("GOOGLETRANSLATE(D39, ""en"", ""hi"")"),"बी) टैगिंग के लिए समय सीमा का परिचय")</f>
        <v>बी) टैगिंग के लिए समय सीमा का परिचय</v>
      </c>
    </row>
    <row r="40" ht="22.5" customHeight="1">
      <c r="A40" s="7">
        <v>39.0</v>
      </c>
      <c r="B40" s="8" t="s">
        <v>1906</v>
      </c>
      <c r="C40" s="8" t="s">
        <v>1907</v>
      </c>
      <c r="D40" s="8" t="s">
        <v>1908</v>
      </c>
      <c r="F40" s="5" t="str">
        <f>IFERROR(__xludf.DUMMYFUNCTION("GOOGLETRANSLATE(A40, ""en"", ""hi"")"),"39")</f>
        <v>39</v>
      </c>
      <c r="G40" s="5" t="str">
        <f>IFERROR(__xludf.DUMMYFUNCTION("GOOGLETRANSLATE(B40, ""en"", ""hi"")"),"अंतर्राष्ट्रीय खो-खो महासंघ के पहले अध्यक्ष कौन थे?")</f>
        <v>अंतर्राष्ट्रीय खो-खो महासंघ के पहले अध्यक्ष कौन थे?</v>
      </c>
      <c r="H40" s="5" t="str">
        <f>IFERROR(__xludf.DUMMYFUNCTION("GOOGLETRANSLATE(C40, ""en"", ""hi"")"),"A) बी.के. शर्मा, B) वी.के. जोशी, C) एम.आर. राव, D) पी.के. पटेल")</f>
        <v>A) बी.के. शर्मा, B) वी.के. जोशी, C) एम.आर. राव, D) पी.के. पटेल</v>
      </c>
      <c r="I40" s="5" t="str">
        <f>IFERROR(__xludf.DUMMYFUNCTION("GOOGLETRANSLATE(D40, ""en"", ""hi"")"),"बी) वी. के. जोशी")</f>
        <v>बी) वी. के. जोशी</v>
      </c>
    </row>
    <row r="41" ht="22.5" customHeight="1">
      <c r="A41" s="7">
        <v>40.0</v>
      </c>
      <c r="B41" s="8" t="s">
        <v>1909</v>
      </c>
      <c r="C41" s="8" t="s">
        <v>1857</v>
      </c>
      <c r="D41" s="8" t="s">
        <v>543</v>
      </c>
      <c r="F41" s="5" t="str">
        <f>IFERROR(__xludf.DUMMYFUNCTION("GOOGLETRANSLATE(A41, ""en"", ""hi"")"),"40")</f>
        <v>40</v>
      </c>
      <c r="G41" s="5" t="str">
        <f>IFERROR(__xludf.DUMMYFUNCTION("GOOGLETRANSLATE(B41, ""en"", ""hi"")"),"1988 में पहली खो-खो एशियाई चैम्पियनशिप का आयोजन किस शहर में हुआ था?")</f>
        <v>1988 में पहली खो-खो एशियाई चैम्पियनशिप का आयोजन किस शहर में हुआ था?</v>
      </c>
      <c r="H41" s="5" t="str">
        <f>IFERROR(__xludf.DUMMYFUNCTION("GOOGLETRANSLATE(C41, ""en"", ""hi"")"),"ए) दिल्ली, बी) मुंबई, सी) कोलकाता, डी) बैंगलोर")</f>
        <v>ए) दिल्ली, बी) मुंबई, सी) कोलकाता, डी) बैंगलोर</v>
      </c>
      <c r="I41" s="5" t="str">
        <f>IFERROR(__xludf.DUMMYFUNCTION("GOOGLETRANSLATE(D41, ""en"", ""hi"")"),"ए) दिल्ली")</f>
        <v>ए) दिल्ली</v>
      </c>
    </row>
    <row r="42" ht="22.5" customHeight="1">
      <c r="A42" s="7">
        <v>41.0</v>
      </c>
      <c r="B42" s="8" t="s">
        <v>1910</v>
      </c>
      <c r="C42" s="8" t="s">
        <v>1911</v>
      </c>
      <c r="D42" s="8" t="s">
        <v>1912</v>
      </c>
      <c r="F42" s="5" t="str">
        <f>IFERROR(__xludf.DUMMYFUNCTION("GOOGLETRANSLATE(A42, ""en"", ""hi"")"),"41")</f>
        <v>41</v>
      </c>
      <c r="G42" s="5" t="str">
        <f>IFERROR(__xludf.DUMMYFUNCTION("GOOGLETRANSLATE(B42, ""en"", ""hi"")"),"खो-खो खेल के लिए वर्ष 1978 का क्या महत्व है?")</f>
        <v>खो-खो खेल के लिए वर्ष 1978 का क्या महत्व है?</v>
      </c>
      <c r="H42" s="5" t="str">
        <f>IFERROR(__xludf.DUMMYFUNCTION("GOOGLETRANSLATE(C42, ""en"", ""hi"")"),"A) एशियाई खो-खो महासंघ का गठन, B) खो-खो विश्व कप की स्थापना, C) खो-खो विकास कोष की शुरुआत, D) दक्षिण एशियाई खेलों की मेजबानी")</f>
        <v>A) एशियाई खो-खो महासंघ का गठन, B) खो-खो विश्व कप की स्थापना, C) खो-खो विकास कोष की शुरुआत, D) दक्षिण एशियाई खेलों की मेजबानी</v>
      </c>
      <c r="I42" s="5" t="str">
        <f>IFERROR(__xludf.DUMMYFUNCTION("GOOGLETRANSLATE(D42, ""en"", ""hi"")"),"ए) एशियाई खो-खो महासंघ का गठन")</f>
        <v>ए) एशियाई खो-खो महासंघ का गठन</v>
      </c>
    </row>
    <row r="43" ht="22.5" customHeight="1">
      <c r="A43" s="7">
        <v>42.0</v>
      </c>
      <c r="B43" s="8" t="s">
        <v>1913</v>
      </c>
      <c r="C43" s="8" t="s">
        <v>1914</v>
      </c>
      <c r="D43" s="8" t="s">
        <v>1915</v>
      </c>
      <c r="F43" s="5" t="str">
        <f>IFERROR(__xludf.DUMMYFUNCTION("GOOGLETRANSLATE(A43, ""en"", ""hi"")"),"42")</f>
        <v>42</v>
      </c>
      <c r="G43" s="5" t="str">
        <f>IFERROR(__xludf.DUMMYFUNCTION("GOOGLETRANSLATE(B43, ""en"", ""hi"")"),"भारतीय खेल हॉल ऑफ फेम में शामिल होने वाले पहले खो-खो खिलाड़ी कौन थे?")</f>
        <v>भारतीय खेल हॉल ऑफ फेम में शामिल होने वाले पहले खो-खो खिलाड़ी कौन थे?</v>
      </c>
      <c r="H43" s="5" t="str">
        <f>IFERROR(__xludf.DUMMYFUNCTION("GOOGLETRANSLATE(C43, ""en"", ""hi"")"),"A) एच.पी. सिंह, B) आर. कुमार, C) एस. सिंह, D) एम.के. शर्मा")</f>
        <v>A) एच.पी. सिंह, B) आर. कुमार, C) एस. सिंह, D) एम.के. शर्मा</v>
      </c>
      <c r="I43" s="5" t="str">
        <f>IFERROR(__xludf.DUMMYFUNCTION("GOOGLETRANSLATE(D43, ""en"", ""hi"")"),"ए) एच.पी. सिंह")</f>
        <v>ए) एच.पी. सिंह</v>
      </c>
    </row>
    <row r="44" ht="22.5" customHeight="1">
      <c r="A44" s="7">
        <v>43.0</v>
      </c>
      <c r="B44" s="8" t="s">
        <v>1916</v>
      </c>
      <c r="C44" s="8" t="s">
        <v>1859</v>
      </c>
      <c r="D44" s="8" t="s">
        <v>1860</v>
      </c>
      <c r="F44" s="5" t="str">
        <f>IFERROR(__xludf.DUMMYFUNCTION("GOOGLETRANSLATE(A44, ""en"", ""hi"")"),"43")</f>
        <v>43</v>
      </c>
      <c r="G44" s="5" t="str">
        <f>IFERROR(__xludf.DUMMYFUNCTION("GOOGLETRANSLATE(B44, ""en"", ""hi"")"),"भारतीय कॉलेज खेल महासंघ में खो-खो को किस वर्ष शामिल किया गया?")</f>
        <v>भारतीय कॉलेज खेल महासंघ में खो-खो को किस वर्ष शामिल किया गया?</v>
      </c>
      <c r="H44" s="5" t="str">
        <f>IFERROR(__xludf.DUMMYFUNCTION("GOOGLETRANSLATE(C44, ""en"", ""hi"")"),"ए) 1965, बी) 1975, सी) 1985, डी) 1995")</f>
        <v>ए) 1965, बी) 1975, सी) 1985, डी) 1995</v>
      </c>
      <c r="I44" s="5" t="str">
        <f>IFERROR(__xludf.DUMMYFUNCTION("GOOGLETRANSLATE(D44, ""en"", ""hi"")"),"बी) 1975")</f>
        <v>बी) 1975</v>
      </c>
    </row>
    <row r="45" ht="22.5" customHeight="1">
      <c r="A45" s="7">
        <v>44.0</v>
      </c>
      <c r="B45" s="8" t="s">
        <v>1917</v>
      </c>
      <c r="C45" s="8" t="s">
        <v>1918</v>
      </c>
      <c r="D45" s="8" t="s">
        <v>1919</v>
      </c>
      <c r="F45" s="5" t="str">
        <f>IFERROR(__xludf.DUMMYFUNCTION("GOOGLETRANSLATE(A45, ""en"", ""hi"")"),"44")</f>
        <v>44</v>
      </c>
      <c r="G45" s="5" t="str">
        <f>IFERROR(__xludf.DUMMYFUNCTION("GOOGLETRANSLATE(B45, ""en"", ""hi"")"),"1995 में आयोजित खो-खो राष्ट्रीय चैम्पियनशिप का ऐतिहासिक महत्व क्या है?")</f>
        <v>1995 में आयोजित खो-खो राष्ट्रीय चैम्पियनशिप का ऐतिहासिक महत्व क्या है?</v>
      </c>
      <c r="H45" s="5" t="str">
        <f>IFERROR(__xludf.DUMMYFUNCTION("GOOGLETRANSLATE(C45, ""en"", ""hi"")"),"A) नए मैदान आयामों का परिचय, B) पहली बार राष्ट्रीय टीमों ने प्रतिस्पर्धा की, C) खो-खो लीग की स्थापना, D) महिला टीमों को शामिल करना")</f>
        <v>A) नए मैदान आयामों का परिचय, B) पहली बार राष्ट्रीय टीमों ने प्रतिस्पर्धा की, C) खो-खो लीग की स्थापना, D) महिला टीमों को शामिल करना</v>
      </c>
      <c r="I45" s="5" t="str">
        <f>IFERROR(__xludf.DUMMYFUNCTION("GOOGLETRANSLATE(D45, ""en"", ""hi"")"),"D) महिला टीमों को शामिल करना")</f>
        <v>D) महिला टीमों को शामिल करना</v>
      </c>
    </row>
    <row r="46" ht="22.5" customHeight="1">
      <c r="A46" s="7">
        <v>45.0</v>
      </c>
      <c r="B46" s="8" t="s">
        <v>1920</v>
      </c>
      <c r="C46" s="8" t="s">
        <v>1818</v>
      </c>
      <c r="D46" s="8" t="s">
        <v>1921</v>
      </c>
      <c r="F46" s="5" t="str">
        <f>IFERROR(__xludf.DUMMYFUNCTION("GOOGLETRANSLATE(A46, ""en"", ""hi"")"),"45")</f>
        <v>45</v>
      </c>
      <c r="G46" s="5" t="str">
        <f>IFERROR(__xludf.DUMMYFUNCTION("GOOGLETRANSLATE(B46, ""en"", ""hi"")"),"वर्ष 2000 में खो-खो के लिए नियुक्त प्रथम अंतर्राष्ट्रीय कोच कौन थे?")</f>
        <v>वर्ष 2000 में खो-खो के लिए नियुक्त प्रथम अंतर्राष्ट्रीय कोच कौन थे?</v>
      </c>
      <c r="H46" s="5" t="str">
        <f>IFERROR(__xludf.DUMMYFUNCTION("GOOGLETRANSLATE(C46, ""en"", ""hi"")"),"A) ए.आर. सुंदर, B) वी.के. जोशी, C) एम.के. राव, D) एच.पी. सिंह")</f>
        <v>A) ए.आर. सुंदर, B) वी.के. जोशी, C) एम.के. राव, D) एच.पी. सिंह</v>
      </c>
      <c r="I46" s="5" t="str">
        <f>IFERROR(__xludf.DUMMYFUNCTION("GOOGLETRANSLATE(D46, ""en"", ""hi"")"),"A) ए.आर. सुंदर")</f>
        <v>A) ए.आर. सुंदर</v>
      </c>
    </row>
    <row r="47" ht="22.5" customHeight="1">
      <c r="A47" s="7">
        <v>46.0</v>
      </c>
      <c r="B47" s="8" t="s">
        <v>1922</v>
      </c>
      <c r="C47" s="8" t="s">
        <v>1923</v>
      </c>
      <c r="D47" s="8" t="s">
        <v>1924</v>
      </c>
      <c r="F47" s="5" t="str">
        <f>IFERROR(__xludf.DUMMYFUNCTION("GOOGLETRANSLATE(A47, ""en"", ""hi"")"),"46")</f>
        <v>46</v>
      </c>
      <c r="G47" s="5" t="str">
        <f>IFERROR(__xludf.DUMMYFUNCTION("GOOGLETRANSLATE(B47, ""en"", ""hi"")"),"1980 के दशक में अंतर्राष्ट्रीय खो-खो टूर्नामेंट की मेजबानी करने वाला पहला भारतीय राज्य कौन सा था?")</f>
        <v>1980 के दशक में अंतर्राष्ट्रीय खो-खो टूर्नामेंट की मेजबानी करने वाला पहला भारतीय राज्य कौन सा था?</v>
      </c>
      <c r="H47" s="5" t="str">
        <f>IFERROR(__xludf.DUMMYFUNCTION("GOOGLETRANSLATE(C47, ""en"", ""hi"")"),"ए) महाराष्ट्र, बी) हरियाणा, सी) पंजाब, डी) उत्तर प्रदेश")</f>
        <v>ए) महाराष्ट्र, बी) हरियाणा, सी) पंजाब, डी) उत्तर प्रदेश</v>
      </c>
      <c r="I47" s="5" t="str">
        <f>IFERROR(__xludf.DUMMYFUNCTION("GOOGLETRANSLATE(D47, ""en"", ""hi"")"),"C) पंजाब")</f>
        <v>C) पंजाब</v>
      </c>
    </row>
    <row r="48" ht="22.5" customHeight="1">
      <c r="A48" s="7">
        <v>47.0</v>
      </c>
      <c r="B48" s="8" t="s">
        <v>1925</v>
      </c>
      <c r="C48" s="8" t="s">
        <v>1926</v>
      </c>
      <c r="D48" s="8" t="s">
        <v>1927</v>
      </c>
      <c r="F48" s="5" t="str">
        <f>IFERROR(__xludf.DUMMYFUNCTION("GOOGLETRANSLATE(A48, ""en"", ""hi"")"),"47")</f>
        <v>47</v>
      </c>
      <c r="G48" s="5" t="str">
        <f>IFERROR(__xludf.DUMMYFUNCTION("GOOGLETRANSLATE(B48, ""en"", ""hi"")"),"2005 में खो-खो में कौन सा प्रमुख नियम परिवर्तन लागू किया गया?")</f>
        <v>2005 में खो-खो में कौन सा प्रमुख नियम परिवर्तन लागू किया गया?</v>
      </c>
      <c r="H48" s="5" t="str">
        <f>IFERROR(__xludf.DUMMYFUNCTION("GOOGLETRANSLATE(C48, ""en"", ""hi"")"),"ए) इलेक्ट्रॉनिक स्कोरिंग सिस्टम की शुरूआत, बी) खेल अवधि का मानकीकरण, सी) टैगिंग नियमों में संशोधन, डी) मैदान के आकार में परिवर्तन")</f>
        <v>ए) इलेक्ट्रॉनिक स्कोरिंग सिस्टम की शुरूआत, बी) खेल अवधि का मानकीकरण, सी) टैगिंग नियमों में संशोधन, डी) मैदान के आकार में परिवर्तन</v>
      </c>
      <c r="I48" s="5" t="str">
        <f>IFERROR(__xludf.DUMMYFUNCTION("GOOGLETRANSLATE(D48, ""en"", ""hi"")"),"C) टैगिंग नियमों में संशोधन")</f>
        <v>C) टैगिंग नियमों में संशोधन</v>
      </c>
    </row>
    <row r="49" ht="22.5" customHeight="1">
      <c r="A49" s="7">
        <v>48.0</v>
      </c>
      <c r="B49" s="8" t="s">
        <v>1928</v>
      </c>
      <c r="C49" s="8" t="s">
        <v>1929</v>
      </c>
      <c r="D49" s="8" t="s">
        <v>1863</v>
      </c>
      <c r="F49" s="5" t="str">
        <f>IFERROR(__xludf.DUMMYFUNCTION("GOOGLETRANSLATE(A49, ""en"", ""hi"")"),"48")</f>
        <v>48</v>
      </c>
      <c r="G49" s="5" t="str">
        <f>IFERROR(__xludf.DUMMYFUNCTION("GOOGLETRANSLATE(B49, ""en"", ""hi"")"),"2023 तक किसी एक खो-खो मैच में सर्वाधिक सफल टैग का रिकॉर्ड किस खिलाड़ी के नाम है?")</f>
        <v>2023 तक किसी एक खो-खो मैच में सर्वाधिक सफल टैग का रिकॉर्ड किस खिलाड़ी के नाम है?</v>
      </c>
      <c r="H49" s="5" t="str">
        <f>IFERROR(__xludf.DUMMYFUNCTION("GOOGLETRANSLATE(C49, ""en"", ""hi"")"),"A) एम.के. शर्मा, B) आर.एस. कुमार, C) एस.पी. सिंह, D) एच.पी. सिंह")</f>
        <v>A) एम.के. शर्मा, B) आर.एस. कुमार, C) एस.पी. सिंह, D) एच.पी. सिंह</v>
      </c>
      <c r="I49" s="5" t="str">
        <f>IFERROR(__xludf.DUMMYFUNCTION("GOOGLETRANSLATE(D49, ""en"", ""hi"")"),"D) एच.पी. सिंह")</f>
        <v>D) एच.पी. सिंह</v>
      </c>
    </row>
    <row r="50" ht="22.5" customHeight="1">
      <c r="A50" s="7">
        <v>49.0</v>
      </c>
      <c r="B50" s="8" t="s">
        <v>1930</v>
      </c>
      <c r="C50" s="8" t="s">
        <v>1931</v>
      </c>
      <c r="D50" s="8" t="s">
        <v>1863</v>
      </c>
      <c r="F50" s="5" t="str">
        <f>IFERROR(__xludf.DUMMYFUNCTION("GOOGLETRANSLATE(A50, ""en"", ""hi"")"),"49")</f>
        <v>49</v>
      </c>
      <c r="G50" s="5" t="str">
        <f>IFERROR(__xludf.DUMMYFUNCTION("GOOGLETRANSLATE(B50, ""en"", ""hi"")"),"पद्मश्री पुरस्कार पाने वाले प्रथम खो-खो खिलाड़ी कौन थे?")</f>
        <v>पद्मश्री पुरस्कार पाने वाले प्रथम खो-खो खिलाड़ी कौन थे?</v>
      </c>
      <c r="H50" s="5" t="str">
        <f>IFERROR(__xludf.DUMMYFUNCTION("GOOGLETRANSLATE(C50, ""en"", ""hi"")"),"A) आर.एस. कुमार, B) एम.के. शर्मा, C) एस.पी. सिंह, D) एच.पी. सिंह")</f>
        <v>A) आर.एस. कुमार, B) एम.के. शर्मा, C) एस.पी. सिंह, D) एच.पी. सिंह</v>
      </c>
      <c r="I50" s="5" t="str">
        <f>IFERROR(__xludf.DUMMYFUNCTION("GOOGLETRANSLATE(D50, ""en"", ""hi"")"),"D) एच.पी. सिंह")</f>
        <v>D) एच.पी. सिंह</v>
      </c>
    </row>
    <row r="51" ht="22.5" customHeight="1">
      <c r="A51" s="7">
        <v>50.0</v>
      </c>
      <c r="B51" s="8" t="s">
        <v>1932</v>
      </c>
      <c r="C51" s="8" t="s">
        <v>1821</v>
      </c>
      <c r="D51" s="8" t="s">
        <v>1933</v>
      </c>
      <c r="F51" s="5" t="str">
        <f>IFERROR(__xludf.DUMMYFUNCTION("GOOGLETRANSLATE(A51, ""en"", ""hi"")"),"50")</f>
        <v>50</v>
      </c>
      <c r="G51" s="5" t="str">
        <f>IFERROR(__xludf.DUMMYFUNCTION("GOOGLETRANSLATE(B51, ""en"", ""hi"")"),"खो-खो पहली बार एशियाई खेलों में किस वर्ष शामिल हुआ?")</f>
        <v>खो-खो पहली बार एशियाई खेलों में किस वर्ष शामिल हुआ?</v>
      </c>
      <c r="H51" s="5" t="str">
        <f>IFERROR(__xludf.DUMMYFUNCTION("GOOGLETRANSLATE(C51, ""en"", ""hi"")"),"ए) 1978, बी) 1982, सी) 1986, डी) 1990")</f>
        <v>ए) 1978, बी) 1982, सी) 1986, डी) 1990</v>
      </c>
      <c r="I51" s="5" t="str">
        <f>IFERROR(__xludf.DUMMYFUNCTION("GOOGLETRANSLATE(D51, ""en"", ""hi"")"),"डी) 1990")</f>
        <v>डी) 1990</v>
      </c>
    </row>
    <row r="52" ht="22.5" customHeight="1">
      <c r="A52" s="7">
        <v>51.0</v>
      </c>
      <c r="B52" s="8" t="s">
        <v>1934</v>
      </c>
      <c r="C52" s="8" t="s">
        <v>1935</v>
      </c>
      <c r="D52" s="8" t="s">
        <v>549</v>
      </c>
      <c r="F52" s="5" t="str">
        <f>IFERROR(__xludf.DUMMYFUNCTION("GOOGLETRANSLATE(A52, ""en"", ""hi"")"),"51")</f>
        <v>51</v>
      </c>
      <c r="G52" s="5" t="str">
        <f>IFERROR(__xludf.DUMMYFUNCTION("GOOGLETRANSLATE(B52, ""en"", ""hi"")"),"1982 में पहला खो-खो विश्व कप किस शहर में आयोजित किया गया था?")</f>
        <v>1982 में पहला खो-खो विश्व कप किस शहर में आयोजित किया गया था?</v>
      </c>
      <c r="H52" s="5" t="str">
        <f>IFERROR(__xludf.DUMMYFUNCTION("GOOGLETRANSLATE(C52, ""en"", ""hi"")"),"ए) मुंबई, बी) दिल्ली, सी) बैंगलोर, डी) कोलकाता")</f>
        <v>ए) मुंबई, बी) दिल्ली, सी) बैंगलोर, डी) कोलकाता</v>
      </c>
      <c r="I52" s="5" t="str">
        <f>IFERROR(__xludf.DUMMYFUNCTION("GOOGLETRANSLATE(D52, ""en"", ""hi"")"),"ए) मुंबई")</f>
        <v>ए) मुंबई</v>
      </c>
    </row>
    <row r="53" ht="22.5" customHeight="1">
      <c r="A53" s="7">
        <v>52.0</v>
      </c>
      <c r="B53" s="8" t="s">
        <v>1936</v>
      </c>
      <c r="C53" s="8" t="s">
        <v>1937</v>
      </c>
      <c r="D53" s="8" t="s">
        <v>1938</v>
      </c>
      <c r="F53" s="5" t="str">
        <f>IFERROR(__xludf.DUMMYFUNCTION("GOOGLETRANSLATE(A53, ""en"", ""hi"")"),"52")</f>
        <v>52</v>
      </c>
      <c r="G53" s="5" t="str">
        <f>IFERROR(__xludf.DUMMYFUNCTION("GOOGLETRANSLATE(B53, ""en"", ""hi"")"),"2010 में शुरू किये गए खो-खो विकास कार्यक्रम का मुख्य फोकस क्या था?")</f>
        <v>2010 में शुरू किये गए खो-खो विकास कार्यक्रम का मुख्य फोकस क्या था?</v>
      </c>
      <c r="H53" s="5" t="str">
        <f>IFERROR(__xludf.DUMMYFUNCTION("GOOGLETRANSLATE(C53, ""en"", ""hi"")"),"A) अंतर्राष्ट्रीय प्रतिस्पर्धा को बढ़ाना, B) जमीनी स्तर पर प्रशिक्षण में सुधार करना, C) क्षेत्र के आयामों को मानकीकृत करना, D) नई तकनीक को पेश करना")</f>
        <v>A) अंतर्राष्ट्रीय प्रतिस्पर्धा को बढ़ाना, B) जमीनी स्तर पर प्रशिक्षण में सुधार करना, C) क्षेत्र के आयामों को मानकीकृत करना, D) नई तकनीक को पेश करना</v>
      </c>
      <c r="I53" s="5" t="str">
        <f>IFERROR(__xludf.DUMMYFUNCTION("GOOGLETRANSLATE(D53, ""en"", ""hi"")"),"बी) जमीनी स्तर पर प्रशिक्षण में सुधार करना")</f>
        <v>बी) जमीनी स्तर पर प्रशिक्षण में सुधार करना</v>
      </c>
    </row>
    <row r="54" ht="22.5" customHeight="1">
      <c r="A54" s="7">
        <v>53.0</v>
      </c>
      <c r="B54" s="8" t="s">
        <v>1939</v>
      </c>
      <c r="C54" s="8" t="s">
        <v>1940</v>
      </c>
      <c r="D54" s="8" t="s">
        <v>1819</v>
      </c>
      <c r="F54" s="5" t="str">
        <f>IFERROR(__xludf.DUMMYFUNCTION("GOOGLETRANSLATE(A54, ""en"", ""hi"")"),"53")</f>
        <v>53</v>
      </c>
      <c r="G54" s="5" t="str">
        <f>IFERROR(__xludf.DUMMYFUNCTION("GOOGLETRANSLATE(B54, ""en"", ""hi"")"),"2002 खो-खो विश्व कप का मुख्य आयोजक कौन था?")</f>
        <v>2002 खो-खो विश्व कप का मुख्य आयोजक कौन था?</v>
      </c>
      <c r="H54" s="5" t="str">
        <f>IFERROR(__xludf.DUMMYFUNCTION("GOOGLETRANSLATE(C54, ""en"", ""hi"")"),"A) आर. कुमार, B) वी.के. जोशी, C) एम.के. शर्मा, D) एच.पी. सिंह")</f>
        <v>A) आर. कुमार, B) वी.के. जोशी, C) एम.के. शर्मा, D) एच.पी. सिंह</v>
      </c>
      <c r="I54" s="5" t="str">
        <f>IFERROR(__xludf.DUMMYFUNCTION("GOOGLETRANSLATE(D54, ""en"", ""hi"")"),"बी) वी.के. जोशी")</f>
        <v>बी) वी.के. जोशी</v>
      </c>
    </row>
    <row r="55" ht="22.5" customHeight="1">
      <c r="A55" s="7">
        <v>54.0</v>
      </c>
      <c r="B55" s="8" t="s">
        <v>1941</v>
      </c>
      <c r="C55" s="8" t="s">
        <v>1942</v>
      </c>
      <c r="D55" s="8" t="s">
        <v>1943</v>
      </c>
      <c r="F55" s="5" t="str">
        <f>IFERROR(__xludf.DUMMYFUNCTION("GOOGLETRANSLATE(A55, ""en"", ""hi"")"),"54")</f>
        <v>54</v>
      </c>
      <c r="G55" s="5" t="str">
        <f>IFERROR(__xludf.DUMMYFUNCTION("GOOGLETRANSLATE(B55, ""en"", ""hi"")"),"खो-खो के लिए वर्ष 2015 का ऐतिहासिक महत्व क्या है?")</f>
        <v>खो-खो के लिए वर्ष 2015 का ऐतिहासिक महत्व क्या है?</v>
      </c>
      <c r="H55" s="5" t="str">
        <f>IFERROR(__xludf.DUMMYFUNCTION("GOOGLETRANSLATE(C55, ""en"", ""hi"")"),"A) खो-खो लीग की शुरुआत, B) पहली खो-खो एशियाई चैम्पियनशिप की मेजबानी, C) सभी भारतीय राज्यों में खो-खो को एक स्कूली खेल के रूप में स्थापित करना, D) खो-खो उत्कृष्टता कार्यक्रम का शुभारंभ")</f>
        <v>A) खो-खो लीग की शुरुआत, B) पहली खो-खो एशियाई चैम्पियनशिप की मेजबानी, C) सभी भारतीय राज्यों में खो-खो को एक स्कूली खेल के रूप में स्थापित करना, D) खो-खो उत्कृष्टता कार्यक्रम का शुभारंभ</v>
      </c>
      <c r="I55" s="5" t="str">
        <f>IFERROR(__xludf.DUMMYFUNCTION("GOOGLETRANSLATE(D55, ""en"", ""hi"")"),"ए) खो-खो लीग की शुरुआत")</f>
        <v>ए) खो-खो लीग की शुरुआत</v>
      </c>
    </row>
    <row r="56" ht="22.5" customHeight="1">
      <c r="A56" s="7">
        <v>55.0</v>
      </c>
      <c r="B56" s="8" t="s">
        <v>1944</v>
      </c>
      <c r="C56" s="8" t="s">
        <v>1876</v>
      </c>
      <c r="D56" s="8" t="s">
        <v>158</v>
      </c>
      <c r="F56" s="5" t="str">
        <f>IFERROR(__xludf.DUMMYFUNCTION("GOOGLETRANSLATE(A56, ""en"", ""hi"")"),"55")</f>
        <v>55</v>
      </c>
      <c r="G56" s="5" t="str">
        <f>IFERROR(__xludf.DUMMYFUNCTION("GOOGLETRANSLATE(B56, ""en"", ""hi"")"),"किस भारतीय राज्य में सबसे पुराना खो-खो क्लब है?")</f>
        <v>किस भारतीय राज्य में सबसे पुराना खो-खो क्लब है?</v>
      </c>
      <c r="H56" s="5" t="str">
        <f>IFERROR(__xludf.DUMMYFUNCTION("GOOGLETRANSLATE(C56, ""en"", ""hi"")"),"ए) महाराष्ट्र, बी) पंजाब, सी) हरियाणा, डी) उत्तर प्रदेश")</f>
        <v>ए) महाराष्ट्र, बी) पंजाब, सी) हरियाणा, डी) उत्तर प्रदेश</v>
      </c>
      <c r="I56" s="5" t="str">
        <f>IFERROR(__xludf.DUMMYFUNCTION("GOOGLETRANSLATE(D56, ""en"", ""hi"")"),"A) महाराष्ट्र")</f>
        <v>A) महाराष्ट्र</v>
      </c>
    </row>
    <row r="57" ht="22.5" customHeight="1">
      <c r="A57" s="7">
        <v>56.0</v>
      </c>
      <c r="B57" s="8" t="s">
        <v>1945</v>
      </c>
      <c r="C57" s="8" t="s">
        <v>1946</v>
      </c>
      <c r="D57" s="8" t="s">
        <v>1947</v>
      </c>
      <c r="F57" s="5" t="str">
        <f>IFERROR(__xludf.DUMMYFUNCTION("GOOGLETRANSLATE(A57, ""en"", ""hi"")"),"56")</f>
        <v>56</v>
      </c>
      <c r="G57" s="5" t="str">
        <f>IFERROR(__xludf.DUMMYFUNCTION("GOOGLETRANSLATE(B57, ""en"", ""hi"")"),"ऐतिहासिक मानकों के अनुसार खो-खो मैदान की प्रत्येक भुजा की लंबाई कितनी है?")</f>
        <v>ऐतिहासिक मानकों के अनुसार खो-खो मैदान की प्रत्येक भुजा की लंबाई कितनी है?</v>
      </c>
      <c r="H57" s="5" t="str">
        <f>IFERROR(__xludf.DUMMYFUNCTION("GOOGLETRANSLATE(C57, ""en"", ""hi"")"),"A) 30 मीटर, B) 40 मीटर, C) 50 मीटर, D) 60 मीटर")</f>
        <v>A) 30 मीटर, B) 40 मीटर, C) 50 मीटर, D) 60 मीटर</v>
      </c>
      <c r="I57" s="5" t="str">
        <f>IFERROR(__xludf.DUMMYFUNCTION("GOOGLETRANSLATE(D57, ""en"", ""hi"")"),"डी) 60 मीटर")</f>
        <v>डी) 60 मीटर</v>
      </c>
    </row>
    <row r="58" ht="22.5" customHeight="1">
      <c r="A58" s="7">
        <v>57.0</v>
      </c>
      <c r="B58" s="8" t="s">
        <v>1948</v>
      </c>
      <c r="C58" s="8" t="s">
        <v>1949</v>
      </c>
      <c r="D58" s="8" t="s">
        <v>1950</v>
      </c>
      <c r="F58" s="5" t="str">
        <f>IFERROR(__xludf.DUMMYFUNCTION("GOOGLETRANSLATE(A58, ""en"", ""hi"")"),"57")</f>
        <v>57</v>
      </c>
      <c r="G58" s="5" t="str">
        <f>IFERROR(__xludf.DUMMYFUNCTION("GOOGLETRANSLATE(B58, ""en"", ""hi"")"),"खो-खो पहली बार किस वर्ष राष्ट्रीय स्कूल खेल महासंघ के पाठ्यक्रम का हिस्सा बना?")</f>
        <v>खो-खो पहली बार किस वर्ष राष्ट्रीय स्कूल खेल महासंघ के पाठ्यक्रम का हिस्सा बना?</v>
      </c>
      <c r="H58" s="5" t="str">
        <f>IFERROR(__xludf.DUMMYFUNCTION("GOOGLETRANSLATE(C58, ""en"", ""hi"")"),"ए) 1965, बी) 1970, सी) 1975, डी) 1980")</f>
        <v>ए) 1965, बी) 1970, सी) 1975, डी) 1980</v>
      </c>
      <c r="I58" s="5" t="str">
        <f>IFERROR(__xludf.DUMMYFUNCTION("GOOGLETRANSLATE(D58, ""en"", ""hi"")"),"सी) 1975")</f>
        <v>सी) 1975</v>
      </c>
    </row>
    <row r="59" ht="22.5" customHeight="1">
      <c r="A59" s="7">
        <v>58.0</v>
      </c>
      <c r="B59" s="8" t="s">
        <v>1951</v>
      </c>
      <c r="C59" s="8" t="s">
        <v>1952</v>
      </c>
      <c r="D59" s="8" t="s">
        <v>1953</v>
      </c>
      <c r="F59" s="5" t="str">
        <f>IFERROR(__xludf.DUMMYFUNCTION("GOOGLETRANSLATE(A59, ""en"", ""hi"")"),"58")</f>
        <v>58</v>
      </c>
      <c r="G59" s="5" t="str">
        <f>IFERROR(__xludf.DUMMYFUNCTION("GOOGLETRANSLATE(B59, ""en"", ""hi"")"),"2010 में आयोजित खो-खो विश्व कप में अग्रणी स्कोरर कौन था?")</f>
        <v>2010 में आयोजित खो-खो विश्व कप में अग्रणी स्कोरर कौन था?</v>
      </c>
      <c r="H59" s="5" t="str">
        <f>IFERROR(__xludf.DUMMYFUNCTION("GOOGLETRANSLATE(C59, ""en"", ""hi"")"),"A) एम.के. शर्मा, B) एच.पी. सिंह, C) एस.पी. सिंह, D) आर.एस. कुमार")</f>
        <v>A) एम.के. शर्मा, B) एच.पी. सिंह, C) एस.पी. सिंह, D) आर.एस. कुमार</v>
      </c>
      <c r="I59" s="5" t="str">
        <f>IFERROR(__xludf.DUMMYFUNCTION("GOOGLETRANSLATE(D59, ""en"", ""hi"")"),"बी) एच.पी. सिंह")</f>
        <v>बी) एच.पी. सिंह</v>
      </c>
    </row>
    <row r="60" ht="22.5" customHeight="1">
      <c r="A60" s="7">
        <v>59.0</v>
      </c>
      <c r="B60" s="8" t="s">
        <v>1954</v>
      </c>
      <c r="C60" s="8" t="s">
        <v>1955</v>
      </c>
      <c r="D60" s="8" t="s">
        <v>814</v>
      </c>
      <c r="F60" s="5" t="str">
        <f>IFERROR(__xludf.DUMMYFUNCTION("GOOGLETRANSLATE(A60, ""en"", ""hi"")"),"59")</f>
        <v>59</v>
      </c>
      <c r="G60" s="5" t="str">
        <f>IFERROR(__xludf.DUMMYFUNCTION("GOOGLETRANSLATE(B60, ""en"", ""hi"")"),"दक्षिण एशियाई खेलों में खो-खो की शुरुआत किस वर्ष हुई?")</f>
        <v>दक्षिण एशियाई खेलों में खो-खो की शुरुआत किस वर्ष हुई?</v>
      </c>
      <c r="H60" s="5" t="str">
        <f>IFERROR(__xludf.DUMMYFUNCTION("GOOGLETRANSLATE(C60, ""en"", ""hi"")"),"ए) 1986, बी) 1990, सी) 1994, डी) 1998")</f>
        <v>ए) 1986, बी) 1990, सी) 1994, डी) 1998</v>
      </c>
      <c r="I60" s="5" t="str">
        <f>IFERROR(__xludf.DUMMYFUNCTION("GOOGLETRANSLATE(D60, ""en"", ""hi"")"),"बी) 1990")</f>
        <v>बी) 1990</v>
      </c>
    </row>
    <row r="61" ht="22.5" customHeight="1">
      <c r="A61" s="7">
        <v>60.0</v>
      </c>
      <c r="B61" s="8" t="s">
        <v>1956</v>
      </c>
      <c r="C61" s="8" t="s">
        <v>1957</v>
      </c>
      <c r="D61" s="8" t="s">
        <v>1958</v>
      </c>
      <c r="F61" s="5" t="str">
        <f>IFERROR(__xludf.DUMMYFUNCTION("GOOGLETRANSLATE(A61, ""en"", ""hi"")"),"60")</f>
        <v>60</v>
      </c>
      <c r="G61" s="5" t="str">
        <f>IFERROR(__xludf.DUMMYFUNCTION("GOOGLETRANSLATE(B61, ""en"", ""hi"")"),"1995 में खो-खो में कौन सी बड़ी प्रगति हुई?")</f>
        <v>1995 में खो-खो में कौन सी बड़ी प्रगति हुई?</v>
      </c>
      <c r="H61" s="5" t="str">
        <f>IFERROR(__xludf.DUMMYFUNCTION("GOOGLETRANSLATE(C61, ""en"", ""hi"")"),"A) खो-खो विकास निधि की स्थापना, B) इलेक्ट्रॉनिक स्कोरिंग की शुरुआत, C) एशियाई खो-खो महासंघ का गठन, D) पहले खो-खो विश्व कप की मेजबानी")</f>
        <v>A) खो-खो विकास निधि की स्थापना, B) इलेक्ट्रॉनिक स्कोरिंग की शुरुआत, C) एशियाई खो-खो महासंघ का गठन, D) पहले खो-खो विश्व कप की मेजबानी</v>
      </c>
      <c r="I61" s="5" t="str">
        <f>IFERROR(__xludf.DUMMYFUNCTION("GOOGLETRANSLATE(D61, ""en"", ""hi"")"),"क) खो-खो विकास कोष की स्थापना")</f>
        <v>क) खो-खो विकास कोष की स्थापना</v>
      </c>
    </row>
    <row r="62" ht="22.5" customHeight="1">
      <c r="A62" s="7">
        <v>61.0</v>
      </c>
      <c r="B62" s="8" t="s">
        <v>1959</v>
      </c>
      <c r="C62" s="8" t="s">
        <v>1960</v>
      </c>
      <c r="D62" s="8" t="s">
        <v>1889</v>
      </c>
      <c r="F62" s="5" t="str">
        <f>IFERROR(__xludf.DUMMYFUNCTION("GOOGLETRANSLATE(A62, ""en"", ""hi"")"),"61")</f>
        <v>61</v>
      </c>
      <c r="G62" s="5" t="str">
        <f>IFERROR(__xludf.DUMMYFUNCTION("GOOGLETRANSLATE(B62, ""en"", ""hi"")"),"1990 के दशक के अंत में वार्षिक राष्ट्रीय खो-खो चैंपियनशिप की मेजबानी के लिए कौन सा शहर जाना जाता था?")</f>
        <v>1990 के दशक के अंत में वार्षिक राष्ट्रीय खो-खो चैंपियनशिप की मेजबानी के लिए कौन सा शहर जाना जाता था?</v>
      </c>
      <c r="H62" s="5" t="str">
        <f>IFERROR(__xludf.DUMMYFUNCTION("GOOGLETRANSLATE(C62, ""en"", ""hi"")"),"A) दिल्ली, B) मुंबई, C) पुणे, D) बैंगलोर")</f>
        <v>A) दिल्ली, B) मुंबई, C) पुणे, D) बैंगलोर</v>
      </c>
      <c r="I62" s="5" t="str">
        <f>IFERROR(__xludf.DUMMYFUNCTION("GOOGLETRANSLATE(D62, ""en"", ""hi"")"),"C) पुणे")</f>
        <v>C) पुणे</v>
      </c>
    </row>
    <row r="63" ht="22.5" customHeight="1">
      <c r="A63" s="7">
        <v>62.0</v>
      </c>
      <c r="B63" s="8" t="s">
        <v>1961</v>
      </c>
      <c r="C63" s="8" t="s">
        <v>1962</v>
      </c>
      <c r="D63" s="8" t="s">
        <v>1953</v>
      </c>
      <c r="F63" s="5" t="str">
        <f>IFERROR(__xludf.DUMMYFUNCTION("GOOGLETRANSLATE(A63, ""en"", ""hi"")"),"62")</f>
        <v>62</v>
      </c>
      <c r="G63" s="5" t="str">
        <f>IFERROR(__xludf.DUMMYFUNCTION("GOOGLETRANSLATE(B63, ""en"", ""hi"")"),"किस भारतीय खिलाड़ी ने 2015 में एक खो-खो मैच में सर्वाधिक टैग का रिकॉर्ड बनाया?")</f>
        <v>किस भारतीय खिलाड़ी ने 2015 में एक खो-खो मैच में सर्वाधिक टैग का रिकॉर्ड बनाया?</v>
      </c>
      <c r="H63" s="5" t="str">
        <f>IFERROR(__xludf.DUMMYFUNCTION("GOOGLETRANSLATE(C63, ""en"", ""hi"")"),"A) आर. कुमार, B) एच.पी. सिंह, C) एस.पी. सिंह, D) एम.के. शर्मा")</f>
        <v>A) आर. कुमार, B) एच.पी. सिंह, C) एस.पी. सिंह, D) एम.के. शर्मा</v>
      </c>
      <c r="I63" s="5" t="str">
        <f>IFERROR(__xludf.DUMMYFUNCTION("GOOGLETRANSLATE(D63, ""en"", ""hi"")"),"बी) एच.पी. सिंह")</f>
        <v>बी) एच.पी. सिंह</v>
      </c>
    </row>
    <row r="64" ht="22.5" customHeight="1">
      <c r="A64" s="7">
        <v>63.0</v>
      </c>
      <c r="B64" s="8" t="s">
        <v>1963</v>
      </c>
      <c r="C64" s="8" t="s">
        <v>1964</v>
      </c>
      <c r="D64" s="8" t="s">
        <v>1927</v>
      </c>
      <c r="F64" s="5" t="str">
        <f>IFERROR(__xludf.DUMMYFUNCTION("GOOGLETRANSLATE(A64, ""en"", ""hi"")"),"63")</f>
        <v>63</v>
      </c>
      <c r="G64" s="5" t="str">
        <f>IFERROR(__xludf.DUMMYFUNCTION("GOOGLETRANSLATE(B64, ""en"", ""hi"")"),"2005 में खो-खो में कौन सा प्रमुख नियम परिवर्तन किया गया?")</f>
        <v>2005 में खो-खो में कौन सा प्रमुख नियम परिवर्तन किया गया?</v>
      </c>
      <c r="H64" s="5" t="str">
        <f>IFERROR(__xludf.DUMMYFUNCTION("GOOGLETRANSLATE(C64, ""en"", ""hi"")"),"ए) नए पदों को जोड़ना, बी) खेल अवधि का मानकीकरण, सी) टैगिंग नियमों में संशोधन, डी) वीडियो समीक्षा की शुरूआत")</f>
        <v>ए) नए पदों को जोड़ना, बी) खेल अवधि का मानकीकरण, सी) टैगिंग नियमों में संशोधन, डी) वीडियो समीक्षा की शुरूआत</v>
      </c>
      <c r="I64" s="5" t="str">
        <f>IFERROR(__xludf.DUMMYFUNCTION("GOOGLETRANSLATE(D64, ""en"", ""hi"")"),"C) टैगिंग नियमों में संशोधन")</f>
        <v>C) टैगिंग नियमों में संशोधन</v>
      </c>
    </row>
    <row r="65" ht="22.5" customHeight="1">
      <c r="A65" s="7">
        <v>64.0</v>
      </c>
      <c r="B65" s="8" t="s">
        <v>1965</v>
      </c>
      <c r="C65" s="8" t="s">
        <v>1966</v>
      </c>
      <c r="D65" s="8" t="s">
        <v>1915</v>
      </c>
      <c r="F65" s="5" t="str">
        <f>IFERROR(__xludf.DUMMYFUNCTION("GOOGLETRANSLATE(A65, ""en"", ""hi"")"),"64")</f>
        <v>64</v>
      </c>
      <c r="G65" s="5" t="str">
        <f>IFERROR(__xludf.DUMMYFUNCTION("GOOGLETRANSLATE(B65, ""en"", ""hi"")"),"किस प्रमुख खो-खो खिलाड़ी को 2000 में पद्म भूषण से सम्मानित किया गया था?")</f>
        <v>किस प्रमुख खो-खो खिलाड़ी को 2000 में पद्म भूषण से सम्मानित किया गया था?</v>
      </c>
      <c r="H65" s="5" t="str">
        <f>IFERROR(__xludf.DUMMYFUNCTION("GOOGLETRANSLATE(C65, ""en"", ""hi"")"),"A) एच.पी. सिंह, B) आर.एस. कुमार, C) एम.के. शर्मा, D) एस.पी. सिंह")</f>
        <v>A) एच.पी. सिंह, B) आर.एस. कुमार, C) एम.के. शर्मा, D) एस.पी. सिंह</v>
      </c>
      <c r="I65" s="5" t="str">
        <f>IFERROR(__xludf.DUMMYFUNCTION("GOOGLETRANSLATE(D65, ""en"", ""hi"")"),"ए) एच.पी. सिंह")</f>
        <v>ए) एच.पी. सिंह</v>
      </c>
    </row>
    <row r="66" ht="22.5" customHeight="1">
      <c r="A66" s="7">
        <v>65.0</v>
      </c>
      <c r="B66" s="8" t="s">
        <v>1967</v>
      </c>
      <c r="C66" s="8" t="s">
        <v>249</v>
      </c>
      <c r="D66" s="8" t="s">
        <v>1968</v>
      </c>
      <c r="F66" s="5" t="str">
        <f>IFERROR(__xludf.DUMMYFUNCTION("GOOGLETRANSLATE(A66, ""en"", ""hi"")"),"65")</f>
        <v>65</v>
      </c>
      <c r="G66" s="5" t="str">
        <f>IFERROR(__xludf.DUMMYFUNCTION("GOOGLETRANSLATE(B66, ""en"", ""hi"")"),"कौन सा राज्य पहली बार अंतर्राष्ट्रीय खो-खो टूर्नामेंट की मेजबानी करने वाला राज्य था?")</f>
        <v>कौन सा राज्य पहली बार अंतर्राष्ट्रीय खो-खो टूर्नामेंट की मेजबानी करने वाला राज्य था?</v>
      </c>
      <c r="H66" s="5" t="str">
        <f>IFERROR(__xludf.DUMMYFUNCTION("GOOGLETRANSLATE(C66, ""en"", ""hi"")"),"ए) हरियाणा, बी) पंजाब, सी) महाराष्ट्र, डी) उत्तर प्रदेश")</f>
        <v>ए) हरियाणा, बी) पंजाब, सी) महाराष्ट्र, डी) उत्तर प्रदेश</v>
      </c>
      <c r="I66" s="5" t="str">
        <f>IFERROR(__xludf.DUMMYFUNCTION("GOOGLETRANSLATE(D66, ""en"", ""hi"")"),"बी) पंजाब")</f>
        <v>बी) पंजाब</v>
      </c>
    </row>
    <row r="67" ht="22.5" customHeight="1">
      <c r="A67" s="7">
        <v>66.0</v>
      </c>
      <c r="B67" s="8" t="s">
        <v>1969</v>
      </c>
      <c r="C67" s="8" t="s">
        <v>1970</v>
      </c>
      <c r="D67" s="8" t="s">
        <v>1971</v>
      </c>
      <c r="F67" s="5" t="str">
        <f>IFERROR(__xludf.DUMMYFUNCTION("GOOGLETRANSLATE(A67, ""en"", ""hi"")"),"66")</f>
        <v>66</v>
      </c>
      <c r="G67" s="5" t="str">
        <f>IFERROR(__xludf.DUMMYFUNCTION("GOOGLETRANSLATE(B67, ""en"", ""hi"")"),"1982 में शुरू किए गए खो-खो विश्व कप का प्राथमिक उद्देश्य क्या था?")</f>
        <v>1982 में शुरू किए गए खो-खो विश्व कप का प्राथमिक उद्देश्य क्या था?</v>
      </c>
      <c r="H67" s="5" t="str">
        <f>IFERROR(__xludf.DUMMYFUNCTION("GOOGLETRANSLATE(C67, ""en"", ""hi"")"),"A) अंतर्राष्ट्रीय प्रतिस्पर्धा को बढ़ावा देना, B) नियमों को मानकीकृत करना, C) जमीनी स्तर पर प्रशिक्षण को बढ़ाना, D) नए खेल मैदान स्थापित करना")</f>
        <v>A) अंतर्राष्ट्रीय प्रतिस्पर्धा को बढ़ावा देना, B) नियमों को मानकीकृत करना, C) जमीनी स्तर पर प्रशिक्षण को बढ़ाना, D) नए खेल मैदान स्थापित करना</v>
      </c>
      <c r="I67" s="5" t="str">
        <f>IFERROR(__xludf.DUMMYFUNCTION("GOOGLETRANSLATE(D67, ""en"", ""hi"")"),"A) अंतर्राष्ट्रीय प्रतिस्पर्धा को बढ़ावा देना")</f>
        <v>A) अंतर्राष्ट्रीय प्रतिस्पर्धा को बढ़ावा देना</v>
      </c>
    </row>
    <row r="68" ht="22.5" customHeight="1">
      <c r="A68" s="7">
        <v>67.0</v>
      </c>
      <c r="B68" s="8" t="s">
        <v>1972</v>
      </c>
      <c r="C68" s="8" t="s">
        <v>1973</v>
      </c>
      <c r="D68" s="8" t="s">
        <v>1974</v>
      </c>
      <c r="F68" s="5" t="str">
        <f>IFERROR(__xludf.DUMMYFUNCTION("GOOGLETRANSLATE(A68, ""en"", ""hi"")"),"67")</f>
        <v>67</v>
      </c>
      <c r="G68" s="5" t="str">
        <f>IFERROR(__xludf.DUMMYFUNCTION("GOOGLETRANSLATE(B68, ""en"", ""hi"")"),"2002 में आयोजित खो-खो विश्व कप का मुख्य आयोजक कौन था?")</f>
        <v>2002 में आयोजित खो-खो विश्व कप का मुख्य आयोजक कौन था?</v>
      </c>
      <c r="H68" s="5" t="str">
        <f>IFERROR(__xludf.DUMMYFUNCTION("GOOGLETRANSLATE(C68, ""en"", ""hi"")"),"A) वी.के. जोशी, B) एच.पी. सिंह, C) एम.के. शर्मा, D) आर. कुमार")</f>
        <v>A) वी.के. जोशी, B) एच.पी. सिंह, C) एम.के. शर्मा, D) आर. कुमार</v>
      </c>
      <c r="I68" s="5" t="str">
        <f>IFERROR(__xludf.DUMMYFUNCTION("GOOGLETRANSLATE(D68, ""en"", ""hi"")"),"A) वी.के. जोशी")</f>
        <v>A) वी.के. जोशी</v>
      </c>
    </row>
    <row r="69" ht="22.5" customHeight="1">
      <c r="A69" s="7">
        <v>68.0</v>
      </c>
      <c r="B69" s="8" t="s">
        <v>1975</v>
      </c>
      <c r="C69" s="8" t="s">
        <v>1876</v>
      </c>
      <c r="D69" s="8" t="s">
        <v>1877</v>
      </c>
      <c r="F69" s="5" t="str">
        <f>IFERROR(__xludf.DUMMYFUNCTION("GOOGLETRANSLATE(A69, ""en"", ""hi"")"),"68")</f>
        <v>68</v>
      </c>
      <c r="G69" s="5" t="str">
        <f>IFERROR(__xludf.DUMMYFUNCTION("GOOGLETRANSLATE(B69, ""en"", ""hi"")"),"1990 के दशक के प्रारंभ में खो-खो अकादमी स्थापित करने वाला पहला भारतीय राज्य कौन सा था?")</f>
        <v>1990 के दशक के प्रारंभ में खो-खो अकादमी स्थापित करने वाला पहला भारतीय राज्य कौन सा था?</v>
      </c>
      <c r="H69" s="5" t="str">
        <f>IFERROR(__xludf.DUMMYFUNCTION("GOOGLETRANSLATE(C69, ""en"", ""hi"")"),"ए) महाराष्ट्र, बी) पंजाब, सी) हरियाणा, डी) उत्तर प्रदेश")</f>
        <v>ए) महाराष्ट्र, बी) पंजाब, सी) हरियाणा, डी) उत्तर प्रदेश</v>
      </c>
      <c r="I69" s="5" t="str">
        <f>IFERROR(__xludf.DUMMYFUNCTION("GOOGLETRANSLATE(D69, ""en"", ""hi"")"),"C) हरियाणा")</f>
        <v>C) हरियाणा</v>
      </c>
    </row>
    <row r="70" ht="22.5" customHeight="1">
      <c r="A70" s="7">
        <v>69.0</v>
      </c>
      <c r="B70" s="8" t="s">
        <v>1976</v>
      </c>
      <c r="C70" s="8" t="s">
        <v>1977</v>
      </c>
      <c r="D70" s="8" t="s">
        <v>1978</v>
      </c>
      <c r="F70" s="5" t="str">
        <f>IFERROR(__xludf.DUMMYFUNCTION("GOOGLETRANSLATE(A70, ""en"", ""hi"")"),"69")</f>
        <v>69</v>
      </c>
      <c r="G70" s="5" t="str">
        <f>IFERROR(__xludf.DUMMYFUNCTION("GOOGLETRANSLATE(B70, ""en"", ""hi"")"),"1990 में खो-खो में कौन सा प्रमुख नियम परिवर्तन किया गया?")</f>
        <v>1990 में खो-खो में कौन सा प्रमुख नियम परिवर्तन किया गया?</v>
      </c>
      <c r="H70" s="5" t="str">
        <f>IFERROR(__xludf.DUMMYFUNCTION("GOOGLETRANSLATE(C70, ""en"", ""hi"")"),"ए) इलेक्ट्रॉनिक स्कोरिंग को जोड़ना, बी) खेल अवधि का मानकीकरण, सी) मैदान के आयामों में संशोधन, डी) नए टैगिंग नियमों का परिचय")</f>
        <v>ए) इलेक्ट्रॉनिक स्कोरिंग को जोड़ना, बी) खेल अवधि का मानकीकरण, सी) मैदान के आयामों में संशोधन, डी) नए टैगिंग नियमों का परिचय</v>
      </c>
      <c r="I70" s="5" t="str">
        <f>IFERROR(__xludf.DUMMYFUNCTION("GOOGLETRANSLATE(D70, ""en"", ""hi"")"),"D) नए टैगिंग नियमों का परिचय")</f>
        <v>D) नए टैगिंग नियमों का परिचय</v>
      </c>
    </row>
    <row r="71" ht="22.5" customHeight="1">
      <c r="A71" s="7">
        <v>70.0</v>
      </c>
      <c r="B71" s="8" t="s">
        <v>1979</v>
      </c>
      <c r="C71" s="8" t="s">
        <v>1966</v>
      </c>
      <c r="D71" s="8" t="s">
        <v>1980</v>
      </c>
      <c r="F71" s="5" t="str">
        <f>IFERROR(__xludf.DUMMYFUNCTION("GOOGLETRANSLATE(A71, ""en"", ""hi"")"),"70")</f>
        <v>70</v>
      </c>
      <c r="G71" s="5" t="str">
        <f>IFERROR(__xludf.DUMMYFUNCTION("GOOGLETRANSLATE(B71, ""en"", ""hi"")"),"1998 में आयोजित खो-खो विश्व कप में अग्रणी स्कोरर कौन था?")</f>
        <v>1998 में आयोजित खो-खो विश्व कप में अग्रणी स्कोरर कौन था?</v>
      </c>
      <c r="H71" s="5" t="str">
        <f>IFERROR(__xludf.DUMMYFUNCTION("GOOGLETRANSLATE(C71, ""en"", ""hi"")"),"A) एच.पी. सिंह, B) आर.एस. कुमार, C) एम.के. शर्मा, D) एस.पी. सिंह")</f>
        <v>A) एच.पी. सिंह, B) आर.एस. कुमार, C) एम.के. शर्मा, D) एस.पी. सिंह</v>
      </c>
      <c r="I71" s="5" t="str">
        <f>IFERROR(__xludf.DUMMYFUNCTION("GOOGLETRANSLATE(D71, ""en"", ""hi"")"),"बी) आर.एस. कुमार")</f>
        <v>बी) आर.एस. कुमार</v>
      </c>
    </row>
    <row r="72" ht="22.5" customHeight="1">
      <c r="A72" s="7">
        <v>71.0</v>
      </c>
      <c r="B72" s="8" t="s">
        <v>1878</v>
      </c>
      <c r="C72" s="8" t="s">
        <v>1955</v>
      </c>
      <c r="D72" s="8" t="s">
        <v>814</v>
      </c>
      <c r="F72" s="5" t="str">
        <f>IFERROR(__xludf.DUMMYFUNCTION("GOOGLETRANSLATE(A72, ""en"", ""hi"")"),"71")</f>
        <v>71</v>
      </c>
      <c r="G72" s="5" t="str">
        <f>IFERROR(__xludf.DUMMYFUNCTION("GOOGLETRANSLATE(B72, ""en"", ""hi"")"),"दक्षिण एशियाई खेलों में खो-खो की शुरुआत किस वर्ष हुई?")</f>
        <v>दक्षिण एशियाई खेलों में खो-खो की शुरुआत किस वर्ष हुई?</v>
      </c>
      <c r="H72" s="5" t="str">
        <f>IFERROR(__xludf.DUMMYFUNCTION("GOOGLETRANSLATE(C72, ""en"", ""hi"")"),"ए) 1986, बी) 1990, सी) 1994, डी) 1998")</f>
        <v>ए) 1986, बी) 1990, सी) 1994, डी) 1998</v>
      </c>
      <c r="I72" s="5" t="str">
        <f>IFERROR(__xludf.DUMMYFUNCTION("GOOGLETRANSLATE(D72, ""en"", ""hi"")"),"बी) 1990")</f>
        <v>बी) 1990</v>
      </c>
    </row>
    <row r="73" ht="22.5" customHeight="1">
      <c r="A73" s="7">
        <v>72.0</v>
      </c>
      <c r="B73" s="8" t="s">
        <v>1981</v>
      </c>
      <c r="C73" s="8" t="s">
        <v>1982</v>
      </c>
      <c r="D73" s="8" t="s">
        <v>1905</v>
      </c>
      <c r="F73" s="5" t="str">
        <f>IFERROR(__xludf.DUMMYFUNCTION("GOOGLETRANSLATE(A73, ""en"", ""hi"")"),"72")</f>
        <v>72</v>
      </c>
      <c r="G73" s="5" t="str">
        <f>IFERROR(__xludf.DUMMYFUNCTION("GOOGLETRANSLATE(B73, ""en"", ""hi"")"),"2000 में खो-खो में कौन सा महत्वपूर्ण नियम परिवर्तन किया गया?")</f>
        <v>2000 में खो-खो में कौन सा महत्वपूर्ण नियम परिवर्तन किया गया?</v>
      </c>
      <c r="H73" s="5" t="str">
        <f>IFERROR(__xludf.DUMMYFUNCTION("GOOGLETRANSLATE(C73, ""en"", ""hi"")"),"ए) मैदान के आयामों का मानकीकरण, बी) टैगिंग के लिए समय सीमा का परिचय, सी) नई स्कोरिंग प्रणालियों की स्थापना, डी) नए खिलाड़ी पदों को जोड़ना")</f>
        <v>ए) मैदान के आयामों का मानकीकरण, बी) टैगिंग के लिए समय सीमा का परिचय, सी) नई स्कोरिंग प्रणालियों की स्थापना, डी) नए खिलाड़ी पदों को जोड़ना</v>
      </c>
      <c r="I73" s="5" t="str">
        <f>IFERROR(__xludf.DUMMYFUNCTION("GOOGLETRANSLATE(D73, ""en"", ""hi"")"),"बी) टैगिंग के लिए समय सीमा का परिचय")</f>
        <v>बी) टैगिंग के लिए समय सीमा का परिचय</v>
      </c>
    </row>
    <row r="74" ht="22.5" customHeight="1">
      <c r="A74" s="7">
        <v>73.0</v>
      </c>
      <c r="B74" s="8" t="s">
        <v>1983</v>
      </c>
      <c r="C74" s="8" t="s">
        <v>1984</v>
      </c>
      <c r="D74" s="8" t="s">
        <v>1915</v>
      </c>
      <c r="F74" s="5" t="str">
        <f>IFERROR(__xludf.DUMMYFUNCTION("GOOGLETRANSLATE(A74, ""en"", ""hi"")"),"73")</f>
        <v>73</v>
      </c>
      <c r="G74" s="5" t="str">
        <f>IFERROR(__xludf.DUMMYFUNCTION("GOOGLETRANSLATE(B74, ""en"", ""hi"")"),"राजीव गांधी खेल रत्न पुरस्कार प्राप्त करने वाले पहले खो-खो खिलाड़ी कौन थे?")</f>
        <v>राजीव गांधी खेल रत्न पुरस्कार प्राप्त करने वाले पहले खो-खो खिलाड़ी कौन थे?</v>
      </c>
      <c r="H74" s="5" t="str">
        <f>IFERROR(__xludf.DUMMYFUNCTION("GOOGLETRANSLATE(C74, ""en"", ""hi"")"),"A) एच.पी. सिंह, B) एम.के. शर्मा, C) आर.एस. कुमार, D) एस.पी. सिंह")</f>
        <v>A) एच.पी. सिंह, B) एम.के. शर्मा, C) आर.एस. कुमार, D) एस.पी. सिंह</v>
      </c>
      <c r="I74" s="5" t="str">
        <f>IFERROR(__xludf.DUMMYFUNCTION("GOOGLETRANSLATE(D74, ""en"", ""hi"")"),"ए) एच.पी. सिंह")</f>
        <v>ए) एच.पी. सिंह</v>
      </c>
    </row>
    <row r="75" ht="22.5" customHeight="1">
      <c r="A75" s="7">
        <v>74.0</v>
      </c>
      <c r="B75" s="8" t="s">
        <v>1985</v>
      </c>
      <c r="C75" s="8" t="s">
        <v>1986</v>
      </c>
      <c r="D75" s="8" t="s">
        <v>1892</v>
      </c>
      <c r="F75" s="5" t="str">
        <f>IFERROR(__xludf.DUMMYFUNCTION("GOOGLETRANSLATE(A75, ""en"", ""hi"")"),"74")</f>
        <v>74</v>
      </c>
      <c r="G75" s="5" t="str">
        <f>IFERROR(__xludf.DUMMYFUNCTION("GOOGLETRANSLATE(B75, ""en"", ""hi"")"),"1995 में स्थापित खो-खो विकास कोष का ऐतिहासिक महत्व क्या था?")</f>
        <v>1995 में स्थापित खो-खो विकास कोष का ऐतिहासिक महत्व क्या था?</v>
      </c>
      <c r="H75" s="5" t="str">
        <f>IFERROR(__xludf.DUMMYFUNCTION("GOOGLETRANSLATE(C75, ""en"", ""hi"")"),"A) अंतर्राष्ट्रीय टूर्नामेंटों को बढ़ावा देना, B) जमीनी स्तर पर विकास का समर्थन करना, C) मैदान के आयामों को मानकीकृत करना, D) नई तकनीक का परिचय देना")</f>
        <v>A) अंतर्राष्ट्रीय टूर्नामेंटों को बढ़ावा देना, B) जमीनी स्तर पर विकास का समर्थन करना, C) मैदान के आयामों को मानकीकृत करना, D) नई तकनीक का परिचय देना</v>
      </c>
      <c r="I75" s="5" t="str">
        <f>IFERROR(__xludf.DUMMYFUNCTION("GOOGLETRANSLATE(D75, ""en"", ""hi"")"),"बी) जमीनी स्तर पर विकास का समर्थन करना")</f>
        <v>बी) जमीनी स्तर पर विकास का समर्थन करना</v>
      </c>
    </row>
    <row r="76" ht="22.5" customHeight="1">
      <c r="A76" s="7">
        <v>75.0</v>
      </c>
      <c r="B76" s="8" t="s">
        <v>1909</v>
      </c>
      <c r="C76" s="8" t="s">
        <v>1857</v>
      </c>
      <c r="D76" s="8" t="s">
        <v>543</v>
      </c>
      <c r="F76" s="5" t="str">
        <f>IFERROR(__xludf.DUMMYFUNCTION("GOOGLETRANSLATE(A76, ""en"", ""hi"")"),"75")</f>
        <v>75</v>
      </c>
      <c r="G76" s="5" t="str">
        <f>IFERROR(__xludf.DUMMYFUNCTION("GOOGLETRANSLATE(B76, ""en"", ""hi"")"),"1988 में पहली खो-खो एशियाई चैम्पियनशिप का आयोजन किस शहर में हुआ था?")</f>
        <v>1988 में पहली खो-खो एशियाई चैम्पियनशिप का आयोजन किस शहर में हुआ था?</v>
      </c>
      <c r="H76" s="5" t="str">
        <f>IFERROR(__xludf.DUMMYFUNCTION("GOOGLETRANSLATE(C76, ""en"", ""hi"")"),"ए) दिल्ली, बी) मुंबई, सी) कोलकाता, डी) बैंगलोर")</f>
        <v>ए) दिल्ली, बी) मुंबई, सी) कोलकाता, डी) बैंगलोर</v>
      </c>
      <c r="I76" s="5" t="str">
        <f>IFERROR(__xludf.DUMMYFUNCTION("GOOGLETRANSLATE(D76, ""en"", ""hi"")"),"ए) दिल्ली")</f>
        <v>ए) दिल्ली</v>
      </c>
    </row>
    <row r="77" ht="22.5" customHeight="1">
      <c r="A77" s="7">
        <v>76.0</v>
      </c>
      <c r="B77" s="8" t="s">
        <v>1987</v>
      </c>
      <c r="C77" s="8" t="s">
        <v>1988</v>
      </c>
      <c r="D77" s="8" t="s">
        <v>1953</v>
      </c>
      <c r="F77" s="5" t="str">
        <f>IFERROR(__xludf.DUMMYFUNCTION("GOOGLETRANSLATE(A77, ""en"", ""hi"")"),"76")</f>
        <v>76</v>
      </c>
      <c r="G77" s="5" t="str">
        <f>IFERROR(__xludf.DUMMYFUNCTION("GOOGLETRANSLATE(B77, ""en"", ""hi"")"),"2010 में आयोजित खो-खो विश्व कप का मुख्य आयोजक कौन था?")</f>
        <v>2010 में आयोजित खो-खो विश्व कप का मुख्य आयोजक कौन था?</v>
      </c>
      <c r="H77" s="5" t="str">
        <f>IFERROR(__xludf.DUMMYFUNCTION("GOOGLETRANSLATE(C77, ""en"", ""hi"")"),"A) वी.के. जोशी, B) एच.पी. सिंह, C) एम.के. शर्मा, D) आर.एस. कुमार")</f>
        <v>A) वी.के. जोशी, B) एच.पी. सिंह, C) एम.के. शर्मा, D) आर.एस. कुमार</v>
      </c>
      <c r="I77" s="5" t="str">
        <f>IFERROR(__xludf.DUMMYFUNCTION("GOOGLETRANSLATE(D77, ""en"", ""hi"")"),"बी) एच.पी. सिंह")</f>
        <v>बी) एच.पी. सिंह</v>
      </c>
    </row>
    <row r="78" ht="22.5" customHeight="1">
      <c r="A78" s="7">
        <v>77.0</v>
      </c>
      <c r="B78" s="8" t="s">
        <v>1989</v>
      </c>
      <c r="C78" s="8" t="s">
        <v>1990</v>
      </c>
      <c r="D78" s="8" t="s">
        <v>1991</v>
      </c>
      <c r="F78" s="5" t="str">
        <f>IFERROR(__xludf.DUMMYFUNCTION("GOOGLETRANSLATE(A78, ""en"", ""hi"")"),"77")</f>
        <v>77</v>
      </c>
      <c r="G78" s="5" t="str">
        <f>IFERROR(__xludf.DUMMYFUNCTION("GOOGLETRANSLATE(B78, ""en"", ""hi"")"),"1987 में खो-खो के नियमों में क्या बड़ा बदलाव किया गया?")</f>
        <v>1987 में खो-खो के नियमों में क्या बड़ा बदलाव किया गया?</v>
      </c>
      <c r="H78" s="5" t="str">
        <f>IFERROR(__xludf.DUMMYFUNCTION("GOOGLETRANSLATE(C78, ""en"", ""hi"")"),"ए) इलेक्ट्रॉनिक स्कोरिंग की शुरुआत, बी) खो-खो विश्व कप की स्थापना, सी) एशियाई खो-खो महासंघ का गठन, डी) मैदान की सीमाओं में संशोधन")</f>
        <v>ए) इलेक्ट्रॉनिक स्कोरिंग की शुरुआत, बी) खो-खो विश्व कप की स्थापना, सी) एशियाई खो-खो महासंघ का गठन, डी) मैदान की सीमाओं में संशोधन</v>
      </c>
      <c r="I78" s="5" t="str">
        <f>IFERROR(__xludf.DUMMYFUNCTION("GOOGLETRANSLATE(D78, ""en"", ""hi"")"),"बी) खो-खो विश्व कप की स्थापना")</f>
        <v>बी) खो-खो विश्व कप की स्थापना</v>
      </c>
    </row>
    <row r="79" ht="22.5" customHeight="1">
      <c r="A79" s="7">
        <v>78.0</v>
      </c>
      <c r="B79" s="8" t="s">
        <v>1922</v>
      </c>
      <c r="C79" s="8" t="s">
        <v>271</v>
      </c>
      <c r="D79" s="8" t="s">
        <v>66</v>
      </c>
      <c r="F79" s="5" t="str">
        <f>IFERROR(__xludf.DUMMYFUNCTION("GOOGLETRANSLATE(A79, ""en"", ""hi"")"),"78")</f>
        <v>78</v>
      </c>
      <c r="G79" s="5" t="str">
        <f>IFERROR(__xludf.DUMMYFUNCTION("GOOGLETRANSLATE(B79, ""en"", ""hi"")"),"1980 के दशक में अंतर्राष्ट्रीय खो-खो टूर्नामेंट की मेजबानी करने वाला पहला भारतीय राज्य कौन सा था?")</f>
        <v>1980 के दशक में अंतर्राष्ट्रीय खो-खो टूर्नामेंट की मेजबानी करने वाला पहला भारतीय राज्य कौन सा था?</v>
      </c>
      <c r="H79" s="5" t="str">
        <f>IFERROR(__xludf.DUMMYFUNCTION("GOOGLETRANSLATE(C79, ""en"", ""hi"")"),"ए) पंजाब, बी) हरियाणा, सी) महाराष्ट्र, डी) उत्तर प्रदेश")</f>
        <v>ए) पंजाब, बी) हरियाणा, सी) महाराष्ट्र, डी) उत्तर प्रदेश</v>
      </c>
      <c r="I79" s="5" t="str">
        <f>IFERROR(__xludf.DUMMYFUNCTION("GOOGLETRANSLATE(D79, ""en"", ""hi"")"),"A) पंजाब")</f>
        <v>A) पंजाब</v>
      </c>
    </row>
    <row r="80" ht="22.5" customHeight="1">
      <c r="A80" s="7">
        <v>79.0</v>
      </c>
      <c r="B80" s="8" t="s">
        <v>1932</v>
      </c>
      <c r="C80" s="8" t="s">
        <v>1992</v>
      </c>
      <c r="D80" s="8" t="s">
        <v>1993</v>
      </c>
      <c r="F80" s="5" t="str">
        <f>IFERROR(__xludf.DUMMYFUNCTION("GOOGLETRANSLATE(A80, ""en"", ""hi"")"),"79")</f>
        <v>79</v>
      </c>
      <c r="G80" s="5" t="str">
        <f>IFERROR(__xludf.DUMMYFUNCTION("GOOGLETRANSLATE(B80, ""en"", ""hi"")"),"खो-खो पहली बार एशियाई खेलों में किस वर्ष शामिल हुआ?")</f>
        <v>खो-खो पहली बार एशियाई खेलों में किस वर्ष शामिल हुआ?</v>
      </c>
      <c r="H80" s="5" t="str">
        <f>IFERROR(__xludf.DUMMYFUNCTION("GOOGLETRANSLATE(C80, ""en"", ""hi"")"),"ए) 1990, बी) 1994, सी) 1998, डी) 2002")</f>
        <v>ए) 1990, बी) 1994, सी) 1998, डी) 2002</v>
      </c>
      <c r="I80" s="5" t="str">
        <f>IFERROR(__xludf.DUMMYFUNCTION("GOOGLETRANSLATE(D80, ""en"", ""hi"")"),"ए) 1990")</f>
        <v>ए) 1990</v>
      </c>
    </row>
    <row r="81" ht="22.5" customHeight="1">
      <c r="A81" s="7">
        <v>80.0</v>
      </c>
      <c r="B81" s="8" t="s">
        <v>1913</v>
      </c>
      <c r="C81" s="8" t="s">
        <v>1966</v>
      </c>
      <c r="D81" s="8" t="s">
        <v>1915</v>
      </c>
      <c r="F81" s="5" t="str">
        <f>IFERROR(__xludf.DUMMYFUNCTION("GOOGLETRANSLATE(A81, ""en"", ""hi"")"),"80")</f>
        <v>80</v>
      </c>
      <c r="G81" s="5" t="str">
        <f>IFERROR(__xludf.DUMMYFUNCTION("GOOGLETRANSLATE(B81, ""en"", ""hi"")"),"भारतीय खेल हॉल ऑफ फेम में शामिल होने वाले पहले खो-खो खिलाड़ी कौन थे?")</f>
        <v>भारतीय खेल हॉल ऑफ फेम में शामिल होने वाले पहले खो-खो खिलाड़ी कौन थे?</v>
      </c>
      <c r="H81" s="5" t="str">
        <f>IFERROR(__xludf.DUMMYFUNCTION("GOOGLETRANSLATE(C81, ""en"", ""hi"")"),"A) एच.पी. सिंह, B) आर.एस. कुमार, C) एम.के. शर्मा, D) एस.पी. सिंह")</f>
        <v>A) एच.पी. सिंह, B) आर.एस. कुमार, C) एम.के. शर्मा, D) एस.पी. सिंह</v>
      </c>
      <c r="I81" s="5" t="str">
        <f>IFERROR(__xludf.DUMMYFUNCTION("GOOGLETRANSLATE(D81, ""en"", ""hi"")"),"ए) एच.पी. सिंह")</f>
        <v>ए) एच.पी. सिंह</v>
      </c>
    </row>
    <row r="82" ht="22.5" customHeight="1">
      <c r="A82" s="7">
        <v>81.0</v>
      </c>
      <c r="B82" s="8" t="s">
        <v>1994</v>
      </c>
      <c r="C82" s="8" t="s">
        <v>1995</v>
      </c>
      <c r="D82" s="8" t="s">
        <v>1996</v>
      </c>
      <c r="F82" s="5" t="str">
        <f>IFERROR(__xludf.DUMMYFUNCTION("GOOGLETRANSLATE(A82, ""en"", ""hi"")"),"81")</f>
        <v>81</v>
      </c>
      <c r="G82" s="5" t="str">
        <f>IFERROR(__xludf.DUMMYFUNCTION("GOOGLETRANSLATE(B82, ""en"", ""hi"")"),"1982 में आयोजित खो-खो विश्व कप का प्राथमिक उद्देश्य क्या था?")</f>
        <v>1982 में आयोजित खो-खो विश्व कप का प्राथमिक उद्देश्य क्या था?</v>
      </c>
      <c r="H82" s="5" t="str">
        <f>IFERROR(__xludf.DUMMYFUNCTION("GOOGLETRANSLATE(C82, ""en"", ""hi"")"),"A) अंतर्राष्ट्रीय प्रतिस्पर्धा को बढ़ाना, B) नियमों को मानकीकृत करना, C) जमीनी स्तर पर प्रशिक्षण को बढ़ावा देना, D) नए खेल मैदान स्थापित करना")</f>
        <v>A) अंतर्राष्ट्रीय प्रतिस्पर्धा को बढ़ाना, B) नियमों को मानकीकृत करना, C) जमीनी स्तर पर प्रशिक्षण को बढ़ावा देना, D) नए खेल मैदान स्थापित करना</v>
      </c>
      <c r="I82" s="5" t="str">
        <f>IFERROR(__xludf.DUMMYFUNCTION("GOOGLETRANSLATE(D82, ""en"", ""hi"")"),"A) अंतर्राष्ट्रीय प्रतिस्पर्धा को बढ़ाने के लिए")</f>
        <v>A) अंतर्राष्ट्रीय प्रतिस्पर्धा को बढ़ाने के लिए</v>
      </c>
    </row>
    <row r="83" ht="22.5" customHeight="1">
      <c r="A83" s="7">
        <v>82.0</v>
      </c>
      <c r="B83" s="8" t="s">
        <v>1997</v>
      </c>
      <c r="C83" s="8" t="s">
        <v>1998</v>
      </c>
      <c r="D83" s="8" t="s">
        <v>77</v>
      </c>
      <c r="F83" s="5" t="str">
        <f>IFERROR(__xludf.DUMMYFUNCTION("GOOGLETRANSLATE(A83, ""en"", ""hi"")"),"82")</f>
        <v>82</v>
      </c>
      <c r="G83" s="5" t="str">
        <f>IFERROR(__xludf.DUMMYFUNCTION("GOOGLETRANSLATE(B83, ""en"", ""hi"")"),"2010 में खो-खो विश्व कप की मेजबानी किस शहर ने की थी?")</f>
        <v>2010 में खो-खो विश्व कप की मेजबानी किस शहर ने की थी?</v>
      </c>
      <c r="H83" s="5" t="str">
        <f>IFERROR(__xludf.DUMMYFUNCTION("GOOGLETRANSLATE(C83, ""en"", ""hi"")"),"ए) दिल्ली, बी) मुंबई, सी) बैंगलोर, डी) कोलकाता")</f>
        <v>ए) दिल्ली, बी) मुंबई, सी) बैंगलोर, डी) कोलकाता</v>
      </c>
      <c r="I83" s="5" t="str">
        <f>IFERROR(__xludf.DUMMYFUNCTION("GOOGLETRANSLATE(D83, ""en"", ""hi"")"),"बी) मुंबई")</f>
        <v>बी) मुंबई</v>
      </c>
    </row>
    <row r="84" ht="22.5" customHeight="1">
      <c r="A84" s="7">
        <v>83.0</v>
      </c>
      <c r="B84" s="8" t="s">
        <v>1936</v>
      </c>
      <c r="C84" s="8" t="s">
        <v>1999</v>
      </c>
      <c r="D84" s="8" t="s">
        <v>1892</v>
      </c>
      <c r="F84" s="5" t="str">
        <f>IFERROR(__xludf.DUMMYFUNCTION("GOOGLETRANSLATE(A84, ""en"", ""hi"")"),"83")</f>
        <v>83</v>
      </c>
      <c r="G84" s="5" t="str">
        <f>IFERROR(__xludf.DUMMYFUNCTION("GOOGLETRANSLATE(B84, ""en"", ""hi"")"),"2010 में शुरू किये गए खो-खो विकास कार्यक्रम का मुख्य फोकस क्या था?")</f>
        <v>2010 में शुरू किये गए खो-खो विकास कार्यक्रम का मुख्य फोकस क्या था?</v>
      </c>
      <c r="H84" s="5" t="str">
        <f>IFERROR(__xludf.DUMMYFUNCTION("GOOGLETRANSLATE(C84, ""en"", ""hi"")"),"A) अंतर्राष्ट्रीय प्रतिस्पर्धा को बढ़ाने के लिए, B) जमीनी स्तर पर विकास का समर्थन करने के लिए, C) क्षेत्र के आयामों को मानकीकृत करने के लिए, D) नई तकनीक को पेश करने के लिए")</f>
        <v>A) अंतर्राष्ट्रीय प्रतिस्पर्धा को बढ़ाने के लिए, B) जमीनी स्तर पर विकास का समर्थन करने के लिए, C) क्षेत्र के आयामों को मानकीकृत करने के लिए, D) नई तकनीक को पेश करने के लिए</v>
      </c>
      <c r="I84" s="5" t="str">
        <f>IFERROR(__xludf.DUMMYFUNCTION("GOOGLETRANSLATE(D84, ""en"", ""hi"")"),"बी) जमीनी स्तर पर विकास का समर्थन करना")</f>
        <v>बी) जमीनी स्तर पर विकास का समर्थन करना</v>
      </c>
    </row>
    <row r="85" ht="22.5" customHeight="1">
      <c r="A85" s="7">
        <v>84.0</v>
      </c>
      <c r="B85" s="8" t="s">
        <v>2000</v>
      </c>
      <c r="C85" s="8" t="s">
        <v>2001</v>
      </c>
      <c r="D85" s="8" t="s">
        <v>2002</v>
      </c>
      <c r="F85" s="5" t="str">
        <f>IFERROR(__xludf.DUMMYFUNCTION("GOOGLETRANSLATE(A85, ""en"", ""hi"")"),"84")</f>
        <v>84</v>
      </c>
      <c r="G85" s="5" t="str">
        <f>IFERROR(__xludf.DUMMYFUNCTION("GOOGLETRANSLATE(B85, ""en"", ""hi"")"),"खो-खो लीग की शुरुआत किस वर्ष हुई?")</f>
        <v>खो-खो लीग की शुरुआत किस वर्ष हुई?</v>
      </c>
      <c r="H85" s="5" t="str">
        <f>IFERROR(__xludf.DUMMYFUNCTION("GOOGLETRANSLATE(C85, ""en"", ""hi"")"),"ए) 2000, बी) 2005, सी) 2010, डी) 2015")</f>
        <v>ए) 2000, बी) 2005, सी) 2010, डी) 2015</v>
      </c>
      <c r="I85" s="5" t="str">
        <f>IFERROR(__xludf.DUMMYFUNCTION("GOOGLETRANSLATE(D85, ""en"", ""hi"")"),"सी) 2010")</f>
        <v>सी) 2010</v>
      </c>
    </row>
    <row r="86" ht="22.5" customHeight="1">
      <c r="A86" s="7">
        <v>85.0</v>
      </c>
      <c r="B86" s="8" t="s">
        <v>1884</v>
      </c>
      <c r="C86" s="8" t="s">
        <v>1885</v>
      </c>
      <c r="D86" s="8" t="s">
        <v>1886</v>
      </c>
      <c r="F86" s="5" t="str">
        <f>IFERROR(__xludf.DUMMYFUNCTION("GOOGLETRANSLATE(A86, ""en"", ""hi"")"),"85")</f>
        <v>85</v>
      </c>
      <c r="G86" s="5" t="str">
        <f>IFERROR(__xludf.DUMMYFUNCTION("GOOGLETRANSLATE(B86, ""en"", ""hi"")"),"अर्जुन पुरस्कार प्राप्त करने वाली पहली महिला खो-खो खिलाड़ी कौन थी?")</f>
        <v>अर्जुन पुरस्कार प्राप्त करने वाली पहली महिला खो-खो खिलाड़ी कौन थी?</v>
      </c>
      <c r="H86" s="5" t="str">
        <f>IFERROR(__xludf.DUMMYFUNCTION("GOOGLETRANSLATE(C86, ""en"", ""hi"")"),"A) पी.के. शर्मा, B) ए.आर. सुंदर, C) आर.एन. राव, D) एस. सिंह")</f>
        <v>A) पी.के. शर्मा, B) ए.आर. सुंदर, C) आर.एन. राव, D) एस. सिंह</v>
      </c>
      <c r="I86" s="5" t="str">
        <f>IFERROR(__xludf.DUMMYFUNCTION("GOOGLETRANSLATE(D86, ""en"", ""hi"")"),"D) एस. सिंह")</f>
        <v>D) एस. सिंह</v>
      </c>
    </row>
    <row r="87" ht="22.5" customHeight="1">
      <c r="A87" s="7">
        <v>86.0</v>
      </c>
      <c r="B87" s="8" t="s">
        <v>2003</v>
      </c>
      <c r="C87" s="8" t="s">
        <v>1888</v>
      </c>
      <c r="D87" s="8" t="s">
        <v>1889</v>
      </c>
      <c r="F87" s="5" t="str">
        <f>IFERROR(__xludf.DUMMYFUNCTION("GOOGLETRANSLATE(A87, ""en"", ""hi"")"),"86")</f>
        <v>86</v>
      </c>
      <c r="G87" s="5" t="str">
        <f>IFERROR(__xludf.DUMMYFUNCTION("GOOGLETRANSLATE(B87, ""en"", ""hi"")"),"कौन सा शहर 2000 के दशक के प्रारंभ से राष्ट्रीय खो-खो चैंपियनशिप की मेजबानी के लिए जाना जाता है?")</f>
        <v>कौन सा शहर 2000 के दशक के प्रारंभ से राष्ट्रीय खो-खो चैंपियनशिप की मेजबानी के लिए जाना जाता है?</v>
      </c>
      <c r="H87" s="5" t="str">
        <f>IFERROR(__xludf.DUMMYFUNCTION("GOOGLETRANSLATE(C87, ""en"", ""hi"")"),"A) मुंबई, B) दिल्ली, C) पुणे, D) बैंगलोर")</f>
        <v>A) मुंबई, B) दिल्ली, C) पुणे, D) बैंगलोर</v>
      </c>
      <c r="I87" s="5" t="str">
        <f>IFERROR(__xludf.DUMMYFUNCTION("GOOGLETRANSLATE(D87, ""en"", ""hi"")"),"C) पुणे")</f>
        <v>C) पुणे</v>
      </c>
    </row>
    <row r="88" ht="22.5" customHeight="1">
      <c r="A88" s="7">
        <v>87.0</v>
      </c>
      <c r="B88" s="8" t="s">
        <v>2004</v>
      </c>
      <c r="C88" s="8" t="s">
        <v>2005</v>
      </c>
      <c r="D88" s="8" t="s">
        <v>1927</v>
      </c>
      <c r="F88" s="5" t="str">
        <f>IFERROR(__xludf.DUMMYFUNCTION("GOOGLETRANSLATE(A88, ""en"", ""hi"")"),"87")</f>
        <v>87</v>
      </c>
      <c r="G88" s="5" t="str">
        <f>IFERROR(__xludf.DUMMYFUNCTION("GOOGLETRANSLATE(B88, ""en"", ""hi"")"),"1998 में खो-खो में कौन सा प्रमुख नियम परिवर्तन किया गया?")</f>
        <v>1998 में खो-खो में कौन सा प्रमुख नियम परिवर्तन किया गया?</v>
      </c>
      <c r="H88" s="5" t="str">
        <f>IFERROR(__xludf.DUMMYFUNCTION("GOOGLETRANSLATE(C88, ""en"", ""hi"")"),"ए) नए पदों को जोड़ना, बी) इलेक्ट्रॉनिक स्कोरिंग सिस्टम की शुरूआत, सी) टैगिंग नियमों में संशोधन, डी) क्षेत्र आयामों का मानकीकरण")</f>
        <v>ए) नए पदों को जोड़ना, बी) इलेक्ट्रॉनिक स्कोरिंग सिस्टम की शुरूआत, सी) टैगिंग नियमों में संशोधन, डी) क्षेत्र आयामों का मानकीकरण</v>
      </c>
      <c r="I88" s="5" t="str">
        <f>IFERROR(__xludf.DUMMYFUNCTION("GOOGLETRANSLATE(D88, ""en"", ""hi"")"),"C) टैगिंग नियमों में संशोधन")</f>
        <v>C) टैगिंग नियमों में संशोधन</v>
      </c>
    </row>
    <row r="89" ht="22.5" customHeight="1">
      <c r="A89" s="7">
        <v>88.0</v>
      </c>
      <c r="B89" s="8" t="s">
        <v>2006</v>
      </c>
      <c r="C89" s="8" t="s">
        <v>249</v>
      </c>
      <c r="D89" s="8" t="s">
        <v>150</v>
      </c>
      <c r="F89" s="5" t="str">
        <f>IFERROR(__xludf.DUMMYFUNCTION("GOOGLETRANSLATE(A89, ""en"", ""hi"")"),"88")</f>
        <v>88</v>
      </c>
      <c r="G89" s="5" t="str">
        <f>IFERROR(__xludf.DUMMYFUNCTION("GOOGLETRANSLATE(B89, ""en"", ""hi"")"),"1990 के दशक के प्रारंभ में खो-खो अकादमी की मेजबानी करने वाला पहला भारतीय राज्य कौन सा था?")</f>
        <v>1990 के दशक के प्रारंभ में खो-खो अकादमी की मेजबानी करने वाला पहला भारतीय राज्य कौन सा था?</v>
      </c>
      <c r="H89" s="5" t="str">
        <f>IFERROR(__xludf.DUMMYFUNCTION("GOOGLETRANSLATE(C89, ""en"", ""hi"")"),"ए) हरियाणा, बी) पंजाब, सी) महाराष्ट्र, डी) उत्तर प्रदेश")</f>
        <v>ए) हरियाणा, बी) पंजाब, सी) महाराष्ट्र, डी) उत्तर प्रदेश</v>
      </c>
      <c r="I89" s="5" t="str">
        <f>IFERROR(__xludf.DUMMYFUNCTION("GOOGLETRANSLATE(D89, ""en"", ""hi"")"),"A) हरियाणा")</f>
        <v>A) हरियाणा</v>
      </c>
    </row>
    <row r="90" ht="22.5" customHeight="1">
      <c r="A90" s="7">
        <v>89.0</v>
      </c>
      <c r="B90" s="8" t="s">
        <v>2007</v>
      </c>
      <c r="C90" s="8" t="s">
        <v>1964</v>
      </c>
      <c r="D90" s="8" t="s">
        <v>1927</v>
      </c>
      <c r="F90" s="5" t="str">
        <f>IFERROR(__xludf.DUMMYFUNCTION("GOOGLETRANSLATE(A90, ""en"", ""hi"")"),"89")</f>
        <v>89</v>
      </c>
      <c r="G90" s="5" t="str">
        <f>IFERROR(__xludf.DUMMYFUNCTION("GOOGLETRANSLATE(B90, ""en"", ""hi"")"),"2005 में खो-खो में कौन सा महत्वपूर्ण नियम परिवर्तन किया गया?")</f>
        <v>2005 में खो-खो में कौन सा महत्वपूर्ण नियम परिवर्तन किया गया?</v>
      </c>
      <c r="H90" s="5" t="str">
        <f>IFERROR(__xludf.DUMMYFUNCTION("GOOGLETRANSLATE(C90, ""en"", ""hi"")"),"ए) नए पदों को जोड़ना, बी) खेल अवधि का मानकीकरण, सी) टैगिंग नियमों में संशोधन, डी) वीडियो समीक्षा की शुरूआत")</f>
        <v>ए) नए पदों को जोड़ना, बी) खेल अवधि का मानकीकरण, सी) टैगिंग नियमों में संशोधन, डी) वीडियो समीक्षा की शुरूआत</v>
      </c>
      <c r="I90" s="5" t="str">
        <f>IFERROR(__xludf.DUMMYFUNCTION("GOOGLETRANSLATE(D90, ""en"", ""hi"")"),"C) टैगिंग नियमों में संशोधन")</f>
        <v>C) टैगिंग नियमों में संशोधन</v>
      </c>
    </row>
    <row r="91" ht="22.5" customHeight="1">
      <c r="A91" s="7">
        <v>90.0</v>
      </c>
      <c r="B91" s="8" t="s">
        <v>2008</v>
      </c>
      <c r="C91" s="8" t="s">
        <v>1992</v>
      </c>
      <c r="D91" s="8" t="s">
        <v>1993</v>
      </c>
      <c r="F91" s="5" t="str">
        <f>IFERROR(__xludf.DUMMYFUNCTION("GOOGLETRANSLATE(A91, ""en"", ""hi"")"),"90")</f>
        <v>90</v>
      </c>
      <c r="G91" s="5" t="str">
        <f>IFERROR(__xludf.DUMMYFUNCTION("GOOGLETRANSLATE(B91, ""en"", ""hi"")"),"खो-खो पहली बार दक्षिण एशियाई खेलों में किस वर्ष शामिल हुआ?")</f>
        <v>खो-खो पहली बार दक्षिण एशियाई खेलों में किस वर्ष शामिल हुआ?</v>
      </c>
      <c r="H91" s="5" t="str">
        <f>IFERROR(__xludf.DUMMYFUNCTION("GOOGLETRANSLATE(C91, ""en"", ""hi"")"),"ए) 1990, बी) 1994, सी) 1998, डी) 2002")</f>
        <v>ए) 1990, बी) 1994, सी) 1998, डी) 2002</v>
      </c>
      <c r="I91" s="5" t="str">
        <f>IFERROR(__xludf.DUMMYFUNCTION("GOOGLETRANSLATE(D91, ""en"", ""hi"")"),"ए) 1990")</f>
        <v>ए) 1990</v>
      </c>
    </row>
    <row r="92" ht="22.5" customHeight="1">
      <c r="A92" s="7">
        <v>91.0</v>
      </c>
      <c r="B92" s="8" t="s">
        <v>2009</v>
      </c>
      <c r="C92" s="8" t="s">
        <v>1986</v>
      </c>
      <c r="D92" s="8" t="s">
        <v>1892</v>
      </c>
      <c r="F92" s="5" t="str">
        <f>IFERROR(__xludf.DUMMYFUNCTION("GOOGLETRANSLATE(A92, ""en"", ""hi"")"),"91")</f>
        <v>91</v>
      </c>
      <c r="G92" s="5" t="str">
        <f>IFERROR(__xludf.DUMMYFUNCTION("GOOGLETRANSLATE(B92, ""en"", ""hi"")"),"1995 में स्थापित खो-खो विकास कोष का प्राथमिक फोकस क्या था?")</f>
        <v>1995 में स्थापित खो-खो विकास कोष का प्राथमिक फोकस क्या था?</v>
      </c>
      <c r="H92" s="5" t="str">
        <f>IFERROR(__xludf.DUMMYFUNCTION("GOOGLETRANSLATE(C92, ""en"", ""hi"")"),"A) अंतर्राष्ट्रीय टूर्नामेंटों को बढ़ावा देना, B) जमीनी स्तर पर विकास का समर्थन करना, C) मैदान के आयामों को मानकीकृत करना, D) नई तकनीक का परिचय देना")</f>
        <v>A) अंतर्राष्ट्रीय टूर्नामेंटों को बढ़ावा देना, B) जमीनी स्तर पर विकास का समर्थन करना, C) मैदान के आयामों को मानकीकृत करना, D) नई तकनीक का परिचय देना</v>
      </c>
      <c r="I92" s="5" t="str">
        <f>IFERROR(__xludf.DUMMYFUNCTION("GOOGLETRANSLATE(D92, ""en"", ""hi"")"),"बी) जमीनी स्तर पर विकास का समर्थन करना")</f>
        <v>बी) जमीनी स्तर पर विकास का समर्थन करना</v>
      </c>
    </row>
    <row r="93" ht="22.5" customHeight="1">
      <c r="A93" s="7">
        <v>92.0</v>
      </c>
      <c r="B93" s="8" t="s">
        <v>2010</v>
      </c>
      <c r="C93" s="8" t="s">
        <v>2011</v>
      </c>
      <c r="D93" s="8" t="s">
        <v>2012</v>
      </c>
      <c r="F93" s="5" t="str">
        <f>IFERROR(__xludf.DUMMYFUNCTION("GOOGLETRANSLATE(A93, ""en"", ""hi"")"),"92")</f>
        <v>92</v>
      </c>
      <c r="G93" s="5" t="str">
        <f>IFERROR(__xludf.DUMMYFUNCTION("GOOGLETRANSLATE(B93, ""en"", ""hi"")"),"भारतीय खो-खो महासंघ के संस्थापक कौन थे?")</f>
        <v>भारतीय खो-खो महासंघ के संस्थापक कौन थे?</v>
      </c>
      <c r="H93" s="5" t="str">
        <f>IFERROR(__xludf.DUMMYFUNCTION("GOOGLETRANSLATE(C93, ""en"", ""hi"")"),"A) आर. कुमार, B) एच.पी. सिंह, C) वी.के. जोशी, D) एम.के. शर्मा")</f>
        <v>A) आर. कुमार, B) एच.पी. सिंह, C) वी.के. जोशी, D) एम.के. शर्मा</v>
      </c>
      <c r="I93" s="5" t="str">
        <f>IFERROR(__xludf.DUMMYFUNCTION("GOOGLETRANSLATE(D93, ""en"", ""hi"")"),"C) वी.के. जोशी")</f>
        <v>C) वी.के. जोशी</v>
      </c>
    </row>
    <row r="94" ht="22.5" customHeight="1">
      <c r="A94" s="7">
        <v>93.0</v>
      </c>
      <c r="B94" s="8" t="s">
        <v>2013</v>
      </c>
      <c r="C94" s="8" t="s">
        <v>1955</v>
      </c>
      <c r="D94" s="8" t="s">
        <v>814</v>
      </c>
      <c r="F94" s="5" t="str">
        <f>IFERROR(__xludf.DUMMYFUNCTION("GOOGLETRANSLATE(A94, ""en"", ""hi"")"),"93")</f>
        <v>93</v>
      </c>
      <c r="G94" s="5" t="str">
        <f>IFERROR(__xludf.DUMMYFUNCTION("GOOGLETRANSLATE(B94, ""en"", ""hi"")"),"दक्षिण एशियाई महासंघ खेलों में खो-खो की शुरुआत किस वर्ष हुई?")</f>
        <v>दक्षिण एशियाई महासंघ खेलों में खो-खो की शुरुआत किस वर्ष हुई?</v>
      </c>
      <c r="H94" s="5" t="str">
        <f>IFERROR(__xludf.DUMMYFUNCTION("GOOGLETRANSLATE(C94, ""en"", ""hi"")"),"ए) 1986, बी) 1990, सी) 1994, डी) 1998")</f>
        <v>ए) 1986, बी) 1990, सी) 1994, डी) 1998</v>
      </c>
      <c r="I94" s="5" t="str">
        <f>IFERROR(__xludf.DUMMYFUNCTION("GOOGLETRANSLATE(D94, ""en"", ""hi"")"),"बी) 1990")</f>
        <v>बी) 1990</v>
      </c>
    </row>
    <row r="95" ht="22.5" customHeight="1">
      <c r="A95" s="7">
        <v>94.0</v>
      </c>
      <c r="B95" s="8" t="s">
        <v>2014</v>
      </c>
      <c r="C95" s="8" t="s">
        <v>1923</v>
      </c>
      <c r="D95" s="8" t="s">
        <v>603</v>
      </c>
      <c r="F95" s="5" t="str">
        <f>IFERROR(__xludf.DUMMYFUNCTION("GOOGLETRANSLATE(A95, ""en"", ""hi"")"),"94")</f>
        <v>94</v>
      </c>
      <c r="G95" s="5" t="str">
        <f>IFERROR(__xludf.DUMMYFUNCTION("GOOGLETRANSLATE(B95, ""en"", ""hi"")"),"कौन सा भारतीय राज्य 1980 के दशक से खो-खो प्रशिक्षण कार्यक्रमों में अग्रणी होने के लिए जाना जाता है?")</f>
        <v>कौन सा भारतीय राज्य 1980 के दशक से खो-खो प्रशिक्षण कार्यक्रमों में अग्रणी होने के लिए जाना जाता है?</v>
      </c>
      <c r="H95" s="5" t="str">
        <f>IFERROR(__xludf.DUMMYFUNCTION("GOOGLETRANSLATE(C95, ""en"", ""hi"")"),"ए) महाराष्ट्र, बी) हरियाणा, सी) पंजाब, डी) उत्तर प्रदेश")</f>
        <v>ए) महाराष्ट्र, बी) हरियाणा, सी) पंजाब, डी) उत्तर प्रदेश</v>
      </c>
      <c r="I95" s="5" t="str">
        <f>IFERROR(__xludf.DUMMYFUNCTION("GOOGLETRANSLATE(D95, ""en"", ""hi"")"),"बी) हरियाणा")</f>
        <v>बी) हरियाणा</v>
      </c>
    </row>
    <row r="96" ht="22.5" customHeight="1">
      <c r="A96" s="7">
        <v>95.0</v>
      </c>
      <c r="B96" s="8" t="s">
        <v>1987</v>
      </c>
      <c r="C96" s="8" t="s">
        <v>1988</v>
      </c>
      <c r="D96" s="8" t="s">
        <v>1953</v>
      </c>
      <c r="F96" s="5" t="str">
        <f>IFERROR(__xludf.DUMMYFUNCTION("GOOGLETRANSLATE(A96, ""en"", ""hi"")"),"95")</f>
        <v>95</v>
      </c>
      <c r="G96" s="5" t="str">
        <f>IFERROR(__xludf.DUMMYFUNCTION("GOOGLETRANSLATE(B96, ""en"", ""hi"")"),"2010 में आयोजित खो-खो विश्व कप का मुख्य आयोजक कौन था?")</f>
        <v>2010 में आयोजित खो-खो विश्व कप का मुख्य आयोजक कौन था?</v>
      </c>
      <c r="H96" s="5" t="str">
        <f>IFERROR(__xludf.DUMMYFUNCTION("GOOGLETRANSLATE(C96, ""en"", ""hi"")"),"A) वी.के. जोशी, B) एच.पी. सिंह, C) एम.के. शर्मा, D) आर.एस. कुमार")</f>
        <v>A) वी.के. जोशी, B) एच.पी. सिंह, C) एम.के. शर्मा, D) आर.एस. कुमार</v>
      </c>
      <c r="I96" s="5" t="str">
        <f>IFERROR(__xludf.DUMMYFUNCTION("GOOGLETRANSLATE(D96, ""en"", ""hi"")"),"बी) एच.पी. सिंह")</f>
        <v>बी) एच.पी. सिंह</v>
      </c>
    </row>
    <row r="97" ht="22.5" customHeight="1">
      <c r="A97" s="7">
        <v>96.0</v>
      </c>
      <c r="B97" s="8" t="s">
        <v>2015</v>
      </c>
      <c r="C97" s="8" t="s">
        <v>828</v>
      </c>
      <c r="D97" s="8" t="s">
        <v>2016</v>
      </c>
      <c r="F97" s="5" t="str">
        <f>IFERROR(__xludf.DUMMYFUNCTION("GOOGLETRANSLATE(A97, ""en"", ""hi"")"),"96")</f>
        <v>96</v>
      </c>
      <c r="G97" s="5" t="str">
        <f>IFERROR(__xludf.DUMMYFUNCTION("GOOGLETRANSLATE(B97, ""en"", ""hi"")"),"खो-खो राष्ट्रीय लीग की शुरुआत किस वर्ष हुई?")</f>
        <v>खो-खो राष्ट्रीय लीग की शुरुआत किस वर्ष हुई?</v>
      </c>
      <c r="H97" s="5" t="str">
        <f>IFERROR(__xludf.DUMMYFUNCTION("GOOGLETRANSLATE(C97, ""en"", ""hi"")"),"ए) 1995, बी) 2000, सी) 2005, डी) 2010")</f>
        <v>ए) 1995, बी) 2000, सी) 2005, डी) 2010</v>
      </c>
      <c r="I97" s="5" t="str">
        <f>IFERROR(__xludf.DUMMYFUNCTION("GOOGLETRANSLATE(D97, ""en"", ""hi"")"),"ए) 1995")</f>
        <v>ए) 1995</v>
      </c>
    </row>
    <row r="98" ht="22.5" customHeight="1">
      <c r="A98" s="7">
        <v>97.0</v>
      </c>
      <c r="B98" s="8" t="s">
        <v>2017</v>
      </c>
      <c r="C98" s="8" t="s">
        <v>1999</v>
      </c>
      <c r="D98" s="8" t="s">
        <v>1892</v>
      </c>
      <c r="F98" s="5" t="str">
        <f>IFERROR(__xludf.DUMMYFUNCTION("GOOGLETRANSLATE(A98, ""en"", ""hi"")"),"97")</f>
        <v>97</v>
      </c>
      <c r="G98" s="5" t="str">
        <f>IFERROR(__xludf.DUMMYFUNCTION("GOOGLETRANSLATE(B98, ""en"", ""hi"")"),"2010 में शुरू किए गए खो-खो विकास कार्यक्रम का प्राथमिक फोकस क्या था?")</f>
        <v>2010 में शुरू किए गए खो-खो विकास कार्यक्रम का प्राथमिक फोकस क्या था?</v>
      </c>
      <c r="H98" s="5" t="str">
        <f>IFERROR(__xludf.DUMMYFUNCTION("GOOGLETRANSLATE(C98, ""en"", ""hi"")"),"A) अंतर्राष्ट्रीय प्रतिस्पर्धा को बढ़ाने के लिए, B) जमीनी स्तर पर विकास का समर्थन करने के लिए, C) क्षेत्र के आयामों को मानकीकृत करने के लिए, D) नई तकनीक को पेश करने के लिए")</f>
        <v>A) अंतर्राष्ट्रीय प्रतिस्पर्धा को बढ़ाने के लिए, B) जमीनी स्तर पर विकास का समर्थन करने के लिए, C) क्षेत्र के आयामों को मानकीकृत करने के लिए, D) नई तकनीक को पेश करने के लिए</v>
      </c>
      <c r="I98" s="5" t="str">
        <f>IFERROR(__xludf.DUMMYFUNCTION("GOOGLETRANSLATE(D98, ""en"", ""hi"")"),"बी) जमीनी स्तर पर विकास का समर्थन करना")</f>
        <v>बी) जमीनी स्तर पर विकास का समर्थन करना</v>
      </c>
    </row>
    <row r="99" ht="22.5" customHeight="1">
      <c r="A99" s="7">
        <v>98.0</v>
      </c>
      <c r="B99" s="8" t="s">
        <v>2018</v>
      </c>
      <c r="C99" s="8" t="s">
        <v>1935</v>
      </c>
      <c r="D99" s="8" t="s">
        <v>549</v>
      </c>
      <c r="F99" s="5" t="str">
        <f>IFERROR(__xludf.DUMMYFUNCTION("GOOGLETRANSLATE(A99, ""en"", ""hi"")"),"98")</f>
        <v>98</v>
      </c>
      <c r="G99" s="5" t="str">
        <f>IFERROR(__xludf.DUMMYFUNCTION("GOOGLETRANSLATE(B99, ""en"", ""hi"")"),"1986 में खो-खो विश्व कप की मेजबानी किस शहर ने की थी?")</f>
        <v>1986 में खो-खो विश्व कप की मेजबानी किस शहर ने की थी?</v>
      </c>
      <c r="H99" s="5" t="str">
        <f>IFERROR(__xludf.DUMMYFUNCTION("GOOGLETRANSLATE(C99, ""en"", ""hi"")"),"ए) मुंबई, बी) दिल्ली, सी) बैंगलोर, डी) कोलकाता")</f>
        <v>ए) मुंबई, बी) दिल्ली, सी) बैंगलोर, डी) कोलकाता</v>
      </c>
      <c r="I99" s="5" t="str">
        <f>IFERROR(__xludf.DUMMYFUNCTION("GOOGLETRANSLATE(D99, ""en"", ""hi"")"),"ए) मुंबई")</f>
        <v>ए) मुंबई</v>
      </c>
    </row>
    <row r="100" ht="22.5" customHeight="1">
      <c r="A100" s="7">
        <v>99.0</v>
      </c>
      <c r="B100" s="8" t="s">
        <v>2019</v>
      </c>
      <c r="C100" s="8" t="s">
        <v>2020</v>
      </c>
      <c r="D100" s="8" t="s">
        <v>378</v>
      </c>
      <c r="F100" s="5" t="str">
        <f>IFERROR(__xludf.DUMMYFUNCTION("GOOGLETRANSLATE(A100, ""en"", ""hi"")"),"99")</f>
        <v>99</v>
      </c>
      <c r="G100" s="5" t="str">
        <f>IFERROR(__xludf.DUMMYFUNCTION("GOOGLETRANSLATE(B100, ""en"", ""hi"")"),"पहला खो-खो विश्व कप किस वर्ष आयोजित किया गया था?")</f>
        <v>पहला खो-खो विश्व कप किस वर्ष आयोजित किया गया था?</v>
      </c>
      <c r="H100" s="5" t="str">
        <f>IFERROR(__xludf.DUMMYFUNCTION("GOOGLETRANSLATE(C100, ""en"", ""hi"")"),"ए) 1982, बी) 1984, सी) 1986, डी) 1988")</f>
        <v>ए) 1982, बी) 1984, सी) 1986, डी) 1988</v>
      </c>
      <c r="I100" s="5" t="str">
        <f>IFERROR(__xludf.DUMMYFUNCTION("GOOGLETRANSLATE(D100, ""en"", ""hi"")"),"ए) 1982")</f>
        <v>ए) 1982</v>
      </c>
    </row>
    <row r="101" ht="22.5" customHeight="1">
      <c r="A101" s="7">
        <v>100.0</v>
      </c>
      <c r="B101" s="8" t="s">
        <v>2021</v>
      </c>
      <c r="C101" s="8" t="s">
        <v>1966</v>
      </c>
      <c r="D101" s="8" t="s">
        <v>1915</v>
      </c>
      <c r="F101" s="5" t="str">
        <f>IFERROR(__xludf.DUMMYFUNCTION("GOOGLETRANSLATE(A101, ""en"", ""hi"")"),"100")</f>
        <v>100</v>
      </c>
      <c r="G101" s="5" t="str">
        <f>IFERROR(__xludf.DUMMYFUNCTION("GOOGLETRANSLATE(B101, ""en"", ""hi"")"),"पद्म भूषण पुरस्कार प्राप्त करने वाले पहले खो-खो खिलाड़ी कौन थे?")</f>
        <v>पद्म भूषण पुरस्कार प्राप्त करने वाले पहले खो-खो खिलाड़ी कौन थे?</v>
      </c>
      <c r="H101" s="5" t="str">
        <f>IFERROR(__xludf.DUMMYFUNCTION("GOOGLETRANSLATE(C101, ""en"", ""hi"")"),"A) एच.पी. सिंह, B) आर.एस. कुमार, C) एम.के. शर्मा, D) एस.पी. सिंह")</f>
        <v>A) एच.पी. सिंह, B) आर.एस. कुमार, C) एम.के. शर्मा, D) एस.पी. सिंह</v>
      </c>
      <c r="I101" s="5" t="str">
        <f>IFERROR(__xludf.DUMMYFUNCTION("GOOGLETRANSLATE(D101, ""en"", ""hi"")"),"ए) एच.पी. सिंह")</f>
        <v>ए) एच.पी. सिंह</v>
      </c>
    </row>
    <row r="102" ht="22.5" customHeight="1">
      <c r="A102" s="7">
        <v>101.0</v>
      </c>
      <c r="B102" s="8" t="s">
        <v>2022</v>
      </c>
      <c r="C102" s="8" t="s">
        <v>2023</v>
      </c>
      <c r="D102" s="8" t="s">
        <v>1877</v>
      </c>
      <c r="F102" s="5" t="str">
        <f>IFERROR(__xludf.DUMMYFUNCTION("GOOGLETRANSLATE(A102, ""en"", ""hi"")"),"101")</f>
        <v>101</v>
      </c>
      <c r="G102" s="5" t="str">
        <f>IFERROR(__xludf.DUMMYFUNCTION("GOOGLETRANSLATE(B102, ""en"", ""hi"")"),"1980 के दशक में खो-खो अकादमी स्थापित करने वाला पहला भारतीय राज्य कौन सा था?")</f>
        <v>1980 के दशक में खो-खो अकादमी स्थापित करने वाला पहला भारतीय राज्य कौन सा था?</v>
      </c>
      <c r="H102" s="5" t="str">
        <f>IFERROR(__xludf.DUMMYFUNCTION("GOOGLETRANSLATE(C102, ""en"", ""hi"")"),"ए) पंजाब, बी) महाराष्ट्र, सी) हरियाणा, डी) उत्तर प्रदेश")</f>
        <v>ए) पंजाब, बी) महाराष्ट्र, सी) हरियाणा, डी) उत्तर प्रदेश</v>
      </c>
      <c r="I102" s="5" t="str">
        <f>IFERROR(__xludf.DUMMYFUNCTION("GOOGLETRANSLATE(D102, ""en"", ""hi"")"),"C) हरियाणा")</f>
        <v>C) हरियाणा</v>
      </c>
    </row>
    <row r="103" ht="22.5" customHeight="1">
      <c r="A103" s="7">
        <v>102.0</v>
      </c>
      <c r="B103" s="8" t="s">
        <v>1913</v>
      </c>
      <c r="C103" s="8" t="s">
        <v>1984</v>
      </c>
      <c r="D103" s="8" t="s">
        <v>1915</v>
      </c>
      <c r="F103" s="5" t="str">
        <f>IFERROR(__xludf.DUMMYFUNCTION("GOOGLETRANSLATE(A103, ""en"", ""hi"")"),"102")</f>
        <v>102</v>
      </c>
      <c r="G103" s="5" t="str">
        <f>IFERROR(__xludf.DUMMYFUNCTION("GOOGLETRANSLATE(B103, ""en"", ""hi"")"),"भारतीय खेल हॉल ऑफ फेम में शामिल होने वाले पहले खो-खो खिलाड़ी कौन थे?")</f>
        <v>भारतीय खेल हॉल ऑफ फेम में शामिल होने वाले पहले खो-खो खिलाड़ी कौन थे?</v>
      </c>
      <c r="H103" s="5" t="str">
        <f>IFERROR(__xludf.DUMMYFUNCTION("GOOGLETRANSLATE(C103, ""en"", ""hi"")"),"A) एच.पी. सिंह, B) एम.के. शर्मा, C) आर.एस. कुमार, D) एस.पी. सिंह")</f>
        <v>A) एच.पी. सिंह, B) एम.के. शर्मा, C) आर.एस. कुमार, D) एस.पी. सिंह</v>
      </c>
      <c r="I103" s="5" t="str">
        <f>IFERROR(__xludf.DUMMYFUNCTION("GOOGLETRANSLATE(D103, ""en"", ""hi"")"),"ए) एच.पी. सिंह")</f>
        <v>ए) एच.पी. सिंह</v>
      </c>
    </row>
    <row r="104" ht="22.5" customHeight="1">
      <c r="A104" s="7">
        <v>103.0</v>
      </c>
      <c r="B104" s="8" t="s">
        <v>2024</v>
      </c>
      <c r="C104" s="8" t="s">
        <v>2025</v>
      </c>
      <c r="D104" s="8" t="s">
        <v>1927</v>
      </c>
      <c r="F104" s="5" t="str">
        <f>IFERROR(__xludf.DUMMYFUNCTION("GOOGLETRANSLATE(A104, ""en"", ""hi"")"),"103")</f>
        <v>103</v>
      </c>
      <c r="G104" s="5" t="str">
        <f>IFERROR(__xludf.DUMMYFUNCTION("GOOGLETRANSLATE(B104, ""en"", ""hi"")"),"1998 में खो-खो के नियमों में क्या महत्वपूर्ण परिवर्तन हुआ?")</f>
        <v>1998 में खो-खो के नियमों में क्या महत्वपूर्ण परिवर्तन हुआ?</v>
      </c>
      <c r="H104" s="5" t="str">
        <f>IFERROR(__xludf.DUMMYFUNCTION("GOOGLETRANSLATE(C104, ""en"", ""hi"")"),"ए) इलेक्ट्रॉनिक स्कोरिंग की शुरूआत, बी) खेल अवधि का मानकीकरण, सी) टैगिंग नियमों में संशोधन, डी) नए क्षेत्र आयामों की स्थापना")</f>
        <v>ए) इलेक्ट्रॉनिक स्कोरिंग की शुरूआत, बी) खेल अवधि का मानकीकरण, सी) टैगिंग नियमों में संशोधन, डी) नए क्षेत्र आयामों की स्थापना</v>
      </c>
      <c r="I104" s="5" t="str">
        <f>IFERROR(__xludf.DUMMYFUNCTION("GOOGLETRANSLATE(D104, ""en"", ""hi"")"),"C) टैगिंग नियमों में संशोधन")</f>
        <v>C) टैगिंग नियमों में संशोधन</v>
      </c>
    </row>
    <row r="105" ht="22.5" customHeight="1">
      <c r="A105" s="7">
        <v>104.0</v>
      </c>
      <c r="B105" s="8" t="s">
        <v>2026</v>
      </c>
      <c r="C105" s="8" t="s">
        <v>1988</v>
      </c>
      <c r="D105" s="8" t="s">
        <v>1974</v>
      </c>
      <c r="F105" s="5" t="str">
        <f>IFERROR(__xludf.DUMMYFUNCTION("GOOGLETRANSLATE(A105, ""en"", ""hi"")"),"104")</f>
        <v>104</v>
      </c>
      <c r="G105" s="5" t="str">
        <f>IFERROR(__xludf.DUMMYFUNCTION("GOOGLETRANSLATE(B105, ""en"", ""hi"")"),"1998 में खो-खो विश्व कप का मुख्य आयोजक कौन था?")</f>
        <v>1998 में खो-खो विश्व कप का मुख्य आयोजक कौन था?</v>
      </c>
      <c r="H105" s="5" t="str">
        <f>IFERROR(__xludf.DUMMYFUNCTION("GOOGLETRANSLATE(C105, ""en"", ""hi"")"),"A) वी.के. जोशी, B) एच.पी. सिंह, C) एम.के. शर्मा, D) आर.एस. कुमार")</f>
        <v>A) वी.के. जोशी, B) एच.पी. सिंह, C) एम.के. शर्मा, D) आर.एस. कुमार</v>
      </c>
      <c r="I105" s="5" t="str">
        <f>IFERROR(__xludf.DUMMYFUNCTION("GOOGLETRANSLATE(D105, ""en"", ""hi"")"),"A) वी.के. जोशी")</f>
        <v>A) वी.के. जोशी</v>
      </c>
    </row>
    <row r="106" ht="22.5" customHeight="1">
      <c r="A106" s="7">
        <v>105.0</v>
      </c>
      <c r="B106" s="8" t="s">
        <v>2027</v>
      </c>
      <c r="C106" s="8" t="s">
        <v>2028</v>
      </c>
      <c r="D106" s="8" t="s">
        <v>2029</v>
      </c>
      <c r="F106" s="5" t="str">
        <f>IFERROR(__xludf.DUMMYFUNCTION("GOOGLETRANSLATE(A106, ""en"", ""hi"")"),"105")</f>
        <v>105</v>
      </c>
      <c r="G106" s="5" t="str">
        <f>IFERROR(__xludf.DUMMYFUNCTION("GOOGLETRANSLATE(B106, ""en"", ""hi"")"),"भारतीय स्कूल खेल महासंघ में खो-खो को आधिकारिक खेल के रूप में किस वर्ष शामिल किया गया?")</f>
        <v>भारतीय स्कूल खेल महासंघ में खो-खो को आधिकारिक खेल के रूप में किस वर्ष शामिल किया गया?</v>
      </c>
      <c r="H106" s="5" t="str">
        <f>IFERROR(__xludf.DUMMYFUNCTION("GOOGLETRANSLATE(C106, ""en"", ""hi"")"),"ए) 1975, बी) 1980, सी) 1985, डी) 1990")</f>
        <v>ए) 1975, बी) 1980, सी) 1985, डी) 1990</v>
      </c>
      <c r="I106" s="5" t="str">
        <f>IFERROR(__xludf.DUMMYFUNCTION("GOOGLETRANSLATE(D106, ""en"", ""hi"")"),"ए) 1975")</f>
        <v>ए) 1975</v>
      </c>
    </row>
    <row r="107" ht="22.5" customHeight="1">
      <c r="A107" s="7">
        <v>106.0</v>
      </c>
      <c r="B107" s="8" t="s">
        <v>2030</v>
      </c>
      <c r="C107" s="8" t="s">
        <v>2031</v>
      </c>
      <c r="D107" s="8" t="s">
        <v>77</v>
      </c>
      <c r="F107" s="5" t="str">
        <f>IFERROR(__xludf.DUMMYFUNCTION("GOOGLETRANSLATE(A107, ""en"", ""hi"")"),"106")</f>
        <v>106</v>
      </c>
      <c r="G107" s="5" t="str">
        <f>IFERROR(__xludf.DUMMYFUNCTION("GOOGLETRANSLATE(B107, ""en"", ""hi"")"),"1990 में पहली खो-खो राष्ट्रीय चैम्पियनशिप की मेजबानी किस शहर ने की थी?")</f>
        <v>1990 में पहली खो-खो राष्ट्रीय चैम्पियनशिप की मेजबानी किस शहर ने की थी?</v>
      </c>
      <c r="H107" s="5" t="str">
        <f>IFERROR(__xludf.DUMMYFUNCTION("GOOGLETRANSLATE(C107, ""en"", ""hi"")"),"A) दिल्ली, B) मुंबई, C) बैंगलोर, D) पुणे")</f>
        <v>A) दिल्ली, B) मुंबई, C) बैंगलोर, D) पुणे</v>
      </c>
      <c r="I107" s="5" t="str">
        <f>IFERROR(__xludf.DUMMYFUNCTION("GOOGLETRANSLATE(D107, ""en"", ""hi"")"),"बी) मुंबई")</f>
        <v>बी) मुंबई</v>
      </c>
    </row>
    <row r="108" ht="22.5" customHeight="1">
      <c r="A108" s="7">
        <v>107.0</v>
      </c>
      <c r="B108" s="8" t="s">
        <v>2032</v>
      </c>
      <c r="C108" s="8" t="s">
        <v>2033</v>
      </c>
      <c r="D108" s="8" t="s">
        <v>1892</v>
      </c>
      <c r="F108" s="5" t="str">
        <f>IFERROR(__xludf.DUMMYFUNCTION("GOOGLETRANSLATE(A108, ""en"", ""hi"")"),"107")</f>
        <v>107</v>
      </c>
      <c r="G108" s="5" t="str">
        <f>IFERROR(__xludf.DUMMYFUNCTION("GOOGLETRANSLATE(B108, ""en"", ""hi"")"),"1995 में स्थापित खो-खो विकास कोष का मुख्य उद्देश्य क्या था?")</f>
        <v>1995 में स्थापित खो-खो विकास कोष का मुख्य उद्देश्य क्या था?</v>
      </c>
      <c r="H108" s="5" t="str">
        <f>IFERROR(__xludf.DUMMYFUNCTION("GOOGLETRANSLATE(C108, ""en"", ""hi"")"),"A) अंतर्राष्ट्रीय टूर्नामेंटों को बढ़ावा देना, B) जमीनी स्तर पर विकास का समर्थन करना, C) नए क्षेत्र आयाम स्थापित करना, D) नई तकनीक पेश करना")</f>
        <v>A) अंतर्राष्ट्रीय टूर्नामेंटों को बढ़ावा देना, B) जमीनी स्तर पर विकास का समर्थन करना, C) नए क्षेत्र आयाम स्थापित करना, D) नई तकनीक पेश करना</v>
      </c>
      <c r="I108" s="5" t="str">
        <f>IFERROR(__xludf.DUMMYFUNCTION("GOOGLETRANSLATE(D108, ""en"", ""hi"")"),"बी) जमीनी स्तर पर विकास का समर्थन करना")</f>
        <v>बी) जमीनी स्तर पर विकास का समर्थन करना</v>
      </c>
    </row>
    <row r="109" ht="22.5" customHeight="1">
      <c r="A109" s="7">
        <v>108.0</v>
      </c>
      <c r="B109" s="8" t="s">
        <v>2034</v>
      </c>
      <c r="C109" s="8" t="s">
        <v>1952</v>
      </c>
      <c r="D109" s="8" t="s">
        <v>1953</v>
      </c>
      <c r="F109" s="5" t="str">
        <f>IFERROR(__xludf.DUMMYFUNCTION("GOOGLETRANSLATE(A109, ""en"", ""hi"")"),"108")</f>
        <v>108</v>
      </c>
      <c r="G109" s="5" t="str">
        <f>IFERROR(__xludf.DUMMYFUNCTION("GOOGLETRANSLATE(B109, ""en"", ""hi"")"),"2002 में आयोजित खो-खो विश्व कप में अग्रणी स्कोरर कौन था?")</f>
        <v>2002 में आयोजित खो-खो विश्व कप में अग्रणी स्कोरर कौन था?</v>
      </c>
      <c r="H109" s="5" t="str">
        <f>IFERROR(__xludf.DUMMYFUNCTION("GOOGLETRANSLATE(C109, ""en"", ""hi"")"),"A) एम.के. शर्मा, B) एच.पी. सिंह, C) एस.पी. सिंह, D) आर.एस. कुमार")</f>
        <v>A) एम.के. शर्मा, B) एच.पी. सिंह, C) एस.पी. सिंह, D) आर.एस. कुमार</v>
      </c>
      <c r="I109" s="5" t="str">
        <f>IFERROR(__xludf.DUMMYFUNCTION("GOOGLETRANSLATE(D109, ""en"", ""hi"")"),"बी) एच.पी. सिंह")</f>
        <v>बी) एच.पी. सिंह</v>
      </c>
    </row>
    <row r="110" ht="22.5" customHeight="1">
      <c r="A110" s="7">
        <v>109.0</v>
      </c>
      <c r="B110" s="8" t="s">
        <v>1932</v>
      </c>
      <c r="C110" s="8" t="s">
        <v>2035</v>
      </c>
      <c r="D110" s="8" t="s">
        <v>1855</v>
      </c>
      <c r="F110" s="5" t="str">
        <f>IFERROR(__xludf.DUMMYFUNCTION("GOOGLETRANSLATE(A110, ""en"", ""hi"")"),"109")</f>
        <v>109</v>
      </c>
      <c r="G110" s="5" t="str">
        <f>IFERROR(__xludf.DUMMYFUNCTION("GOOGLETRANSLATE(B110, ""en"", ""hi"")"),"खो-खो पहली बार एशियाई खेलों में किस वर्ष शामिल हुआ?")</f>
        <v>खो-खो पहली बार एशियाई खेलों में किस वर्ष शामिल हुआ?</v>
      </c>
      <c r="H110" s="5" t="str">
        <f>IFERROR(__xludf.DUMMYFUNCTION("GOOGLETRANSLATE(C110, ""en"", ""hi"")"),"ए) 1982, बी) 1986, सी) 1990, डी) 1994")</f>
        <v>ए) 1982, बी) 1986, सी) 1990, डी) 1994</v>
      </c>
      <c r="I110" s="5" t="str">
        <f>IFERROR(__xludf.DUMMYFUNCTION("GOOGLETRANSLATE(D110, ""en"", ""hi"")"),"सी) 1990")</f>
        <v>सी) 1990</v>
      </c>
    </row>
    <row r="111" ht="22.5" customHeight="1">
      <c r="A111" s="7">
        <v>110.0</v>
      </c>
      <c r="B111" s="8" t="s">
        <v>2036</v>
      </c>
      <c r="C111" s="8" t="s">
        <v>271</v>
      </c>
      <c r="D111" s="8" t="s">
        <v>66</v>
      </c>
      <c r="F111" s="5" t="str">
        <f>IFERROR(__xludf.DUMMYFUNCTION("GOOGLETRANSLATE(A111, ""en"", ""hi"")"),"110")</f>
        <v>110</v>
      </c>
      <c r="G111" s="5" t="str">
        <f>IFERROR(__xludf.DUMMYFUNCTION("GOOGLETRANSLATE(B111, ""en"", ""hi"")"),"कौन सा भारतीय राज्य अंतर्राष्ट्रीय खो-खो टूर्नामेंट की मेजबानी करने वाला पहला राज्य था?")</f>
        <v>कौन सा भारतीय राज्य अंतर्राष्ट्रीय खो-खो टूर्नामेंट की मेजबानी करने वाला पहला राज्य था?</v>
      </c>
      <c r="H111" s="5" t="str">
        <f>IFERROR(__xludf.DUMMYFUNCTION("GOOGLETRANSLATE(C111, ""en"", ""hi"")"),"ए) पंजाब, बी) हरियाणा, सी) महाराष्ट्र, डी) उत्तर प्रदेश")</f>
        <v>ए) पंजाब, बी) हरियाणा, सी) महाराष्ट्र, डी) उत्तर प्रदेश</v>
      </c>
      <c r="I111" s="5" t="str">
        <f>IFERROR(__xludf.DUMMYFUNCTION("GOOGLETRANSLATE(D111, ""en"", ""hi"")"),"A) पंजाब")</f>
        <v>A) पंजाब</v>
      </c>
    </row>
    <row r="112" ht="22.5" customHeight="1">
      <c r="A112" s="7">
        <v>111.0</v>
      </c>
      <c r="B112" s="8" t="s">
        <v>2037</v>
      </c>
      <c r="C112" s="8" t="s">
        <v>1988</v>
      </c>
      <c r="D112" s="8" t="s">
        <v>1953</v>
      </c>
      <c r="F112" s="5" t="str">
        <f>IFERROR(__xludf.DUMMYFUNCTION("GOOGLETRANSLATE(A112, ""en"", ""hi"")"),"111")</f>
        <v>111</v>
      </c>
      <c r="G112" s="5" t="str">
        <f>IFERROR(__xludf.DUMMYFUNCTION("GOOGLETRANSLATE(B112, ""en"", ""hi"")"),"1990 में आयोजित खो-खो एशियाई चैम्पियनशिप के मुख्य आयोजक कौन थे?")</f>
        <v>1990 में आयोजित खो-खो एशियाई चैम्पियनशिप के मुख्य आयोजक कौन थे?</v>
      </c>
      <c r="H112" s="5" t="str">
        <f>IFERROR(__xludf.DUMMYFUNCTION("GOOGLETRANSLATE(C112, ""en"", ""hi"")"),"A) वी.के. जोशी, B) एच.पी. सिंह, C) एम.के. शर्मा, D) आर.एस. कुमार")</f>
        <v>A) वी.के. जोशी, B) एच.पी. सिंह, C) एम.के. शर्मा, D) आर.एस. कुमार</v>
      </c>
      <c r="I112" s="5" t="str">
        <f>IFERROR(__xludf.DUMMYFUNCTION("GOOGLETRANSLATE(D112, ""en"", ""hi"")"),"बी) एच.पी. सिंह")</f>
        <v>बी) एच.पी. सिंह</v>
      </c>
    </row>
    <row r="113" ht="22.5" customHeight="1">
      <c r="A113" s="7">
        <v>112.0</v>
      </c>
      <c r="B113" s="8" t="s">
        <v>2038</v>
      </c>
      <c r="C113" s="8" t="s">
        <v>2039</v>
      </c>
      <c r="D113" s="8" t="s">
        <v>1927</v>
      </c>
      <c r="F113" s="5" t="str">
        <f>IFERROR(__xludf.DUMMYFUNCTION("GOOGLETRANSLATE(A113, ""en"", ""hi"")"),"112")</f>
        <v>112</v>
      </c>
      <c r="G113" s="5" t="str">
        <f>IFERROR(__xludf.DUMMYFUNCTION("GOOGLETRANSLATE(B113, ""en"", ""hi"")"),"2005 में खो-खो में कौन सा प्रमुख नियम परिवर्तन किया गया?")</f>
        <v>2005 में खो-खो में कौन सा प्रमुख नियम परिवर्तन किया गया?</v>
      </c>
      <c r="H113" s="5" t="str">
        <f>IFERROR(__xludf.DUMMYFUNCTION("GOOGLETRANSLATE(C113, ""en"", ""hi"")"),"ए) नए खिलाड़ी पदों को जोड़ना, बी) वीडियो समीक्षा की शुरूआत, सी) टैगिंग नियमों में संशोधन, डी) खेल अवधि का मानकीकरण")</f>
        <v>ए) नए खिलाड़ी पदों को जोड़ना, बी) वीडियो समीक्षा की शुरूआत, सी) टैगिंग नियमों में संशोधन, डी) खेल अवधि का मानकीकरण</v>
      </c>
      <c r="I113" s="5" t="str">
        <f>IFERROR(__xludf.DUMMYFUNCTION("GOOGLETRANSLATE(D113, ""en"", ""hi"")"),"C) टैगिंग नियमों में संशोधन")</f>
        <v>C) टैगिंग नियमों में संशोधन</v>
      </c>
    </row>
    <row r="114" ht="22.5" customHeight="1">
      <c r="A114" s="7">
        <v>113.0</v>
      </c>
      <c r="B114" s="8" t="s">
        <v>2040</v>
      </c>
      <c r="C114" s="8" t="s">
        <v>1923</v>
      </c>
      <c r="D114" s="8" t="s">
        <v>603</v>
      </c>
      <c r="F114" s="5" t="str">
        <f>IFERROR(__xludf.DUMMYFUNCTION("GOOGLETRANSLATE(A114, ""en"", ""hi"")"),"113")</f>
        <v>113</v>
      </c>
      <c r="G114" s="5" t="str">
        <f>IFERROR(__xludf.DUMMYFUNCTION("GOOGLETRANSLATE(B114, ""en"", ""hi"")"),"कौन सा राज्य 1970 के दशक से खो-खो प्रशिक्षण में अपने अग्रणी प्रयासों के लिए जाना जाता है?")</f>
        <v>कौन सा राज्य 1970 के दशक से खो-खो प्रशिक्षण में अपने अग्रणी प्रयासों के लिए जाना जाता है?</v>
      </c>
      <c r="H114" s="5" t="str">
        <f>IFERROR(__xludf.DUMMYFUNCTION("GOOGLETRANSLATE(C114, ""en"", ""hi"")"),"ए) महाराष्ट्र, बी) हरियाणा, सी) पंजाब, डी) उत्तर प्रदेश")</f>
        <v>ए) महाराष्ट्र, बी) हरियाणा, सी) पंजाब, डी) उत्तर प्रदेश</v>
      </c>
      <c r="I114" s="5" t="str">
        <f>IFERROR(__xludf.DUMMYFUNCTION("GOOGLETRANSLATE(D114, ""en"", ""hi"")"),"बी) हरियाणा")</f>
        <v>बी) हरियाणा</v>
      </c>
    </row>
    <row r="115" ht="22.5" customHeight="1">
      <c r="A115" s="7">
        <v>114.0</v>
      </c>
      <c r="B115" s="8" t="s">
        <v>1981</v>
      </c>
      <c r="C115" s="8" t="s">
        <v>2041</v>
      </c>
      <c r="D115" s="8" t="s">
        <v>2042</v>
      </c>
      <c r="F115" s="5" t="str">
        <f>IFERROR(__xludf.DUMMYFUNCTION("GOOGLETRANSLATE(A115, ""en"", ""hi"")"),"114")</f>
        <v>114</v>
      </c>
      <c r="G115" s="5" t="str">
        <f>IFERROR(__xludf.DUMMYFUNCTION("GOOGLETRANSLATE(B115, ""en"", ""hi"")"),"2000 में खो-खो में कौन सा महत्वपूर्ण नियम परिवर्तन किया गया?")</f>
        <v>2000 में खो-खो में कौन सा महत्वपूर्ण नियम परिवर्तन किया गया?</v>
      </c>
      <c r="H115" s="5" t="str">
        <f>IFERROR(__xludf.DUMMYFUNCTION("GOOGLETRANSLATE(C115, ""en"", ""hi"")"),"ए) टैगिंग के लिए समय सीमा का परिचय, बी) क्षेत्र आयामों का मानकीकरण, सी) नई स्कोरिंग प्रणालियों की स्थापना, डी) नए खिलाड़ी पदों को जोड़ना")</f>
        <v>ए) टैगिंग के लिए समय सीमा का परिचय, बी) क्षेत्र आयामों का मानकीकरण, सी) नई स्कोरिंग प्रणालियों की स्थापना, डी) नए खिलाड़ी पदों को जोड़ना</v>
      </c>
      <c r="I115" s="5" t="str">
        <f>IFERROR(__xludf.DUMMYFUNCTION("GOOGLETRANSLATE(D115, ""en"", ""hi"")"),"ए) टैगिंग के लिए समय सीमा का परिचय")</f>
        <v>ए) टैगिंग के लिए समय सीमा का परिचय</v>
      </c>
    </row>
    <row r="116" ht="22.5" customHeight="1">
      <c r="A116" s="7">
        <v>115.0</v>
      </c>
      <c r="B116" s="8" t="s">
        <v>2043</v>
      </c>
      <c r="C116" s="8" t="s">
        <v>1966</v>
      </c>
      <c r="D116" s="8" t="s">
        <v>1915</v>
      </c>
      <c r="F116" s="5" t="str">
        <f>IFERROR(__xludf.DUMMYFUNCTION("GOOGLETRANSLATE(A116, ""en"", ""hi"")"),"115")</f>
        <v>115</v>
      </c>
      <c r="G116" s="5" t="str">
        <f>IFERROR(__xludf.DUMMYFUNCTION("GOOGLETRANSLATE(B116, ""en"", ""hi"")"),"किस भारतीय खिलाड़ी ने 2015 में एकल खो-खो मैच में सर्वाधिक सफल टैग का रिकॉर्ड बनाया?")</f>
        <v>किस भारतीय खिलाड़ी ने 2015 में एकल खो-खो मैच में सर्वाधिक सफल टैग का रिकॉर्ड बनाया?</v>
      </c>
      <c r="H116" s="5" t="str">
        <f>IFERROR(__xludf.DUMMYFUNCTION("GOOGLETRANSLATE(C116, ""en"", ""hi"")"),"A) एच.पी. सिंह, B) आर.एस. कुमार, C) एम.के. शर्मा, D) एस.पी. सिंह")</f>
        <v>A) एच.पी. सिंह, B) आर.एस. कुमार, C) एम.के. शर्मा, D) एस.पी. सिंह</v>
      </c>
      <c r="I116" s="5" t="str">
        <f>IFERROR(__xludf.DUMMYFUNCTION("GOOGLETRANSLATE(D116, ""en"", ""hi"")"),"ए) एच.पी. सिंह")</f>
        <v>ए) एच.पी. सिंह</v>
      </c>
    </row>
    <row r="117" ht="22.5" customHeight="1">
      <c r="A117" s="7">
        <v>116.0</v>
      </c>
      <c r="B117" s="8" t="s">
        <v>2044</v>
      </c>
      <c r="C117" s="8" t="s">
        <v>1998</v>
      </c>
      <c r="D117" s="8" t="s">
        <v>77</v>
      </c>
      <c r="F117" s="5" t="str">
        <f>IFERROR(__xludf.DUMMYFUNCTION("GOOGLETRANSLATE(A117, ""en"", ""hi"")"),"116")</f>
        <v>116</v>
      </c>
      <c r="G117" s="5" t="str">
        <f>IFERROR(__xludf.DUMMYFUNCTION("GOOGLETRANSLATE(B117, ""en"", ""hi"")"),"1982 में खो-खो विश्व कप की मेजबानी किस शहर ने की थी?")</f>
        <v>1982 में खो-खो विश्व कप की मेजबानी किस शहर ने की थी?</v>
      </c>
      <c r="H117" s="5" t="str">
        <f>IFERROR(__xludf.DUMMYFUNCTION("GOOGLETRANSLATE(C117, ""en"", ""hi"")"),"ए) दिल्ली, बी) मुंबई, सी) बैंगलोर, डी) कोलकाता")</f>
        <v>ए) दिल्ली, बी) मुंबई, सी) बैंगलोर, डी) कोलकाता</v>
      </c>
      <c r="I117" s="5" t="str">
        <f>IFERROR(__xludf.DUMMYFUNCTION("GOOGLETRANSLATE(D117, ""en"", ""hi"")"),"बी) मुंबई")</f>
        <v>बी) मुंबई</v>
      </c>
    </row>
    <row r="118" ht="22.5" customHeight="1">
      <c r="A118" s="7">
        <v>117.0</v>
      </c>
      <c r="B118" s="8" t="s">
        <v>2045</v>
      </c>
      <c r="C118" s="8" t="s">
        <v>2046</v>
      </c>
      <c r="D118" s="8" t="s">
        <v>2047</v>
      </c>
      <c r="F118" s="5" t="str">
        <f>IFERROR(__xludf.DUMMYFUNCTION("GOOGLETRANSLATE(A118, ""en"", ""hi"")"),"117")</f>
        <v>117</v>
      </c>
      <c r="G118" s="5" t="str">
        <f>IFERROR(__xludf.DUMMYFUNCTION("GOOGLETRANSLATE(B118, ""en"", ""hi"")"),"राजीव गांधी खेल रत्न पुरस्कार प्राप्त करने वाली पहली महिला खो-खो खिलाड़ी कौन थी?")</f>
        <v>राजीव गांधी खेल रत्न पुरस्कार प्राप्त करने वाली पहली महिला खो-खो खिलाड़ी कौन थी?</v>
      </c>
      <c r="H118" s="5" t="str">
        <f>IFERROR(__xludf.DUMMYFUNCTION("GOOGLETRANSLATE(C118, ""en"", ""hi"")"),"A) एस.पी. सिंह, B) ए.आर. सुंदर, C) पी.के. शर्मा, D) आर.एन. राव")</f>
        <v>A) एस.पी. सिंह, B) ए.आर. सुंदर, C) पी.के. शर्मा, D) आर.एन. राव</v>
      </c>
      <c r="I118" s="5" t="str">
        <f>IFERROR(__xludf.DUMMYFUNCTION("GOOGLETRANSLATE(D118, ""en"", ""hi"")"),"ए) एस.पी. सिंह")</f>
        <v>ए) एस.पी. सिंह</v>
      </c>
    </row>
    <row r="119" ht="22.5" customHeight="1">
      <c r="A119" s="7">
        <v>118.0</v>
      </c>
      <c r="B119" s="8" t="s">
        <v>2048</v>
      </c>
      <c r="C119" s="8" t="s">
        <v>2049</v>
      </c>
      <c r="D119" s="8" t="s">
        <v>1927</v>
      </c>
      <c r="F119" s="5" t="str">
        <f>IFERROR(__xludf.DUMMYFUNCTION("GOOGLETRANSLATE(A119, ""en"", ""hi"")"),"118")</f>
        <v>118</v>
      </c>
      <c r="G119" s="5" t="str">
        <f>IFERROR(__xludf.DUMMYFUNCTION("GOOGLETRANSLATE(B119, ""en"", ""hi"")"),"1990 में खो-खो के नियमों में क्या महत्वपूर्ण परिवर्तन किया गया?")</f>
        <v>1990 में खो-खो के नियमों में क्या महत्वपूर्ण परिवर्तन किया गया?</v>
      </c>
      <c r="H119" s="5" t="str">
        <f>IFERROR(__xludf.DUMMYFUNCTION("GOOGLETRANSLATE(C119, ""en"", ""hi"")"),"ए) नए खिलाड़ी पदों का परिचय, बी) खेल अवधि का मानकीकरण, सी) टैगिंग नियमों में संशोधन, डी) इलेक्ट्रॉनिक स्कोरिंग की स्थापना")</f>
        <v>ए) नए खिलाड़ी पदों का परिचय, बी) खेल अवधि का मानकीकरण, सी) टैगिंग नियमों में संशोधन, डी) इलेक्ट्रॉनिक स्कोरिंग की स्थापना</v>
      </c>
      <c r="I119" s="5" t="str">
        <f>IFERROR(__xludf.DUMMYFUNCTION("GOOGLETRANSLATE(D119, ""en"", ""hi"")"),"C) टैगिंग नियमों में संशोधन")</f>
        <v>C) टैगिंग नियमों में संशोधन</v>
      </c>
    </row>
    <row r="120" ht="22.5" customHeight="1">
      <c r="A120" s="7">
        <v>119.0</v>
      </c>
      <c r="B120" s="8" t="s">
        <v>2050</v>
      </c>
      <c r="C120" s="8" t="s">
        <v>2028</v>
      </c>
      <c r="D120" s="8" t="s">
        <v>2029</v>
      </c>
      <c r="F120" s="5" t="str">
        <f>IFERROR(__xludf.DUMMYFUNCTION("GOOGLETRANSLATE(A120, ""en"", ""hi"")"),"119")</f>
        <v>119</v>
      </c>
      <c r="G120" s="5" t="str">
        <f>IFERROR(__xludf.DUMMYFUNCTION("GOOGLETRANSLATE(B120, ""en"", ""hi"")"),"भारतीय कॉलेज खेल महासंघ के पाठ्यक्रम में खो-खो को किस वर्ष शामिल किया गया?")</f>
        <v>भारतीय कॉलेज खेल महासंघ के पाठ्यक्रम में खो-खो को किस वर्ष शामिल किया गया?</v>
      </c>
      <c r="H120" s="5" t="str">
        <f>IFERROR(__xludf.DUMMYFUNCTION("GOOGLETRANSLATE(C120, ""en"", ""hi"")"),"ए) 1975, बी) 1980, सी) 1985, डी) 1990")</f>
        <v>ए) 1975, बी) 1980, सी) 1985, डी) 1990</v>
      </c>
      <c r="I120" s="5" t="str">
        <f>IFERROR(__xludf.DUMMYFUNCTION("GOOGLETRANSLATE(D120, ""en"", ""hi"")"),"ए) 1975")</f>
        <v>ए) 1975</v>
      </c>
    </row>
    <row r="121" ht="22.5" customHeight="1">
      <c r="A121" s="7">
        <v>120.0</v>
      </c>
      <c r="B121" s="8" t="s">
        <v>2051</v>
      </c>
      <c r="C121" s="8" t="s">
        <v>2052</v>
      </c>
      <c r="D121" s="8" t="s">
        <v>1943</v>
      </c>
      <c r="F121" s="5" t="str">
        <f>IFERROR(__xludf.DUMMYFUNCTION("GOOGLETRANSLATE(A121, ""en"", ""hi"")"),"120")</f>
        <v>120</v>
      </c>
      <c r="G121" s="5" t="str">
        <f>IFERROR(__xludf.DUMMYFUNCTION("GOOGLETRANSLATE(B121, ""en"", ""hi"")"),"2015 में खो-खो में क्या प्रमुख विकास हुआ?")</f>
        <v>2015 में खो-खो में क्या प्रमुख विकास हुआ?</v>
      </c>
      <c r="H121" s="5" t="str">
        <f>IFERROR(__xludf.DUMMYFUNCTION("GOOGLETRANSLATE(C121, ""en"", ""hi"")"),"A) खो-खो लीग की शुरुआत, B) खो-खो विकास निधि की स्थापना, C) पहले खो-खो विश्व कप की मेजबानी, D) नई खेल तकनीक की शुरुआत")</f>
        <v>A) खो-खो लीग की शुरुआत, B) खो-खो विकास निधि की स्थापना, C) पहले खो-खो विश्व कप की मेजबानी, D) नई खेल तकनीक की शुरुआत</v>
      </c>
      <c r="I121" s="5" t="str">
        <f>IFERROR(__xludf.DUMMYFUNCTION("GOOGLETRANSLATE(D121, ""en"", ""hi"")"),"ए) खो-खो लीग की शुरुआत")</f>
        <v>ए) खो-खो लीग की शुरुआत</v>
      </c>
    </row>
    <row r="122" ht="22.5" customHeight="1">
      <c r="A122" s="7">
        <v>121.0</v>
      </c>
      <c r="B122" s="8" t="s">
        <v>2053</v>
      </c>
      <c r="C122" s="8" t="s">
        <v>1960</v>
      </c>
      <c r="D122" s="8" t="s">
        <v>1889</v>
      </c>
      <c r="F122" s="5" t="str">
        <f>IFERROR(__xludf.DUMMYFUNCTION("GOOGLETRANSLATE(A122, ""en"", ""hi"")"),"121")</f>
        <v>121</v>
      </c>
      <c r="G122" s="5" t="str">
        <f>IFERROR(__xludf.DUMMYFUNCTION("GOOGLETRANSLATE(B122, ""en"", ""hi"")"),"1990 के दशक के अंत में राष्ट्रीय खो-खो चैंपियनशिप की मेजबानी के लिए कौन सा शहर जाना जाता था?")</f>
        <v>1990 के दशक के अंत में राष्ट्रीय खो-खो चैंपियनशिप की मेजबानी के लिए कौन सा शहर जाना जाता था?</v>
      </c>
      <c r="H122" s="5" t="str">
        <f>IFERROR(__xludf.DUMMYFUNCTION("GOOGLETRANSLATE(C122, ""en"", ""hi"")"),"A) दिल्ली, B) मुंबई, C) पुणे, D) बैंगलोर")</f>
        <v>A) दिल्ली, B) मुंबई, C) पुणे, D) बैंगलोर</v>
      </c>
      <c r="I122" s="5" t="str">
        <f>IFERROR(__xludf.DUMMYFUNCTION("GOOGLETRANSLATE(D122, ""en"", ""hi"")"),"C) पुणे")</f>
        <v>C) पुणे</v>
      </c>
    </row>
    <row r="123" ht="22.5" customHeight="1">
      <c r="A123" s="7">
        <v>122.0</v>
      </c>
      <c r="B123" s="8" t="s">
        <v>2054</v>
      </c>
      <c r="C123" s="8" t="s">
        <v>2055</v>
      </c>
      <c r="D123" s="8" t="s">
        <v>2056</v>
      </c>
      <c r="F123" s="5" t="str">
        <f>IFERROR(__xludf.DUMMYFUNCTION("GOOGLETRANSLATE(A123, ""en"", ""hi"")"),"122")</f>
        <v>122</v>
      </c>
      <c r="G123" s="5" t="str">
        <f>IFERROR(__xludf.DUMMYFUNCTION("GOOGLETRANSLATE(B123, ""en"", ""hi"")"),"1987 में खो-खो में कौन सा महत्वपूर्ण नियम परिवर्तन किया गया?")</f>
        <v>1987 में खो-खो में कौन सा महत्वपूर्ण नियम परिवर्तन किया गया?</v>
      </c>
      <c r="H123" s="5" t="str">
        <f>IFERROR(__xludf.DUMMYFUNCTION("GOOGLETRANSLATE(C123, ""en"", ""hi"")"),"ए) एशियाई खो-खो महासंघ का गठन, बी) इलेक्ट्रॉनिक स्कोरिंग की शुरुआत, सी) खो-खो विश्व कप की स्थापना, डी) मैदान के आयामों में संशोधन")</f>
        <v>ए) एशियाई खो-खो महासंघ का गठन, बी) इलेक्ट्रॉनिक स्कोरिंग की शुरुआत, सी) खो-खो विश्व कप की स्थापना, डी) मैदान के आयामों में संशोधन</v>
      </c>
      <c r="I123" s="5" t="str">
        <f>IFERROR(__xludf.DUMMYFUNCTION("GOOGLETRANSLATE(D123, ""en"", ""hi"")"),"C) खो-खो विश्व कप की स्थापना")</f>
        <v>C) खो-खो विश्व कप की स्थापना</v>
      </c>
    </row>
    <row r="124" ht="22.5" customHeight="1">
      <c r="A124" s="7">
        <v>123.0</v>
      </c>
      <c r="B124" s="8" t="s">
        <v>2057</v>
      </c>
      <c r="C124" s="8" t="s">
        <v>2058</v>
      </c>
      <c r="D124" s="8" t="s">
        <v>2059</v>
      </c>
      <c r="F124" s="5" t="str">
        <f>IFERROR(__xludf.DUMMYFUNCTION("GOOGLETRANSLATE(A124, ""en"", ""hi"")"),"123")</f>
        <v>123</v>
      </c>
      <c r="G124" s="5" t="str">
        <f>IFERROR(__xludf.DUMMYFUNCTION("GOOGLETRANSLATE(B124, ""en"", ""hi"")"),"खो-खो में उनके योगदान के लिए 2005 में किस भारतीय खिलाड़ी को पद्मश्री से सम्मानित किया गया था?")</f>
        <v>खो-खो में उनके योगदान के लिए 2005 में किस भारतीय खिलाड़ी को पद्मश्री से सम्मानित किया गया था?</v>
      </c>
      <c r="H124" s="5" t="str">
        <f>IFERROR(__xludf.DUMMYFUNCTION("GOOGLETRANSLATE(C124, ""en"", ""hi"")"),"A) एम.के. शर्मा, B) एच.पी. सिंह, C) आर.एस. कुमार, D) एस.पी. सिंह")</f>
        <v>A) एम.के. शर्मा, B) एच.पी. सिंह, C) आर.एस. कुमार, D) एस.पी. सिंह</v>
      </c>
      <c r="I124" s="5" t="str">
        <f>IFERROR(__xludf.DUMMYFUNCTION("GOOGLETRANSLATE(D124, ""en"", ""hi"")"),"D) एस.पी. सिंह")</f>
        <v>D) एस.पी. सिंह</v>
      </c>
    </row>
    <row r="125" ht="22.5" customHeight="1">
      <c r="A125" s="7">
        <v>124.0</v>
      </c>
      <c r="B125" s="8" t="s">
        <v>2060</v>
      </c>
      <c r="C125" s="8" t="s">
        <v>2061</v>
      </c>
      <c r="D125" s="8" t="s">
        <v>1860</v>
      </c>
      <c r="F125" s="5" t="str">
        <f>IFERROR(__xludf.DUMMYFUNCTION("GOOGLETRANSLATE(A125, ""en"", ""hi"")"),"124")</f>
        <v>124</v>
      </c>
      <c r="G125" s="5" t="str">
        <f>IFERROR(__xludf.DUMMYFUNCTION("GOOGLETRANSLATE(B125, ""en"", ""hi"")"),"खो-खो पहली बार भारतीय स्कूल खेल महासंघ में किस वर्ष शामिल हुआ?")</f>
        <v>खो-खो पहली बार भारतीय स्कूल खेल महासंघ में किस वर्ष शामिल हुआ?</v>
      </c>
      <c r="H125" s="5" t="str">
        <f>IFERROR(__xludf.DUMMYFUNCTION("GOOGLETRANSLATE(C125, ""en"", ""hi"")"),"ए) 1970, बी) 1975, सी) 1980, डी) 1985")</f>
        <v>ए) 1970, बी) 1975, सी) 1980, डी) 1985</v>
      </c>
      <c r="I125" s="5" t="str">
        <f>IFERROR(__xludf.DUMMYFUNCTION("GOOGLETRANSLATE(D125, ""en"", ""hi"")"),"बी) 1975")</f>
        <v>बी) 1975</v>
      </c>
    </row>
    <row r="126" ht="22.5" customHeight="1">
      <c r="A126" s="7">
        <v>125.0</v>
      </c>
      <c r="B126" s="8" t="s">
        <v>2062</v>
      </c>
      <c r="C126" s="8" t="s">
        <v>2063</v>
      </c>
      <c r="D126" s="8" t="s">
        <v>2064</v>
      </c>
      <c r="F126" s="5" t="str">
        <f>IFERROR(__xludf.DUMMYFUNCTION("GOOGLETRANSLATE(A126, ""en"", ""hi"")"),"125")</f>
        <v>125</v>
      </c>
      <c r="G126" s="5" t="str">
        <f>IFERROR(__xludf.DUMMYFUNCTION("GOOGLETRANSLATE(B126, ""en"", ""hi"")"),"1995 में स्थापित खो-खो विकास कोष का मुख्य उद्देश्य क्या था?")</f>
        <v>1995 में स्थापित खो-खो विकास कोष का मुख्य उद्देश्य क्या था?</v>
      </c>
      <c r="H126" s="5" t="str">
        <f>IFERROR(__xludf.DUMMYFUNCTION("GOOGLETRANSLATE(C126, ""en"", ""hi"")"),"A) अंतर्राष्ट्रीय टूर्नामेंटों का समर्थन करने के लिए, B) जमीनी स्तर पर विकास को बढ़ावा देने के लिए, C) नई स्कोरिंग प्रणालियों को शुरू करने के लिए, D) मैदान के आयामों को मानकीकृत करने के लिए")</f>
        <v>A) अंतर्राष्ट्रीय टूर्नामेंटों का समर्थन करने के लिए, B) जमीनी स्तर पर विकास को बढ़ावा देने के लिए, C) नई स्कोरिंग प्रणालियों को शुरू करने के लिए, D) मैदान के आयामों को मानकीकृत करने के लिए</v>
      </c>
      <c r="I126" s="5" t="str">
        <f>IFERROR(__xludf.DUMMYFUNCTION("GOOGLETRANSLATE(D126, ""en"", ""hi"")"),"बी) जमीनी स्तर पर विकास को बढ़ावा देना")</f>
        <v>बी) जमीनी स्तर पर विकास को बढ़ावा देना</v>
      </c>
    </row>
    <row r="127" ht="22.5" customHeight="1">
      <c r="A127" s="7">
        <v>126.0</v>
      </c>
      <c r="B127" s="8" t="s">
        <v>2065</v>
      </c>
      <c r="C127" s="8" t="s">
        <v>271</v>
      </c>
      <c r="D127" s="8" t="s">
        <v>66</v>
      </c>
      <c r="F127" s="5" t="str">
        <f>IFERROR(__xludf.DUMMYFUNCTION("GOOGLETRANSLATE(A127, ""en"", ""hi"")"),"126")</f>
        <v>126</v>
      </c>
      <c r="G127" s="5" t="str">
        <f>IFERROR(__xludf.DUMMYFUNCTION("GOOGLETRANSLATE(B127, ""en"", ""hi"")"),"1980 के दशक में किस भारतीय राज्य ने पहली बार अंतर्राष्ट्रीय खो-खो टूर्नामेंट की मेजबानी की थी?")</f>
        <v>1980 के दशक में किस भारतीय राज्य ने पहली बार अंतर्राष्ट्रीय खो-खो टूर्नामेंट की मेजबानी की थी?</v>
      </c>
      <c r="H127" s="5" t="str">
        <f>IFERROR(__xludf.DUMMYFUNCTION("GOOGLETRANSLATE(C127, ""en"", ""hi"")"),"ए) पंजाब, बी) हरियाणा, सी) महाराष्ट्र, डी) उत्तर प्रदेश")</f>
        <v>ए) पंजाब, बी) हरियाणा, सी) महाराष्ट्र, डी) उत्तर प्रदेश</v>
      </c>
      <c r="I127" s="5" t="str">
        <f>IFERROR(__xludf.DUMMYFUNCTION("GOOGLETRANSLATE(D127, ""en"", ""hi"")"),"A) पंजाब")</f>
        <v>A) पंजाब</v>
      </c>
    </row>
    <row r="128" ht="22.5" customHeight="1">
      <c r="A128" s="7">
        <v>127.0</v>
      </c>
      <c r="B128" s="8" t="s">
        <v>1972</v>
      </c>
      <c r="C128" s="8" t="s">
        <v>1988</v>
      </c>
      <c r="D128" s="8" t="s">
        <v>1974</v>
      </c>
      <c r="F128" s="5" t="str">
        <f>IFERROR(__xludf.DUMMYFUNCTION("GOOGLETRANSLATE(A128, ""en"", ""hi"")"),"127")</f>
        <v>127</v>
      </c>
      <c r="G128" s="5" t="str">
        <f>IFERROR(__xludf.DUMMYFUNCTION("GOOGLETRANSLATE(B128, ""en"", ""hi"")"),"2002 में आयोजित खो-खो विश्व कप का मुख्य आयोजक कौन था?")</f>
        <v>2002 में आयोजित खो-खो विश्व कप का मुख्य आयोजक कौन था?</v>
      </c>
      <c r="H128" s="5" t="str">
        <f>IFERROR(__xludf.DUMMYFUNCTION("GOOGLETRANSLATE(C128, ""en"", ""hi"")"),"A) वी.के. जोशी, B) एच.पी. सिंह, C) एम.के. शर्मा, D) आर.एस. कुमार")</f>
        <v>A) वी.के. जोशी, B) एच.पी. सिंह, C) एम.के. शर्मा, D) आर.एस. कुमार</v>
      </c>
      <c r="I128" s="5" t="str">
        <f>IFERROR(__xludf.DUMMYFUNCTION("GOOGLETRANSLATE(D128, ""en"", ""hi"")"),"A) वी.के. जोशी")</f>
        <v>A) वी.के. जोशी</v>
      </c>
    </row>
    <row r="129" ht="22.5" customHeight="1">
      <c r="A129" s="7">
        <v>128.0</v>
      </c>
      <c r="B129" s="8" t="s">
        <v>2066</v>
      </c>
      <c r="C129" s="8" t="s">
        <v>1992</v>
      </c>
      <c r="D129" s="8" t="s">
        <v>1993</v>
      </c>
      <c r="F129" s="5" t="str">
        <f>IFERROR(__xludf.DUMMYFUNCTION("GOOGLETRANSLATE(A129, ""en"", ""hi"")"),"128")</f>
        <v>128</v>
      </c>
      <c r="G129" s="5" t="str">
        <f>IFERROR(__xludf.DUMMYFUNCTION("GOOGLETRANSLATE(B129, ""en"", ""hi"")"),"एशियाई खेलों में खो-खो को किस वर्ष शामिल किया गया?")</f>
        <v>एशियाई खेलों में खो-खो को किस वर्ष शामिल किया गया?</v>
      </c>
      <c r="H129" s="5" t="str">
        <f>IFERROR(__xludf.DUMMYFUNCTION("GOOGLETRANSLATE(C129, ""en"", ""hi"")"),"ए) 1990, बी) 1994, सी) 1998, डी) 2002")</f>
        <v>ए) 1990, बी) 1994, सी) 1998, डी) 2002</v>
      </c>
      <c r="I129" s="5" t="str">
        <f>IFERROR(__xludf.DUMMYFUNCTION("GOOGLETRANSLATE(D129, ""en"", ""hi"")"),"ए) 1990")</f>
        <v>ए) 1990</v>
      </c>
    </row>
    <row r="130" ht="22.5" customHeight="1">
      <c r="A130" s="7">
        <v>129.0</v>
      </c>
      <c r="B130" s="8" t="s">
        <v>2067</v>
      </c>
      <c r="C130" s="8" t="s">
        <v>2068</v>
      </c>
      <c r="D130" s="8" t="s">
        <v>1927</v>
      </c>
      <c r="F130" s="5" t="str">
        <f>IFERROR(__xludf.DUMMYFUNCTION("GOOGLETRANSLATE(A130, ""en"", ""hi"")"),"129")</f>
        <v>129</v>
      </c>
      <c r="G130" s="5" t="str">
        <f>IFERROR(__xludf.DUMMYFUNCTION("GOOGLETRANSLATE(B130, ""en"", ""hi"")"),"वर्ष 1998 में खो-खो में क्या महत्वपूर्ण प्रगति हुई?")</f>
        <v>वर्ष 1998 में खो-खो में क्या महत्वपूर्ण प्रगति हुई?</v>
      </c>
      <c r="H130" s="5" t="str">
        <f>IFERROR(__xludf.DUMMYFUNCTION("GOOGLETRANSLATE(C130, ""en"", ""hi"")"),"ए) खो-खो विश्व कप की स्थापना, बी) नए मैदान आयामों की शुरूआत, सी) टैगिंग नियमों में संशोधन, डी) इलेक्ट्रॉनिक स्कोरिंग सिस्टम की शुरूआत")</f>
        <v>ए) खो-खो विश्व कप की स्थापना, बी) नए मैदान आयामों की शुरूआत, सी) टैगिंग नियमों में संशोधन, डी) इलेक्ट्रॉनिक स्कोरिंग सिस्टम की शुरूआत</v>
      </c>
      <c r="I130" s="5" t="str">
        <f>IFERROR(__xludf.DUMMYFUNCTION("GOOGLETRANSLATE(D130, ""en"", ""hi"")"),"C) टैगिंग नियमों में संशोधन")</f>
        <v>C) टैगिंग नियमों में संशोधन</v>
      </c>
    </row>
    <row r="131" ht="22.5" customHeight="1">
      <c r="A131" s="7">
        <v>130.0</v>
      </c>
      <c r="B131" s="8" t="s">
        <v>1909</v>
      </c>
      <c r="C131" s="8" t="s">
        <v>1857</v>
      </c>
      <c r="D131" s="8" t="s">
        <v>543</v>
      </c>
      <c r="F131" s="5" t="str">
        <f>IFERROR(__xludf.DUMMYFUNCTION("GOOGLETRANSLATE(A131, ""en"", ""hi"")"),"130")</f>
        <v>130</v>
      </c>
      <c r="G131" s="5" t="str">
        <f>IFERROR(__xludf.DUMMYFUNCTION("GOOGLETRANSLATE(B131, ""en"", ""hi"")"),"1988 में पहली खो-खो एशियाई चैम्पियनशिप का आयोजन किस शहर में हुआ था?")</f>
        <v>1988 में पहली खो-खो एशियाई चैम्पियनशिप का आयोजन किस शहर में हुआ था?</v>
      </c>
      <c r="H131" s="5" t="str">
        <f>IFERROR(__xludf.DUMMYFUNCTION("GOOGLETRANSLATE(C131, ""en"", ""hi"")"),"ए) दिल्ली, बी) मुंबई, सी) कोलकाता, डी) बैंगलोर")</f>
        <v>ए) दिल्ली, बी) मुंबई, सी) कोलकाता, डी) बैंगलोर</v>
      </c>
      <c r="I131" s="5" t="str">
        <f>IFERROR(__xludf.DUMMYFUNCTION("GOOGLETRANSLATE(D131, ""en"", ""hi"")"),"ए) दिल्ली")</f>
        <v>ए) दिल्ली</v>
      </c>
    </row>
    <row r="132" ht="22.5" customHeight="1">
      <c r="A132" s="7">
        <v>131.0</v>
      </c>
      <c r="B132" s="8" t="s">
        <v>1951</v>
      </c>
      <c r="C132" s="8" t="s">
        <v>1966</v>
      </c>
      <c r="D132" s="8" t="s">
        <v>1915</v>
      </c>
      <c r="F132" s="5" t="str">
        <f>IFERROR(__xludf.DUMMYFUNCTION("GOOGLETRANSLATE(A132, ""en"", ""hi"")"),"131")</f>
        <v>131</v>
      </c>
      <c r="G132" s="5" t="str">
        <f>IFERROR(__xludf.DUMMYFUNCTION("GOOGLETRANSLATE(B132, ""en"", ""hi"")"),"2010 में आयोजित खो-खो विश्व कप में अग्रणी स्कोरर कौन था?")</f>
        <v>2010 में आयोजित खो-खो विश्व कप में अग्रणी स्कोरर कौन था?</v>
      </c>
      <c r="H132" s="5" t="str">
        <f>IFERROR(__xludf.DUMMYFUNCTION("GOOGLETRANSLATE(C132, ""en"", ""hi"")"),"A) एच.पी. सिंह, B) आर.एस. कुमार, C) एम.के. शर्मा, D) एस.पी. सिंह")</f>
        <v>A) एच.पी. सिंह, B) आर.एस. कुमार, C) एम.के. शर्मा, D) एस.पी. सिंह</v>
      </c>
      <c r="I132" s="5" t="str">
        <f>IFERROR(__xludf.DUMMYFUNCTION("GOOGLETRANSLATE(D132, ""en"", ""hi"")"),"ए) एच.पी. सिंह")</f>
        <v>ए) एच.पी. सिंह</v>
      </c>
    </row>
    <row r="133" ht="22.5" customHeight="1">
      <c r="A133" s="7">
        <v>132.0</v>
      </c>
      <c r="B133" s="8" t="s">
        <v>1936</v>
      </c>
      <c r="C133" s="8" t="s">
        <v>2069</v>
      </c>
      <c r="D133" s="8" t="s">
        <v>2070</v>
      </c>
      <c r="F133" s="5" t="str">
        <f>IFERROR(__xludf.DUMMYFUNCTION("GOOGLETRANSLATE(A133, ""en"", ""hi"")"),"132")</f>
        <v>132</v>
      </c>
      <c r="G133" s="5" t="str">
        <f>IFERROR(__xludf.DUMMYFUNCTION("GOOGLETRANSLATE(B133, ""en"", ""hi"")"),"2010 में शुरू किये गए खो-खो विकास कार्यक्रम का मुख्य फोकस क्या था?")</f>
        <v>2010 में शुरू किये गए खो-खो विकास कार्यक्रम का मुख्य फोकस क्या था?</v>
      </c>
      <c r="H133" s="5" t="str">
        <f>IFERROR(__xludf.DUMMYFUNCTION("GOOGLETRANSLATE(C133, ""en"", ""hi"")"),"A) जमीनी स्तर पर विकास का समर्थन करना, B) अंतर्राष्ट्रीय प्रतिस्पर्धा को बढ़ाना, C) क्षेत्र के आयामों को मानकीकृत करना, D) नई तकनीक को पेश करना")</f>
        <v>A) जमीनी स्तर पर विकास का समर्थन करना, B) अंतर्राष्ट्रीय प्रतिस्पर्धा को बढ़ाना, C) क्षेत्र के आयामों को मानकीकृत करना, D) नई तकनीक को पेश करना</v>
      </c>
      <c r="I133" s="5" t="str">
        <f>IFERROR(__xludf.DUMMYFUNCTION("GOOGLETRANSLATE(D133, ""en"", ""hi"")"),"A) जमीनी स्तर पर विकास का समर्थन करना")</f>
        <v>A) जमीनी स्तर पर विकास का समर्थन करना</v>
      </c>
    </row>
    <row r="134" ht="22.5" customHeight="1">
      <c r="A134" s="7">
        <v>133.0</v>
      </c>
      <c r="B134" s="8" t="s">
        <v>2071</v>
      </c>
      <c r="C134" s="8" t="s">
        <v>1955</v>
      </c>
      <c r="D134" s="8" t="s">
        <v>814</v>
      </c>
      <c r="F134" s="5" t="str">
        <f>IFERROR(__xludf.DUMMYFUNCTION("GOOGLETRANSLATE(A134, ""en"", ""hi"")"),"133")</f>
        <v>133</v>
      </c>
      <c r="G134" s="5" t="str">
        <f>IFERROR(__xludf.DUMMYFUNCTION("GOOGLETRANSLATE(B134, ""en"", ""hi"")"),"खो-खो पहली बार दक्षिण एशियाई खेलों में किस वर्ष शामिल हुआ?")</f>
        <v>खो-खो पहली बार दक्षिण एशियाई खेलों में किस वर्ष शामिल हुआ?</v>
      </c>
      <c r="H134" s="5" t="str">
        <f>IFERROR(__xludf.DUMMYFUNCTION("GOOGLETRANSLATE(C134, ""en"", ""hi"")"),"ए) 1986, बी) 1990, सी) 1994, डी) 1998")</f>
        <v>ए) 1986, बी) 1990, सी) 1994, डी) 1998</v>
      </c>
      <c r="I134" s="5" t="str">
        <f>IFERROR(__xludf.DUMMYFUNCTION("GOOGLETRANSLATE(D134, ""en"", ""hi"")"),"बी) 1990")</f>
        <v>बी) 1990</v>
      </c>
    </row>
    <row r="135" ht="22.5" customHeight="1">
      <c r="A135" s="7">
        <v>134.0</v>
      </c>
      <c r="B135" s="8" t="s">
        <v>2072</v>
      </c>
      <c r="C135" s="8" t="s">
        <v>1998</v>
      </c>
      <c r="D135" s="8" t="s">
        <v>77</v>
      </c>
      <c r="F135" s="5" t="str">
        <f>IFERROR(__xludf.DUMMYFUNCTION("GOOGLETRANSLATE(A135, ""en"", ""hi"")"),"134")</f>
        <v>134</v>
      </c>
      <c r="G135" s="5" t="str">
        <f>IFERROR(__xludf.DUMMYFUNCTION("GOOGLETRANSLATE(B135, ""en"", ""hi"")"),"2005 में खो-खो विश्व कप का आयोजन स्थल कौन सा शहर था?")</f>
        <v>2005 में खो-खो विश्व कप का आयोजन स्थल कौन सा शहर था?</v>
      </c>
      <c r="H135" s="5" t="str">
        <f>IFERROR(__xludf.DUMMYFUNCTION("GOOGLETRANSLATE(C135, ""en"", ""hi"")"),"ए) दिल्ली, बी) मुंबई, सी) बैंगलोर, डी) कोलकाता")</f>
        <v>ए) दिल्ली, बी) मुंबई, सी) बैंगलोर, डी) कोलकाता</v>
      </c>
      <c r="I135" s="5" t="str">
        <f>IFERROR(__xludf.DUMMYFUNCTION("GOOGLETRANSLATE(D135, ""en"", ""hi"")"),"बी) मुंबई")</f>
        <v>बी) मुंबई</v>
      </c>
    </row>
    <row r="136" ht="22.5" customHeight="1">
      <c r="A136" s="7">
        <v>135.0</v>
      </c>
      <c r="B136" s="8" t="s">
        <v>2073</v>
      </c>
      <c r="C136" s="8" t="s">
        <v>2074</v>
      </c>
      <c r="D136" s="8" t="s">
        <v>1927</v>
      </c>
      <c r="F136" s="5" t="str">
        <f>IFERROR(__xludf.DUMMYFUNCTION("GOOGLETRANSLATE(A136, ""en"", ""hi"")"),"135")</f>
        <v>135</v>
      </c>
      <c r="G136" s="5" t="str">
        <f>IFERROR(__xludf.DUMMYFUNCTION("GOOGLETRANSLATE(B136, ""en"", ""hi"")"),"2005 में खो-खो में कौन सा महत्वपूर्ण नियम परिवर्तन किया गया?")</f>
        <v>2005 में खो-खो में कौन सा महत्वपूर्ण नियम परिवर्तन किया गया?</v>
      </c>
      <c r="H136" s="5" t="str">
        <f>IFERROR(__xludf.DUMMYFUNCTION("GOOGLETRANSLATE(C136, ""en"", ""hi"")"),"ए) नए खिलाड़ी पदों को जोड़ना, बी) खेल अवधि का मानकीकरण, सी) टैगिंग नियमों में संशोधन, डी) वीडियो समीक्षा की शुरूआत")</f>
        <v>ए) नए खिलाड़ी पदों को जोड़ना, बी) खेल अवधि का मानकीकरण, सी) टैगिंग नियमों में संशोधन, डी) वीडियो समीक्षा की शुरूआत</v>
      </c>
      <c r="I136" s="5" t="str">
        <f>IFERROR(__xludf.DUMMYFUNCTION("GOOGLETRANSLATE(D136, ""en"", ""hi"")"),"C) टैगिंग नियमों में संशोधन")</f>
        <v>C) टैगिंग नियमों में संशोधन</v>
      </c>
    </row>
    <row r="137" ht="22.5" customHeight="1">
      <c r="A137" s="7">
        <v>136.0</v>
      </c>
      <c r="B137" s="8" t="s">
        <v>2075</v>
      </c>
      <c r="C137" s="8" t="s">
        <v>1988</v>
      </c>
      <c r="D137" s="8" t="s">
        <v>1974</v>
      </c>
      <c r="F137" s="5" t="str">
        <f>IFERROR(__xludf.DUMMYFUNCTION("GOOGLETRANSLATE(A137, ""en"", ""hi"")"),"136")</f>
        <v>136</v>
      </c>
      <c r="G137" s="5" t="str">
        <f>IFERROR(__xludf.DUMMYFUNCTION("GOOGLETRANSLATE(B137, ""en"", ""hi"")"),"1982 में खो-खो विश्व कप का मुख्य आयोजक कौन था?")</f>
        <v>1982 में खो-खो विश्व कप का मुख्य आयोजक कौन था?</v>
      </c>
      <c r="H137" s="5" t="str">
        <f>IFERROR(__xludf.DUMMYFUNCTION("GOOGLETRANSLATE(C137, ""en"", ""hi"")"),"A) वी.के. जोशी, B) एच.पी. सिंह, C) एम.के. शर्मा, D) आर.एस. कुमार")</f>
        <v>A) वी.के. जोशी, B) एच.पी. सिंह, C) एम.के. शर्मा, D) आर.एस. कुमार</v>
      </c>
      <c r="I137" s="5" t="str">
        <f>IFERROR(__xludf.DUMMYFUNCTION("GOOGLETRANSLATE(D137, ""en"", ""hi"")"),"A) वी.के. जोशी")</f>
        <v>A) वी.के. जोशी</v>
      </c>
    </row>
    <row r="138" ht="22.5" customHeight="1">
      <c r="A138" s="7">
        <v>137.0</v>
      </c>
      <c r="B138" s="8" t="s">
        <v>2076</v>
      </c>
      <c r="C138" s="8" t="s">
        <v>2077</v>
      </c>
      <c r="D138" s="8" t="s">
        <v>2070</v>
      </c>
      <c r="F138" s="5" t="str">
        <f>IFERROR(__xludf.DUMMYFUNCTION("GOOGLETRANSLATE(A138, ""en"", ""hi"")"),"137")</f>
        <v>137</v>
      </c>
      <c r="G138" s="5" t="str">
        <f>IFERROR(__xludf.DUMMYFUNCTION("GOOGLETRANSLATE(B138, ""en"", ""hi"")"),"1995 में स्थापित खो-खो विकास कोष का प्राथमिक उद्देश्य क्या था?")</f>
        <v>1995 में स्थापित खो-खो विकास कोष का प्राथमिक उद्देश्य क्या था?</v>
      </c>
      <c r="H138" s="5" t="str">
        <f>IFERROR(__xludf.DUMMYFUNCTION("GOOGLETRANSLATE(C138, ""en"", ""hi"")"),"A) जमीनी स्तर पर विकास का समर्थन करना, B) अंतर्राष्ट्रीय टूर्नामेंटों को बढ़ावा देना, C) नई तकनीक का परिचय देना, D) मैदान के आयामों का मानकीकरण करना")</f>
        <v>A) जमीनी स्तर पर विकास का समर्थन करना, B) अंतर्राष्ट्रीय टूर्नामेंटों को बढ़ावा देना, C) नई तकनीक का परिचय देना, D) मैदान के आयामों का मानकीकरण करना</v>
      </c>
      <c r="I138" s="5" t="str">
        <f>IFERROR(__xludf.DUMMYFUNCTION("GOOGLETRANSLATE(D138, ""en"", ""hi"")"),"A) जमीनी स्तर पर विकास का समर्थन करना")</f>
        <v>A) जमीनी स्तर पर विकास का समर्थन करना</v>
      </c>
    </row>
    <row r="139" ht="22.5" customHeight="1">
      <c r="A139" s="7">
        <v>138.0</v>
      </c>
      <c r="B139" s="8" t="s">
        <v>2078</v>
      </c>
      <c r="C139" s="8" t="s">
        <v>249</v>
      </c>
      <c r="D139" s="8" t="s">
        <v>150</v>
      </c>
      <c r="F139" s="5" t="str">
        <f>IFERROR(__xludf.DUMMYFUNCTION("GOOGLETRANSLATE(A139, ""en"", ""hi"")"),"138")</f>
        <v>138</v>
      </c>
      <c r="G139" s="5" t="str">
        <f>IFERROR(__xludf.DUMMYFUNCTION("GOOGLETRANSLATE(B139, ""en"", ""hi"")"),"1990 के दशक में खो-खो अकादमी स्थापित करने वाला पहला राज्य कौन सा था?")</f>
        <v>1990 के दशक में खो-खो अकादमी स्थापित करने वाला पहला राज्य कौन सा था?</v>
      </c>
      <c r="H139" s="5" t="str">
        <f>IFERROR(__xludf.DUMMYFUNCTION("GOOGLETRANSLATE(C139, ""en"", ""hi"")"),"ए) हरियाणा, बी) पंजाब, सी) महाराष्ट्र, डी) उत्तर प्रदेश")</f>
        <v>ए) हरियाणा, बी) पंजाब, सी) महाराष्ट्र, डी) उत्तर प्रदेश</v>
      </c>
      <c r="I139" s="5" t="str">
        <f>IFERROR(__xludf.DUMMYFUNCTION("GOOGLETRANSLATE(D139, ""en"", ""hi"")"),"A) हरियाणा")</f>
        <v>A) हरियाणा</v>
      </c>
    </row>
    <row r="140" ht="22.5" customHeight="1">
      <c r="A140" s="7">
        <v>139.0</v>
      </c>
      <c r="B140" s="8" t="s">
        <v>2060</v>
      </c>
      <c r="C140" s="8" t="s">
        <v>2061</v>
      </c>
      <c r="D140" s="8" t="s">
        <v>1860</v>
      </c>
      <c r="F140" s="5" t="str">
        <f>IFERROR(__xludf.DUMMYFUNCTION("GOOGLETRANSLATE(A140, ""en"", ""hi"")"),"139")</f>
        <v>139</v>
      </c>
      <c r="G140" s="5" t="str">
        <f>IFERROR(__xludf.DUMMYFUNCTION("GOOGLETRANSLATE(B140, ""en"", ""hi"")"),"खो-खो पहली बार भारतीय स्कूल खेल महासंघ में किस वर्ष शामिल हुआ?")</f>
        <v>खो-खो पहली बार भारतीय स्कूल खेल महासंघ में किस वर्ष शामिल हुआ?</v>
      </c>
      <c r="H140" s="5" t="str">
        <f>IFERROR(__xludf.DUMMYFUNCTION("GOOGLETRANSLATE(C140, ""en"", ""hi"")"),"ए) 1970, बी) 1975, सी) 1980, डी) 1985")</f>
        <v>ए) 1970, बी) 1975, सी) 1980, डी) 1985</v>
      </c>
      <c r="I140" s="5" t="str">
        <f>IFERROR(__xludf.DUMMYFUNCTION("GOOGLETRANSLATE(D140, ""en"", ""hi"")"),"बी) 1975")</f>
        <v>बी) 1975</v>
      </c>
    </row>
    <row r="141" ht="22.5" customHeight="1">
      <c r="A141" s="7">
        <v>140.0</v>
      </c>
      <c r="B141" s="8" t="s">
        <v>2079</v>
      </c>
      <c r="C141" s="8" t="s">
        <v>2080</v>
      </c>
      <c r="D141" s="8" t="s">
        <v>1953</v>
      </c>
      <c r="F141" s="5" t="str">
        <f>IFERROR(__xludf.DUMMYFUNCTION("GOOGLETRANSLATE(A141, ""en"", ""hi"")"),"140")</f>
        <v>140</v>
      </c>
      <c r="G141" s="5" t="str">
        <f>IFERROR(__xludf.DUMMYFUNCTION("GOOGLETRANSLATE(B141, ""en"", ""hi"")"),"किस भारतीय खिलाड़ी ने 2010 में एक खो-खो मैच में सर्वाधिक टैग का रिकॉर्ड बनाया?")</f>
        <v>किस भारतीय खिलाड़ी ने 2010 में एक खो-खो मैच में सर्वाधिक टैग का रिकॉर्ड बनाया?</v>
      </c>
      <c r="H141" s="5" t="str">
        <f>IFERROR(__xludf.DUMMYFUNCTION("GOOGLETRANSLATE(C141, ""en"", ""hi"")"),"A) आर.एस. कुमार, B) एच.पी. सिंह, C) एम.के. शर्मा, D) एस.पी. सिंह")</f>
        <v>A) आर.एस. कुमार, B) एच.पी. सिंह, C) एम.के. शर्मा, D) एस.पी. सिंह</v>
      </c>
      <c r="I141" s="5" t="str">
        <f>IFERROR(__xludf.DUMMYFUNCTION("GOOGLETRANSLATE(D141, ""en"", ""hi"")"),"बी) एच.पी. सिंह")</f>
        <v>बी) एच.पी. सिंह</v>
      </c>
    </row>
    <row r="142" ht="22.5" customHeight="1">
      <c r="A142" s="7">
        <v>141.0</v>
      </c>
      <c r="B142" s="8" t="s">
        <v>2081</v>
      </c>
      <c r="C142" s="8" t="s">
        <v>2082</v>
      </c>
      <c r="D142" s="8" t="s">
        <v>2042</v>
      </c>
      <c r="F142" s="5" t="str">
        <f>IFERROR(__xludf.DUMMYFUNCTION("GOOGLETRANSLATE(A142, ""en"", ""hi"")"),"141")</f>
        <v>141</v>
      </c>
      <c r="G142" s="5" t="str">
        <f>IFERROR(__xludf.DUMMYFUNCTION("GOOGLETRANSLATE(B142, ""en"", ""hi"")"),"2000 में शुरू किए गए खो-खो में महत्वपूर्ण परिवर्तन क्या था?")</f>
        <v>2000 में शुरू किए गए खो-खो में महत्वपूर्ण परिवर्तन क्या था?</v>
      </c>
      <c r="H142" s="5" t="str">
        <f>IFERROR(__xludf.DUMMYFUNCTION("GOOGLETRANSLATE(C142, ""en"", ""hi"")"),"ए) टैगिंग के लिए समय सीमा का परिचय, बी) क्षेत्र आयामों का मानकीकरण, सी) टैगिंग नियमों में संशोधन, डी) नए खिलाड़ी पदों को जोड़ना")</f>
        <v>ए) टैगिंग के लिए समय सीमा का परिचय, बी) क्षेत्र आयामों का मानकीकरण, सी) टैगिंग नियमों में संशोधन, डी) नए खिलाड़ी पदों को जोड़ना</v>
      </c>
      <c r="I142" s="5" t="str">
        <f>IFERROR(__xludf.DUMMYFUNCTION("GOOGLETRANSLATE(D142, ""en"", ""hi"")"),"ए) टैगिंग के लिए समय सीमा का परिचय")</f>
        <v>ए) टैगिंग के लिए समय सीमा का परिचय</v>
      </c>
    </row>
    <row r="143" ht="22.5" customHeight="1">
      <c r="A143" s="7">
        <v>142.0</v>
      </c>
      <c r="B143" s="8" t="s">
        <v>2083</v>
      </c>
      <c r="C143" s="8" t="s">
        <v>1998</v>
      </c>
      <c r="D143" s="8" t="s">
        <v>2084</v>
      </c>
      <c r="F143" s="5" t="str">
        <f>IFERROR(__xludf.DUMMYFUNCTION("GOOGLETRANSLATE(A143, ""en"", ""hi"")"),"142")</f>
        <v>142</v>
      </c>
      <c r="G143" s="5" t="str">
        <f>IFERROR(__xludf.DUMMYFUNCTION("GOOGLETRANSLATE(B143, ""en"", ""hi"")"),"2002 में खो-खो विश्व कप की मेजबानी किस शहर ने की थी?")</f>
        <v>2002 में खो-खो विश्व कप की मेजबानी किस शहर ने की थी?</v>
      </c>
      <c r="H143" s="5" t="str">
        <f>IFERROR(__xludf.DUMMYFUNCTION("GOOGLETRANSLATE(C143, ""en"", ""hi"")"),"ए) दिल्ली, बी) मुंबई, सी) बैंगलोर, डी) कोलकाता")</f>
        <v>ए) दिल्ली, बी) मुंबई, सी) बैंगलोर, डी) कोलकाता</v>
      </c>
      <c r="I143" s="5" t="str">
        <f>IFERROR(__xludf.DUMMYFUNCTION("GOOGLETRANSLATE(D143, ""en"", ""hi"")"),"C) बैंगलोर")</f>
        <v>C) बैंगलोर</v>
      </c>
    </row>
    <row r="144" ht="22.5" customHeight="1">
      <c r="A144" s="7">
        <v>143.0</v>
      </c>
      <c r="B144" s="8" t="s">
        <v>1972</v>
      </c>
      <c r="C144" s="8" t="s">
        <v>1988</v>
      </c>
      <c r="D144" s="8" t="s">
        <v>1974</v>
      </c>
      <c r="F144" s="5" t="str">
        <f>IFERROR(__xludf.DUMMYFUNCTION("GOOGLETRANSLATE(A144, ""en"", ""hi"")"),"143")</f>
        <v>143</v>
      </c>
      <c r="G144" s="5" t="str">
        <f>IFERROR(__xludf.DUMMYFUNCTION("GOOGLETRANSLATE(B144, ""en"", ""hi"")"),"2002 में आयोजित खो-खो विश्व कप का मुख्य आयोजक कौन था?")</f>
        <v>2002 में आयोजित खो-खो विश्व कप का मुख्य आयोजक कौन था?</v>
      </c>
      <c r="H144" s="5" t="str">
        <f>IFERROR(__xludf.DUMMYFUNCTION("GOOGLETRANSLATE(C144, ""en"", ""hi"")"),"A) वी.के. जोशी, B) एच.पी. सिंह, C) एम.के. शर्मा, D) आर.एस. कुमार")</f>
        <v>A) वी.के. जोशी, B) एच.पी. सिंह, C) एम.के. शर्मा, D) आर.एस. कुमार</v>
      </c>
      <c r="I144" s="5" t="str">
        <f>IFERROR(__xludf.DUMMYFUNCTION("GOOGLETRANSLATE(D144, ""en"", ""hi"")"),"A) वी.के. जोशी")</f>
        <v>A) वी.के. जोशी</v>
      </c>
    </row>
    <row r="145" ht="22.5" customHeight="1">
      <c r="A145" s="7">
        <v>144.0</v>
      </c>
      <c r="B145" s="8" t="s">
        <v>2085</v>
      </c>
      <c r="C145" s="8" t="s">
        <v>2052</v>
      </c>
      <c r="D145" s="8" t="s">
        <v>1943</v>
      </c>
      <c r="F145" s="5" t="str">
        <f>IFERROR(__xludf.DUMMYFUNCTION("GOOGLETRANSLATE(A145, ""en"", ""hi"")"),"144")</f>
        <v>144</v>
      </c>
      <c r="G145" s="5" t="str">
        <f>IFERROR(__xludf.DUMMYFUNCTION("GOOGLETRANSLATE(B145, ""en"", ""hi"")"),"2010 में खो-खो में कौन सी प्रमुख प्रगति हुई?")</f>
        <v>2010 में खो-खो में कौन सी प्रमुख प्रगति हुई?</v>
      </c>
      <c r="H145" s="5" t="str">
        <f>IFERROR(__xludf.DUMMYFUNCTION("GOOGLETRANSLATE(C145, ""en"", ""hi"")"),"A) खो-खो लीग की शुरुआत, B) खो-खो विकास निधि की स्थापना, C) पहले खो-खो विश्व कप की मेजबानी, D) नई खेल तकनीक की शुरुआत")</f>
        <v>A) खो-खो लीग की शुरुआत, B) खो-खो विकास निधि की स्थापना, C) पहले खो-खो विश्व कप की मेजबानी, D) नई खेल तकनीक की शुरुआत</v>
      </c>
      <c r="I145" s="5" t="str">
        <f>IFERROR(__xludf.DUMMYFUNCTION("GOOGLETRANSLATE(D145, ""en"", ""hi"")"),"ए) खो-खो लीग की शुरुआत")</f>
        <v>ए) खो-खो लीग की शुरुआत</v>
      </c>
    </row>
    <row r="146" ht="22.5" customHeight="1">
      <c r="A146" s="7">
        <v>145.0</v>
      </c>
      <c r="B146" s="8" t="s">
        <v>2086</v>
      </c>
      <c r="C146" s="8" t="s">
        <v>1984</v>
      </c>
      <c r="D146" s="8" t="s">
        <v>1915</v>
      </c>
      <c r="F146" s="5" t="str">
        <f>IFERROR(__xludf.DUMMYFUNCTION("GOOGLETRANSLATE(A146, ""en"", ""hi"")"),"145")</f>
        <v>145</v>
      </c>
      <c r="G146" s="5" t="str">
        <f>IFERROR(__xludf.DUMMYFUNCTION("GOOGLETRANSLATE(B146, ""en"", ""hi"")"),"खो-खो में उनके योगदान के लिए किस भारतीय खिलाड़ी को 2000 में पद्म भूषण से सम्मानित किया गया था?")</f>
        <v>खो-खो में उनके योगदान के लिए किस भारतीय खिलाड़ी को 2000 में पद्म भूषण से सम्मानित किया गया था?</v>
      </c>
      <c r="H146" s="5" t="str">
        <f>IFERROR(__xludf.DUMMYFUNCTION("GOOGLETRANSLATE(C146, ""en"", ""hi"")"),"A) एच.पी. सिंह, B) एम.के. शर्मा, C) आर.एस. कुमार, D) एस.पी. सिंह")</f>
        <v>A) एच.पी. सिंह, B) एम.के. शर्मा, C) आर.एस. कुमार, D) एस.पी. सिंह</v>
      </c>
      <c r="I146" s="5" t="str">
        <f>IFERROR(__xludf.DUMMYFUNCTION("GOOGLETRANSLATE(D146, ""en"", ""hi"")"),"ए) एच.पी. सिंह")</f>
        <v>ए) एच.पी. सिंह</v>
      </c>
    </row>
    <row r="147" ht="22.5" customHeight="1">
      <c r="A147" s="7">
        <v>146.0</v>
      </c>
      <c r="B147" s="8" t="s">
        <v>1932</v>
      </c>
      <c r="C147" s="8" t="s">
        <v>1992</v>
      </c>
      <c r="D147" s="8" t="s">
        <v>1993</v>
      </c>
      <c r="F147" s="5" t="str">
        <f>IFERROR(__xludf.DUMMYFUNCTION("GOOGLETRANSLATE(A147, ""en"", ""hi"")"),"146")</f>
        <v>146</v>
      </c>
      <c r="G147" s="5" t="str">
        <f>IFERROR(__xludf.DUMMYFUNCTION("GOOGLETRANSLATE(B147, ""en"", ""hi"")"),"खो-खो पहली बार एशियाई खेलों में किस वर्ष शामिल हुआ?")</f>
        <v>खो-खो पहली बार एशियाई खेलों में किस वर्ष शामिल हुआ?</v>
      </c>
      <c r="H147" s="5" t="str">
        <f>IFERROR(__xludf.DUMMYFUNCTION("GOOGLETRANSLATE(C147, ""en"", ""hi"")"),"ए) 1990, बी) 1994, सी) 1998, डी) 2002")</f>
        <v>ए) 1990, बी) 1994, सी) 1998, डी) 2002</v>
      </c>
      <c r="I147" s="5" t="str">
        <f>IFERROR(__xludf.DUMMYFUNCTION("GOOGLETRANSLATE(D147, ""en"", ""hi"")"),"ए) 1990")</f>
        <v>ए) 1990</v>
      </c>
    </row>
    <row r="148" ht="22.5" customHeight="1">
      <c r="A148" s="7">
        <v>147.0</v>
      </c>
      <c r="B148" s="8" t="s">
        <v>2087</v>
      </c>
      <c r="C148" s="8" t="s">
        <v>1957</v>
      </c>
      <c r="D148" s="8" t="s">
        <v>1958</v>
      </c>
      <c r="F148" s="5" t="str">
        <f>IFERROR(__xludf.DUMMYFUNCTION("GOOGLETRANSLATE(A148, ""en"", ""hi"")"),"147")</f>
        <v>147</v>
      </c>
      <c r="G148" s="5" t="str">
        <f>IFERROR(__xludf.DUMMYFUNCTION("GOOGLETRANSLATE(B148, ""en"", ""hi"")"),"1995 में खो-खो में कौन सा प्रमुख नियम परिवर्तन किया गया?")</f>
        <v>1995 में खो-खो में कौन सा प्रमुख नियम परिवर्तन किया गया?</v>
      </c>
      <c r="H148" s="5" t="str">
        <f>IFERROR(__xludf.DUMMYFUNCTION("GOOGLETRANSLATE(C148, ""en"", ""hi"")"),"A) खो-खो विकास निधि की स्थापना, B) इलेक्ट्रॉनिक स्कोरिंग की शुरुआत, C) एशियाई खो-खो महासंघ का गठन, D) पहले खो-खो विश्व कप की मेजबानी")</f>
        <v>A) खो-खो विकास निधि की स्थापना, B) इलेक्ट्रॉनिक स्कोरिंग की शुरुआत, C) एशियाई खो-खो महासंघ का गठन, D) पहले खो-खो विश्व कप की मेजबानी</v>
      </c>
      <c r="I148" s="5" t="str">
        <f>IFERROR(__xludf.DUMMYFUNCTION("GOOGLETRANSLATE(D148, ""en"", ""hi"")"),"क) खो-खो विकास कोष की स्थापना")</f>
        <v>क) खो-खो विकास कोष की स्थापना</v>
      </c>
    </row>
    <row r="149" ht="22.5" customHeight="1">
      <c r="A149" s="7">
        <v>148.0</v>
      </c>
      <c r="B149" s="8" t="s">
        <v>1979</v>
      </c>
      <c r="C149" s="8" t="s">
        <v>1966</v>
      </c>
      <c r="D149" s="8" t="s">
        <v>1980</v>
      </c>
      <c r="F149" s="5" t="str">
        <f>IFERROR(__xludf.DUMMYFUNCTION("GOOGLETRANSLATE(A149, ""en"", ""hi"")"),"148")</f>
        <v>148</v>
      </c>
      <c r="G149" s="5" t="str">
        <f>IFERROR(__xludf.DUMMYFUNCTION("GOOGLETRANSLATE(B149, ""en"", ""hi"")"),"1998 में आयोजित खो-खो विश्व कप में अग्रणी स्कोरर कौन था?")</f>
        <v>1998 में आयोजित खो-खो विश्व कप में अग्रणी स्कोरर कौन था?</v>
      </c>
      <c r="H149" s="5" t="str">
        <f>IFERROR(__xludf.DUMMYFUNCTION("GOOGLETRANSLATE(C149, ""en"", ""hi"")"),"A) एच.पी. सिंह, B) आर.एस. कुमार, C) एम.के. शर्मा, D) एस.पी. सिंह")</f>
        <v>A) एच.पी. सिंह, B) आर.एस. कुमार, C) एम.के. शर्मा, D) एस.पी. सिंह</v>
      </c>
      <c r="I149" s="5" t="str">
        <f>IFERROR(__xludf.DUMMYFUNCTION("GOOGLETRANSLATE(D149, ""en"", ""hi"")"),"बी) आर.एस. कुमार")</f>
        <v>बी) आर.एस. कुमार</v>
      </c>
    </row>
    <row r="150" ht="22.5" customHeight="1">
      <c r="A150" s="7">
        <v>149.0</v>
      </c>
      <c r="B150" s="8" t="s">
        <v>1922</v>
      </c>
      <c r="C150" s="8" t="s">
        <v>271</v>
      </c>
      <c r="D150" s="8" t="s">
        <v>66</v>
      </c>
      <c r="F150" s="5" t="str">
        <f>IFERROR(__xludf.DUMMYFUNCTION("GOOGLETRANSLATE(A150, ""en"", ""hi"")"),"149")</f>
        <v>149</v>
      </c>
      <c r="G150" s="5" t="str">
        <f>IFERROR(__xludf.DUMMYFUNCTION("GOOGLETRANSLATE(B150, ""en"", ""hi"")"),"1980 के दशक में अंतर्राष्ट्रीय खो-खो टूर्नामेंट की मेजबानी करने वाला पहला भारतीय राज्य कौन सा था?")</f>
        <v>1980 के दशक में अंतर्राष्ट्रीय खो-खो टूर्नामेंट की मेजबानी करने वाला पहला भारतीय राज्य कौन सा था?</v>
      </c>
      <c r="H150" s="5" t="str">
        <f>IFERROR(__xludf.DUMMYFUNCTION("GOOGLETRANSLATE(C150, ""en"", ""hi"")"),"ए) पंजाब, बी) हरियाणा, सी) महाराष्ट्र, डी) उत्तर प्रदेश")</f>
        <v>ए) पंजाब, बी) हरियाणा, सी) महाराष्ट्र, डी) उत्तर प्रदेश</v>
      </c>
      <c r="I150" s="5" t="str">
        <f>IFERROR(__xludf.DUMMYFUNCTION("GOOGLETRANSLATE(D150, ""en"", ""hi"")"),"A) पंजाब")</f>
        <v>A) पंजाब</v>
      </c>
    </row>
    <row r="151" ht="22.5" customHeight="1">
      <c r="A151" s="7">
        <v>150.0</v>
      </c>
      <c r="B151" s="8" t="s">
        <v>1913</v>
      </c>
      <c r="C151" s="8" t="s">
        <v>1984</v>
      </c>
      <c r="D151" s="8" t="s">
        <v>1915</v>
      </c>
      <c r="F151" s="5" t="str">
        <f>IFERROR(__xludf.DUMMYFUNCTION("GOOGLETRANSLATE(A151, ""en"", ""hi"")"),"150")</f>
        <v>150</v>
      </c>
      <c r="G151" s="5" t="str">
        <f>IFERROR(__xludf.DUMMYFUNCTION("GOOGLETRANSLATE(B151, ""en"", ""hi"")"),"भारतीय खेल हॉल ऑफ फेम में शामिल होने वाले पहले खो-खो खिलाड़ी कौन थे?")</f>
        <v>भारतीय खेल हॉल ऑफ फेम में शामिल होने वाले पहले खो-खो खिलाड़ी कौन थे?</v>
      </c>
      <c r="H151" s="5" t="str">
        <f>IFERROR(__xludf.DUMMYFUNCTION("GOOGLETRANSLATE(C151, ""en"", ""hi"")"),"A) एच.पी. सिंह, B) एम.के. शर्मा, C) आर.एस. कुमार, D) एस.पी. सिंह")</f>
        <v>A) एच.पी. सिंह, B) एम.के. शर्मा, C) आर.एस. कुमार, D) एस.पी. सिंह</v>
      </c>
      <c r="I151" s="5" t="str">
        <f>IFERROR(__xludf.DUMMYFUNCTION("GOOGLETRANSLATE(D151, ""en"", ""hi"")"),"ए) एच.पी. सिंह")</f>
        <v>ए) एच.पी. सिंह</v>
      </c>
    </row>
    <row r="152" ht="22.5" customHeight="1">
      <c r="A152" s="7">
        <v>151.0</v>
      </c>
      <c r="B152" s="8" t="s">
        <v>2088</v>
      </c>
      <c r="C152" s="8" t="s">
        <v>2089</v>
      </c>
      <c r="D152" s="8" t="s">
        <v>2090</v>
      </c>
      <c r="F152" s="5" t="str">
        <f>IFERROR(__xludf.DUMMYFUNCTION("GOOGLETRANSLATE(A152, ""en"", ""hi"")"),"151")</f>
        <v>151</v>
      </c>
      <c r="G152" s="5" t="str">
        <f>IFERROR(__xludf.DUMMYFUNCTION("GOOGLETRANSLATE(B152, ""en"", ""hi"")"),"1982 में खो-खो में कौन सा प्रमुख नियम परिवर्तन किया गया?")</f>
        <v>1982 में खो-खो में कौन सा प्रमुख नियम परिवर्तन किया गया?</v>
      </c>
      <c r="H152" s="5" t="str">
        <f>IFERROR(__xludf.DUMMYFUNCTION("GOOGLETRANSLATE(C152, ""en"", ""hi"")"),"ए) खो-खो विश्व कप की स्थापना, बी) इलेक्ट्रॉनिक स्कोरिंग की शुरुआत, सी) मैदान के आयामों में संशोधन, डी) नए खिलाड़ियों की स्थिति को जोड़ना")</f>
        <v>ए) खो-खो विश्व कप की स्थापना, बी) इलेक्ट्रॉनिक स्कोरिंग की शुरुआत, सी) मैदान के आयामों में संशोधन, डी) नए खिलाड़ियों की स्थिति को जोड़ना</v>
      </c>
      <c r="I152" s="5" t="str">
        <f>IFERROR(__xludf.DUMMYFUNCTION("GOOGLETRANSLATE(D152, ""en"", ""hi"")"),"ए) खो-खो विश्व कप की स्थापना")</f>
        <v>ए) खो-खो विश्व कप की स्थापना</v>
      </c>
    </row>
    <row r="153" ht="22.5" customHeight="1">
      <c r="A153" s="7">
        <v>152.0</v>
      </c>
      <c r="B153" s="8" t="s">
        <v>2050</v>
      </c>
      <c r="C153" s="8" t="s">
        <v>2028</v>
      </c>
      <c r="D153" s="8" t="s">
        <v>2029</v>
      </c>
      <c r="F153" s="5" t="str">
        <f>IFERROR(__xludf.DUMMYFUNCTION("GOOGLETRANSLATE(A153, ""en"", ""hi"")"),"152")</f>
        <v>152</v>
      </c>
      <c r="G153" s="5" t="str">
        <f>IFERROR(__xludf.DUMMYFUNCTION("GOOGLETRANSLATE(B153, ""en"", ""hi"")"),"भारतीय कॉलेज खेल महासंघ के पाठ्यक्रम में खो-खो को किस वर्ष शामिल किया गया?")</f>
        <v>भारतीय कॉलेज खेल महासंघ के पाठ्यक्रम में खो-खो को किस वर्ष शामिल किया गया?</v>
      </c>
      <c r="H153" s="5" t="str">
        <f>IFERROR(__xludf.DUMMYFUNCTION("GOOGLETRANSLATE(C153, ""en"", ""hi"")"),"ए) 1975, बी) 1980, सी) 1985, डी) 1990")</f>
        <v>ए) 1975, बी) 1980, सी) 1985, डी) 1990</v>
      </c>
      <c r="I153" s="5" t="str">
        <f>IFERROR(__xludf.DUMMYFUNCTION("GOOGLETRANSLATE(D153, ""en"", ""hi"")"),"ए) 1975")</f>
        <v>ए) 1975</v>
      </c>
    </row>
    <row r="154" ht="22.5" customHeight="1">
      <c r="A154" s="7">
        <v>153.0</v>
      </c>
      <c r="B154" s="8" t="s">
        <v>2091</v>
      </c>
      <c r="C154" s="8" t="s">
        <v>2031</v>
      </c>
      <c r="D154" s="8" t="s">
        <v>2092</v>
      </c>
      <c r="F154" s="5" t="str">
        <f>IFERROR(__xludf.DUMMYFUNCTION("GOOGLETRANSLATE(A154, ""en"", ""hi"")"),"153")</f>
        <v>153</v>
      </c>
      <c r="G154" s="5" t="str">
        <f>IFERROR(__xludf.DUMMYFUNCTION("GOOGLETRANSLATE(B154, ""en"", ""hi"")"),"कौन सा शहर 2000 के दशक के प्रारंभ में खो-खो राष्ट्रीय चैम्पियनशिप की मेजबानी के लिए जाना जाता था?")</f>
        <v>कौन सा शहर 2000 के दशक के प्रारंभ में खो-खो राष्ट्रीय चैम्पियनशिप की मेजबानी के लिए जाना जाता था?</v>
      </c>
      <c r="H154" s="5" t="str">
        <f>IFERROR(__xludf.DUMMYFUNCTION("GOOGLETRANSLATE(C154, ""en"", ""hi"")"),"A) दिल्ली, B) मुंबई, C) बैंगलोर, D) पुणे")</f>
        <v>A) दिल्ली, B) मुंबई, C) बैंगलोर, D) पुणे</v>
      </c>
      <c r="I154" s="5" t="str">
        <f>IFERROR(__xludf.DUMMYFUNCTION("GOOGLETRANSLATE(D154, ""en"", ""hi"")"),"D) पुणे")</f>
        <v>D) पुणे</v>
      </c>
    </row>
    <row r="155" ht="22.5" customHeight="1">
      <c r="A155" s="7">
        <v>154.0</v>
      </c>
      <c r="B155" s="8" t="s">
        <v>2073</v>
      </c>
      <c r="C155" s="8" t="s">
        <v>2093</v>
      </c>
      <c r="D155" s="8" t="s">
        <v>2094</v>
      </c>
      <c r="F155" s="5" t="str">
        <f>IFERROR(__xludf.DUMMYFUNCTION("GOOGLETRANSLATE(A155, ""en"", ""hi"")"),"154")</f>
        <v>154</v>
      </c>
      <c r="G155" s="5" t="str">
        <f>IFERROR(__xludf.DUMMYFUNCTION("GOOGLETRANSLATE(B155, ""en"", ""hi"")"),"2005 में खो-खो में कौन सा महत्वपूर्ण नियम परिवर्तन किया गया?")</f>
        <v>2005 में खो-खो में कौन सा महत्वपूर्ण नियम परिवर्तन किया गया?</v>
      </c>
      <c r="H155" s="5" t="str">
        <f>IFERROR(__xludf.DUMMYFUNCTION("GOOGLETRANSLATE(C155, ""en"", ""hi"")"),"ए) वीडियो समीक्षा की शुरूआत, बी) खेल अवधि का मानकीकरण, सी) नए खिलाड़ी पदों को जोड़ना, डी) टैगिंग नियमों में संशोधन")</f>
        <v>ए) वीडियो समीक्षा की शुरूआत, बी) खेल अवधि का मानकीकरण, सी) नए खिलाड़ी पदों को जोड़ना, डी) टैगिंग नियमों में संशोधन</v>
      </c>
      <c r="I155" s="5" t="str">
        <f>IFERROR(__xludf.DUMMYFUNCTION("GOOGLETRANSLATE(D155, ""en"", ""hi"")"),"डी) टैगिंग नियमों में संशोधन")</f>
        <v>डी) टैगिंग नियमों में संशोधन</v>
      </c>
    </row>
    <row r="156" ht="22.5" customHeight="1">
      <c r="A156" s="7">
        <v>155.0</v>
      </c>
      <c r="B156" s="8" t="s">
        <v>2095</v>
      </c>
      <c r="C156" s="8" t="s">
        <v>1923</v>
      </c>
      <c r="D156" s="8" t="s">
        <v>603</v>
      </c>
      <c r="F156" s="5" t="str">
        <f>IFERROR(__xludf.DUMMYFUNCTION("GOOGLETRANSLATE(A156, ""en"", ""hi"")"),"155")</f>
        <v>155</v>
      </c>
      <c r="G156" s="5" t="str">
        <f>IFERROR(__xludf.DUMMYFUNCTION("GOOGLETRANSLATE(B156, ""en"", ""hi"")"),"कौन सा राज्य 1970 के दशक में खो-खो विकास में अपने अग्रणी प्रयासों के लिए जाना जाता है?")</f>
        <v>कौन सा राज्य 1970 के दशक में खो-खो विकास में अपने अग्रणी प्रयासों के लिए जाना जाता है?</v>
      </c>
      <c r="H156" s="5" t="str">
        <f>IFERROR(__xludf.DUMMYFUNCTION("GOOGLETRANSLATE(C156, ""en"", ""hi"")"),"ए) महाराष्ट्र, बी) हरियाणा, सी) पंजाब, डी) उत्तर प्रदेश")</f>
        <v>ए) महाराष्ट्र, बी) हरियाणा, सी) पंजाब, डी) उत्तर प्रदेश</v>
      </c>
      <c r="I156" s="5" t="str">
        <f>IFERROR(__xludf.DUMMYFUNCTION("GOOGLETRANSLATE(D156, ""en"", ""hi"")"),"बी) हरियाणा")</f>
        <v>बी) हरियाणा</v>
      </c>
    </row>
    <row r="157" ht="22.5" customHeight="1">
      <c r="A157" s="7">
        <v>156.0</v>
      </c>
      <c r="B157" s="8" t="s">
        <v>2032</v>
      </c>
      <c r="C157" s="8" t="s">
        <v>2096</v>
      </c>
      <c r="D157" s="8" t="s">
        <v>2070</v>
      </c>
      <c r="F157" s="5" t="str">
        <f>IFERROR(__xludf.DUMMYFUNCTION("GOOGLETRANSLATE(A157, ""en"", ""hi"")"),"156")</f>
        <v>156</v>
      </c>
      <c r="G157" s="5" t="str">
        <f>IFERROR(__xludf.DUMMYFUNCTION("GOOGLETRANSLATE(B157, ""en"", ""hi"")"),"1995 में स्थापित खो-खो विकास कोष का मुख्य उद्देश्य क्या था?")</f>
        <v>1995 में स्थापित खो-खो विकास कोष का मुख्य उद्देश्य क्या था?</v>
      </c>
      <c r="H157" s="5" t="str">
        <f>IFERROR(__xludf.DUMMYFUNCTION("GOOGLETRANSLATE(C157, ""en"", ""hi"")"),"A) जमीनी स्तर पर विकास का समर्थन करना, B) नई तकनीक शुरू करना, C) नई स्कोरिंग प्रणालियाँ स्थापित करना, D) क्षेत्र आयामों को मानकीकृत करना")</f>
        <v>A) जमीनी स्तर पर विकास का समर्थन करना, B) नई तकनीक शुरू करना, C) नई स्कोरिंग प्रणालियाँ स्थापित करना, D) क्षेत्र आयामों को मानकीकृत करना</v>
      </c>
      <c r="I157" s="5" t="str">
        <f>IFERROR(__xludf.DUMMYFUNCTION("GOOGLETRANSLATE(D157, ""en"", ""hi"")"),"A) जमीनी स्तर पर विकास का समर्थन करना")</f>
        <v>A) जमीनी स्तर पर विकास का समर्थन करना</v>
      </c>
    </row>
    <row r="158" ht="22.5" customHeight="1">
      <c r="A158" s="7">
        <v>157.0</v>
      </c>
      <c r="B158" s="8" t="s">
        <v>2097</v>
      </c>
      <c r="C158" s="8" t="s">
        <v>2080</v>
      </c>
      <c r="D158" s="8" t="s">
        <v>1953</v>
      </c>
      <c r="F158" s="5" t="str">
        <f>IFERROR(__xludf.DUMMYFUNCTION("GOOGLETRANSLATE(A158, ""en"", ""hi"")"),"157")</f>
        <v>157</v>
      </c>
      <c r="G158" s="5" t="str">
        <f>IFERROR(__xludf.DUMMYFUNCTION("GOOGLETRANSLATE(B158, ""en"", ""hi"")"),"कौन सा भारतीय खिलाड़ी 2005 में एक खो-खो मैच में सर्वाधिक टैग का रिकॉर्ड स्थापित करने के लिए जाना जाता था?")</f>
        <v>कौन सा भारतीय खिलाड़ी 2005 में एक खो-खो मैच में सर्वाधिक टैग का रिकॉर्ड स्थापित करने के लिए जाना जाता था?</v>
      </c>
      <c r="H158" s="5" t="str">
        <f>IFERROR(__xludf.DUMMYFUNCTION("GOOGLETRANSLATE(C158, ""en"", ""hi"")"),"A) आर.एस. कुमार, B) एच.पी. सिंह, C) एम.के. शर्मा, D) एस.पी. सिंह")</f>
        <v>A) आर.एस. कुमार, B) एच.पी. सिंह, C) एम.के. शर्मा, D) एस.पी. सिंह</v>
      </c>
      <c r="I158" s="5" t="str">
        <f>IFERROR(__xludf.DUMMYFUNCTION("GOOGLETRANSLATE(D158, ""en"", ""hi"")"),"बी) एच.पी. सिंह")</f>
        <v>बी) एच.पी. सिंह</v>
      </c>
    </row>
    <row r="159" ht="22.5" customHeight="1">
      <c r="A159" s="7">
        <v>158.0</v>
      </c>
      <c r="B159" s="8" t="s">
        <v>2098</v>
      </c>
      <c r="C159" s="8" t="s">
        <v>2099</v>
      </c>
      <c r="D159" s="8" t="s">
        <v>2042</v>
      </c>
      <c r="F159" s="5" t="str">
        <f>IFERROR(__xludf.DUMMYFUNCTION("GOOGLETRANSLATE(A159, ""en"", ""hi"")"),"158")</f>
        <v>158</v>
      </c>
      <c r="G159" s="5" t="str">
        <f>IFERROR(__xludf.DUMMYFUNCTION("GOOGLETRANSLATE(B159, ""en"", ""hi"")"),"वर्ष 2000 में खो-खो में क्या महत्वपूर्ण विकास हुआ?")</f>
        <v>वर्ष 2000 में खो-खो में क्या महत्वपूर्ण विकास हुआ?</v>
      </c>
      <c r="H159" s="5" t="str">
        <f>IFERROR(__xludf.DUMMYFUNCTION("GOOGLETRANSLATE(C159, ""en"", ""hi"")"),"A) टैगिंग के लिए समय सीमा का परिचय, B) मैदान के आयामों का मानकीकरण, C) खो-खो विश्व कप की स्थापना, D) नई तकनीक का परिचय")</f>
        <v>A) टैगिंग के लिए समय सीमा का परिचय, B) मैदान के आयामों का मानकीकरण, C) खो-खो विश्व कप की स्थापना, D) नई तकनीक का परिचय</v>
      </c>
      <c r="I159" s="5" t="str">
        <f>IFERROR(__xludf.DUMMYFUNCTION("GOOGLETRANSLATE(D159, ""en"", ""hi"")"),"ए) टैगिंग के लिए समय सीमा का परिचय")</f>
        <v>ए) टैगिंग के लिए समय सीमा का परिचय</v>
      </c>
    </row>
    <row r="160" ht="22.5" customHeight="1">
      <c r="A160" s="7">
        <v>159.0</v>
      </c>
      <c r="B160" s="8" t="s">
        <v>2018</v>
      </c>
      <c r="C160" s="8" t="s">
        <v>1998</v>
      </c>
      <c r="D160" s="8" t="s">
        <v>77</v>
      </c>
      <c r="F160" s="5" t="str">
        <f>IFERROR(__xludf.DUMMYFUNCTION("GOOGLETRANSLATE(A160, ""en"", ""hi"")"),"159")</f>
        <v>159</v>
      </c>
      <c r="G160" s="5" t="str">
        <f>IFERROR(__xludf.DUMMYFUNCTION("GOOGLETRANSLATE(B160, ""en"", ""hi"")"),"1986 में खो-खो विश्व कप की मेजबानी किस शहर ने की थी?")</f>
        <v>1986 में खो-खो विश्व कप की मेजबानी किस शहर ने की थी?</v>
      </c>
      <c r="H160" s="5" t="str">
        <f>IFERROR(__xludf.DUMMYFUNCTION("GOOGLETRANSLATE(C160, ""en"", ""hi"")"),"ए) दिल्ली, बी) मुंबई, सी) बैंगलोर, डी) कोलकाता")</f>
        <v>ए) दिल्ली, बी) मुंबई, सी) बैंगलोर, डी) कोलकाता</v>
      </c>
      <c r="I160" s="5" t="str">
        <f>IFERROR(__xludf.DUMMYFUNCTION("GOOGLETRANSLATE(D160, ""en"", ""hi"")"),"बी) मुंबई")</f>
        <v>बी) मुंबई</v>
      </c>
    </row>
    <row r="161" ht="22.5" customHeight="1">
      <c r="A161" s="7">
        <v>160.0</v>
      </c>
      <c r="B161" s="8" t="s">
        <v>2100</v>
      </c>
      <c r="C161" s="8" t="s">
        <v>1988</v>
      </c>
      <c r="D161" s="8" t="s">
        <v>2101</v>
      </c>
      <c r="F161" s="5" t="str">
        <f>IFERROR(__xludf.DUMMYFUNCTION("GOOGLETRANSLATE(A161, ""en"", ""hi"")"),"160")</f>
        <v>160</v>
      </c>
      <c r="G161" s="5" t="str">
        <f>IFERROR(__xludf.DUMMYFUNCTION("GOOGLETRANSLATE(B161, ""en"", ""hi"")"),"1984 में खो-खो विश्व कप का मुख्य आयोजक कौन था?")</f>
        <v>1984 में खो-खो विश्व कप का मुख्य आयोजक कौन था?</v>
      </c>
      <c r="H161" s="5" t="str">
        <f>IFERROR(__xludf.DUMMYFUNCTION("GOOGLETRANSLATE(C161, ""en"", ""hi"")"),"A) वी.के. जोशी, B) एच.पी. सिंह, C) एम.के. शर्मा, D) आर.एस. कुमार")</f>
        <v>A) वी.के. जोशी, B) एच.पी. सिंह, C) एम.के. शर्मा, D) आर.एस. कुमार</v>
      </c>
      <c r="I161" s="5" t="str">
        <f>IFERROR(__xludf.DUMMYFUNCTION("GOOGLETRANSLATE(D161, ""en"", ""hi"")"),"C) एम.के. शर्मा")</f>
        <v>C) एम.के. शर्मा</v>
      </c>
    </row>
    <row r="162" ht="22.5" customHeight="1">
      <c r="A162" s="7">
        <v>161.0</v>
      </c>
      <c r="B162" s="8" t="s">
        <v>2102</v>
      </c>
      <c r="C162" s="8" t="s">
        <v>2103</v>
      </c>
      <c r="D162" s="8" t="s">
        <v>1927</v>
      </c>
      <c r="F162" s="5" t="str">
        <f>IFERROR(__xludf.DUMMYFUNCTION("GOOGLETRANSLATE(A162, ""en"", ""hi"")"),"161")</f>
        <v>161</v>
      </c>
      <c r="G162" s="5" t="str">
        <f>IFERROR(__xludf.DUMMYFUNCTION("GOOGLETRANSLATE(B162, ""en"", ""hi"")"),"1990 में खो-खो में कौन सा प्रमुख नियम परिवर्तन किया गया?")</f>
        <v>1990 में खो-खो में कौन सा प्रमुख नियम परिवर्तन किया गया?</v>
      </c>
      <c r="H162" s="5" t="str">
        <f>IFERROR(__xludf.DUMMYFUNCTION("GOOGLETRANSLATE(C162, ""en"", ""hi"")"),"ए) नए खिलाड़ी पदों का परिचय, बी) खेल अवधि का मानकीकरण, सी) टैगिंग नियमों में संशोधन, डी) इलेक्ट्रॉनिक स्कोरिंग का परिचय")</f>
        <v>ए) नए खिलाड़ी पदों का परिचय, बी) खेल अवधि का मानकीकरण, सी) टैगिंग नियमों में संशोधन, डी) इलेक्ट्रॉनिक स्कोरिंग का परिचय</v>
      </c>
      <c r="I162" s="5" t="str">
        <f>IFERROR(__xludf.DUMMYFUNCTION("GOOGLETRANSLATE(D162, ""en"", ""hi"")"),"C) टैगिंग नियमों में संशोधन")</f>
        <v>C) टैगिंग नियमों में संशोधन</v>
      </c>
    </row>
    <row r="163" ht="22.5" customHeight="1">
      <c r="A163" s="7">
        <v>162.0</v>
      </c>
      <c r="B163" s="8" t="s">
        <v>2104</v>
      </c>
      <c r="C163" s="8" t="s">
        <v>271</v>
      </c>
      <c r="D163" s="8" t="s">
        <v>603</v>
      </c>
      <c r="F163" s="5" t="str">
        <f>IFERROR(__xludf.DUMMYFUNCTION("GOOGLETRANSLATE(A163, ""en"", ""hi"")"),"162")</f>
        <v>162</v>
      </c>
      <c r="G163" s="5" t="str">
        <f>IFERROR(__xludf.DUMMYFUNCTION("GOOGLETRANSLATE(B163, ""en"", ""hi"")"),"1990 के दशक में किस भारतीय राज्य ने पहली बार अंतर्राष्ट्रीय खो-खो टूर्नामेंट की मेजबानी की थी?")</f>
        <v>1990 के दशक में किस भारतीय राज्य ने पहली बार अंतर्राष्ट्रीय खो-खो टूर्नामेंट की मेजबानी की थी?</v>
      </c>
      <c r="H163" s="5" t="str">
        <f>IFERROR(__xludf.DUMMYFUNCTION("GOOGLETRANSLATE(C163, ""en"", ""hi"")"),"ए) पंजाब, बी) हरियाणा, सी) महाराष्ट्र, डी) उत्तर प्रदेश")</f>
        <v>ए) पंजाब, बी) हरियाणा, सी) महाराष्ट्र, डी) उत्तर प्रदेश</v>
      </c>
      <c r="I163" s="5" t="str">
        <f>IFERROR(__xludf.DUMMYFUNCTION("GOOGLETRANSLATE(D163, ""en"", ""hi"")"),"बी) हरियाणा")</f>
        <v>बी) हरियाणा</v>
      </c>
    </row>
    <row r="164" ht="22.5" customHeight="1">
      <c r="A164" s="7">
        <v>163.0</v>
      </c>
      <c r="B164" s="8" t="s">
        <v>2021</v>
      </c>
      <c r="C164" s="8" t="s">
        <v>1966</v>
      </c>
      <c r="D164" s="8" t="s">
        <v>1915</v>
      </c>
      <c r="F164" s="5" t="str">
        <f>IFERROR(__xludf.DUMMYFUNCTION("GOOGLETRANSLATE(A164, ""en"", ""hi"")"),"163")</f>
        <v>163</v>
      </c>
      <c r="G164" s="5" t="str">
        <f>IFERROR(__xludf.DUMMYFUNCTION("GOOGLETRANSLATE(B164, ""en"", ""hi"")"),"पद्म भूषण पुरस्कार प्राप्त करने वाले पहले खो-खो खिलाड़ी कौन थे?")</f>
        <v>पद्म भूषण पुरस्कार प्राप्त करने वाले पहले खो-खो खिलाड़ी कौन थे?</v>
      </c>
      <c r="H164" s="5" t="str">
        <f>IFERROR(__xludf.DUMMYFUNCTION("GOOGLETRANSLATE(C164, ""en"", ""hi"")"),"A) एच.पी. सिंह, B) आर.एस. कुमार, C) एम.के. शर्मा, D) एस.पी. सिंह")</f>
        <v>A) एच.पी. सिंह, B) आर.एस. कुमार, C) एम.के. शर्मा, D) एस.पी. सिंह</v>
      </c>
      <c r="I164" s="5" t="str">
        <f>IFERROR(__xludf.DUMMYFUNCTION("GOOGLETRANSLATE(D164, ""en"", ""hi"")"),"ए) एच.पी. सिंह")</f>
        <v>ए) एच.पी. सिंह</v>
      </c>
    </row>
    <row r="165" ht="22.5" customHeight="1">
      <c r="A165" s="7">
        <v>164.0</v>
      </c>
      <c r="B165" s="8" t="s">
        <v>2017</v>
      </c>
      <c r="C165" s="8" t="s">
        <v>2105</v>
      </c>
      <c r="D165" s="8" t="s">
        <v>2070</v>
      </c>
      <c r="F165" s="5" t="str">
        <f>IFERROR(__xludf.DUMMYFUNCTION("GOOGLETRANSLATE(A165, ""en"", ""hi"")"),"164")</f>
        <v>164</v>
      </c>
      <c r="G165" s="5" t="str">
        <f>IFERROR(__xludf.DUMMYFUNCTION("GOOGLETRANSLATE(B165, ""en"", ""hi"")"),"2010 में शुरू किए गए खो-खो विकास कार्यक्रम का प्राथमिक फोकस क्या था?")</f>
        <v>2010 में शुरू किए गए खो-खो विकास कार्यक्रम का प्राथमिक फोकस क्या था?</v>
      </c>
      <c r="H165" s="5" t="str">
        <f>IFERROR(__xludf.DUMMYFUNCTION("GOOGLETRANSLATE(C165, ""en"", ""hi"")"),"A) जमीनी स्तर पर विकास का समर्थन करना, B) अंतर्राष्ट्रीय प्रतिस्पर्धा को बढ़ाना, C) नई स्कोरिंग प्रणालियाँ स्थापित करना, D) क्षेत्र आयामों को मानकीकृत करना")</f>
        <v>A) जमीनी स्तर पर विकास का समर्थन करना, B) अंतर्राष्ट्रीय प्रतिस्पर्धा को बढ़ाना, C) नई स्कोरिंग प्रणालियाँ स्थापित करना, D) क्षेत्र आयामों को मानकीकृत करना</v>
      </c>
      <c r="I165" s="5" t="str">
        <f>IFERROR(__xludf.DUMMYFUNCTION("GOOGLETRANSLATE(D165, ""en"", ""hi"")"),"A) जमीनी स्तर पर विकास का समर्थन करना")</f>
        <v>A) जमीनी स्तर पर विकास का समर्थन करना</v>
      </c>
    </row>
    <row r="166" ht="22.5" customHeight="1">
      <c r="A166" s="7">
        <v>165.0</v>
      </c>
      <c r="B166" s="8" t="s">
        <v>2106</v>
      </c>
      <c r="C166" s="8" t="s">
        <v>1998</v>
      </c>
      <c r="D166" s="8" t="s">
        <v>2107</v>
      </c>
      <c r="F166" s="5" t="str">
        <f>IFERROR(__xludf.DUMMYFUNCTION("GOOGLETRANSLATE(A166, ""en"", ""hi"")"),"165")</f>
        <v>165</v>
      </c>
      <c r="G166" s="5" t="str">
        <f>IFERROR(__xludf.DUMMYFUNCTION("GOOGLETRANSLATE(B166, ""en"", ""hi"")"),"2015 में खो-खो विश्व कप की मेजबानी किस भारतीय शहर ने की?")</f>
        <v>2015 में खो-खो विश्व कप की मेजबानी किस भारतीय शहर ने की?</v>
      </c>
      <c r="H166" s="5" t="str">
        <f>IFERROR(__xludf.DUMMYFUNCTION("GOOGLETRANSLATE(C166, ""en"", ""hi"")"),"ए) दिल्ली, बी) मुंबई, सी) बैंगलोर, डी) कोलकाता")</f>
        <v>ए) दिल्ली, बी) मुंबई, सी) बैंगलोर, डी) कोलकाता</v>
      </c>
      <c r="I166" s="5" t="str">
        <f>IFERROR(__xludf.DUMMYFUNCTION("GOOGLETRANSLATE(D166, ""en"", ""hi"")"),"D) कोलकाता")</f>
        <v>D) कोलकाता</v>
      </c>
    </row>
    <row r="167" ht="22.5" customHeight="1">
      <c r="A167" s="7">
        <v>166.0</v>
      </c>
      <c r="B167" s="8" t="s">
        <v>2108</v>
      </c>
      <c r="C167" s="8" t="s">
        <v>1988</v>
      </c>
      <c r="D167" s="8" t="s">
        <v>1974</v>
      </c>
      <c r="F167" s="5" t="str">
        <f>IFERROR(__xludf.DUMMYFUNCTION("GOOGLETRANSLATE(A167, ""en"", ""hi"")"),"166")</f>
        <v>166</v>
      </c>
      <c r="G167" s="5" t="str">
        <f>IFERROR(__xludf.DUMMYFUNCTION("GOOGLETRANSLATE(B167, ""en"", ""hi"")"),"2002 में खो-खो विश्व कप का मुख्य आयोजक कौन था?")</f>
        <v>2002 में खो-खो विश्व कप का मुख्य आयोजक कौन था?</v>
      </c>
      <c r="H167" s="5" t="str">
        <f>IFERROR(__xludf.DUMMYFUNCTION("GOOGLETRANSLATE(C167, ""en"", ""hi"")"),"A) वी.के. जोशी, B) एच.पी. सिंह, C) एम.के. शर्मा, D) आर.एस. कुमार")</f>
        <v>A) वी.के. जोशी, B) एच.पी. सिंह, C) एम.के. शर्मा, D) आर.एस. कुमार</v>
      </c>
      <c r="I167" s="5" t="str">
        <f>IFERROR(__xludf.DUMMYFUNCTION("GOOGLETRANSLATE(D167, ""en"", ""hi"")"),"A) वी.के. जोशी")</f>
        <v>A) वी.के. जोशी</v>
      </c>
    </row>
    <row r="168" ht="22.5" customHeight="1">
      <c r="A168" s="7">
        <v>167.0</v>
      </c>
      <c r="B168" s="8" t="s">
        <v>2109</v>
      </c>
      <c r="C168" s="8" t="s">
        <v>2028</v>
      </c>
      <c r="D168" s="8" t="s">
        <v>2029</v>
      </c>
      <c r="F168" s="5" t="str">
        <f>IFERROR(__xludf.DUMMYFUNCTION("GOOGLETRANSLATE(A168, ""en"", ""hi"")"),"167")</f>
        <v>167</v>
      </c>
      <c r="G168" s="5" t="str">
        <f>IFERROR(__xludf.DUMMYFUNCTION("GOOGLETRANSLATE(B168, ""en"", ""hi"")"),"खो-खो पहली बार भारतीय कॉलेज खेल महासंघ के पाठ्यक्रम में किस वर्ष शामिल हुआ?")</f>
        <v>खो-खो पहली बार भारतीय कॉलेज खेल महासंघ के पाठ्यक्रम में किस वर्ष शामिल हुआ?</v>
      </c>
      <c r="H168" s="5" t="str">
        <f>IFERROR(__xludf.DUMMYFUNCTION("GOOGLETRANSLATE(C168, ""en"", ""hi"")"),"ए) 1975, बी) 1980, सी) 1985, डी) 1990")</f>
        <v>ए) 1975, बी) 1980, सी) 1985, डी) 1990</v>
      </c>
      <c r="I168" s="5" t="str">
        <f>IFERROR(__xludf.DUMMYFUNCTION("GOOGLETRANSLATE(D168, ""en"", ""hi"")"),"ए) 1975")</f>
        <v>ए) 1975</v>
      </c>
    </row>
    <row r="169" ht="22.5" customHeight="1">
      <c r="A169" s="7">
        <v>168.0</v>
      </c>
      <c r="B169" s="8" t="s">
        <v>2110</v>
      </c>
      <c r="C169" s="8" t="s">
        <v>1966</v>
      </c>
      <c r="D169" s="8" t="s">
        <v>1980</v>
      </c>
      <c r="F169" s="5" t="str">
        <f>IFERROR(__xludf.DUMMYFUNCTION("GOOGLETRANSLATE(A169, ""en"", ""hi"")"),"168")</f>
        <v>168</v>
      </c>
      <c r="G169" s="5" t="str">
        <f>IFERROR(__xludf.DUMMYFUNCTION("GOOGLETRANSLATE(B169, ""en"", ""hi"")"),"1998 में आयोजित खो-खो विश्व कप में किस भारतीय खिलाड़ी को उनके प्रदर्शन के लिए जाना गया?")</f>
        <v>1998 में आयोजित खो-खो विश्व कप में किस भारतीय खिलाड़ी को उनके प्रदर्शन के लिए जाना गया?</v>
      </c>
      <c r="H169" s="5" t="str">
        <f>IFERROR(__xludf.DUMMYFUNCTION("GOOGLETRANSLATE(C169, ""en"", ""hi"")"),"A) एच.पी. सिंह, B) आर.एस. कुमार, C) एम.के. शर्मा, D) एस.पी. सिंह")</f>
        <v>A) एच.पी. सिंह, B) आर.एस. कुमार, C) एम.के. शर्मा, D) एस.पी. सिंह</v>
      </c>
      <c r="I169" s="5" t="str">
        <f>IFERROR(__xludf.DUMMYFUNCTION("GOOGLETRANSLATE(D169, ""en"", ""hi"")"),"बी) आर.एस. कुमार")</f>
        <v>बी) आर.एस. कुमार</v>
      </c>
    </row>
    <row r="170" ht="22.5" customHeight="1">
      <c r="A170" s="7">
        <v>169.0</v>
      </c>
      <c r="B170" s="8" t="s">
        <v>2085</v>
      </c>
      <c r="C170" s="8" t="s">
        <v>2052</v>
      </c>
      <c r="D170" s="8" t="s">
        <v>1943</v>
      </c>
      <c r="F170" s="5" t="str">
        <f>IFERROR(__xludf.DUMMYFUNCTION("GOOGLETRANSLATE(A170, ""en"", ""hi"")"),"169")</f>
        <v>169</v>
      </c>
      <c r="G170" s="5" t="str">
        <f>IFERROR(__xludf.DUMMYFUNCTION("GOOGLETRANSLATE(B170, ""en"", ""hi"")"),"2010 में खो-खो में कौन सी प्रमुख प्रगति हुई?")</f>
        <v>2010 में खो-खो में कौन सी प्रमुख प्रगति हुई?</v>
      </c>
      <c r="H170" s="5" t="str">
        <f>IFERROR(__xludf.DUMMYFUNCTION("GOOGLETRANSLATE(C170, ""en"", ""hi"")"),"A) खो-खो लीग की शुरुआत, B) खो-खो विकास निधि की स्थापना, C) पहले खो-खो विश्व कप की मेजबानी, D) नई खेल तकनीक की शुरुआत")</f>
        <v>A) खो-खो लीग की शुरुआत, B) खो-खो विकास निधि की स्थापना, C) पहले खो-खो विश्व कप की मेजबानी, D) नई खेल तकनीक की शुरुआत</v>
      </c>
      <c r="I170" s="5" t="str">
        <f>IFERROR(__xludf.DUMMYFUNCTION("GOOGLETRANSLATE(D170, ""en"", ""hi"")"),"ए) खो-खो लीग की शुरुआत")</f>
        <v>ए) खो-खो लीग की शुरुआत</v>
      </c>
    </row>
    <row r="171" ht="22.5" customHeight="1">
      <c r="A171" s="7">
        <v>170.0</v>
      </c>
      <c r="B171" s="8" t="s">
        <v>2078</v>
      </c>
      <c r="C171" s="8" t="s">
        <v>249</v>
      </c>
      <c r="D171" s="8" t="s">
        <v>150</v>
      </c>
      <c r="F171" s="5" t="str">
        <f>IFERROR(__xludf.DUMMYFUNCTION("GOOGLETRANSLATE(A171, ""en"", ""hi"")"),"170")</f>
        <v>170</v>
      </c>
      <c r="G171" s="5" t="str">
        <f>IFERROR(__xludf.DUMMYFUNCTION("GOOGLETRANSLATE(B171, ""en"", ""hi"")"),"1990 के दशक में खो-खो अकादमी स्थापित करने वाला पहला राज्य कौन सा था?")</f>
        <v>1990 के दशक में खो-खो अकादमी स्थापित करने वाला पहला राज्य कौन सा था?</v>
      </c>
      <c r="H171" s="5" t="str">
        <f>IFERROR(__xludf.DUMMYFUNCTION("GOOGLETRANSLATE(C171, ""en"", ""hi"")"),"ए) हरियाणा, बी) पंजाब, सी) महाराष्ट्र, डी) उत्तर प्रदेश")</f>
        <v>ए) हरियाणा, बी) पंजाब, सी) महाराष्ट्र, डी) उत्तर प्रदेश</v>
      </c>
      <c r="I171" s="5" t="str">
        <f>IFERROR(__xludf.DUMMYFUNCTION("GOOGLETRANSLATE(D171, ""en"", ""hi"")"),"A) हरियाणा")</f>
        <v>A) हरियाणा</v>
      </c>
    </row>
    <row r="172" ht="22.5" customHeight="1">
      <c r="A172" s="7">
        <v>171.0</v>
      </c>
      <c r="B172" s="8" t="s">
        <v>2111</v>
      </c>
      <c r="C172" s="8" t="s">
        <v>1966</v>
      </c>
      <c r="D172" s="8" t="s">
        <v>2101</v>
      </c>
      <c r="F172" s="5" t="str">
        <f>IFERROR(__xludf.DUMMYFUNCTION("GOOGLETRANSLATE(A172, ""en"", ""hi"")"),"171")</f>
        <v>171</v>
      </c>
      <c r="G172" s="5" t="str">
        <f>IFERROR(__xludf.DUMMYFUNCTION("GOOGLETRANSLATE(B172, ""en"", ""hi"")"),"1994 में आयोजित खो-खो विश्व कप में अग्रणी स्कोरर कौन था?")</f>
        <v>1994 में आयोजित खो-खो विश्व कप में अग्रणी स्कोरर कौन था?</v>
      </c>
      <c r="H172" s="5" t="str">
        <f>IFERROR(__xludf.DUMMYFUNCTION("GOOGLETRANSLATE(C172, ""en"", ""hi"")"),"A) एच.पी. सिंह, B) आर.एस. कुमार, C) एम.के. शर्मा, D) एस.पी. सिंह")</f>
        <v>A) एच.पी. सिंह, B) आर.एस. कुमार, C) एम.के. शर्मा, D) एस.पी. सिंह</v>
      </c>
      <c r="I172" s="5" t="str">
        <f>IFERROR(__xludf.DUMMYFUNCTION("GOOGLETRANSLATE(D172, ""en"", ""hi"")"),"C) एम.के. शर्मा")</f>
        <v>C) एम.के. शर्मा</v>
      </c>
    </row>
    <row r="173" ht="22.5" customHeight="1">
      <c r="A173" s="7">
        <v>172.0</v>
      </c>
      <c r="B173" s="8" t="s">
        <v>2071</v>
      </c>
      <c r="C173" s="8" t="s">
        <v>1955</v>
      </c>
      <c r="D173" s="8" t="s">
        <v>814</v>
      </c>
      <c r="F173" s="5" t="str">
        <f>IFERROR(__xludf.DUMMYFUNCTION("GOOGLETRANSLATE(A173, ""en"", ""hi"")"),"172")</f>
        <v>172</v>
      </c>
      <c r="G173" s="5" t="str">
        <f>IFERROR(__xludf.DUMMYFUNCTION("GOOGLETRANSLATE(B173, ""en"", ""hi"")"),"खो-खो पहली बार दक्षिण एशियाई खेलों में किस वर्ष शामिल हुआ?")</f>
        <v>खो-खो पहली बार दक्षिण एशियाई खेलों में किस वर्ष शामिल हुआ?</v>
      </c>
      <c r="H173" s="5" t="str">
        <f>IFERROR(__xludf.DUMMYFUNCTION("GOOGLETRANSLATE(C173, ""en"", ""hi"")"),"ए) 1986, बी) 1990, सी) 1994, डी) 1998")</f>
        <v>ए) 1986, बी) 1990, सी) 1994, डी) 1998</v>
      </c>
      <c r="I173" s="5" t="str">
        <f>IFERROR(__xludf.DUMMYFUNCTION("GOOGLETRANSLATE(D173, ""en"", ""hi"")"),"बी) 1990")</f>
        <v>बी) 1990</v>
      </c>
    </row>
    <row r="174" ht="22.5" customHeight="1">
      <c r="A174" s="7">
        <v>173.0</v>
      </c>
      <c r="B174" s="8" t="s">
        <v>2007</v>
      </c>
      <c r="C174" s="8" t="s">
        <v>2039</v>
      </c>
      <c r="D174" s="8" t="s">
        <v>1927</v>
      </c>
      <c r="F174" s="5" t="str">
        <f>IFERROR(__xludf.DUMMYFUNCTION("GOOGLETRANSLATE(A174, ""en"", ""hi"")"),"173")</f>
        <v>173</v>
      </c>
      <c r="G174" s="5" t="str">
        <f>IFERROR(__xludf.DUMMYFUNCTION("GOOGLETRANSLATE(B174, ""en"", ""hi"")"),"2005 में खो-खो में कौन सा महत्वपूर्ण नियम परिवर्तन किया गया?")</f>
        <v>2005 में खो-खो में कौन सा महत्वपूर्ण नियम परिवर्तन किया गया?</v>
      </c>
      <c r="H174" s="5" t="str">
        <f>IFERROR(__xludf.DUMMYFUNCTION("GOOGLETRANSLATE(C174, ""en"", ""hi"")"),"ए) नए खिलाड़ी पदों को जोड़ना, बी) वीडियो समीक्षा की शुरूआत, सी) टैगिंग नियमों में संशोधन, डी) खेल अवधि का मानकीकरण")</f>
        <v>ए) नए खिलाड़ी पदों को जोड़ना, बी) वीडियो समीक्षा की शुरूआत, सी) टैगिंग नियमों में संशोधन, डी) खेल अवधि का मानकीकरण</v>
      </c>
      <c r="I174" s="5" t="str">
        <f>IFERROR(__xludf.DUMMYFUNCTION("GOOGLETRANSLATE(D174, ""en"", ""hi"")"),"C) टैगिंग नियमों में संशोधन")</f>
        <v>C) टैगिंग नियमों में संशोधन</v>
      </c>
    </row>
    <row r="175" ht="22.5" customHeight="1">
      <c r="A175" s="7">
        <v>174.0</v>
      </c>
      <c r="B175" s="8" t="s">
        <v>2043</v>
      </c>
      <c r="C175" s="8" t="s">
        <v>1966</v>
      </c>
      <c r="D175" s="8" t="s">
        <v>1915</v>
      </c>
      <c r="F175" s="5" t="str">
        <f>IFERROR(__xludf.DUMMYFUNCTION("GOOGLETRANSLATE(A175, ""en"", ""hi"")"),"174")</f>
        <v>174</v>
      </c>
      <c r="G175" s="5" t="str">
        <f>IFERROR(__xludf.DUMMYFUNCTION("GOOGLETRANSLATE(B175, ""en"", ""hi"")"),"किस भारतीय खिलाड़ी ने 2015 में एकल खो-खो मैच में सर्वाधिक सफल टैग का रिकॉर्ड बनाया?")</f>
        <v>किस भारतीय खिलाड़ी ने 2015 में एकल खो-खो मैच में सर्वाधिक सफल टैग का रिकॉर्ड बनाया?</v>
      </c>
      <c r="H175" s="5" t="str">
        <f>IFERROR(__xludf.DUMMYFUNCTION("GOOGLETRANSLATE(C175, ""en"", ""hi"")"),"A) एच.पी. सिंह, B) आर.एस. कुमार, C) एम.के. शर्मा, D) एस.पी. सिंह")</f>
        <v>A) एच.पी. सिंह, B) आर.एस. कुमार, C) एम.के. शर्मा, D) एस.पी. सिंह</v>
      </c>
      <c r="I175" s="5" t="str">
        <f>IFERROR(__xludf.DUMMYFUNCTION("GOOGLETRANSLATE(D175, ""en"", ""hi"")"),"ए) एच.पी. सिंह")</f>
        <v>ए) एच.पी. सिंह</v>
      </c>
    </row>
    <row r="176" ht="22.5" customHeight="1">
      <c r="A176" s="7">
        <v>175.0</v>
      </c>
      <c r="B176" s="8" t="s">
        <v>2112</v>
      </c>
      <c r="C176" s="8" t="s">
        <v>1960</v>
      </c>
      <c r="D176" s="8" t="s">
        <v>1889</v>
      </c>
      <c r="F176" s="5" t="str">
        <f>IFERROR(__xludf.DUMMYFUNCTION("GOOGLETRANSLATE(A176, ""en"", ""hi"")"),"175")</f>
        <v>175</v>
      </c>
      <c r="G176" s="5" t="str">
        <f>IFERROR(__xludf.DUMMYFUNCTION("GOOGLETRANSLATE(B176, ""en"", ""hi"")"),"1990 के दशक के अंत में खो-खो राष्ट्रीय चैम्पियनशिप का आयोजन स्थल कौन सा शहर था?")</f>
        <v>1990 के दशक के अंत में खो-खो राष्ट्रीय चैम्पियनशिप का आयोजन स्थल कौन सा शहर था?</v>
      </c>
      <c r="H176" s="5" t="str">
        <f>IFERROR(__xludf.DUMMYFUNCTION("GOOGLETRANSLATE(C176, ""en"", ""hi"")"),"A) दिल्ली, B) मुंबई, C) पुणे, D) बैंगलोर")</f>
        <v>A) दिल्ली, B) मुंबई, C) पुणे, D) बैंगलोर</v>
      </c>
      <c r="I176" s="5" t="str">
        <f>IFERROR(__xludf.DUMMYFUNCTION("GOOGLETRANSLATE(D176, ""en"", ""hi"")"),"C) पुणे")</f>
        <v>C) पुणे</v>
      </c>
    </row>
    <row r="177" ht="22.5" customHeight="1">
      <c r="A177" s="7">
        <v>176.0</v>
      </c>
      <c r="B177" s="8" t="s">
        <v>2004</v>
      </c>
      <c r="C177" s="8" t="s">
        <v>2049</v>
      </c>
      <c r="D177" s="8" t="s">
        <v>1927</v>
      </c>
      <c r="F177" s="5" t="str">
        <f>IFERROR(__xludf.DUMMYFUNCTION("GOOGLETRANSLATE(A177, ""en"", ""hi"")"),"176")</f>
        <v>176</v>
      </c>
      <c r="G177" s="5" t="str">
        <f>IFERROR(__xludf.DUMMYFUNCTION("GOOGLETRANSLATE(B177, ""en"", ""hi"")"),"1998 में खो-खो में कौन सा प्रमुख नियम परिवर्तन किया गया?")</f>
        <v>1998 में खो-खो में कौन सा प्रमुख नियम परिवर्तन किया गया?</v>
      </c>
      <c r="H177" s="5" t="str">
        <f>IFERROR(__xludf.DUMMYFUNCTION("GOOGLETRANSLATE(C177, ""en"", ""hi"")"),"ए) नए खिलाड़ी पदों का परिचय, बी) खेल अवधि का मानकीकरण, सी) टैगिंग नियमों में संशोधन, डी) इलेक्ट्रॉनिक स्कोरिंग की स्थापना")</f>
        <v>ए) नए खिलाड़ी पदों का परिचय, बी) खेल अवधि का मानकीकरण, सी) टैगिंग नियमों में संशोधन, डी) इलेक्ट्रॉनिक स्कोरिंग की स्थापना</v>
      </c>
      <c r="I177" s="5" t="str">
        <f>IFERROR(__xludf.DUMMYFUNCTION("GOOGLETRANSLATE(D177, ""en"", ""hi"")"),"C) टैगिंग नियमों में संशोधन")</f>
        <v>C) टैगिंग नियमों में संशोधन</v>
      </c>
    </row>
    <row r="178" ht="22.5" customHeight="1">
      <c r="A178" s="7">
        <v>177.0</v>
      </c>
      <c r="B178" s="8" t="s">
        <v>2065</v>
      </c>
      <c r="C178" s="8" t="s">
        <v>271</v>
      </c>
      <c r="D178" s="8" t="s">
        <v>66</v>
      </c>
      <c r="F178" s="5" t="str">
        <f>IFERROR(__xludf.DUMMYFUNCTION("GOOGLETRANSLATE(A178, ""en"", ""hi"")"),"177")</f>
        <v>177</v>
      </c>
      <c r="G178" s="5" t="str">
        <f>IFERROR(__xludf.DUMMYFUNCTION("GOOGLETRANSLATE(B178, ""en"", ""hi"")"),"1980 के दशक में किस भारतीय राज्य ने पहली बार अंतर्राष्ट्रीय खो-खो टूर्नामेंट की मेजबानी की थी?")</f>
        <v>1980 के दशक में किस भारतीय राज्य ने पहली बार अंतर्राष्ट्रीय खो-खो टूर्नामेंट की मेजबानी की थी?</v>
      </c>
      <c r="H178" s="5" t="str">
        <f>IFERROR(__xludf.DUMMYFUNCTION("GOOGLETRANSLATE(C178, ""en"", ""hi"")"),"ए) पंजाब, बी) हरियाणा, सी) महाराष्ट्र, डी) उत्तर प्रदेश")</f>
        <v>ए) पंजाब, बी) हरियाणा, सी) महाराष्ट्र, डी) उत्तर प्रदेश</v>
      </c>
      <c r="I178" s="5" t="str">
        <f>IFERROR(__xludf.DUMMYFUNCTION("GOOGLETRANSLATE(D178, ""en"", ""hi"")"),"A) पंजाब")</f>
        <v>A) पंजाब</v>
      </c>
    </row>
    <row r="179" ht="22.5" customHeight="1">
      <c r="A179" s="7">
        <v>178.0</v>
      </c>
      <c r="B179" s="8" t="s">
        <v>2075</v>
      </c>
      <c r="C179" s="8" t="s">
        <v>1988</v>
      </c>
      <c r="D179" s="8" t="s">
        <v>1974</v>
      </c>
      <c r="F179" s="5" t="str">
        <f>IFERROR(__xludf.DUMMYFUNCTION("GOOGLETRANSLATE(A179, ""en"", ""hi"")"),"178")</f>
        <v>178</v>
      </c>
      <c r="G179" s="5" t="str">
        <f>IFERROR(__xludf.DUMMYFUNCTION("GOOGLETRANSLATE(B179, ""en"", ""hi"")"),"1982 में खो-खो विश्व कप का मुख्य आयोजक कौन था?")</f>
        <v>1982 में खो-खो विश्व कप का मुख्य आयोजक कौन था?</v>
      </c>
      <c r="H179" s="5" t="str">
        <f>IFERROR(__xludf.DUMMYFUNCTION("GOOGLETRANSLATE(C179, ""en"", ""hi"")"),"A) वी.के. जोशी, B) एच.पी. सिंह, C) एम.के. शर्मा, D) आर.एस. कुमार")</f>
        <v>A) वी.के. जोशी, B) एच.पी. सिंह, C) एम.के. शर्मा, D) आर.एस. कुमार</v>
      </c>
      <c r="I179" s="5" t="str">
        <f>IFERROR(__xludf.DUMMYFUNCTION("GOOGLETRANSLATE(D179, ""en"", ""hi"")"),"A) वी.के. जोशी")</f>
        <v>A) वी.के. जोशी</v>
      </c>
    </row>
    <row r="180" ht="22.5" customHeight="1">
      <c r="A180" s="7">
        <v>179.0</v>
      </c>
      <c r="B180" s="8" t="s">
        <v>2032</v>
      </c>
      <c r="C180" s="8" t="s">
        <v>2077</v>
      </c>
      <c r="D180" s="8" t="s">
        <v>2070</v>
      </c>
      <c r="F180" s="5" t="str">
        <f>IFERROR(__xludf.DUMMYFUNCTION("GOOGLETRANSLATE(A180, ""en"", ""hi"")"),"179")</f>
        <v>179</v>
      </c>
      <c r="G180" s="5" t="str">
        <f>IFERROR(__xludf.DUMMYFUNCTION("GOOGLETRANSLATE(B180, ""en"", ""hi"")"),"1995 में स्थापित खो-खो विकास कोष का मुख्य उद्देश्य क्या था?")</f>
        <v>1995 में स्थापित खो-खो विकास कोष का मुख्य उद्देश्य क्या था?</v>
      </c>
      <c r="H180" s="5" t="str">
        <f>IFERROR(__xludf.DUMMYFUNCTION("GOOGLETRANSLATE(C180, ""en"", ""hi"")"),"A) जमीनी स्तर पर विकास का समर्थन करना, B) अंतर्राष्ट्रीय टूर्नामेंटों को बढ़ावा देना, C) नई तकनीक का परिचय देना, D) मैदान के आयामों का मानकीकरण करना")</f>
        <v>A) जमीनी स्तर पर विकास का समर्थन करना, B) अंतर्राष्ट्रीय टूर्नामेंटों को बढ़ावा देना, C) नई तकनीक का परिचय देना, D) मैदान के आयामों का मानकीकरण करना</v>
      </c>
      <c r="I180" s="5" t="str">
        <f>IFERROR(__xludf.DUMMYFUNCTION("GOOGLETRANSLATE(D180, ""en"", ""hi"")"),"A) जमीनी स्तर पर विकास का समर्थन करना")</f>
        <v>A) जमीनी स्तर पर विकास का समर्थन करना</v>
      </c>
    </row>
    <row r="181" ht="22.5" customHeight="1">
      <c r="A181" s="7">
        <v>180.0</v>
      </c>
      <c r="B181" s="8" t="s">
        <v>2091</v>
      </c>
      <c r="C181" s="8" t="s">
        <v>2031</v>
      </c>
      <c r="D181" s="8" t="s">
        <v>2092</v>
      </c>
      <c r="F181" s="5" t="str">
        <f>IFERROR(__xludf.DUMMYFUNCTION("GOOGLETRANSLATE(A181, ""en"", ""hi"")"),"180")</f>
        <v>180</v>
      </c>
      <c r="G181" s="5" t="str">
        <f>IFERROR(__xludf.DUMMYFUNCTION("GOOGLETRANSLATE(B181, ""en"", ""hi"")"),"कौन सा शहर 2000 के दशक के प्रारंभ में खो-खो राष्ट्रीय चैम्पियनशिप की मेजबानी के लिए जाना जाता था?")</f>
        <v>कौन सा शहर 2000 के दशक के प्रारंभ में खो-खो राष्ट्रीय चैम्पियनशिप की मेजबानी के लिए जाना जाता था?</v>
      </c>
      <c r="H181" s="5" t="str">
        <f>IFERROR(__xludf.DUMMYFUNCTION("GOOGLETRANSLATE(C181, ""en"", ""hi"")"),"A) दिल्ली, B) मुंबई, C) बैंगलोर, D) पुणे")</f>
        <v>A) दिल्ली, B) मुंबई, C) बैंगलोर, D) पुणे</v>
      </c>
      <c r="I181" s="5" t="str">
        <f>IFERROR(__xludf.DUMMYFUNCTION("GOOGLETRANSLATE(D181, ""en"", ""hi"")"),"D) पुणे")</f>
        <v>D) पुणे</v>
      </c>
    </row>
    <row r="182" ht="22.5" customHeight="1">
      <c r="A182" s="7">
        <v>181.0</v>
      </c>
      <c r="B182" s="8" t="s">
        <v>2113</v>
      </c>
      <c r="C182" s="8" t="s">
        <v>2099</v>
      </c>
      <c r="D182" s="8" t="s">
        <v>2042</v>
      </c>
      <c r="F182" s="5" t="str">
        <f>IFERROR(__xludf.DUMMYFUNCTION("GOOGLETRANSLATE(A182, ""en"", ""hi"")"),"181")</f>
        <v>181</v>
      </c>
      <c r="G182" s="5" t="str">
        <f>IFERROR(__xludf.DUMMYFUNCTION("GOOGLETRANSLATE(B182, ""en"", ""hi"")"),"वर्ष 2000 में खो-खो में क्या महत्वपूर्ण विकास हुआ?")</f>
        <v>वर्ष 2000 में खो-खो में क्या महत्वपूर्ण विकास हुआ?</v>
      </c>
      <c r="H182" s="5" t="str">
        <f>IFERROR(__xludf.DUMMYFUNCTION("GOOGLETRANSLATE(C182, ""en"", ""hi"")"),"A) टैगिंग के लिए समय सीमा का परिचय, B) मैदान के आयामों का मानकीकरण, C) खो-खो विश्व कप की स्थापना, D) नई तकनीक का परिचय")</f>
        <v>A) टैगिंग के लिए समय सीमा का परिचय, B) मैदान के आयामों का मानकीकरण, C) खो-खो विश्व कप की स्थापना, D) नई तकनीक का परिचय</v>
      </c>
      <c r="I182" s="5" t="str">
        <f>IFERROR(__xludf.DUMMYFUNCTION("GOOGLETRANSLATE(D182, ""en"", ""hi"")"),"ए) टैगिंग के लिए समय सीमा का परिचय")</f>
        <v>ए) टैगिंग के लिए समय सीमा का परिचय</v>
      </c>
    </row>
    <row r="183" ht="22.5" customHeight="1">
      <c r="A183" s="7">
        <v>182.0</v>
      </c>
      <c r="B183" s="8" t="s">
        <v>2114</v>
      </c>
      <c r="C183" s="8" t="s">
        <v>1880</v>
      </c>
      <c r="D183" s="8" t="s">
        <v>37</v>
      </c>
      <c r="F183" s="5" t="str">
        <f>IFERROR(__xludf.DUMMYFUNCTION("GOOGLETRANSLATE(A183, ""en"", ""hi"")"),"182")</f>
        <v>182</v>
      </c>
      <c r="G183" s="5" t="str">
        <f>IFERROR(__xludf.DUMMYFUNCTION("GOOGLETRANSLATE(B183, ""en"", ""hi"")"),"2015 में खो-खो विश्व कप किसने जीता?")</f>
        <v>2015 में खो-खो विश्व कप किसने जीता?</v>
      </c>
      <c r="H183" s="5" t="str">
        <f>IFERROR(__xludf.DUMMYFUNCTION("GOOGLETRANSLATE(C183, ""en"", ""hi"")"),"A) भारत, B) पाकिस्तान, C) श्रीलंका, D) बांग्लादेश")</f>
        <v>A) भारत, B) पाकिस्तान, C) श्रीलंका, D) बांग्लादेश</v>
      </c>
      <c r="I183" s="5" t="str">
        <f>IFERROR(__xludf.DUMMYFUNCTION("GOOGLETRANSLATE(D183, ""en"", ""hi"")"),"ए) भारत")</f>
        <v>ए) भारत</v>
      </c>
    </row>
    <row r="184" ht="22.5" customHeight="1">
      <c r="A184" s="7">
        <v>183.0</v>
      </c>
      <c r="B184" s="8" t="s">
        <v>2115</v>
      </c>
      <c r="C184" s="8" t="s">
        <v>1966</v>
      </c>
      <c r="D184" s="8" t="s">
        <v>2116</v>
      </c>
      <c r="F184" s="5" t="str">
        <f>IFERROR(__xludf.DUMMYFUNCTION("GOOGLETRANSLATE(A184, ""en"", ""hi"")"),"183")</f>
        <v>183</v>
      </c>
      <c r="G184" s="5" t="str">
        <f>IFERROR(__xludf.DUMMYFUNCTION("GOOGLETRANSLATE(B184, ""en"", ""hi"")"),"1990 के दशक में कौन सा भारतीय खिलाड़ी अपने असाधारण लक्ष्य का पीछा करने के कौशल के लिए जाना जाता था?")</f>
        <v>1990 के दशक में कौन सा भारतीय खिलाड़ी अपने असाधारण लक्ष्य का पीछा करने के कौशल के लिए जाना जाता था?</v>
      </c>
      <c r="H184" s="5" t="str">
        <f>IFERROR(__xludf.DUMMYFUNCTION("GOOGLETRANSLATE(C184, ""en"", ""hi"")"),"A) एच.पी. सिंह, B) आर.एस. कुमार, C) एम.के. शर्मा, D) एस.पी. सिंह")</f>
        <v>A) एच.पी. सिंह, B) आर.एस. कुमार, C) एम.के. शर्मा, D) एस.पी. सिंह</v>
      </c>
      <c r="I184" s="5" t="str">
        <f>IFERROR(__xludf.DUMMYFUNCTION("GOOGLETRANSLATE(D184, ""en"", ""hi"")"),"A) एच.पी. सिंह, B) आर.एस. कुमार")</f>
        <v>A) एच.पी. सिंह, B) आर.एस. कुमार</v>
      </c>
    </row>
    <row r="185" ht="22.5" customHeight="1">
      <c r="A185" s="7">
        <v>184.0</v>
      </c>
      <c r="B185" s="8" t="s">
        <v>2117</v>
      </c>
      <c r="C185" s="8" t="s">
        <v>2118</v>
      </c>
      <c r="D185" s="8" t="s">
        <v>2119</v>
      </c>
      <c r="F185" s="5" t="str">
        <f>IFERROR(__xludf.DUMMYFUNCTION("GOOGLETRANSLATE(A185, ""en"", ""hi"")"),"184")</f>
        <v>184</v>
      </c>
      <c r="G185" s="5" t="str">
        <f>IFERROR(__xludf.DUMMYFUNCTION("GOOGLETRANSLATE(B185, ""en"", ""hi"")"),"1995 में खो-खो में कौन से महत्वपूर्ण नियम परिवर्तन किए गए?")</f>
        <v>1995 में खो-खो में कौन से महत्वपूर्ण नियम परिवर्तन किए गए?</v>
      </c>
      <c r="H185" s="5" t="str">
        <f>IFERROR(__xludf.DUMMYFUNCTION("GOOGLETRANSLATE(C185, ""en"", ""hi"")"),"ए) खो-खो विकास निधि की स्थापना, बी) इलेक्ट्रॉनिक स्कोरिंग की शुरुआत, सी) एशियाई खो-खो महासंघ का गठन, डी) टैगिंग नियमों में संशोधन")</f>
        <v>ए) खो-खो विकास निधि की स्थापना, बी) इलेक्ट्रॉनिक स्कोरिंग की शुरुआत, सी) एशियाई खो-खो महासंघ का गठन, डी) टैगिंग नियमों में संशोधन</v>
      </c>
      <c r="I185" s="5" t="str">
        <f>IFERROR(__xludf.DUMMYFUNCTION("GOOGLETRANSLATE(D185, ""en"", ""hi"")"),"क) खो-खो विकास कोष की स्थापना, ग) एशियाई खो-खो महासंघ का गठन")</f>
        <v>क) खो-खो विकास कोष की स्थापना, ग) एशियाई खो-खो महासंघ का गठन</v>
      </c>
    </row>
    <row r="186" ht="22.5" customHeight="1">
      <c r="A186" s="7">
        <v>185.0</v>
      </c>
      <c r="B186" s="8" t="s">
        <v>2120</v>
      </c>
      <c r="C186" s="8" t="s">
        <v>2058</v>
      </c>
      <c r="D186" s="8" t="s">
        <v>1953</v>
      </c>
      <c r="F186" s="5" t="str">
        <f>IFERROR(__xludf.DUMMYFUNCTION("GOOGLETRANSLATE(A186, ""en"", ""hi"")"),"185")</f>
        <v>185</v>
      </c>
      <c r="G186" s="5" t="str">
        <f>IFERROR(__xludf.DUMMYFUNCTION("GOOGLETRANSLATE(B186, ""en"", ""hi"")"),"2002 में आयोजित खो-खो विश्व कप में शीर्ष स्कोरर कौन था?")</f>
        <v>2002 में आयोजित खो-खो विश्व कप में शीर्ष स्कोरर कौन था?</v>
      </c>
      <c r="H186" s="5" t="str">
        <f>IFERROR(__xludf.DUMMYFUNCTION("GOOGLETRANSLATE(C186, ""en"", ""hi"")"),"A) एम.के. शर्मा, B) एच.पी. सिंह, C) आर.एस. कुमार, D) एस.पी. सिंह")</f>
        <v>A) एम.के. शर्मा, B) एच.पी. सिंह, C) आर.एस. कुमार, D) एस.पी. सिंह</v>
      </c>
      <c r="I186" s="5" t="str">
        <f>IFERROR(__xludf.DUMMYFUNCTION("GOOGLETRANSLATE(D186, ""en"", ""hi"")"),"बी) एच.पी. सिंह")</f>
        <v>बी) एच.पी. सिंह</v>
      </c>
    </row>
    <row r="187" ht="22.5" customHeight="1">
      <c r="A187" s="7">
        <v>186.0</v>
      </c>
      <c r="B187" s="8" t="s">
        <v>2121</v>
      </c>
      <c r="C187" s="8" t="s">
        <v>271</v>
      </c>
      <c r="D187" s="8" t="s">
        <v>603</v>
      </c>
      <c r="F187" s="5" t="str">
        <f>IFERROR(__xludf.DUMMYFUNCTION("GOOGLETRANSLATE(A187, ""en"", ""hi"")"),"186")</f>
        <v>186</v>
      </c>
      <c r="G187" s="5" t="str">
        <f>IFERROR(__xludf.DUMMYFUNCTION("GOOGLETRANSLATE(B187, ""en"", ""hi"")"),"1990 के दशक में कौन सा भारतीय राज्य पहली बार अंतर्राष्ट्रीय खो-खो टूर्नामेंट की मेजबानी करने वाला था?")</f>
        <v>1990 के दशक में कौन सा भारतीय राज्य पहली बार अंतर्राष्ट्रीय खो-खो टूर्नामेंट की मेजबानी करने वाला था?</v>
      </c>
      <c r="H187" s="5" t="str">
        <f>IFERROR(__xludf.DUMMYFUNCTION("GOOGLETRANSLATE(C187, ""en"", ""hi"")"),"ए) पंजाब, बी) हरियाणा, सी) महाराष्ट्र, डी) उत्तर प्रदेश")</f>
        <v>ए) पंजाब, बी) हरियाणा, सी) महाराष्ट्र, डी) उत्तर प्रदेश</v>
      </c>
      <c r="I187" s="5" t="str">
        <f>IFERROR(__xludf.DUMMYFUNCTION("GOOGLETRANSLATE(D187, ""en"", ""hi"")"),"बी) हरियाणा")</f>
        <v>बी) हरियाणा</v>
      </c>
    </row>
    <row r="188" ht="22.5" customHeight="1">
      <c r="A188" s="7">
        <v>187.0</v>
      </c>
      <c r="B188" s="8" t="s">
        <v>2122</v>
      </c>
      <c r="C188" s="8" t="s">
        <v>2099</v>
      </c>
      <c r="D188" s="8" t="s">
        <v>2042</v>
      </c>
      <c r="F188" s="5" t="str">
        <f>IFERROR(__xludf.DUMMYFUNCTION("GOOGLETRANSLATE(A188, ""en"", ""hi"")"),"187")</f>
        <v>187</v>
      </c>
      <c r="G188" s="5" t="str">
        <f>IFERROR(__xludf.DUMMYFUNCTION("GOOGLETRANSLATE(B188, ""en"", ""hi"")"),"खो-खो के इतिहास में 2000 में कौन सी प्रमुख घटना घटी?")</f>
        <v>खो-खो के इतिहास में 2000 में कौन सी प्रमुख घटना घटी?</v>
      </c>
      <c r="H188" s="5" t="str">
        <f>IFERROR(__xludf.DUMMYFUNCTION("GOOGLETRANSLATE(C188, ""en"", ""hi"")"),"A) टैगिंग के लिए समय सीमा का परिचय, B) मैदान के आयामों का मानकीकरण, C) खो-खो विश्व कप की स्थापना, D) नई तकनीक का परिचय")</f>
        <v>A) टैगिंग के लिए समय सीमा का परिचय, B) मैदान के आयामों का मानकीकरण, C) खो-खो विश्व कप की स्थापना, D) नई तकनीक का परिचय</v>
      </c>
      <c r="I188" s="5" t="str">
        <f>IFERROR(__xludf.DUMMYFUNCTION("GOOGLETRANSLATE(D188, ""en"", ""hi"")"),"ए) टैगिंग के लिए समय सीमा का परिचय")</f>
        <v>ए) टैगिंग के लिए समय सीमा का परिचय</v>
      </c>
    </row>
    <row r="189" ht="22.5" customHeight="1">
      <c r="A189" s="7">
        <v>188.0</v>
      </c>
      <c r="B189" s="8" t="s">
        <v>2123</v>
      </c>
      <c r="C189" s="8" t="s">
        <v>1984</v>
      </c>
      <c r="D189" s="8" t="s">
        <v>2124</v>
      </c>
      <c r="F189" s="5" t="str">
        <f>IFERROR(__xludf.DUMMYFUNCTION("GOOGLETRANSLATE(A189, ""en"", ""hi"")"),"188")</f>
        <v>188</v>
      </c>
      <c r="G189" s="5" t="str">
        <f>IFERROR(__xludf.DUMMYFUNCTION("GOOGLETRANSLATE(B189, ""en"", ""hi"")"),"खो-खो में उनके योगदान के लिए किस भारतीय खिलाड़ी को द्रोणाचार्य पुरस्कार से सम्मानित किया गया?")</f>
        <v>खो-खो में उनके योगदान के लिए किस भारतीय खिलाड़ी को द्रोणाचार्य पुरस्कार से सम्मानित किया गया?</v>
      </c>
      <c r="H189" s="5" t="str">
        <f>IFERROR(__xludf.DUMMYFUNCTION("GOOGLETRANSLATE(C189, ""en"", ""hi"")"),"A) एच.पी. सिंह, B) एम.के. शर्मा, C) आर.एस. कुमार, D) एस.पी. सिंह")</f>
        <v>A) एच.पी. सिंह, B) एम.के. शर्मा, C) आर.एस. कुमार, D) एस.पी. सिंह</v>
      </c>
      <c r="I189" s="5" t="str">
        <f>IFERROR(__xludf.DUMMYFUNCTION("GOOGLETRANSLATE(D189, ""en"", ""hi"")"),"बी) एम.के. शर्मा")</f>
        <v>बी) एम.के. शर्मा</v>
      </c>
    </row>
    <row r="190" ht="22.5" customHeight="1">
      <c r="A190" s="7">
        <v>189.0</v>
      </c>
      <c r="B190" s="8" t="s">
        <v>2125</v>
      </c>
      <c r="C190" s="8" t="s">
        <v>1880</v>
      </c>
      <c r="D190" s="8" t="s">
        <v>37</v>
      </c>
      <c r="F190" s="5" t="str">
        <f>IFERROR(__xludf.DUMMYFUNCTION("GOOGLETRANSLATE(A190, ""en"", ""hi"")"),"189")</f>
        <v>189</v>
      </c>
      <c r="G190" s="5" t="str">
        <f>IFERROR(__xludf.DUMMYFUNCTION("GOOGLETRANSLATE(B190, ""en"", ""hi"")"),"1990 में खो-खो विश्व कप किसने जीता?")</f>
        <v>1990 में खो-खो विश्व कप किसने जीता?</v>
      </c>
      <c r="H190" s="5" t="str">
        <f>IFERROR(__xludf.DUMMYFUNCTION("GOOGLETRANSLATE(C190, ""en"", ""hi"")"),"A) भारत, B) पाकिस्तान, C) श्रीलंका, D) बांग्लादेश")</f>
        <v>A) भारत, B) पाकिस्तान, C) श्रीलंका, D) बांग्लादेश</v>
      </c>
      <c r="I190" s="5" t="str">
        <f>IFERROR(__xludf.DUMMYFUNCTION("GOOGLETRANSLATE(D190, ""en"", ""hi"")"),"ए) भारत")</f>
        <v>ए) भारत</v>
      </c>
    </row>
    <row r="191" ht="22.5" customHeight="1">
      <c r="A191" s="7">
        <v>190.0</v>
      </c>
      <c r="B191" s="8" t="s">
        <v>2126</v>
      </c>
      <c r="C191" s="8" t="s">
        <v>1857</v>
      </c>
      <c r="D191" s="8" t="s">
        <v>2127</v>
      </c>
      <c r="F191" s="5" t="str">
        <f>IFERROR(__xludf.DUMMYFUNCTION("GOOGLETRANSLATE(A191, ""en"", ""hi"")"),"190")</f>
        <v>190</v>
      </c>
      <c r="G191" s="5" t="str">
        <f>IFERROR(__xludf.DUMMYFUNCTION("GOOGLETRANSLATE(B191, ""en"", ""hi"")"),"1998 में खो-खो विश्व कप की मेजबानी किस शहर ने की थी?")</f>
        <v>1998 में खो-खो विश्व कप की मेजबानी किस शहर ने की थी?</v>
      </c>
      <c r="H191" s="5" t="str">
        <f>IFERROR(__xludf.DUMMYFUNCTION("GOOGLETRANSLATE(C191, ""en"", ""hi"")"),"ए) दिल्ली, बी) मुंबई, सी) कोलकाता, डी) बैंगलोर")</f>
        <v>ए) दिल्ली, बी) मुंबई, सी) कोलकाता, डी) बैंगलोर</v>
      </c>
      <c r="I191" s="5" t="str">
        <f>IFERROR(__xludf.DUMMYFUNCTION("GOOGLETRANSLATE(D191, ""en"", ""hi"")"),"C) कोलकाता")</f>
        <v>C) कोलकाता</v>
      </c>
    </row>
    <row r="192" ht="22.5" customHeight="1">
      <c r="A192" s="7">
        <v>191.0</v>
      </c>
      <c r="B192" s="8" t="s">
        <v>2128</v>
      </c>
      <c r="C192" s="8" t="s">
        <v>2089</v>
      </c>
      <c r="D192" s="8" t="s">
        <v>2090</v>
      </c>
      <c r="F192" s="5" t="str">
        <f>IFERROR(__xludf.DUMMYFUNCTION("GOOGLETRANSLATE(A192, ""en"", ""hi"")"),"191")</f>
        <v>191</v>
      </c>
      <c r="G192" s="5" t="str">
        <f>IFERROR(__xludf.DUMMYFUNCTION("GOOGLETRANSLATE(B192, ""en"", ""hi"")"),"1982 में खो-खो में कौन से नियम परिवर्तन किए गए?")</f>
        <v>1982 में खो-खो में कौन से नियम परिवर्तन किए गए?</v>
      </c>
      <c r="H192" s="5" t="str">
        <f>IFERROR(__xludf.DUMMYFUNCTION("GOOGLETRANSLATE(C192, ""en"", ""hi"")"),"ए) खो-खो विश्व कप की स्थापना, बी) इलेक्ट्रॉनिक स्कोरिंग की शुरुआत, सी) मैदान के आयामों में संशोधन, डी) नए खिलाड़ियों की स्थिति को जोड़ना")</f>
        <v>ए) खो-खो विश्व कप की स्थापना, बी) इलेक्ट्रॉनिक स्कोरिंग की शुरुआत, सी) मैदान के आयामों में संशोधन, डी) नए खिलाड़ियों की स्थिति को जोड़ना</v>
      </c>
      <c r="I192" s="5" t="str">
        <f>IFERROR(__xludf.DUMMYFUNCTION("GOOGLETRANSLATE(D192, ""en"", ""hi"")"),"ए) खो-खो विश्व कप की स्थापना")</f>
        <v>ए) खो-खो विश्व कप की स्थापना</v>
      </c>
    </row>
    <row r="193" ht="22.5" customHeight="1">
      <c r="A193" s="7">
        <v>192.0</v>
      </c>
      <c r="B193" s="8" t="s">
        <v>2129</v>
      </c>
      <c r="C193" s="8" t="s">
        <v>1960</v>
      </c>
      <c r="D193" s="8" t="s">
        <v>1889</v>
      </c>
      <c r="F193" s="5" t="str">
        <f>IFERROR(__xludf.DUMMYFUNCTION("GOOGLETRANSLATE(A193, ""en"", ""hi"")"),"192")</f>
        <v>192</v>
      </c>
      <c r="G193" s="5" t="str">
        <f>IFERROR(__xludf.DUMMYFUNCTION("GOOGLETRANSLATE(B193, ""en"", ""hi"")"),"1990 के दशक के अंत में खो-खो राष्ट्रीय चैम्पियनशिप की मेजबानी के लिए कौन सा शहर जाना जाता था?")</f>
        <v>1990 के दशक के अंत में खो-खो राष्ट्रीय चैम्पियनशिप की मेजबानी के लिए कौन सा शहर जाना जाता था?</v>
      </c>
      <c r="H193" s="5" t="str">
        <f>IFERROR(__xludf.DUMMYFUNCTION("GOOGLETRANSLATE(C193, ""en"", ""hi"")"),"A) दिल्ली, B) मुंबई, C) पुणे, D) बैंगलोर")</f>
        <v>A) दिल्ली, B) मुंबई, C) पुणे, D) बैंगलोर</v>
      </c>
      <c r="I193" s="5" t="str">
        <f>IFERROR(__xludf.DUMMYFUNCTION("GOOGLETRANSLATE(D193, ""en"", ""hi"")"),"C) पुणे")</f>
        <v>C) पुणे</v>
      </c>
    </row>
    <row r="194" ht="22.5" customHeight="1">
      <c r="A194" s="7">
        <v>193.0</v>
      </c>
      <c r="B194" s="8" t="s">
        <v>1951</v>
      </c>
      <c r="C194" s="8" t="s">
        <v>1966</v>
      </c>
      <c r="D194" s="8" t="s">
        <v>1915</v>
      </c>
      <c r="F194" s="5" t="str">
        <f>IFERROR(__xludf.DUMMYFUNCTION("GOOGLETRANSLATE(A194, ""en"", ""hi"")"),"193")</f>
        <v>193</v>
      </c>
      <c r="G194" s="5" t="str">
        <f>IFERROR(__xludf.DUMMYFUNCTION("GOOGLETRANSLATE(B194, ""en"", ""hi"")"),"2010 में आयोजित खो-खो विश्व कप में अग्रणी स्कोरर कौन था?")</f>
        <v>2010 में आयोजित खो-खो विश्व कप में अग्रणी स्कोरर कौन था?</v>
      </c>
      <c r="H194" s="5" t="str">
        <f>IFERROR(__xludf.DUMMYFUNCTION("GOOGLETRANSLATE(C194, ""en"", ""hi"")"),"A) एच.पी. सिंह, B) आर.एस. कुमार, C) एम.के. शर्मा, D) एस.पी. सिंह")</f>
        <v>A) एच.पी. सिंह, B) आर.एस. कुमार, C) एम.के. शर्मा, D) एस.पी. सिंह</v>
      </c>
      <c r="I194" s="5" t="str">
        <f>IFERROR(__xludf.DUMMYFUNCTION("GOOGLETRANSLATE(D194, ""en"", ""hi"")"),"ए) एच.पी. सिंह")</f>
        <v>ए) एच.पी. सिंह</v>
      </c>
    </row>
    <row r="195" ht="22.5" customHeight="1">
      <c r="A195" s="7">
        <v>194.0</v>
      </c>
      <c r="B195" s="8" t="s">
        <v>2130</v>
      </c>
      <c r="C195" s="8" t="s">
        <v>2080</v>
      </c>
      <c r="D195" s="8" t="s">
        <v>1953</v>
      </c>
      <c r="F195" s="5" t="str">
        <f>IFERROR(__xludf.DUMMYFUNCTION("GOOGLETRANSLATE(A195, ""en"", ""hi"")"),"194")</f>
        <v>194</v>
      </c>
      <c r="G195" s="5" t="str">
        <f>IFERROR(__xludf.DUMMYFUNCTION("GOOGLETRANSLATE(B195, ""en"", ""hi"")"),"किस भारतीय खिलाड़ी को एक खो-खो मैच में सर्वाधिक टैग का रिकॉर्ड स्थापित करने के लिए जाना जाता है?")</f>
        <v>किस भारतीय खिलाड़ी को एक खो-खो मैच में सर्वाधिक टैग का रिकॉर्ड स्थापित करने के लिए जाना जाता है?</v>
      </c>
      <c r="H195" s="5" t="str">
        <f>IFERROR(__xludf.DUMMYFUNCTION("GOOGLETRANSLATE(C195, ""en"", ""hi"")"),"A) आर.एस. कुमार, B) एच.पी. सिंह, C) एम.के. शर्मा, D) एस.पी. सिंह")</f>
        <v>A) आर.एस. कुमार, B) एच.पी. सिंह, C) एम.के. शर्मा, D) एस.पी. सिंह</v>
      </c>
      <c r="I195" s="5" t="str">
        <f>IFERROR(__xludf.DUMMYFUNCTION("GOOGLETRANSLATE(D195, ""en"", ""hi"")"),"बी) एच.पी. सिंह")</f>
        <v>बी) एच.पी. सिंह</v>
      </c>
    </row>
    <row r="196" ht="22.5" customHeight="1">
      <c r="A196" s="7">
        <v>195.0</v>
      </c>
      <c r="B196" s="8" t="s">
        <v>2073</v>
      </c>
      <c r="C196" s="8" t="s">
        <v>2131</v>
      </c>
      <c r="D196" s="8" t="s">
        <v>1927</v>
      </c>
      <c r="F196" s="5" t="str">
        <f>IFERROR(__xludf.DUMMYFUNCTION("GOOGLETRANSLATE(A196, ""en"", ""hi"")"),"195")</f>
        <v>195</v>
      </c>
      <c r="G196" s="5" t="str">
        <f>IFERROR(__xludf.DUMMYFUNCTION("GOOGLETRANSLATE(B196, ""en"", ""hi"")"),"2005 में खो-खो में कौन सा महत्वपूर्ण नियम परिवर्तन किया गया?")</f>
        <v>2005 में खो-खो में कौन सा महत्वपूर्ण नियम परिवर्तन किया गया?</v>
      </c>
      <c r="H196" s="5" t="str">
        <f>IFERROR(__xludf.DUMMYFUNCTION("GOOGLETRANSLATE(C196, ""en"", ""hi"")"),"ए) वीडियो समीक्षा की शुरूआत, बी) खेल अवधि का मानकीकरण, सी) टैगिंग नियमों में संशोधन, डी) नए खिलाड़ी पदों को जोड़ना")</f>
        <v>ए) वीडियो समीक्षा की शुरूआत, बी) खेल अवधि का मानकीकरण, सी) टैगिंग नियमों में संशोधन, डी) नए खिलाड़ी पदों को जोड़ना</v>
      </c>
      <c r="I196" s="5" t="str">
        <f>IFERROR(__xludf.DUMMYFUNCTION("GOOGLETRANSLATE(D196, ""en"", ""hi"")"),"C) टैगिंग नियमों में संशोधन")</f>
        <v>C) टैगिंग नियमों में संशोधन</v>
      </c>
    </row>
    <row r="197" ht="22.5" customHeight="1">
      <c r="A197" s="7">
        <v>196.0</v>
      </c>
      <c r="B197" s="8" t="s">
        <v>2078</v>
      </c>
      <c r="C197" s="8" t="s">
        <v>249</v>
      </c>
      <c r="D197" s="8" t="s">
        <v>150</v>
      </c>
      <c r="F197" s="5" t="str">
        <f>IFERROR(__xludf.DUMMYFUNCTION("GOOGLETRANSLATE(A197, ""en"", ""hi"")"),"196")</f>
        <v>196</v>
      </c>
      <c r="G197" s="5" t="str">
        <f>IFERROR(__xludf.DUMMYFUNCTION("GOOGLETRANSLATE(B197, ""en"", ""hi"")"),"1990 के दशक में खो-खो अकादमी स्थापित करने वाला पहला राज्य कौन सा था?")</f>
        <v>1990 के दशक में खो-खो अकादमी स्थापित करने वाला पहला राज्य कौन सा था?</v>
      </c>
      <c r="H197" s="5" t="str">
        <f>IFERROR(__xludf.DUMMYFUNCTION("GOOGLETRANSLATE(C197, ""en"", ""hi"")"),"ए) हरियाणा, बी) पंजाब, सी) महाराष्ट्र, डी) उत्तर प्रदेश")</f>
        <v>ए) हरियाणा, बी) पंजाब, सी) महाराष्ट्र, डी) उत्तर प्रदेश</v>
      </c>
      <c r="I197" s="5" t="str">
        <f>IFERROR(__xludf.DUMMYFUNCTION("GOOGLETRANSLATE(D197, ""en"", ""hi"")"),"A) हरियाणा")</f>
        <v>A) हरियाणा</v>
      </c>
    </row>
    <row r="198" ht="22.5" customHeight="1">
      <c r="A198" s="7">
        <v>197.0</v>
      </c>
      <c r="B198" s="8" t="s">
        <v>2132</v>
      </c>
      <c r="C198" s="8" t="s">
        <v>2080</v>
      </c>
      <c r="D198" s="8" t="s">
        <v>1953</v>
      </c>
      <c r="F198" s="5" t="str">
        <f>IFERROR(__xludf.DUMMYFUNCTION("GOOGLETRANSLATE(A198, ""en"", ""hi"")"),"197")</f>
        <v>197</v>
      </c>
      <c r="G198" s="5" t="str">
        <f>IFERROR(__xludf.DUMMYFUNCTION("GOOGLETRANSLATE(B198, ""en"", ""hi"")"),"किस भारतीय खिलाड़ी ने 2005 में एक ही मैच में सर्वाधिक सफल टैग का रिकार्ड बनाया?")</f>
        <v>किस भारतीय खिलाड़ी ने 2005 में एक ही मैच में सर्वाधिक सफल टैग का रिकार्ड बनाया?</v>
      </c>
      <c r="H198" s="5" t="str">
        <f>IFERROR(__xludf.DUMMYFUNCTION("GOOGLETRANSLATE(C198, ""en"", ""hi"")"),"A) आर.एस. कुमार, B) एच.पी. सिंह, C) एम.के. शर्मा, D) एस.पी. सिंह")</f>
        <v>A) आर.एस. कुमार, B) एच.पी. सिंह, C) एम.के. शर्मा, D) एस.पी. सिंह</v>
      </c>
      <c r="I198" s="5" t="str">
        <f>IFERROR(__xludf.DUMMYFUNCTION("GOOGLETRANSLATE(D198, ""en"", ""hi"")"),"बी) एच.पी. सिंह")</f>
        <v>बी) एच.पी. सिंह</v>
      </c>
    </row>
    <row r="199" ht="22.5" customHeight="1">
      <c r="A199" s="7">
        <v>198.0</v>
      </c>
      <c r="B199" s="8" t="s">
        <v>2100</v>
      </c>
      <c r="C199" s="8" t="s">
        <v>1988</v>
      </c>
      <c r="D199" s="8" t="s">
        <v>2101</v>
      </c>
      <c r="F199" s="5" t="str">
        <f>IFERROR(__xludf.DUMMYFUNCTION("GOOGLETRANSLATE(A199, ""en"", ""hi"")"),"198")</f>
        <v>198</v>
      </c>
      <c r="G199" s="5" t="str">
        <f>IFERROR(__xludf.DUMMYFUNCTION("GOOGLETRANSLATE(B199, ""en"", ""hi"")"),"1984 में खो-खो विश्व कप का मुख्य आयोजक कौन था?")</f>
        <v>1984 में खो-खो विश्व कप का मुख्य आयोजक कौन था?</v>
      </c>
      <c r="H199" s="5" t="str">
        <f>IFERROR(__xludf.DUMMYFUNCTION("GOOGLETRANSLATE(C199, ""en"", ""hi"")"),"A) वी.के. जोशी, B) एच.पी. सिंह, C) एम.के. शर्मा, D) आर.एस. कुमार")</f>
        <v>A) वी.के. जोशी, B) एच.पी. सिंह, C) एम.के. शर्मा, D) आर.एस. कुमार</v>
      </c>
      <c r="I199" s="5" t="str">
        <f>IFERROR(__xludf.DUMMYFUNCTION("GOOGLETRANSLATE(D199, ""en"", ""hi"")"),"C) एम.के. शर्मा")</f>
        <v>C) एम.के. शर्मा</v>
      </c>
    </row>
    <row r="200" ht="22.5" customHeight="1">
      <c r="A200" s="7">
        <v>199.0</v>
      </c>
      <c r="B200" s="8" t="s">
        <v>2133</v>
      </c>
      <c r="C200" s="8" t="s">
        <v>2068</v>
      </c>
      <c r="D200" s="8" t="s">
        <v>1927</v>
      </c>
      <c r="F200" s="5" t="str">
        <f>IFERROR(__xludf.DUMMYFUNCTION("GOOGLETRANSLATE(A200, ""en"", ""hi"")"),"199")</f>
        <v>199</v>
      </c>
      <c r="G200" s="5" t="str">
        <f>IFERROR(__xludf.DUMMYFUNCTION("GOOGLETRANSLATE(B200, ""en"", ""hi"")"),"1998 में खो-खो में क्या महत्वपूर्ण विकास हुआ?")</f>
        <v>1998 में खो-खो में क्या महत्वपूर्ण विकास हुआ?</v>
      </c>
      <c r="H200" s="5" t="str">
        <f>IFERROR(__xludf.DUMMYFUNCTION("GOOGLETRANSLATE(C200, ""en"", ""hi"")"),"ए) खो-खो विश्व कप की स्थापना, बी) नए मैदान आयामों की शुरूआत, सी) टैगिंग नियमों में संशोधन, डी) इलेक्ट्रॉनिक स्कोरिंग सिस्टम की शुरूआत")</f>
        <v>ए) खो-खो विश्व कप की स्थापना, बी) नए मैदान आयामों की शुरूआत, सी) टैगिंग नियमों में संशोधन, डी) इलेक्ट्रॉनिक स्कोरिंग सिस्टम की शुरूआत</v>
      </c>
      <c r="I200" s="5" t="str">
        <f>IFERROR(__xludf.DUMMYFUNCTION("GOOGLETRANSLATE(D200, ""en"", ""hi"")"),"C) टैगिंग नियमों में संशोधन")</f>
        <v>C) टैगिंग नियमों में संशोधन</v>
      </c>
    </row>
    <row r="201" ht="22.5" customHeight="1">
      <c r="A201" s="7">
        <v>200.0</v>
      </c>
      <c r="B201" s="8" t="s">
        <v>2106</v>
      </c>
      <c r="C201" s="8" t="s">
        <v>1998</v>
      </c>
      <c r="D201" s="8" t="s">
        <v>2107</v>
      </c>
      <c r="F201" s="5" t="str">
        <f>IFERROR(__xludf.DUMMYFUNCTION("GOOGLETRANSLATE(A201, ""en"", ""hi"")"),"200")</f>
        <v>200</v>
      </c>
      <c r="G201" s="5" t="str">
        <f>IFERROR(__xludf.DUMMYFUNCTION("GOOGLETRANSLATE(B201, ""en"", ""hi"")"),"2015 में खो-खो विश्व कप की मेजबानी किस भारतीय शहर ने की?")</f>
        <v>2015 में खो-खो विश्व कप की मेजबानी किस भारतीय शहर ने की?</v>
      </c>
      <c r="H201" s="5" t="str">
        <f>IFERROR(__xludf.DUMMYFUNCTION("GOOGLETRANSLATE(C201, ""en"", ""hi"")"),"ए) दिल्ली, बी) मुंबई, सी) बैंगलोर, डी) कोलकाता")</f>
        <v>ए) दिल्ली, बी) मुंबई, सी) बैंगलोर, डी) कोलकाता</v>
      </c>
      <c r="I201" s="5" t="str">
        <f>IFERROR(__xludf.DUMMYFUNCTION("GOOGLETRANSLATE(D201, ""en"", ""hi"")"),"D) कोलकाता")</f>
        <v>D) कोलकाता</v>
      </c>
    </row>
    <row r="202" ht="22.5" customHeight="1">
      <c r="A202" s="7">
        <v>201.0</v>
      </c>
      <c r="B202" s="8" t="s">
        <v>2076</v>
      </c>
      <c r="C202" s="8" t="s">
        <v>2077</v>
      </c>
      <c r="D202" s="8" t="s">
        <v>2070</v>
      </c>
      <c r="F202" s="5" t="str">
        <f>IFERROR(__xludf.DUMMYFUNCTION("GOOGLETRANSLATE(A202, ""en"", ""hi"")"),"201")</f>
        <v>201</v>
      </c>
      <c r="G202" s="5" t="str">
        <f>IFERROR(__xludf.DUMMYFUNCTION("GOOGLETRANSLATE(B202, ""en"", ""hi"")"),"1995 में स्थापित खो-खो विकास कोष का प्राथमिक उद्देश्य क्या था?")</f>
        <v>1995 में स्थापित खो-खो विकास कोष का प्राथमिक उद्देश्य क्या था?</v>
      </c>
      <c r="H202" s="5" t="str">
        <f>IFERROR(__xludf.DUMMYFUNCTION("GOOGLETRANSLATE(C202, ""en"", ""hi"")"),"A) जमीनी स्तर पर विकास का समर्थन करना, B) अंतर्राष्ट्रीय टूर्नामेंटों को बढ़ावा देना, C) नई तकनीक का परिचय देना, D) मैदान के आयामों का मानकीकरण करना")</f>
        <v>A) जमीनी स्तर पर विकास का समर्थन करना, B) अंतर्राष्ट्रीय टूर्नामेंटों को बढ़ावा देना, C) नई तकनीक का परिचय देना, D) मैदान के आयामों का मानकीकरण करना</v>
      </c>
      <c r="I202" s="5" t="str">
        <f>IFERROR(__xludf.DUMMYFUNCTION("GOOGLETRANSLATE(D202, ""en"", ""hi"")"),"A) जमीनी स्तर पर विकास का समर्थन करना")</f>
        <v>A) जमीनी स्तर पर विकास का समर्थन करना</v>
      </c>
    </row>
    <row r="203" ht="22.5" customHeight="1">
      <c r="A203" s="7">
        <v>202.0</v>
      </c>
      <c r="B203" s="8" t="s">
        <v>2134</v>
      </c>
      <c r="C203" s="8" t="s">
        <v>1960</v>
      </c>
      <c r="D203" s="8" t="s">
        <v>2135</v>
      </c>
      <c r="F203" s="5" t="str">
        <f>IFERROR(__xludf.DUMMYFUNCTION("GOOGLETRANSLATE(A203, ""en"", ""hi"")"),"202")</f>
        <v>202</v>
      </c>
      <c r="G203" s="5" t="str">
        <f>IFERROR(__xludf.DUMMYFUNCTION("GOOGLETRANSLATE(B203, ""en"", ""hi"")"),"2002 में खो-खो राष्ट्रीय चैम्पियनशिप की मेजबानी किस राज्य ने की थी?")</f>
        <v>2002 में खो-खो राष्ट्रीय चैम्पियनशिप की मेजबानी किस राज्य ने की थी?</v>
      </c>
      <c r="H203" s="5" t="str">
        <f>IFERROR(__xludf.DUMMYFUNCTION("GOOGLETRANSLATE(C203, ""en"", ""hi"")"),"A) दिल्ली, B) मुंबई, C) पुणे, D) बैंगलोर")</f>
        <v>A) दिल्ली, B) मुंबई, C) पुणे, D) बैंगलोर</v>
      </c>
      <c r="I203" s="5" t="str">
        <f>IFERROR(__xludf.DUMMYFUNCTION("GOOGLETRANSLATE(D203, ""en"", ""hi"")"),"डी) बैंगलोर")</f>
        <v>डी) बैंगलोर</v>
      </c>
    </row>
    <row r="204" ht="22.5" customHeight="1">
      <c r="A204" s="7">
        <v>203.0</v>
      </c>
      <c r="B204" s="8" t="s">
        <v>2111</v>
      </c>
      <c r="C204" s="8" t="s">
        <v>1966</v>
      </c>
      <c r="D204" s="8" t="s">
        <v>2101</v>
      </c>
      <c r="F204" s="5" t="str">
        <f>IFERROR(__xludf.DUMMYFUNCTION("GOOGLETRANSLATE(A204, ""en"", ""hi"")"),"203")</f>
        <v>203</v>
      </c>
      <c r="G204" s="5" t="str">
        <f>IFERROR(__xludf.DUMMYFUNCTION("GOOGLETRANSLATE(B204, ""en"", ""hi"")"),"1994 में आयोजित खो-खो विश्व कप में अग्रणी स्कोरर कौन था?")</f>
        <v>1994 में आयोजित खो-खो विश्व कप में अग्रणी स्कोरर कौन था?</v>
      </c>
      <c r="H204" s="5" t="str">
        <f>IFERROR(__xludf.DUMMYFUNCTION("GOOGLETRANSLATE(C204, ""en"", ""hi"")"),"A) एच.पी. सिंह, B) आर.एस. कुमार, C) एम.के. शर्मा, D) एस.पी. सिंह")</f>
        <v>A) एच.पी. सिंह, B) आर.एस. कुमार, C) एम.के. शर्मा, D) एस.पी. सिंह</v>
      </c>
      <c r="I204" s="5" t="str">
        <f>IFERROR(__xludf.DUMMYFUNCTION("GOOGLETRANSLATE(D204, ""en"", ""hi"")"),"C) एम.के. शर्मा")</f>
        <v>C) एम.के. शर्मा</v>
      </c>
    </row>
    <row r="205" ht="22.5" customHeight="1">
      <c r="A205" s="7">
        <v>204.0</v>
      </c>
      <c r="B205" s="8" t="s">
        <v>2086</v>
      </c>
      <c r="C205" s="8" t="s">
        <v>1984</v>
      </c>
      <c r="D205" s="8" t="s">
        <v>1915</v>
      </c>
      <c r="F205" s="5" t="str">
        <f>IFERROR(__xludf.DUMMYFUNCTION("GOOGLETRANSLATE(A205, ""en"", ""hi"")"),"204")</f>
        <v>204</v>
      </c>
      <c r="G205" s="5" t="str">
        <f>IFERROR(__xludf.DUMMYFUNCTION("GOOGLETRANSLATE(B205, ""en"", ""hi"")"),"खो-खो में उनके योगदान के लिए किस भारतीय खिलाड़ी को 2000 में पद्म भूषण से सम्मानित किया गया था?")</f>
        <v>खो-खो में उनके योगदान के लिए किस भारतीय खिलाड़ी को 2000 में पद्म भूषण से सम्मानित किया गया था?</v>
      </c>
      <c r="H205" s="5" t="str">
        <f>IFERROR(__xludf.DUMMYFUNCTION("GOOGLETRANSLATE(C205, ""en"", ""hi"")"),"A) एच.पी. सिंह, B) एम.के. शर्मा, C) आर.एस. कुमार, D) एस.पी. सिंह")</f>
        <v>A) एच.पी. सिंह, B) एम.के. शर्मा, C) आर.एस. कुमार, D) एस.पी. सिंह</v>
      </c>
      <c r="I205" s="5" t="str">
        <f>IFERROR(__xludf.DUMMYFUNCTION("GOOGLETRANSLATE(D205, ""en"", ""hi"")"),"ए) एच.पी. सिंह")</f>
        <v>ए) एच.पी. सिंह</v>
      </c>
    </row>
    <row r="206" ht="22.5" customHeight="1">
      <c r="A206" s="7">
        <v>205.0</v>
      </c>
      <c r="B206" s="8" t="s">
        <v>2136</v>
      </c>
      <c r="C206" s="8" t="s">
        <v>2103</v>
      </c>
      <c r="D206" s="8" t="s">
        <v>1927</v>
      </c>
      <c r="F206" s="5" t="str">
        <f>IFERROR(__xludf.DUMMYFUNCTION("GOOGLETRANSLATE(A206, ""en"", ""hi"")"),"205")</f>
        <v>205</v>
      </c>
      <c r="G206" s="5" t="str">
        <f>IFERROR(__xludf.DUMMYFUNCTION("GOOGLETRANSLATE(B206, ""en"", ""hi"")"),"1990 में खो-खो में कौन सा प्रमुख नियम परिवर्तन किया गया?")</f>
        <v>1990 में खो-खो में कौन सा प्रमुख नियम परिवर्तन किया गया?</v>
      </c>
      <c r="H206" s="5" t="str">
        <f>IFERROR(__xludf.DUMMYFUNCTION("GOOGLETRANSLATE(C206, ""en"", ""hi"")"),"ए) नए खिलाड़ी पदों का परिचय, बी) खेल अवधि का मानकीकरण, सी) टैगिंग नियमों में संशोधन, डी) इलेक्ट्रॉनिक स्कोरिंग का परिचय")</f>
        <v>ए) नए खिलाड़ी पदों का परिचय, बी) खेल अवधि का मानकीकरण, सी) टैगिंग नियमों में संशोधन, डी) इलेक्ट्रॉनिक स्कोरिंग का परिचय</v>
      </c>
      <c r="I206" s="5" t="str">
        <f>IFERROR(__xludf.DUMMYFUNCTION("GOOGLETRANSLATE(D206, ""en"", ""hi"")"),"C) टैगिंग नियमों में संशोधन")</f>
        <v>C) टैगिंग नियमों में संशोधन</v>
      </c>
    </row>
    <row r="207" ht="22.5" customHeight="1">
      <c r="A207" s="7">
        <v>206.0</v>
      </c>
      <c r="B207" s="8" t="s">
        <v>1922</v>
      </c>
      <c r="C207" s="8" t="s">
        <v>271</v>
      </c>
      <c r="D207" s="8" t="s">
        <v>66</v>
      </c>
      <c r="F207" s="5" t="str">
        <f>IFERROR(__xludf.DUMMYFUNCTION("GOOGLETRANSLATE(A207, ""en"", ""hi"")"),"206")</f>
        <v>206</v>
      </c>
      <c r="G207" s="5" t="str">
        <f>IFERROR(__xludf.DUMMYFUNCTION("GOOGLETRANSLATE(B207, ""en"", ""hi"")"),"1980 के दशक में अंतर्राष्ट्रीय खो-खो टूर्नामेंट की मेजबानी करने वाला पहला भारतीय राज्य कौन सा था?")</f>
        <v>1980 के दशक में अंतर्राष्ट्रीय खो-खो टूर्नामेंट की मेजबानी करने वाला पहला भारतीय राज्य कौन सा था?</v>
      </c>
      <c r="H207" s="5" t="str">
        <f>IFERROR(__xludf.DUMMYFUNCTION("GOOGLETRANSLATE(C207, ""en"", ""hi"")"),"ए) पंजाब, बी) हरियाणा, सी) महाराष्ट्र, डी) उत्तर प्रदेश")</f>
        <v>ए) पंजाब, बी) हरियाणा, सी) महाराष्ट्र, डी) उत्तर प्रदेश</v>
      </c>
      <c r="I207" s="5" t="str">
        <f>IFERROR(__xludf.DUMMYFUNCTION("GOOGLETRANSLATE(D207, ""en"", ""hi"")"),"A) पंजाब")</f>
        <v>A) पंजाब</v>
      </c>
    </row>
    <row r="208" ht="22.5" customHeight="1">
      <c r="A208" s="7">
        <v>207.0</v>
      </c>
      <c r="B208" s="8" t="s">
        <v>2108</v>
      </c>
      <c r="C208" s="8" t="s">
        <v>1988</v>
      </c>
      <c r="D208" s="8" t="s">
        <v>1974</v>
      </c>
      <c r="F208" s="5" t="str">
        <f>IFERROR(__xludf.DUMMYFUNCTION("GOOGLETRANSLATE(A208, ""en"", ""hi"")"),"207")</f>
        <v>207</v>
      </c>
      <c r="G208" s="5" t="str">
        <f>IFERROR(__xludf.DUMMYFUNCTION("GOOGLETRANSLATE(B208, ""en"", ""hi"")"),"2002 में खो-खो विश्व कप का मुख्य आयोजक कौन था?")</f>
        <v>2002 में खो-खो विश्व कप का मुख्य आयोजक कौन था?</v>
      </c>
      <c r="H208" s="5" t="str">
        <f>IFERROR(__xludf.DUMMYFUNCTION("GOOGLETRANSLATE(C208, ""en"", ""hi"")"),"A) वी.के. जोशी, B) एच.पी. सिंह, C) एम.के. शर्मा, D) आर.एस. कुमार")</f>
        <v>A) वी.के. जोशी, B) एच.पी. सिंह, C) एम.के. शर्मा, D) आर.एस. कुमार</v>
      </c>
      <c r="I208" s="5" t="str">
        <f>IFERROR(__xludf.DUMMYFUNCTION("GOOGLETRANSLATE(D208, ""en"", ""hi"")"),"A) वी.के. जोशी")</f>
        <v>A) वी.के. जोशी</v>
      </c>
    </row>
    <row r="209" ht="22.5" customHeight="1">
      <c r="A209" s="7">
        <v>208.0</v>
      </c>
      <c r="B209" s="8" t="s">
        <v>2137</v>
      </c>
      <c r="C209" s="8" t="s">
        <v>2052</v>
      </c>
      <c r="D209" s="8" t="s">
        <v>1943</v>
      </c>
      <c r="F209" s="5" t="str">
        <f>IFERROR(__xludf.DUMMYFUNCTION("GOOGLETRANSLATE(A209, ""en"", ""hi"")"),"208")</f>
        <v>208</v>
      </c>
      <c r="G209" s="5" t="str">
        <f>IFERROR(__xludf.DUMMYFUNCTION("GOOGLETRANSLATE(B209, ""en"", ""hi"")"),"2010 में खो-खो में क्या महत्वपूर्ण प्रगति हुई?")</f>
        <v>2010 में खो-खो में क्या महत्वपूर्ण प्रगति हुई?</v>
      </c>
      <c r="H209" s="5" t="str">
        <f>IFERROR(__xludf.DUMMYFUNCTION("GOOGLETRANSLATE(C209, ""en"", ""hi"")"),"A) खो-खो लीग की शुरुआत, B) खो-खो विकास निधि की स्थापना, C) पहले खो-खो विश्व कप की मेजबानी, D) नई खेल तकनीक की शुरुआत")</f>
        <v>A) खो-खो लीग की शुरुआत, B) खो-खो विकास निधि की स्थापना, C) पहले खो-खो विश्व कप की मेजबानी, D) नई खेल तकनीक की शुरुआत</v>
      </c>
      <c r="I209" s="5" t="str">
        <f>IFERROR(__xludf.DUMMYFUNCTION("GOOGLETRANSLATE(D209, ""en"", ""hi"")"),"ए) खो-खो लीग की शुरुआत")</f>
        <v>ए) खो-खो लीग की शुरुआत</v>
      </c>
    </row>
    <row r="210" ht="22.5" customHeight="1">
      <c r="A210" s="7">
        <v>209.0</v>
      </c>
      <c r="B210" s="8" t="s">
        <v>2110</v>
      </c>
      <c r="C210" s="8" t="s">
        <v>1966</v>
      </c>
      <c r="D210" s="8" t="s">
        <v>1980</v>
      </c>
      <c r="F210" s="5" t="str">
        <f>IFERROR(__xludf.DUMMYFUNCTION("GOOGLETRANSLATE(A210, ""en"", ""hi"")"),"209")</f>
        <v>209</v>
      </c>
      <c r="G210" s="5" t="str">
        <f>IFERROR(__xludf.DUMMYFUNCTION("GOOGLETRANSLATE(B210, ""en"", ""hi"")"),"1998 में आयोजित खो-खो विश्व कप में किस भारतीय खिलाड़ी को उनके प्रदर्शन के लिए जाना गया?")</f>
        <v>1998 में आयोजित खो-खो विश्व कप में किस भारतीय खिलाड़ी को उनके प्रदर्शन के लिए जाना गया?</v>
      </c>
      <c r="H210" s="5" t="str">
        <f>IFERROR(__xludf.DUMMYFUNCTION("GOOGLETRANSLATE(C210, ""en"", ""hi"")"),"A) एच.पी. सिंह, B) आर.एस. कुमार, C) एम.के. शर्मा, D) एस.पी. सिंह")</f>
        <v>A) एच.पी. सिंह, B) आर.एस. कुमार, C) एम.के. शर्मा, D) एस.पी. सिंह</v>
      </c>
      <c r="I210" s="5" t="str">
        <f>IFERROR(__xludf.DUMMYFUNCTION("GOOGLETRANSLATE(D210, ""en"", ""hi"")"),"बी) आर.एस. कुमार")</f>
        <v>बी) आर.एस. कुमार</v>
      </c>
    </row>
    <row r="211" ht="22.5" customHeight="1">
      <c r="A211" s="7">
        <v>210.0</v>
      </c>
      <c r="B211" s="8" t="s">
        <v>2138</v>
      </c>
      <c r="C211" s="8" t="s">
        <v>2031</v>
      </c>
      <c r="D211" s="8" t="s">
        <v>2092</v>
      </c>
      <c r="F211" s="5" t="str">
        <f>IFERROR(__xludf.DUMMYFUNCTION("GOOGLETRANSLATE(A211, ""en"", ""hi"")"),"210")</f>
        <v>210</v>
      </c>
      <c r="G211" s="5" t="str">
        <f>IFERROR(__xludf.DUMMYFUNCTION("GOOGLETRANSLATE(B211, ""en"", ""hi"")"),"2000 के दशक के प्रारंभ में खो-खो राष्ट्रीय चैम्पियनशिप का आयोजन स्थल कौन सा शहर था?")</f>
        <v>2000 के दशक के प्रारंभ में खो-खो राष्ट्रीय चैम्पियनशिप का आयोजन स्थल कौन सा शहर था?</v>
      </c>
      <c r="H211" s="5" t="str">
        <f>IFERROR(__xludf.DUMMYFUNCTION("GOOGLETRANSLATE(C211, ""en"", ""hi"")"),"A) दिल्ली, B) मुंबई, C) बैंगलोर, D) पुणे")</f>
        <v>A) दिल्ली, B) मुंबई, C) बैंगलोर, D) पुणे</v>
      </c>
      <c r="I211" s="5" t="str">
        <f>IFERROR(__xludf.DUMMYFUNCTION("GOOGLETRANSLATE(D211, ""en"", ""hi"")"),"D) पुणे")</f>
        <v>D) पुणे</v>
      </c>
    </row>
    <row r="212" ht="22.5" customHeight="1">
      <c r="A212" s="7">
        <v>211.0</v>
      </c>
      <c r="B212" s="8" t="s">
        <v>2139</v>
      </c>
      <c r="C212" s="8" t="s">
        <v>2131</v>
      </c>
      <c r="D212" s="8" t="s">
        <v>1927</v>
      </c>
      <c r="F212" s="5" t="str">
        <f>IFERROR(__xludf.DUMMYFUNCTION("GOOGLETRANSLATE(A212, ""en"", ""hi"")"),"211")</f>
        <v>211</v>
      </c>
      <c r="G212" s="5" t="str">
        <f>IFERROR(__xludf.DUMMYFUNCTION("GOOGLETRANSLATE(B212, ""en"", ""hi"")"),"2005 में खो-खो में कौन से महत्वपूर्ण नियम परिवर्तन किए गए?")</f>
        <v>2005 में खो-खो में कौन से महत्वपूर्ण नियम परिवर्तन किए गए?</v>
      </c>
      <c r="H212" s="5" t="str">
        <f>IFERROR(__xludf.DUMMYFUNCTION("GOOGLETRANSLATE(C212, ""en"", ""hi"")"),"ए) वीडियो समीक्षा की शुरूआत, बी) खेल अवधि का मानकीकरण, सी) टैगिंग नियमों में संशोधन, डी) नए खिलाड़ी पदों को जोड़ना")</f>
        <v>ए) वीडियो समीक्षा की शुरूआत, बी) खेल अवधि का मानकीकरण, सी) टैगिंग नियमों में संशोधन, डी) नए खिलाड़ी पदों को जोड़ना</v>
      </c>
      <c r="I212" s="5" t="str">
        <f>IFERROR(__xludf.DUMMYFUNCTION("GOOGLETRANSLATE(D212, ""en"", ""hi"")"),"C) टैगिंग नियमों में संशोधन")</f>
        <v>C) टैगिंग नियमों में संशोधन</v>
      </c>
    </row>
    <row r="213" ht="22.5" customHeight="1">
      <c r="A213" s="7">
        <v>212.0</v>
      </c>
      <c r="B213" s="8" t="s">
        <v>2065</v>
      </c>
      <c r="C213" s="8" t="s">
        <v>271</v>
      </c>
      <c r="D213" s="8" t="s">
        <v>66</v>
      </c>
      <c r="F213" s="5" t="str">
        <f>IFERROR(__xludf.DUMMYFUNCTION("GOOGLETRANSLATE(A213, ""en"", ""hi"")"),"212")</f>
        <v>212</v>
      </c>
      <c r="G213" s="5" t="str">
        <f>IFERROR(__xludf.DUMMYFUNCTION("GOOGLETRANSLATE(B213, ""en"", ""hi"")"),"1980 के दशक में किस भारतीय राज्य ने पहली बार अंतर्राष्ट्रीय खो-खो टूर्नामेंट की मेजबानी की थी?")</f>
        <v>1980 के दशक में किस भारतीय राज्य ने पहली बार अंतर्राष्ट्रीय खो-खो टूर्नामेंट की मेजबानी की थी?</v>
      </c>
      <c r="H213" s="5" t="str">
        <f>IFERROR(__xludf.DUMMYFUNCTION("GOOGLETRANSLATE(C213, ""en"", ""hi"")"),"ए) पंजाब, बी) हरियाणा, सी) महाराष्ट्र, डी) उत्तर प्रदेश")</f>
        <v>ए) पंजाब, बी) हरियाणा, सी) महाराष्ट्र, डी) उत्तर प्रदेश</v>
      </c>
      <c r="I213" s="5" t="str">
        <f>IFERROR(__xludf.DUMMYFUNCTION("GOOGLETRANSLATE(D213, ""en"", ""hi"")"),"A) पंजाब")</f>
        <v>A) पंजाब</v>
      </c>
    </row>
    <row r="214" ht="22.5" customHeight="1">
      <c r="A214" s="7">
        <v>213.0</v>
      </c>
      <c r="B214" s="8" t="s">
        <v>2140</v>
      </c>
      <c r="C214" s="8" t="s">
        <v>1857</v>
      </c>
      <c r="D214" s="8" t="s">
        <v>543</v>
      </c>
      <c r="F214" s="5" t="str">
        <f>IFERROR(__xludf.DUMMYFUNCTION("GOOGLETRANSLATE(A214, ""en"", ""hi"")"),"213")</f>
        <v>213</v>
      </c>
      <c r="G214" s="5" t="str">
        <f>IFERROR(__xludf.DUMMYFUNCTION("GOOGLETRANSLATE(B214, ""en"", ""hi"")"),"1982 में खो-खो विश्व कप की मेजबानी किस भारतीय शहर ने की थी?")</f>
        <v>1982 में खो-खो विश्व कप की मेजबानी किस भारतीय शहर ने की थी?</v>
      </c>
      <c r="H214" s="5" t="str">
        <f>IFERROR(__xludf.DUMMYFUNCTION("GOOGLETRANSLATE(C214, ""en"", ""hi"")"),"ए) दिल्ली, बी) मुंबई, सी) कोलकाता, डी) बैंगलोर")</f>
        <v>ए) दिल्ली, बी) मुंबई, सी) कोलकाता, डी) बैंगलोर</v>
      </c>
      <c r="I214" s="5" t="str">
        <f>IFERROR(__xludf.DUMMYFUNCTION("GOOGLETRANSLATE(D214, ""en"", ""hi"")"),"ए) दिल्ली")</f>
        <v>ए) दिल्ली</v>
      </c>
    </row>
    <row r="215" ht="22.5" customHeight="1">
      <c r="A215" s="7">
        <v>214.0</v>
      </c>
      <c r="B215" s="8" t="s">
        <v>2141</v>
      </c>
      <c r="C215" s="8" t="s">
        <v>2096</v>
      </c>
      <c r="D215" s="8" t="s">
        <v>2070</v>
      </c>
      <c r="F215" s="5" t="str">
        <f>IFERROR(__xludf.DUMMYFUNCTION("GOOGLETRANSLATE(A215, ""en"", ""hi"")"),"214")</f>
        <v>214</v>
      </c>
      <c r="G215" s="5" t="str">
        <f>IFERROR(__xludf.DUMMYFUNCTION("GOOGLETRANSLATE(B215, ""en"", ""hi"")"),"1995 में स्थापित खो-खो विकास कोष का फोकस क्या था?")</f>
        <v>1995 में स्थापित खो-खो विकास कोष का फोकस क्या था?</v>
      </c>
      <c r="H215" s="5" t="str">
        <f>IFERROR(__xludf.DUMMYFUNCTION("GOOGLETRANSLATE(C215, ""en"", ""hi"")"),"A) जमीनी स्तर पर विकास का समर्थन करना, B) नई तकनीक शुरू करना, C) नई स्कोरिंग प्रणालियाँ स्थापित करना, D) क्षेत्र आयामों को मानकीकृत करना")</f>
        <v>A) जमीनी स्तर पर विकास का समर्थन करना, B) नई तकनीक शुरू करना, C) नई स्कोरिंग प्रणालियाँ स्थापित करना, D) क्षेत्र आयामों को मानकीकृत करना</v>
      </c>
      <c r="I215" s="5" t="str">
        <f>IFERROR(__xludf.DUMMYFUNCTION("GOOGLETRANSLATE(D215, ""en"", ""hi"")"),"A) जमीनी स्तर पर विकास का समर्थन करना")</f>
        <v>A) जमीनी स्तर पर विकास का समर्थन करना</v>
      </c>
    </row>
    <row r="216" ht="22.5" customHeight="1">
      <c r="A216" s="7">
        <v>215.0</v>
      </c>
      <c r="B216" s="8" t="s">
        <v>2120</v>
      </c>
      <c r="C216" s="8" t="s">
        <v>2058</v>
      </c>
      <c r="D216" s="8" t="s">
        <v>1953</v>
      </c>
      <c r="F216" s="5" t="str">
        <f>IFERROR(__xludf.DUMMYFUNCTION("GOOGLETRANSLATE(A216, ""en"", ""hi"")"),"215")</f>
        <v>215</v>
      </c>
      <c r="G216" s="5" t="str">
        <f>IFERROR(__xludf.DUMMYFUNCTION("GOOGLETRANSLATE(B216, ""en"", ""hi"")"),"2002 में आयोजित खो-खो विश्व कप में शीर्ष स्कोरर कौन था?")</f>
        <v>2002 में आयोजित खो-खो विश्व कप में शीर्ष स्कोरर कौन था?</v>
      </c>
      <c r="H216" s="5" t="str">
        <f>IFERROR(__xludf.DUMMYFUNCTION("GOOGLETRANSLATE(C216, ""en"", ""hi"")"),"A) एम.के. शर्मा, B) एच.पी. सिंह, C) आर.एस. कुमार, D) एस.पी. सिंह")</f>
        <v>A) एम.के. शर्मा, B) एच.पी. सिंह, C) आर.एस. कुमार, D) एस.पी. सिंह</v>
      </c>
      <c r="I216" s="5" t="str">
        <f>IFERROR(__xludf.DUMMYFUNCTION("GOOGLETRANSLATE(D216, ""en"", ""hi"")"),"बी) एच.पी. सिंह")</f>
        <v>बी) एच.पी. सिंह</v>
      </c>
    </row>
    <row r="217" ht="22.5" customHeight="1">
      <c r="A217" s="7">
        <v>216.0</v>
      </c>
      <c r="B217" s="8" t="s">
        <v>2142</v>
      </c>
      <c r="C217" s="8" t="s">
        <v>1966</v>
      </c>
      <c r="D217" s="8" t="s">
        <v>2116</v>
      </c>
      <c r="F217" s="5" t="str">
        <f>IFERROR(__xludf.DUMMYFUNCTION("GOOGLETRANSLATE(A217, ""en"", ""hi"")"),"216")</f>
        <v>216</v>
      </c>
      <c r="G217" s="5" t="str">
        <f>IFERROR(__xludf.DUMMYFUNCTION("GOOGLETRANSLATE(B217, ""en"", ""hi"")"),"1980 के दशक में कौन सा भारतीय खिलाड़ी अपने असाधारण लक्ष्य का पीछा करने के कौशल के लिए जाना जाता था?")</f>
        <v>1980 के दशक में कौन सा भारतीय खिलाड़ी अपने असाधारण लक्ष्य का पीछा करने के कौशल के लिए जाना जाता था?</v>
      </c>
      <c r="H217" s="5" t="str">
        <f>IFERROR(__xludf.DUMMYFUNCTION("GOOGLETRANSLATE(C217, ""en"", ""hi"")"),"A) एच.पी. सिंह, B) आर.एस. कुमार, C) एम.के. शर्मा, D) एस.पी. सिंह")</f>
        <v>A) एच.पी. सिंह, B) आर.एस. कुमार, C) एम.के. शर्मा, D) एस.पी. सिंह</v>
      </c>
      <c r="I217" s="5" t="str">
        <f>IFERROR(__xludf.DUMMYFUNCTION("GOOGLETRANSLATE(D217, ""en"", ""hi"")"),"A) एच.पी. सिंह, B) आर.एस. कुमार")</f>
        <v>A) एच.पी. सिंह, B) आर.एस. कुमार</v>
      </c>
    </row>
    <row r="218" ht="22.5" customHeight="1">
      <c r="A218" s="7">
        <v>217.0</v>
      </c>
      <c r="B218" s="8" t="s">
        <v>2073</v>
      </c>
      <c r="C218" s="8" t="s">
        <v>2131</v>
      </c>
      <c r="D218" s="8" t="s">
        <v>1927</v>
      </c>
      <c r="F218" s="5" t="str">
        <f>IFERROR(__xludf.DUMMYFUNCTION("GOOGLETRANSLATE(A218, ""en"", ""hi"")"),"217")</f>
        <v>217</v>
      </c>
      <c r="G218" s="5" t="str">
        <f>IFERROR(__xludf.DUMMYFUNCTION("GOOGLETRANSLATE(B218, ""en"", ""hi"")"),"2005 में खो-खो में कौन सा महत्वपूर्ण नियम परिवर्तन किया गया?")</f>
        <v>2005 में खो-खो में कौन सा महत्वपूर्ण नियम परिवर्तन किया गया?</v>
      </c>
      <c r="H218" s="5" t="str">
        <f>IFERROR(__xludf.DUMMYFUNCTION("GOOGLETRANSLATE(C218, ""en"", ""hi"")"),"ए) वीडियो समीक्षा की शुरूआत, बी) खेल अवधि का मानकीकरण, सी) टैगिंग नियमों में संशोधन, डी) नए खिलाड़ी पदों को जोड़ना")</f>
        <v>ए) वीडियो समीक्षा की शुरूआत, बी) खेल अवधि का मानकीकरण, सी) टैगिंग नियमों में संशोधन, डी) नए खिलाड़ी पदों को जोड़ना</v>
      </c>
      <c r="I218" s="5" t="str">
        <f>IFERROR(__xludf.DUMMYFUNCTION("GOOGLETRANSLATE(D218, ""en"", ""hi"")"),"C) टैगिंग नियमों में संशोधन")</f>
        <v>C) टैगिंग नियमों में संशोधन</v>
      </c>
    </row>
    <row r="219" ht="22.5" customHeight="1">
      <c r="A219" s="7">
        <v>218.0</v>
      </c>
      <c r="B219" s="8" t="s">
        <v>2143</v>
      </c>
      <c r="C219" s="8" t="s">
        <v>1966</v>
      </c>
      <c r="D219" s="8" t="s">
        <v>1915</v>
      </c>
      <c r="F219" s="5" t="str">
        <f>IFERROR(__xludf.DUMMYFUNCTION("GOOGLETRANSLATE(A219, ""en"", ""hi"")"),"218")</f>
        <v>218</v>
      </c>
      <c r="G219" s="5" t="str">
        <f>IFERROR(__xludf.DUMMYFUNCTION("GOOGLETRANSLATE(B219, ""en"", ""hi"")"),"किस भारतीय खिलाड़ी ने एक खो-खो मैच में सर्वाधिक सफल टैग का रिकॉर्ड बनाया?")</f>
        <v>किस भारतीय खिलाड़ी ने एक खो-खो मैच में सर्वाधिक सफल टैग का रिकॉर्ड बनाया?</v>
      </c>
      <c r="H219" s="5" t="str">
        <f>IFERROR(__xludf.DUMMYFUNCTION("GOOGLETRANSLATE(C219, ""en"", ""hi"")"),"A) एच.पी. सिंह, B) आर.एस. कुमार, C) एम.के. शर्मा, D) एस.पी. सिंह")</f>
        <v>A) एच.पी. सिंह, B) आर.एस. कुमार, C) एम.के. शर्मा, D) एस.पी. सिंह</v>
      </c>
      <c r="I219" s="5" t="str">
        <f>IFERROR(__xludf.DUMMYFUNCTION("GOOGLETRANSLATE(D219, ""en"", ""hi"")"),"ए) एच.पी. सिंह")</f>
        <v>ए) एच.पी. सिंह</v>
      </c>
    </row>
    <row r="220" ht="22.5" customHeight="1">
      <c r="A220" s="7">
        <v>219.0</v>
      </c>
      <c r="B220" s="8" t="s">
        <v>2144</v>
      </c>
      <c r="C220" s="8" t="s">
        <v>249</v>
      </c>
      <c r="D220" s="8" t="s">
        <v>150</v>
      </c>
      <c r="F220" s="5" t="str">
        <f>IFERROR(__xludf.DUMMYFUNCTION("GOOGLETRANSLATE(A220, ""en"", ""hi"")"),"219")</f>
        <v>219</v>
      </c>
      <c r="G220" s="5" t="str">
        <f>IFERROR(__xludf.DUMMYFUNCTION("GOOGLETRANSLATE(B220, ""en"", ""hi"")"),"1990 के दशक में किस भारतीय राज्य ने पहली बार खो-खो अकादमी की स्थापना की थी?")</f>
        <v>1990 के दशक में किस भारतीय राज्य ने पहली बार खो-खो अकादमी की स्थापना की थी?</v>
      </c>
      <c r="H220" s="5" t="str">
        <f>IFERROR(__xludf.DUMMYFUNCTION("GOOGLETRANSLATE(C220, ""en"", ""hi"")"),"ए) हरियाणा, बी) पंजाब, सी) महाराष्ट्र, डी) उत्तर प्रदेश")</f>
        <v>ए) हरियाणा, बी) पंजाब, सी) महाराष्ट्र, डी) उत्तर प्रदेश</v>
      </c>
      <c r="I220" s="5" t="str">
        <f>IFERROR(__xludf.DUMMYFUNCTION("GOOGLETRANSLATE(D220, ""en"", ""hi"")"),"A) हरियाणा")</f>
        <v>A) हरियाणा</v>
      </c>
    </row>
    <row r="221" ht="22.5" customHeight="1">
      <c r="A221" s="7">
        <v>220.0</v>
      </c>
      <c r="B221" s="8" t="s">
        <v>2112</v>
      </c>
      <c r="C221" s="8" t="s">
        <v>1960</v>
      </c>
      <c r="D221" s="8" t="s">
        <v>1889</v>
      </c>
      <c r="F221" s="5" t="str">
        <f>IFERROR(__xludf.DUMMYFUNCTION("GOOGLETRANSLATE(A221, ""en"", ""hi"")"),"220")</f>
        <v>220</v>
      </c>
      <c r="G221" s="5" t="str">
        <f>IFERROR(__xludf.DUMMYFUNCTION("GOOGLETRANSLATE(B221, ""en"", ""hi"")"),"1990 के दशक के अंत में खो-खो राष्ट्रीय चैम्पियनशिप का आयोजन स्थल कौन सा शहर था?")</f>
        <v>1990 के दशक के अंत में खो-खो राष्ट्रीय चैम्पियनशिप का आयोजन स्थल कौन सा शहर था?</v>
      </c>
      <c r="H221" s="5" t="str">
        <f>IFERROR(__xludf.DUMMYFUNCTION("GOOGLETRANSLATE(C221, ""en"", ""hi"")"),"A) दिल्ली, B) मुंबई, C) पुणे, D) बैंगलोर")</f>
        <v>A) दिल्ली, B) मुंबई, C) पुणे, D) बैंगलोर</v>
      </c>
      <c r="I221" s="5" t="str">
        <f>IFERROR(__xludf.DUMMYFUNCTION("GOOGLETRANSLATE(D221, ""en"", ""hi"")"),"C) पुणे")</f>
        <v>C) पुणे</v>
      </c>
    </row>
    <row r="222" ht="22.5" customHeight="1">
      <c r="A222" s="7">
        <v>221.0</v>
      </c>
      <c r="B222" s="8" t="s">
        <v>2145</v>
      </c>
      <c r="C222" s="8" t="s">
        <v>2105</v>
      </c>
      <c r="D222" s="8" t="s">
        <v>2070</v>
      </c>
      <c r="F222" s="5" t="str">
        <f>IFERROR(__xludf.DUMMYFUNCTION("GOOGLETRANSLATE(A222, ""en"", ""hi"")"),"221")</f>
        <v>221</v>
      </c>
      <c r="G222" s="5" t="str">
        <f>IFERROR(__xludf.DUMMYFUNCTION("GOOGLETRANSLATE(B222, ""en"", ""hi"")"),"2010 में शुरू किए गए खो-खो विकास कार्यक्रम का प्राथमिक उद्देश्य क्या था?")</f>
        <v>2010 में शुरू किए गए खो-खो विकास कार्यक्रम का प्राथमिक उद्देश्य क्या था?</v>
      </c>
      <c r="H222" s="5" t="str">
        <f>IFERROR(__xludf.DUMMYFUNCTION("GOOGLETRANSLATE(C222, ""en"", ""hi"")"),"A) जमीनी स्तर पर विकास का समर्थन करना, B) अंतर्राष्ट्रीय प्रतिस्पर्धा को बढ़ाना, C) नई स्कोरिंग प्रणालियाँ स्थापित करना, D) क्षेत्र आयामों को मानकीकृत करना")</f>
        <v>A) जमीनी स्तर पर विकास का समर्थन करना, B) अंतर्राष्ट्रीय प्रतिस्पर्धा को बढ़ाना, C) नई स्कोरिंग प्रणालियाँ स्थापित करना, D) क्षेत्र आयामों को मानकीकृत करना</v>
      </c>
      <c r="I222" s="5" t="str">
        <f>IFERROR(__xludf.DUMMYFUNCTION("GOOGLETRANSLATE(D222, ""en"", ""hi"")"),"A) जमीनी स्तर पर विकास का समर्थन करना")</f>
        <v>A) जमीनी स्तर पर विकास का समर्थन करना</v>
      </c>
    </row>
    <row r="223" ht="22.5" customHeight="1">
      <c r="A223" s="7">
        <v>222.0</v>
      </c>
      <c r="B223" s="8" t="s">
        <v>2075</v>
      </c>
      <c r="C223" s="8" t="s">
        <v>1988</v>
      </c>
      <c r="D223" s="8" t="s">
        <v>1974</v>
      </c>
      <c r="F223" s="5" t="str">
        <f>IFERROR(__xludf.DUMMYFUNCTION("GOOGLETRANSLATE(A223, ""en"", ""hi"")"),"222")</f>
        <v>222</v>
      </c>
      <c r="G223" s="5" t="str">
        <f>IFERROR(__xludf.DUMMYFUNCTION("GOOGLETRANSLATE(B223, ""en"", ""hi"")"),"1982 में खो-खो विश्व कप का मुख्य आयोजक कौन था?")</f>
        <v>1982 में खो-खो विश्व कप का मुख्य आयोजक कौन था?</v>
      </c>
      <c r="H223" s="5" t="str">
        <f>IFERROR(__xludf.DUMMYFUNCTION("GOOGLETRANSLATE(C223, ""en"", ""hi"")"),"A) वी.के. जोशी, B) एच.पी. सिंह, C) एम.के. शर्मा, D) आर.एस. कुमार")</f>
        <v>A) वी.के. जोशी, B) एच.पी. सिंह, C) एम.के. शर्मा, D) आर.एस. कुमार</v>
      </c>
      <c r="I223" s="5" t="str">
        <f>IFERROR(__xludf.DUMMYFUNCTION("GOOGLETRANSLATE(D223, ""en"", ""hi"")"),"A) वी.के. जोशी")</f>
        <v>A) वी.के. जोशी</v>
      </c>
    </row>
    <row r="224" ht="22.5" customHeight="1">
      <c r="A224" s="7">
        <v>223.0</v>
      </c>
      <c r="B224" s="8" t="s">
        <v>2146</v>
      </c>
      <c r="C224" s="8" t="s">
        <v>1984</v>
      </c>
      <c r="D224" s="8" t="s">
        <v>1915</v>
      </c>
      <c r="F224" s="5" t="str">
        <f>IFERROR(__xludf.DUMMYFUNCTION("GOOGLETRANSLATE(A224, ""en"", ""hi"")"),"223")</f>
        <v>223</v>
      </c>
      <c r="G224" s="5" t="str">
        <f>IFERROR(__xludf.DUMMYFUNCTION("GOOGLETRANSLATE(B224, ""en"", ""hi"")"),"खो-खो में उनके योगदान के लिए किस भारतीय खिलाड़ी को पद्म भूषण से सम्मानित किया गया?")</f>
        <v>खो-खो में उनके योगदान के लिए किस भारतीय खिलाड़ी को पद्म भूषण से सम्मानित किया गया?</v>
      </c>
      <c r="H224" s="5" t="str">
        <f>IFERROR(__xludf.DUMMYFUNCTION("GOOGLETRANSLATE(C224, ""en"", ""hi"")"),"A) एच.पी. सिंह, B) एम.के. शर्मा, C) आर.एस. कुमार, D) एस.पी. सिंह")</f>
        <v>A) एच.पी. सिंह, B) एम.के. शर्मा, C) आर.एस. कुमार, D) एस.पी. सिंह</v>
      </c>
      <c r="I224" s="5" t="str">
        <f>IFERROR(__xludf.DUMMYFUNCTION("GOOGLETRANSLATE(D224, ""en"", ""hi"")"),"ए) एच.पी. सिंह")</f>
        <v>ए) एच.पी. सिंह</v>
      </c>
    </row>
    <row r="225" ht="22.5" customHeight="1">
      <c r="A225" s="7">
        <v>224.0</v>
      </c>
      <c r="B225" s="8" t="s">
        <v>2136</v>
      </c>
      <c r="C225" s="8" t="s">
        <v>2103</v>
      </c>
      <c r="D225" s="8" t="s">
        <v>1927</v>
      </c>
      <c r="F225" s="5" t="str">
        <f>IFERROR(__xludf.DUMMYFUNCTION("GOOGLETRANSLATE(A225, ""en"", ""hi"")"),"224")</f>
        <v>224</v>
      </c>
      <c r="G225" s="5" t="str">
        <f>IFERROR(__xludf.DUMMYFUNCTION("GOOGLETRANSLATE(B225, ""en"", ""hi"")"),"1990 में खो-खो में कौन सा प्रमुख नियम परिवर्तन किया गया?")</f>
        <v>1990 में खो-खो में कौन सा प्रमुख नियम परिवर्तन किया गया?</v>
      </c>
      <c r="H225" s="5" t="str">
        <f>IFERROR(__xludf.DUMMYFUNCTION("GOOGLETRANSLATE(C225, ""en"", ""hi"")"),"ए) नए खिलाड़ी पदों का परिचय, बी) खेल अवधि का मानकीकरण, सी) टैगिंग नियमों में संशोधन, डी) इलेक्ट्रॉनिक स्कोरिंग का परिचय")</f>
        <v>ए) नए खिलाड़ी पदों का परिचय, बी) खेल अवधि का मानकीकरण, सी) टैगिंग नियमों में संशोधन, डी) इलेक्ट्रॉनिक स्कोरिंग का परिचय</v>
      </c>
      <c r="I225" s="5" t="str">
        <f>IFERROR(__xludf.DUMMYFUNCTION("GOOGLETRANSLATE(D225, ""en"", ""hi"")"),"C) टैगिंग नियमों में संशोधन")</f>
        <v>C) टैगिंग नियमों में संशोधन</v>
      </c>
    </row>
    <row r="226" ht="22.5" customHeight="1">
      <c r="A226" s="7">
        <v>225.0</v>
      </c>
      <c r="B226" s="8" t="s">
        <v>2147</v>
      </c>
      <c r="C226" s="8" t="s">
        <v>2080</v>
      </c>
      <c r="D226" s="8" t="s">
        <v>1953</v>
      </c>
      <c r="F226" s="5" t="str">
        <f>IFERROR(__xludf.DUMMYFUNCTION("GOOGLETRANSLATE(A226, ""en"", ""hi"")"),"225")</f>
        <v>225</v>
      </c>
      <c r="G226" s="5" t="str">
        <f>IFERROR(__xludf.DUMMYFUNCTION("GOOGLETRANSLATE(B226, ""en"", ""hi"")"),"किस भारतीय खिलाड़ी ने 2010 में एक ही मैच में सर्वाधिक सफल टैग का रिकार्ड बनाया?")</f>
        <v>किस भारतीय खिलाड़ी ने 2010 में एक ही मैच में सर्वाधिक सफल टैग का रिकार्ड बनाया?</v>
      </c>
      <c r="H226" s="5" t="str">
        <f>IFERROR(__xludf.DUMMYFUNCTION("GOOGLETRANSLATE(C226, ""en"", ""hi"")"),"A) आर.एस. कुमार, B) एच.पी. सिंह, C) एम.के. शर्मा, D) एस.पी. सिंह")</f>
        <v>A) आर.एस. कुमार, B) एच.पी. सिंह, C) एम.के. शर्मा, D) एस.पी. सिंह</v>
      </c>
      <c r="I226" s="5" t="str">
        <f>IFERROR(__xludf.DUMMYFUNCTION("GOOGLETRANSLATE(D226, ""en"", ""hi"")"),"बी) एच.पी. सिंह")</f>
        <v>बी) एच.पी. सिंह</v>
      </c>
    </row>
    <row r="227" ht="22.5" customHeight="1">
      <c r="A227" s="7">
        <v>226.0</v>
      </c>
      <c r="B227" s="8" t="s">
        <v>2148</v>
      </c>
      <c r="C227" s="8" t="s">
        <v>2099</v>
      </c>
      <c r="D227" s="8" t="s">
        <v>2042</v>
      </c>
      <c r="F227" s="5" t="str">
        <f>IFERROR(__xludf.DUMMYFUNCTION("GOOGLETRANSLATE(A227, ""en"", ""hi"")"),"226")</f>
        <v>226</v>
      </c>
      <c r="G227" s="5" t="str">
        <f>IFERROR(__xludf.DUMMYFUNCTION("GOOGLETRANSLATE(B227, ""en"", ""hi"")"),"वर्ष 2000 में खो-खो में महत्वपूर्ण घटना क्या थी?")</f>
        <v>वर्ष 2000 में खो-खो में महत्वपूर्ण घटना क्या थी?</v>
      </c>
      <c r="H227" s="5" t="str">
        <f>IFERROR(__xludf.DUMMYFUNCTION("GOOGLETRANSLATE(C227, ""en"", ""hi"")"),"A) टैगिंग के लिए समय सीमा का परिचय, B) मैदान के आयामों का मानकीकरण, C) खो-खो विश्व कप की स्थापना, D) नई तकनीक का परिचय")</f>
        <v>A) टैगिंग के लिए समय सीमा का परिचय, B) मैदान के आयामों का मानकीकरण, C) खो-खो विश्व कप की स्थापना, D) नई तकनीक का परिचय</v>
      </c>
      <c r="I227" s="5" t="str">
        <f>IFERROR(__xludf.DUMMYFUNCTION("GOOGLETRANSLATE(D227, ""en"", ""hi"")"),"ए) टैगिंग के लिए समय सीमा का परिचय")</f>
        <v>ए) टैगिंग के लिए समय सीमा का परिचय</v>
      </c>
    </row>
    <row r="228" ht="22.5" customHeight="1">
      <c r="A228" s="7">
        <v>227.0</v>
      </c>
      <c r="B228" s="8" t="s">
        <v>2149</v>
      </c>
      <c r="C228" s="8" t="s">
        <v>271</v>
      </c>
      <c r="D228" s="8" t="s">
        <v>603</v>
      </c>
      <c r="F228" s="5" t="str">
        <f>IFERROR(__xludf.DUMMYFUNCTION("GOOGLETRANSLATE(A228, ""en"", ""hi"")"),"227")</f>
        <v>227</v>
      </c>
      <c r="G228" s="5" t="str">
        <f>IFERROR(__xludf.DUMMYFUNCTION("GOOGLETRANSLATE(B228, ""en"", ""hi"")"),"1990 के दशक में किस राज्य ने पहली बार अंतर्राष्ट्रीय खो-खो टूर्नामेंट की मेजबानी की थी?")</f>
        <v>1990 के दशक में किस राज्य ने पहली बार अंतर्राष्ट्रीय खो-खो टूर्नामेंट की मेजबानी की थी?</v>
      </c>
      <c r="H228" s="5" t="str">
        <f>IFERROR(__xludf.DUMMYFUNCTION("GOOGLETRANSLATE(C228, ""en"", ""hi"")"),"ए) पंजाब, बी) हरियाणा, सी) महाराष्ट्र, डी) उत्तर प्रदेश")</f>
        <v>ए) पंजाब, बी) हरियाणा, सी) महाराष्ट्र, डी) उत्तर प्रदेश</v>
      </c>
      <c r="I228" s="5" t="str">
        <f>IFERROR(__xludf.DUMMYFUNCTION("GOOGLETRANSLATE(D228, ""en"", ""hi"")"),"बी) हरियाणा")</f>
        <v>बी) हरियाणा</v>
      </c>
    </row>
    <row r="229" ht="22.5" customHeight="1">
      <c r="A229" s="7">
        <v>228.0</v>
      </c>
      <c r="B229" s="8" t="s">
        <v>2111</v>
      </c>
      <c r="C229" s="8" t="s">
        <v>1966</v>
      </c>
      <c r="D229" s="8" t="s">
        <v>2101</v>
      </c>
      <c r="F229" s="5" t="str">
        <f>IFERROR(__xludf.DUMMYFUNCTION("GOOGLETRANSLATE(A229, ""en"", ""hi"")"),"228")</f>
        <v>228</v>
      </c>
      <c r="G229" s="5" t="str">
        <f>IFERROR(__xludf.DUMMYFUNCTION("GOOGLETRANSLATE(B229, ""en"", ""hi"")"),"1994 में आयोजित खो-खो विश्व कप में अग्रणी स्कोरर कौन था?")</f>
        <v>1994 में आयोजित खो-खो विश्व कप में अग्रणी स्कोरर कौन था?</v>
      </c>
      <c r="H229" s="5" t="str">
        <f>IFERROR(__xludf.DUMMYFUNCTION("GOOGLETRANSLATE(C229, ""en"", ""hi"")"),"A) एच.पी. सिंह, B) आर.एस. कुमार, C) एम.के. शर्मा, D) एस.पी. सिंह")</f>
        <v>A) एच.पी. सिंह, B) आर.एस. कुमार, C) एम.के. शर्मा, D) एस.पी. सिंह</v>
      </c>
      <c r="I229" s="5" t="str">
        <f>IFERROR(__xludf.DUMMYFUNCTION("GOOGLETRANSLATE(D229, ""en"", ""hi"")"),"C) एम.के. शर्मा")</f>
        <v>C) एम.के. शर्मा</v>
      </c>
    </row>
    <row r="230" ht="22.5" customHeight="1">
      <c r="A230" s="7">
        <v>229.0</v>
      </c>
      <c r="B230" s="8" t="s">
        <v>2115</v>
      </c>
      <c r="C230" s="8" t="s">
        <v>1966</v>
      </c>
      <c r="D230" s="8" t="s">
        <v>2116</v>
      </c>
      <c r="F230" s="5" t="str">
        <f>IFERROR(__xludf.DUMMYFUNCTION("GOOGLETRANSLATE(A230, ""en"", ""hi"")"),"229")</f>
        <v>229</v>
      </c>
      <c r="G230" s="5" t="str">
        <f>IFERROR(__xludf.DUMMYFUNCTION("GOOGLETRANSLATE(B230, ""en"", ""hi"")"),"1990 के दशक में कौन सा भारतीय खिलाड़ी अपने असाधारण लक्ष्य का पीछा करने के कौशल के लिए जाना जाता था?")</f>
        <v>1990 के दशक में कौन सा भारतीय खिलाड़ी अपने असाधारण लक्ष्य का पीछा करने के कौशल के लिए जाना जाता था?</v>
      </c>
      <c r="H230" s="5" t="str">
        <f>IFERROR(__xludf.DUMMYFUNCTION("GOOGLETRANSLATE(C230, ""en"", ""hi"")"),"A) एच.पी. सिंह, B) आर.एस. कुमार, C) एम.के. शर्मा, D) एस.पी. सिंह")</f>
        <v>A) एच.पी. सिंह, B) आर.एस. कुमार, C) एम.के. शर्मा, D) एस.पी. सिंह</v>
      </c>
      <c r="I230" s="5" t="str">
        <f>IFERROR(__xludf.DUMMYFUNCTION("GOOGLETRANSLATE(D230, ""en"", ""hi"")"),"A) एच.पी. सिंह, B) आर.एस. कुमार")</f>
        <v>A) एच.पी. सिंह, B) आर.एस. कुमार</v>
      </c>
    </row>
    <row r="231" ht="22.5" customHeight="1">
      <c r="A231" s="7">
        <v>230.0</v>
      </c>
      <c r="B231" s="8" t="s">
        <v>1922</v>
      </c>
      <c r="C231" s="8" t="s">
        <v>271</v>
      </c>
      <c r="D231" s="8" t="s">
        <v>66</v>
      </c>
      <c r="F231" s="5" t="str">
        <f>IFERROR(__xludf.DUMMYFUNCTION("GOOGLETRANSLATE(A231, ""en"", ""hi"")"),"230")</f>
        <v>230</v>
      </c>
      <c r="G231" s="5" t="str">
        <f>IFERROR(__xludf.DUMMYFUNCTION("GOOGLETRANSLATE(B231, ""en"", ""hi"")"),"1980 के दशक में अंतर्राष्ट्रीय खो-खो टूर्नामेंट की मेजबानी करने वाला पहला भारतीय राज्य कौन सा था?")</f>
        <v>1980 के दशक में अंतर्राष्ट्रीय खो-खो टूर्नामेंट की मेजबानी करने वाला पहला भारतीय राज्य कौन सा था?</v>
      </c>
      <c r="H231" s="5" t="str">
        <f>IFERROR(__xludf.DUMMYFUNCTION("GOOGLETRANSLATE(C231, ""en"", ""hi"")"),"ए) पंजाब, बी) हरियाणा, सी) महाराष्ट्र, डी) उत्तर प्रदेश")</f>
        <v>ए) पंजाब, बी) हरियाणा, सी) महाराष्ट्र, डी) उत्तर प्रदेश</v>
      </c>
      <c r="I231" s="5" t="str">
        <f>IFERROR(__xludf.DUMMYFUNCTION("GOOGLETRANSLATE(D231, ""en"", ""hi"")"),"A) पंजाब")</f>
        <v>A) पंजाब</v>
      </c>
    </row>
    <row r="232" ht="22.5" customHeight="1">
      <c r="A232" s="7">
        <v>231.0</v>
      </c>
      <c r="B232" s="8" t="s">
        <v>2100</v>
      </c>
      <c r="C232" s="8" t="s">
        <v>1988</v>
      </c>
      <c r="D232" s="8" t="s">
        <v>2101</v>
      </c>
      <c r="F232" s="5" t="str">
        <f>IFERROR(__xludf.DUMMYFUNCTION("GOOGLETRANSLATE(A232, ""en"", ""hi"")"),"231")</f>
        <v>231</v>
      </c>
      <c r="G232" s="5" t="str">
        <f>IFERROR(__xludf.DUMMYFUNCTION("GOOGLETRANSLATE(B232, ""en"", ""hi"")"),"1984 में खो-खो विश्व कप का मुख्य आयोजक कौन था?")</f>
        <v>1984 में खो-खो विश्व कप का मुख्य आयोजक कौन था?</v>
      </c>
      <c r="H232" s="5" t="str">
        <f>IFERROR(__xludf.DUMMYFUNCTION("GOOGLETRANSLATE(C232, ""en"", ""hi"")"),"A) वी.के. जोशी, B) एच.पी. सिंह, C) एम.के. शर्मा, D) आर.एस. कुमार")</f>
        <v>A) वी.के. जोशी, B) एच.पी. सिंह, C) एम.के. शर्मा, D) आर.एस. कुमार</v>
      </c>
      <c r="I232" s="5" t="str">
        <f>IFERROR(__xludf.DUMMYFUNCTION("GOOGLETRANSLATE(D232, ""en"", ""hi"")"),"C) एम.के. शर्मा")</f>
        <v>C) एम.के. शर्मा</v>
      </c>
    </row>
    <row r="233" ht="22.5" customHeight="1">
      <c r="A233" s="7">
        <v>232.0</v>
      </c>
      <c r="B233" s="8" t="s">
        <v>2150</v>
      </c>
      <c r="C233" s="8" t="s">
        <v>2131</v>
      </c>
      <c r="D233" s="8" t="s">
        <v>1927</v>
      </c>
      <c r="F233" s="5" t="str">
        <f>IFERROR(__xludf.DUMMYFUNCTION("GOOGLETRANSLATE(A233, ""en"", ""hi"")"),"232")</f>
        <v>232</v>
      </c>
      <c r="G233" s="5" t="str">
        <f>IFERROR(__xludf.DUMMYFUNCTION("GOOGLETRANSLATE(B233, ""en"", ""hi"")"),"2005 में खो-खो में कौन सा प्रमुख नियम परिवर्तन किया गया?")</f>
        <v>2005 में खो-खो में कौन सा प्रमुख नियम परिवर्तन किया गया?</v>
      </c>
      <c r="H233" s="5" t="str">
        <f>IFERROR(__xludf.DUMMYFUNCTION("GOOGLETRANSLATE(C233, ""en"", ""hi"")"),"ए) वीडियो समीक्षा की शुरूआत, बी) खेल अवधि का मानकीकरण, सी) टैगिंग नियमों में संशोधन, डी) नए खिलाड़ी पदों को जोड़ना")</f>
        <v>ए) वीडियो समीक्षा की शुरूआत, बी) खेल अवधि का मानकीकरण, सी) टैगिंग नियमों में संशोधन, डी) नए खिलाड़ी पदों को जोड़ना</v>
      </c>
      <c r="I233" s="5" t="str">
        <f>IFERROR(__xludf.DUMMYFUNCTION("GOOGLETRANSLATE(D233, ""en"", ""hi"")"),"C) टैगिंग नियमों में संशोधन")</f>
        <v>C) टैगिंग नियमों में संशोधन</v>
      </c>
    </row>
    <row r="234" ht="22.5" customHeight="1">
      <c r="A234" s="7">
        <v>233.0</v>
      </c>
      <c r="B234" s="8" t="s">
        <v>2018</v>
      </c>
      <c r="C234" s="8" t="s">
        <v>1998</v>
      </c>
      <c r="D234" s="8" t="s">
        <v>77</v>
      </c>
      <c r="F234" s="5" t="str">
        <f>IFERROR(__xludf.DUMMYFUNCTION("GOOGLETRANSLATE(A234, ""en"", ""hi"")"),"233")</f>
        <v>233</v>
      </c>
      <c r="G234" s="5" t="str">
        <f>IFERROR(__xludf.DUMMYFUNCTION("GOOGLETRANSLATE(B234, ""en"", ""hi"")"),"1986 में खो-खो विश्व कप की मेजबानी किस शहर ने की थी?")</f>
        <v>1986 में खो-खो विश्व कप की मेजबानी किस शहर ने की थी?</v>
      </c>
      <c r="H234" s="5" t="str">
        <f>IFERROR(__xludf.DUMMYFUNCTION("GOOGLETRANSLATE(C234, ""en"", ""hi"")"),"ए) दिल्ली, बी) मुंबई, सी) बैंगलोर, डी) कोलकाता")</f>
        <v>ए) दिल्ली, बी) मुंबई, सी) बैंगलोर, डी) कोलकाता</v>
      </c>
      <c r="I234" s="5" t="str">
        <f>IFERROR(__xludf.DUMMYFUNCTION("GOOGLETRANSLATE(D234, ""en"", ""hi"")"),"बी) मुंबई")</f>
        <v>बी) मुंबई</v>
      </c>
    </row>
    <row r="235" ht="22.5" customHeight="1">
      <c r="A235" s="7">
        <v>234.0</v>
      </c>
      <c r="B235" s="8" t="s">
        <v>2137</v>
      </c>
      <c r="C235" s="8" t="s">
        <v>2052</v>
      </c>
      <c r="D235" s="8" t="s">
        <v>1943</v>
      </c>
      <c r="F235" s="5" t="str">
        <f>IFERROR(__xludf.DUMMYFUNCTION("GOOGLETRANSLATE(A235, ""en"", ""hi"")"),"234")</f>
        <v>234</v>
      </c>
      <c r="G235" s="5" t="str">
        <f>IFERROR(__xludf.DUMMYFUNCTION("GOOGLETRANSLATE(B235, ""en"", ""hi"")"),"2010 में खो-खो में क्या महत्वपूर्ण प्रगति हुई?")</f>
        <v>2010 में खो-खो में क्या महत्वपूर्ण प्रगति हुई?</v>
      </c>
      <c r="H235" s="5" t="str">
        <f>IFERROR(__xludf.DUMMYFUNCTION("GOOGLETRANSLATE(C235, ""en"", ""hi"")"),"A) खो-खो लीग की शुरुआत, B) खो-खो विकास निधि की स्थापना, C) पहले खो-खो विश्व कप की मेजबानी, D) नई खेल तकनीक की शुरुआत")</f>
        <v>A) खो-खो लीग की शुरुआत, B) खो-खो विकास निधि की स्थापना, C) पहले खो-खो विश्व कप की मेजबानी, D) नई खेल तकनीक की शुरुआत</v>
      </c>
      <c r="I235" s="5" t="str">
        <f>IFERROR(__xludf.DUMMYFUNCTION("GOOGLETRANSLATE(D235, ""en"", ""hi"")"),"ए) खो-खो लीग की शुरुआत")</f>
        <v>ए) खो-खो लीग की शुरुआत</v>
      </c>
    </row>
    <row r="236" ht="22.5" customHeight="1">
      <c r="A236" s="7">
        <v>235.0</v>
      </c>
      <c r="B236" s="8" t="s">
        <v>2151</v>
      </c>
      <c r="C236" s="8" t="s">
        <v>2080</v>
      </c>
      <c r="D236" s="8" t="s">
        <v>1953</v>
      </c>
      <c r="F236" s="5" t="str">
        <f>IFERROR(__xludf.DUMMYFUNCTION("GOOGLETRANSLATE(A236, ""en"", ""hi"")"),"235")</f>
        <v>235</v>
      </c>
      <c r="G236" s="5" t="str">
        <f>IFERROR(__xludf.DUMMYFUNCTION("GOOGLETRANSLATE(B236, ""en"", ""hi"")"),"किस भारतीय खिलाड़ी को एक खो-खो मैच में सर्वाधिक टैग का रिकॉर्ड स्थापित करने के लिए जाना जाता है?")</f>
        <v>किस भारतीय खिलाड़ी को एक खो-खो मैच में सर्वाधिक टैग का रिकॉर्ड स्थापित करने के लिए जाना जाता है?</v>
      </c>
      <c r="H236" s="5" t="str">
        <f>IFERROR(__xludf.DUMMYFUNCTION("GOOGLETRANSLATE(C236, ""en"", ""hi"")"),"A) आर.एस. कुमार, B) एच.पी. सिंह, C) एम.के. शर्मा, D) एस.पी. सिंह")</f>
        <v>A) आर.एस. कुमार, B) एच.पी. सिंह, C) एम.के. शर्मा, D) एस.पी. सिंह</v>
      </c>
      <c r="I236" s="5" t="str">
        <f>IFERROR(__xludf.DUMMYFUNCTION("GOOGLETRANSLATE(D236, ""en"", ""hi"")"),"बी) एच.पी. सिंह")</f>
        <v>बी) एच.पी. सिंह</v>
      </c>
    </row>
    <row r="237" ht="22.5" customHeight="1">
      <c r="A237" s="7">
        <v>236.0</v>
      </c>
      <c r="B237" s="8" t="s">
        <v>2152</v>
      </c>
      <c r="C237" s="8" t="s">
        <v>2153</v>
      </c>
      <c r="D237" s="8" t="s">
        <v>1927</v>
      </c>
      <c r="F237" s="5" t="str">
        <f>IFERROR(__xludf.DUMMYFUNCTION("GOOGLETRANSLATE(A237, ""en"", ""hi"")"),"236")</f>
        <v>236</v>
      </c>
      <c r="G237" s="5" t="str">
        <f>IFERROR(__xludf.DUMMYFUNCTION("GOOGLETRANSLATE(B237, ""en"", ""hi"")"),"1998 में खो-खो में कौन से नियम परिवर्तन किए गए?")</f>
        <v>1998 में खो-खो में कौन से नियम परिवर्तन किए गए?</v>
      </c>
      <c r="H237" s="5" t="str">
        <f>IFERROR(__xludf.DUMMYFUNCTION("GOOGLETRANSLATE(C237, ""en"", ""hi"")"),"ए) नए खिलाड़ी पदों का परिचय, बी) खेल अवधि का मानकीकरण, सी) टैगिंग नियमों में संशोधन, डी) इलेक्ट्रॉनिक स्कोरिंग सिस्टम की स्थापना")</f>
        <v>ए) नए खिलाड़ी पदों का परिचय, बी) खेल अवधि का मानकीकरण, सी) टैगिंग नियमों में संशोधन, डी) इलेक्ट्रॉनिक स्कोरिंग सिस्टम की स्थापना</v>
      </c>
      <c r="I237" s="5" t="str">
        <f>IFERROR(__xludf.DUMMYFUNCTION("GOOGLETRANSLATE(D237, ""en"", ""hi"")"),"C) टैगिंग नियमों में संशोधन")</f>
        <v>C) टैगिंग नियमों में संशोधन</v>
      </c>
    </row>
    <row r="238" ht="22.5" customHeight="1">
      <c r="A238" s="7">
        <v>237.0</v>
      </c>
      <c r="B238" s="8" t="s">
        <v>2142</v>
      </c>
      <c r="C238" s="8" t="s">
        <v>1966</v>
      </c>
      <c r="D238" s="8" t="s">
        <v>2116</v>
      </c>
      <c r="F238" s="5" t="str">
        <f>IFERROR(__xludf.DUMMYFUNCTION("GOOGLETRANSLATE(A238, ""en"", ""hi"")"),"237")</f>
        <v>237</v>
      </c>
      <c r="G238" s="5" t="str">
        <f>IFERROR(__xludf.DUMMYFUNCTION("GOOGLETRANSLATE(B238, ""en"", ""hi"")"),"1980 के दशक में कौन सा भारतीय खिलाड़ी अपने असाधारण लक्ष्य का पीछा करने के कौशल के लिए जाना जाता था?")</f>
        <v>1980 के दशक में कौन सा भारतीय खिलाड़ी अपने असाधारण लक्ष्य का पीछा करने के कौशल के लिए जाना जाता था?</v>
      </c>
      <c r="H238" s="5" t="str">
        <f>IFERROR(__xludf.DUMMYFUNCTION("GOOGLETRANSLATE(C238, ""en"", ""hi"")"),"A) एच.पी. सिंह, B) आर.एस. कुमार, C) एम.के. शर्मा, D) एस.पी. सिंह")</f>
        <v>A) एच.पी. सिंह, B) आर.एस. कुमार, C) एम.के. शर्मा, D) एस.पी. सिंह</v>
      </c>
      <c r="I238" s="5" t="str">
        <f>IFERROR(__xludf.DUMMYFUNCTION("GOOGLETRANSLATE(D238, ""en"", ""hi"")"),"A) एच.पी. सिंह, B) आर.एस. कुमार")</f>
        <v>A) एच.पी. सिंह, B) आर.एस. कुमार</v>
      </c>
    </row>
    <row r="239" ht="22.5" customHeight="1">
      <c r="A239" s="7">
        <v>238.0</v>
      </c>
      <c r="B239" s="8" t="s">
        <v>2104</v>
      </c>
      <c r="C239" s="8" t="s">
        <v>271</v>
      </c>
      <c r="D239" s="8" t="s">
        <v>603</v>
      </c>
      <c r="F239" s="5" t="str">
        <f>IFERROR(__xludf.DUMMYFUNCTION("GOOGLETRANSLATE(A239, ""en"", ""hi"")"),"238")</f>
        <v>238</v>
      </c>
      <c r="G239" s="5" t="str">
        <f>IFERROR(__xludf.DUMMYFUNCTION("GOOGLETRANSLATE(B239, ""en"", ""hi"")"),"1990 के दशक में किस भारतीय राज्य ने पहली बार अंतर्राष्ट्रीय खो-खो टूर्नामेंट की मेजबानी की थी?")</f>
        <v>1990 के दशक में किस भारतीय राज्य ने पहली बार अंतर्राष्ट्रीय खो-खो टूर्नामेंट की मेजबानी की थी?</v>
      </c>
      <c r="H239" s="5" t="str">
        <f>IFERROR(__xludf.DUMMYFUNCTION("GOOGLETRANSLATE(C239, ""en"", ""hi"")"),"ए) पंजाब, बी) हरियाणा, सी) महाराष्ट्र, डी) उत्तर प्रदेश")</f>
        <v>ए) पंजाब, बी) हरियाणा, सी) महाराष्ट्र, डी) उत्तर प्रदेश</v>
      </c>
      <c r="I239" s="5" t="str">
        <f>IFERROR(__xludf.DUMMYFUNCTION("GOOGLETRANSLATE(D239, ""en"", ""hi"")"),"बी) हरियाणा")</f>
        <v>बी) हरियाणा</v>
      </c>
    </row>
    <row r="240" ht="22.5" customHeight="1">
      <c r="A240" s="7">
        <v>239.0</v>
      </c>
      <c r="B240" s="8" t="s">
        <v>2154</v>
      </c>
      <c r="C240" s="8" t="s">
        <v>2155</v>
      </c>
      <c r="D240" s="8" t="s">
        <v>2156</v>
      </c>
      <c r="F240" s="5" t="str">
        <f>IFERROR(__xludf.DUMMYFUNCTION("GOOGLETRANSLATE(A240, ""en"", ""hi"")"),"239")</f>
        <v>239</v>
      </c>
      <c r="G240" s="5" t="str">
        <f>IFERROR(__xludf.DUMMYFUNCTION("GOOGLETRANSLATE(B240, ""en"", ""hi"")"),"2000 के दशक में खो-खो में प्रमुख विकास क्या थे?")</f>
        <v>2000 के दशक में खो-खो में प्रमुख विकास क्या थे?</v>
      </c>
      <c r="H240" s="5" t="str">
        <f>IFERROR(__xludf.DUMMYFUNCTION("GOOGLETRANSLATE(C240, ""en"", ""hi"")"),"ए) टैगिंग के लिए समय सीमा का परिचय, बी) इलेक्ट्रॉनिक स्कोरिंग का परिचय, सी) नए खिलाड़ी पदों की स्थापना, डी) एशियाई खो-खो महासंघ का गठन")</f>
        <v>ए) टैगिंग के लिए समय सीमा का परिचय, बी) इलेक्ट्रॉनिक स्कोरिंग का परिचय, सी) नए खिलाड़ी पदों की स्थापना, डी) एशियाई खो-खो महासंघ का गठन</v>
      </c>
      <c r="I240" s="5" t="str">
        <f>IFERROR(__xludf.DUMMYFUNCTION("GOOGLETRANSLATE(D240, ""en"", ""hi"")"),"ए) टैगिंग के लिए समय सीमा का परिचय, बी) इलेक्ट्रॉनिक स्कोरिंग का परिचय")</f>
        <v>ए) टैगिंग के लिए समय सीमा का परिचय, बी) इलेक्ट्रॉनिक स्कोरिंग का परिचय</v>
      </c>
    </row>
    <row r="241" ht="22.5" customHeight="1">
      <c r="A241" s="7">
        <v>240.0</v>
      </c>
      <c r="B241" s="8" t="s">
        <v>1997</v>
      </c>
      <c r="C241" s="8" t="s">
        <v>1998</v>
      </c>
      <c r="D241" s="8" t="s">
        <v>2107</v>
      </c>
      <c r="F241" s="5" t="str">
        <f>IFERROR(__xludf.DUMMYFUNCTION("GOOGLETRANSLATE(A241, ""en"", ""hi"")"),"240")</f>
        <v>240</v>
      </c>
      <c r="G241" s="5" t="str">
        <f>IFERROR(__xludf.DUMMYFUNCTION("GOOGLETRANSLATE(B241, ""en"", ""hi"")"),"2010 में खो-खो विश्व कप की मेजबानी किस शहर ने की थी?")</f>
        <v>2010 में खो-खो विश्व कप की मेजबानी किस शहर ने की थी?</v>
      </c>
      <c r="H241" s="5" t="str">
        <f>IFERROR(__xludf.DUMMYFUNCTION("GOOGLETRANSLATE(C241, ""en"", ""hi"")"),"ए) दिल्ली, बी) मुंबई, सी) बैंगलोर, डी) कोलकाता")</f>
        <v>ए) दिल्ली, बी) मुंबई, सी) बैंगलोर, डी) कोलकाता</v>
      </c>
      <c r="I241" s="5" t="str">
        <f>IFERROR(__xludf.DUMMYFUNCTION("GOOGLETRANSLATE(D241, ""en"", ""hi"")"),"D) कोलकाता")</f>
        <v>D) कोलकाता</v>
      </c>
    </row>
    <row r="242" ht="22.5" customHeight="1">
      <c r="A242" s="7">
        <v>241.0</v>
      </c>
      <c r="B242" s="8" t="s">
        <v>2157</v>
      </c>
      <c r="C242" s="8" t="s">
        <v>2158</v>
      </c>
      <c r="D242" s="8" t="s">
        <v>2159</v>
      </c>
      <c r="F242" s="5" t="str">
        <f>IFERROR(__xludf.DUMMYFUNCTION("GOOGLETRANSLATE(A242, ""en"", ""hi"")"),"241")</f>
        <v>241</v>
      </c>
      <c r="G242" s="5" t="str">
        <f>IFERROR(__xludf.DUMMYFUNCTION("GOOGLETRANSLATE(B242, ""en"", ""hi"")"),"1982 में खो-खो में कौन सा प्रमुख नियम परिवर्तन किया गया?")</f>
        <v>1982 में खो-खो में कौन सा प्रमुख नियम परिवर्तन किया गया?</v>
      </c>
      <c r="H242" s="5" t="str">
        <f>IFERROR(__xludf.DUMMYFUNCTION("GOOGLETRANSLATE(C242, ""en"", ""hi"")"),"ए) नए खिलाड़ी पदों का परिचय, बी) खेल अवधि का मानकीकरण, सी) टैगिंग नियमों में संशोधन, डी) खो-खो विश्व कप की स्थापना")</f>
        <v>ए) नए खिलाड़ी पदों का परिचय, बी) खेल अवधि का मानकीकरण, सी) टैगिंग नियमों में संशोधन, डी) खो-खो विश्व कप की स्थापना</v>
      </c>
      <c r="I242" s="5" t="str">
        <f>IFERROR(__xludf.DUMMYFUNCTION("GOOGLETRANSLATE(D242, ""en"", ""hi"")"),"D) खो-खो विश्व कप की स्थापना")</f>
        <v>D) खो-खो विश्व कप की स्थापना</v>
      </c>
    </row>
    <row r="243" ht="22.5" customHeight="1">
      <c r="A243" s="7">
        <v>242.0</v>
      </c>
      <c r="B243" s="8" t="s">
        <v>2160</v>
      </c>
      <c r="C243" s="8" t="s">
        <v>2058</v>
      </c>
      <c r="D243" s="8" t="s">
        <v>1953</v>
      </c>
      <c r="F243" s="5" t="str">
        <f>IFERROR(__xludf.DUMMYFUNCTION("GOOGLETRANSLATE(A243, ""en"", ""hi"")"),"242")</f>
        <v>242</v>
      </c>
      <c r="G243" s="5" t="str">
        <f>IFERROR(__xludf.DUMMYFUNCTION("GOOGLETRANSLATE(B243, ""en"", ""hi"")"),"2005 में आयोजित खो-खो विश्व कप में शीर्ष स्कोरर कौन था?")</f>
        <v>2005 में आयोजित खो-खो विश्व कप में शीर्ष स्कोरर कौन था?</v>
      </c>
      <c r="H243" s="5" t="str">
        <f>IFERROR(__xludf.DUMMYFUNCTION("GOOGLETRANSLATE(C243, ""en"", ""hi"")"),"A) एम.के. शर्मा, B) एच.पी. सिंह, C) आर.एस. कुमार, D) एस.पी. सिंह")</f>
        <v>A) एम.के. शर्मा, B) एच.पी. सिंह, C) आर.एस. कुमार, D) एस.पी. सिंह</v>
      </c>
      <c r="I243" s="5" t="str">
        <f>IFERROR(__xludf.DUMMYFUNCTION("GOOGLETRANSLATE(D243, ""en"", ""hi"")"),"बी) एच.पी. सिंह")</f>
        <v>बी) एच.पी. सिंह</v>
      </c>
    </row>
    <row r="244" ht="22.5" customHeight="1">
      <c r="A244" s="7">
        <v>243.0</v>
      </c>
      <c r="B244" s="8" t="s">
        <v>2161</v>
      </c>
      <c r="C244" s="8" t="s">
        <v>1966</v>
      </c>
      <c r="D244" s="8" t="s">
        <v>1915</v>
      </c>
      <c r="F244" s="5" t="str">
        <f>IFERROR(__xludf.DUMMYFUNCTION("GOOGLETRANSLATE(A244, ""en"", ""hi"")"),"243")</f>
        <v>243</v>
      </c>
      <c r="G244" s="5" t="str">
        <f>IFERROR(__xludf.DUMMYFUNCTION("GOOGLETRANSLATE(B244, ""en"", ""hi"")"),"किस भारतीय खिलाड़ी ने 1998 में एक खो-खो मैच में सर्वाधिक टैग का रिकॉर्ड बनाया?")</f>
        <v>किस भारतीय खिलाड़ी ने 1998 में एक खो-खो मैच में सर्वाधिक टैग का रिकॉर्ड बनाया?</v>
      </c>
      <c r="H244" s="5" t="str">
        <f>IFERROR(__xludf.DUMMYFUNCTION("GOOGLETRANSLATE(C244, ""en"", ""hi"")"),"A) एच.पी. सिंह, B) आर.एस. कुमार, C) एम.के. शर्मा, D) एस.पी. सिंह")</f>
        <v>A) एच.पी. सिंह, B) आर.एस. कुमार, C) एम.के. शर्मा, D) एस.पी. सिंह</v>
      </c>
      <c r="I244" s="5" t="str">
        <f>IFERROR(__xludf.DUMMYFUNCTION("GOOGLETRANSLATE(D244, ""en"", ""hi"")"),"ए) एच.पी. सिंह")</f>
        <v>ए) एच.पी. सिंह</v>
      </c>
    </row>
    <row r="245" ht="22.5" customHeight="1">
      <c r="A245" s="7">
        <v>244.0</v>
      </c>
      <c r="B245" s="8" t="s">
        <v>2162</v>
      </c>
      <c r="C245" s="8" t="s">
        <v>271</v>
      </c>
      <c r="D245" s="8" t="s">
        <v>842</v>
      </c>
      <c r="F245" s="5" t="str">
        <f>IFERROR(__xludf.DUMMYFUNCTION("GOOGLETRANSLATE(A245, ""en"", ""hi"")"),"244")</f>
        <v>244</v>
      </c>
      <c r="G245" s="5" t="str">
        <f>IFERROR(__xludf.DUMMYFUNCTION("GOOGLETRANSLATE(B245, ""en"", ""hi"")"),"2000 के दशक में अंतर्राष्ट्रीय खो-खो टूर्नामेंट की मेजबानी करने वाला पहला भारतीय राज्य कौन सा था?")</f>
        <v>2000 के दशक में अंतर्राष्ट्रीय खो-खो टूर्नामेंट की मेजबानी करने वाला पहला भारतीय राज्य कौन सा था?</v>
      </c>
      <c r="H245" s="5" t="str">
        <f>IFERROR(__xludf.DUMMYFUNCTION("GOOGLETRANSLATE(C245, ""en"", ""hi"")"),"ए) पंजाब, बी) हरियाणा, सी) महाराष्ट्र, डी) उत्तर प्रदेश")</f>
        <v>ए) पंजाब, बी) हरियाणा, सी) महाराष्ट्र, डी) उत्तर प्रदेश</v>
      </c>
      <c r="I245" s="5" t="str">
        <f>IFERROR(__xludf.DUMMYFUNCTION("GOOGLETRANSLATE(D245, ""en"", ""hi"")"),"C) महाराष्ट्र")</f>
        <v>C) महाराष्ट्र</v>
      </c>
    </row>
    <row r="246" ht="22.5" customHeight="1">
      <c r="A246" s="7">
        <v>245.0</v>
      </c>
      <c r="B246" s="8" t="s">
        <v>2163</v>
      </c>
      <c r="C246" s="8" t="s">
        <v>1988</v>
      </c>
      <c r="D246" s="8" t="s">
        <v>1953</v>
      </c>
      <c r="F246" s="5" t="str">
        <f>IFERROR(__xludf.DUMMYFUNCTION("GOOGLETRANSLATE(A246, ""en"", ""hi"")"),"245")</f>
        <v>245</v>
      </c>
      <c r="G246" s="5" t="str">
        <f>IFERROR(__xludf.DUMMYFUNCTION("GOOGLETRANSLATE(B246, ""en"", ""hi"")"),"2005 में खो-खो विश्व कप का मुख्य आयोजक कौन था?")</f>
        <v>2005 में खो-खो विश्व कप का मुख्य आयोजक कौन था?</v>
      </c>
      <c r="H246" s="5" t="str">
        <f>IFERROR(__xludf.DUMMYFUNCTION("GOOGLETRANSLATE(C246, ""en"", ""hi"")"),"A) वी.के. जोशी, B) एच.पी. सिंह, C) एम.के. शर्मा, D) आर.एस. कुमार")</f>
        <v>A) वी.के. जोशी, B) एच.पी. सिंह, C) एम.के. शर्मा, D) आर.एस. कुमार</v>
      </c>
      <c r="I246" s="5" t="str">
        <f>IFERROR(__xludf.DUMMYFUNCTION("GOOGLETRANSLATE(D246, ""en"", ""hi"")"),"बी) एच.पी. सिंह")</f>
        <v>बी) एच.पी. सिंह</v>
      </c>
    </row>
    <row r="247" ht="22.5" customHeight="1">
      <c r="A247" s="7">
        <v>246.0</v>
      </c>
      <c r="B247" s="8" t="s">
        <v>2164</v>
      </c>
      <c r="C247" s="8" t="s">
        <v>2165</v>
      </c>
      <c r="D247" s="8" t="s">
        <v>2166</v>
      </c>
      <c r="F247" s="5" t="str">
        <f>IFERROR(__xludf.DUMMYFUNCTION("GOOGLETRANSLATE(A247, ""en"", ""hi"")"),"246")</f>
        <v>246</v>
      </c>
      <c r="G247" s="5" t="str">
        <f>IFERROR(__xludf.DUMMYFUNCTION("GOOGLETRANSLATE(B247, ""en"", ""hi"")"),"1995 में खो-खो के इतिहास में कौन सी महत्वपूर्ण घटना घटी?")</f>
        <v>1995 में खो-खो के इतिहास में कौन सी महत्वपूर्ण घटना घटी?</v>
      </c>
      <c r="H247" s="5" t="str">
        <f>IFERROR(__xludf.DUMMYFUNCTION("GOOGLETRANSLATE(C247, ""en"", ""hi"")"),"A) खो-खो विकास निधि की स्थापना, B) नई तकनीक का परिचय, C) खो-खो विश्व कप की स्थापना, D) एशियाई खो-खो महासंघ का गठन")</f>
        <v>A) खो-खो विकास निधि की स्थापना, B) नई तकनीक का परिचय, C) खो-खो विश्व कप की स्थापना, D) एशियाई खो-खो महासंघ का गठन</v>
      </c>
      <c r="I247" s="5" t="str">
        <f>IFERROR(__xludf.DUMMYFUNCTION("GOOGLETRANSLATE(D247, ""en"", ""hi"")"),"A) खो-खो विकास कोष की स्थापना, D) एशियाई खो-खो महासंघ का गठन")</f>
        <v>A) खो-खो विकास कोष की स्थापना, D) एशियाई खो-खो महासंघ का गठन</v>
      </c>
    </row>
    <row r="248" ht="22.5" customHeight="1">
      <c r="A248" s="7">
        <v>247.0</v>
      </c>
      <c r="B248" s="8" t="s">
        <v>2167</v>
      </c>
      <c r="C248" s="8" t="s">
        <v>1988</v>
      </c>
      <c r="D248" s="8" t="s">
        <v>1974</v>
      </c>
      <c r="F248" s="5" t="str">
        <f>IFERROR(__xludf.DUMMYFUNCTION("GOOGLETRANSLATE(A248, ""en"", ""hi"")"),"247")</f>
        <v>247</v>
      </c>
      <c r="G248" s="5" t="str">
        <f>IFERROR(__xludf.DUMMYFUNCTION("GOOGLETRANSLATE(B248, ""en"", ""hi"")"),"1990 में खो-खो विश्व कप का मुख्य आयोजक कौन था?")</f>
        <v>1990 में खो-खो विश्व कप का मुख्य आयोजक कौन था?</v>
      </c>
      <c r="H248" s="5" t="str">
        <f>IFERROR(__xludf.DUMMYFUNCTION("GOOGLETRANSLATE(C248, ""en"", ""hi"")"),"A) वी.के. जोशी, B) एच.पी. सिंह, C) एम.के. शर्मा, D) आर.एस. कुमार")</f>
        <v>A) वी.के. जोशी, B) एच.पी. सिंह, C) एम.के. शर्मा, D) आर.एस. कुमार</v>
      </c>
      <c r="I248" s="5" t="str">
        <f>IFERROR(__xludf.DUMMYFUNCTION("GOOGLETRANSLATE(D248, ""en"", ""hi"")"),"A) वी.के. जोशी")</f>
        <v>A) वी.के. जोशी</v>
      </c>
    </row>
    <row r="249" ht="22.5" customHeight="1">
      <c r="A249" s="7">
        <v>248.0</v>
      </c>
      <c r="B249" s="8" t="s">
        <v>2168</v>
      </c>
      <c r="C249" s="8" t="s">
        <v>2131</v>
      </c>
      <c r="D249" s="8" t="s">
        <v>1927</v>
      </c>
      <c r="F249" s="5" t="str">
        <f>IFERROR(__xludf.DUMMYFUNCTION("GOOGLETRANSLATE(A249, ""en"", ""hi"")"),"248")</f>
        <v>248</v>
      </c>
      <c r="G249" s="5" t="str">
        <f>IFERROR(__xludf.DUMMYFUNCTION("GOOGLETRANSLATE(B249, ""en"", ""hi"")"),"2005 में खो-खो में कौन से नियम परिवर्तन किए गए?")</f>
        <v>2005 में खो-खो में कौन से नियम परिवर्तन किए गए?</v>
      </c>
      <c r="H249" s="5" t="str">
        <f>IFERROR(__xludf.DUMMYFUNCTION("GOOGLETRANSLATE(C249, ""en"", ""hi"")"),"ए) वीडियो समीक्षा की शुरूआत, बी) खेल अवधि का मानकीकरण, सी) टैगिंग नियमों में संशोधन, डी) नए खिलाड़ी पदों को जोड़ना")</f>
        <v>ए) वीडियो समीक्षा की शुरूआत, बी) खेल अवधि का मानकीकरण, सी) टैगिंग नियमों में संशोधन, डी) नए खिलाड़ी पदों को जोड़ना</v>
      </c>
      <c r="I249" s="5" t="str">
        <f>IFERROR(__xludf.DUMMYFUNCTION("GOOGLETRANSLATE(D249, ""en"", ""hi"")"),"C) टैगिंग नियमों में संशोधन")</f>
        <v>C) टैगिंग नियमों में संशोधन</v>
      </c>
    </row>
    <row r="250" ht="22.5" customHeight="1">
      <c r="A250" s="7">
        <v>249.0</v>
      </c>
      <c r="B250" s="8" t="s">
        <v>2169</v>
      </c>
      <c r="C250" s="8" t="s">
        <v>1966</v>
      </c>
      <c r="D250" s="8" t="s">
        <v>2101</v>
      </c>
      <c r="F250" s="5" t="str">
        <f>IFERROR(__xludf.DUMMYFUNCTION("GOOGLETRANSLATE(A250, ""en"", ""hi"")"),"249")</f>
        <v>249</v>
      </c>
      <c r="G250" s="5" t="str">
        <f>IFERROR(__xludf.DUMMYFUNCTION("GOOGLETRANSLATE(B250, ""en"", ""hi"")"),"1994 में आयोजित खो-खो विश्व कप में किस भारतीय खिलाड़ी को उनके प्रदर्शन के लिए जाना गया?")</f>
        <v>1994 में आयोजित खो-खो विश्व कप में किस भारतीय खिलाड़ी को उनके प्रदर्शन के लिए जाना गया?</v>
      </c>
      <c r="H250" s="5" t="str">
        <f>IFERROR(__xludf.DUMMYFUNCTION("GOOGLETRANSLATE(C250, ""en"", ""hi"")"),"A) एच.पी. सिंह, B) आर.एस. कुमार, C) एम.के. शर्मा, D) एस.पी. सिंह")</f>
        <v>A) एच.पी. सिंह, B) आर.एस. कुमार, C) एम.के. शर्मा, D) एस.पी. सिंह</v>
      </c>
      <c r="I250" s="5" t="str">
        <f>IFERROR(__xludf.DUMMYFUNCTION("GOOGLETRANSLATE(D250, ""en"", ""hi"")"),"C) एम.के. शर्मा")</f>
        <v>C) एम.के. शर्मा</v>
      </c>
    </row>
    <row r="251" ht="22.5" customHeight="1">
      <c r="A251" s="7">
        <v>250.0</v>
      </c>
      <c r="B251" s="8" t="s">
        <v>2170</v>
      </c>
      <c r="C251" s="8" t="s">
        <v>1998</v>
      </c>
      <c r="D251" s="8" t="s">
        <v>2107</v>
      </c>
      <c r="F251" s="5" t="str">
        <f>IFERROR(__xludf.DUMMYFUNCTION("GOOGLETRANSLATE(A251, ""en"", ""hi"")"),"250")</f>
        <v>250</v>
      </c>
      <c r="G251" s="5" t="str">
        <f>IFERROR(__xludf.DUMMYFUNCTION("GOOGLETRANSLATE(B251, ""en"", ""hi"")"),"2002 में खो-खो विश्व कप की मेजबानी किस भारतीय शहर ने की थी?")</f>
        <v>2002 में खो-खो विश्व कप की मेजबानी किस भारतीय शहर ने की थी?</v>
      </c>
      <c r="H251" s="5" t="str">
        <f>IFERROR(__xludf.DUMMYFUNCTION("GOOGLETRANSLATE(C251, ""en"", ""hi"")"),"ए) दिल्ली, बी) मुंबई, सी) बैंगलोर, डी) कोलकाता")</f>
        <v>ए) दिल्ली, बी) मुंबई, सी) बैंगलोर, डी) कोलकाता</v>
      </c>
      <c r="I251" s="5" t="str">
        <f>IFERROR(__xludf.DUMMYFUNCTION("GOOGLETRANSLATE(D251, ""en"", ""hi"")"),"D) कोलकाता")</f>
        <v>D) कोलकाता</v>
      </c>
    </row>
    <row r="252" ht="22.5" customHeight="1">
      <c r="A252" s="7">
        <v>251.0</v>
      </c>
      <c r="B252" s="8" t="s">
        <v>2171</v>
      </c>
      <c r="C252" s="8" t="s">
        <v>1966</v>
      </c>
      <c r="D252" s="8" t="s">
        <v>1980</v>
      </c>
      <c r="F252" s="5" t="str">
        <f>IFERROR(__xludf.DUMMYFUNCTION("GOOGLETRANSLATE(A252, ""en"", ""hi"")"),"251")</f>
        <v>251</v>
      </c>
      <c r="G252" s="5" t="str">
        <f>IFERROR(__xludf.DUMMYFUNCTION("GOOGLETRANSLATE(B252, ""en"", ""hi"")"),"1998 में आयोजित खो-खो विश्व कप में शीर्ष स्कोरर कौन था?")</f>
        <v>1998 में आयोजित खो-खो विश्व कप में शीर्ष स्कोरर कौन था?</v>
      </c>
      <c r="H252" s="5" t="str">
        <f>IFERROR(__xludf.DUMMYFUNCTION("GOOGLETRANSLATE(C252, ""en"", ""hi"")"),"A) एच.पी. सिंह, B) आर.एस. कुमार, C) एम.के. शर्मा, D) एस.पी. सिंह")</f>
        <v>A) एच.पी. सिंह, B) आर.एस. कुमार, C) एम.के. शर्मा, D) एस.पी. सिंह</v>
      </c>
      <c r="I252" s="5" t="str">
        <f>IFERROR(__xludf.DUMMYFUNCTION("GOOGLETRANSLATE(D252, ""en"", ""hi"")"),"बी) आर.एस. कुमार")</f>
        <v>बी) आर.एस. कुमार</v>
      </c>
    </row>
    <row r="253" ht="22.5" customHeight="1">
      <c r="A253" s="7">
        <v>252.0</v>
      </c>
      <c r="B253" s="8" t="s">
        <v>2172</v>
      </c>
      <c r="C253" s="8" t="s">
        <v>2173</v>
      </c>
      <c r="D253" s="8" t="s">
        <v>2094</v>
      </c>
      <c r="F253" s="5" t="str">
        <f>IFERROR(__xludf.DUMMYFUNCTION("GOOGLETRANSLATE(A253, ""en"", ""hi"")"),"252")</f>
        <v>252</v>
      </c>
      <c r="G253" s="5" t="str">
        <f>IFERROR(__xludf.DUMMYFUNCTION("GOOGLETRANSLATE(B253, ""en"", ""hi"")"),"2005 में खो-खो में क्या महत्वपूर्ण विकास हुआ?")</f>
        <v>2005 में खो-खो में क्या महत्वपूर्ण विकास हुआ?</v>
      </c>
      <c r="H253" s="5" t="str">
        <f>IFERROR(__xludf.DUMMYFUNCTION("GOOGLETRANSLATE(C253, ""en"", ""hi"")"),"A) नई तकनीक का परिचय, B) खो-खो विकास निधि की स्थापना, C) खो-खो विश्व कप की मेजबानी, D) टैगिंग नियमों में संशोधन")</f>
        <v>A) नई तकनीक का परिचय, B) खो-खो विकास निधि की स्थापना, C) खो-खो विश्व कप की मेजबानी, D) टैगिंग नियमों में संशोधन</v>
      </c>
      <c r="I253" s="5" t="str">
        <f>IFERROR(__xludf.DUMMYFUNCTION("GOOGLETRANSLATE(D253, ""en"", ""hi"")"),"डी) टैगिंग नियमों में संशोधन")</f>
        <v>डी) टैगिंग नियमों में संशोधन</v>
      </c>
    </row>
    <row r="254" ht="22.5" customHeight="1">
      <c r="A254" s="7">
        <v>253.0</v>
      </c>
      <c r="B254" s="8" t="s">
        <v>2174</v>
      </c>
      <c r="C254" s="8" t="s">
        <v>271</v>
      </c>
      <c r="D254" s="8" t="s">
        <v>603</v>
      </c>
      <c r="F254" s="5" t="str">
        <f>IFERROR(__xludf.DUMMYFUNCTION("GOOGLETRANSLATE(A254, ""en"", ""hi"")"),"253")</f>
        <v>253</v>
      </c>
      <c r="G254" s="5" t="str">
        <f>IFERROR(__xludf.DUMMYFUNCTION("GOOGLETRANSLATE(B254, ""en"", ""hi"")"),"1980 के दशक में किस भारतीय राज्य ने पहली बार खो-खो अकादमी की स्थापना की थी?")</f>
        <v>1980 के दशक में किस भारतीय राज्य ने पहली बार खो-खो अकादमी की स्थापना की थी?</v>
      </c>
      <c r="H254" s="5" t="str">
        <f>IFERROR(__xludf.DUMMYFUNCTION("GOOGLETRANSLATE(C254, ""en"", ""hi"")"),"ए) पंजाब, बी) हरियाणा, सी) महाराष्ट्र, डी) उत्तर प्रदेश")</f>
        <v>ए) पंजाब, बी) हरियाणा, सी) महाराष्ट्र, डी) उत्तर प्रदेश</v>
      </c>
      <c r="I254" s="5" t="str">
        <f>IFERROR(__xludf.DUMMYFUNCTION("GOOGLETRANSLATE(D254, ""en"", ""hi"")"),"बी) हरियाणा")</f>
        <v>बी) हरियाणा</v>
      </c>
    </row>
    <row r="255" ht="22.5" customHeight="1">
      <c r="A255" s="7">
        <v>254.0</v>
      </c>
      <c r="B255" s="8" t="s">
        <v>2175</v>
      </c>
      <c r="C255" s="8" t="s">
        <v>2176</v>
      </c>
      <c r="D255" s="8" t="s">
        <v>1927</v>
      </c>
      <c r="F255" s="5" t="str">
        <f>IFERROR(__xludf.DUMMYFUNCTION("GOOGLETRANSLATE(A255, ""en"", ""hi"")"),"254")</f>
        <v>254</v>
      </c>
      <c r="G255" s="5" t="str">
        <f>IFERROR(__xludf.DUMMYFUNCTION("GOOGLETRANSLATE(B255, ""en"", ""hi"")"),"1990 में खो-खो में कौन से नियम परिवर्तन किए गए?")</f>
        <v>1990 में खो-खो में कौन से नियम परिवर्तन किए गए?</v>
      </c>
      <c r="H255" s="5" t="str">
        <f>IFERROR(__xludf.DUMMYFUNCTION("GOOGLETRANSLATE(C255, ""en"", ""hi"")"),"ए) खो-खो विश्व कप की स्थापना, बी) नए मैदान आयामों की शुरूआत, सी) टैगिंग नियमों में संशोधन, डी) इलेक्ट्रॉनिक स्कोरिंग की शुरूआत")</f>
        <v>ए) खो-खो विश्व कप की स्थापना, बी) नए मैदान आयामों की शुरूआत, सी) टैगिंग नियमों में संशोधन, डी) इलेक्ट्रॉनिक स्कोरिंग की शुरूआत</v>
      </c>
      <c r="I255" s="5" t="str">
        <f>IFERROR(__xludf.DUMMYFUNCTION("GOOGLETRANSLATE(D255, ""en"", ""hi"")"),"C) टैगिंग नियमों में संशोधन")</f>
        <v>C) टैगिंग नियमों में संशोधन</v>
      </c>
    </row>
    <row r="256" ht="22.5" customHeight="1">
      <c r="A256" s="7">
        <v>255.0</v>
      </c>
      <c r="B256" s="8" t="s">
        <v>2177</v>
      </c>
      <c r="C256" s="8" t="s">
        <v>1960</v>
      </c>
      <c r="D256" s="8" t="s">
        <v>1889</v>
      </c>
      <c r="F256" s="5" t="str">
        <f>IFERROR(__xludf.DUMMYFUNCTION("GOOGLETRANSLATE(A256, ""en"", ""hi"")"),"255")</f>
        <v>255</v>
      </c>
      <c r="G256" s="5" t="str">
        <f>IFERROR(__xludf.DUMMYFUNCTION("GOOGLETRANSLATE(B256, ""en"", ""hi"")"),"कौन सा भारतीय शहर 2000 के दशक में खो-खो राष्ट्रीय चैम्पियनशिप की मेजबानी के लिए जाना जाता था?")</f>
        <v>कौन सा भारतीय शहर 2000 के दशक में खो-खो राष्ट्रीय चैम्पियनशिप की मेजबानी के लिए जाना जाता था?</v>
      </c>
      <c r="H256" s="5" t="str">
        <f>IFERROR(__xludf.DUMMYFUNCTION("GOOGLETRANSLATE(C256, ""en"", ""hi"")"),"A) दिल्ली, B) मुंबई, C) पुणे, D) बैंगलोर")</f>
        <v>A) दिल्ली, B) मुंबई, C) पुणे, D) बैंगलोर</v>
      </c>
      <c r="I256" s="5" t="str">
        <f>IFERROR(__xludf.DUMMYFUNCTION("GOOGLETRANSLATE(D256, ""en"", ""hi"")"),"C) पुणे")</f>
        <v>C) पुणे</v>
      </c>
    </row>
    <row r="257" ht="22.5" customHeight="1">
      <c r="A257" s="7">
        <v>256.0</v>
      </c>
      <c r="B257" s="8" t="s">
        <v>2178</v>
      </c>
      <c r="C257" s="8" t="s">
        <v>2099</v>
      </c>
      <c r="D257" s="8" t="s">
        <v>2042</v>
      </c>
      <c r="F257" s="5" t="str">
        <f>IFERROR(__xludf.DUMMYFUNCTION("GOOGLETRANSLATE(A257, ""en"", ""hi"")"),"256")</f>
        <v>256</v>
      </c>
      <c r="G257" s="5" t="str">
        <f>IFERROR(__xludf.DUMMYFUNCTION("GOOGLETRANSLATE(B257, ""en"", ""hi"")"),"वर्ष 2000 में खो-खो में क्या महत्वपूर्ण प्रगति हुई?")</f>
        <v>वर्ष 2000 में खो-खो में क्या महत्वपूर्ण प्रगति हुई?</v>
      </c>
      <c r="H257" s="5" t="str">
        <f>IFERROR(__xludf.DUMMYFUNCTION("GOOGLETRANSLATE(C257, ""en"", ""hi"")"),"A) टैगिंग के लिए समय सीमा का परिचय, B) मैदान के आयामों का मानकीकरण, C) खो-खो विश्व कप की स्थापना, D) नई तकनीक का परिचय")</f>
        <v>A) टैगिंग के लिए समय सीमा का परिचय, B) मैदान के आयामों का मानकीकरण, C) खो-खो विश्व कप की स्थापना, D) नई तकनीक का परिचय</v>
      </c>
      <c r="I257" s="5" t="str">
        <f>IFERROR(__xludf.DUMMYFUNCTION("GOOGLETRANSLATE(D257, ""en"", ""hi"")"),"ए) टैगिंग के लिए समय सीमा का परिचय")</f>
        <v>ए) टैगिंग के लिए समय सीमा का परिचय</v>
      </c>
    </row>
    <row r="258" ht="22.5" customHeight="1">
      <c r="A258" s="7">
        <v>257.0</v>
      </c>
      <c r="B258" s="8" t="s">
        <v>1951</v>
      </c>
      <c r="C258" s="8" t="s">
        <v>1966</v>
      </c>
      <c r="D258" s="8" t="s">
        <v>1915</v>
      </c>
      <c r="F258" s="5" t="str">
        <f>IFERROR(__xludf.DUMMYFUNCTION("GOOGLETRANSLATE(A258, ""en"", ""hi"")"),"257")</f>
        <v>257</v>
      </c>
      <c r="G258" s="5" t="str">
        <f>IFERROR(__xludf.DUMMYFUNCTION("GOOGLETRANSLATE(B258, ""en"", ""hi"")"),"2010 में आयोजित खो-खो विश्व कप में अग्रणी स्कोरर कौन था?")</f>
        <v>2010 में आयोजित खो-खो विश्व कप में अग्रणी स्कोरर कौन था?</v>
      </c>
      <c r="H258" s="5" t="str">
        <f>IFERROR(__xludf.DUMMYFUNCTION("GOOGLETRANSLATE(C258, ""en"", ""hi"")"),"A) एच.पी. सिंह, B) आर.एस. कुमार, C) एम.के. शर्मा, D) एस.पी. सिंह")</f>
        <v>A) एच.पी. सिंह, B) आर.एस. कुमार, C) एम.के. शर्मा, D) एस.पी. सिंह</v>
      </c>
      <c r="I258" s="5" t="str">
        <f>IFERROR(__xludf.DUMMYFUNCTION("GOOGLETRANSLATE(D258, ""en"", ""hi"")"),"ए) एच.पी. सिंह")</f>
        <v>ए) एच.पी. सिंह</v>
      </c>
    </row>
    <row r="259" ht="22.5" customHeight="1">
      <c r="A259" s="7">
        <v>258.0</v>
      </c>
      <c r="B259" s="8" t="s">
        <v>2179</v>
      </c>
      <c r="C259" s="8" t="s">
        <v>1966</v>
      </c>
      <c r="D259" s="8" t="s">
        <v>1915</v>
      </c>
      <c r="F259" s="5" t="str">
        <f>IFERROR(__xludf.DUMMYFUNCTION("GOOGLETRANSLATE(A259, ""en"", ""hi"")"),"258")</f>
        <v>258</v>
      </c>
      <c r="G259" s="5" t="str">
        <f>IFERROR(__xludf.DUMMYFUNCTION("GOOGLETRANSLATE(B259, ""en"", ""hi"")"),"कौन सा भारतीय खिलाड़ी 2002 में आयोजित खो-खो विश्व कप में अपने प्रदर्शन के लिए जाना जाता था?")</f>
        <v>कौन सा भारतीय खिलाड़ी 2002 में आयोजित खो-खो विश्व कप में अपने प्रदर्शन के लिए जाना जाता था?</v>
      </c>
      <c r="H259" s="5" t="str">
        <f>IFERROR(__xludf.DUMMYFUNCTION("GOOGLETRANSLATE(C259, ""en"", ""hi"")"),"A) एच.पी. सिंह, B) आर.एस. कुमार, C) एम.के. शर्मा, D) एस.पी. सिंह")</f>
        <v>A) एच.पी. सिंह, B) आर.एस. कुमार, C) एम.के. शर्मा, D) एस.पी. सिंह</v>
      </c>
      <c r="I259" s="5" t="str">
        <f>IFERROR(__xludf.DUMMYFUNCTION("GOOGLETRANSLATE(D259, ""en"", ""hi"")"),"ए) एच.पी. सिंह")</f>
        <v>ए) एच.पी. सिंह</v>
      </c>
    </row>
    <row r="260" ht="22.5" customHeight="1">
      <c r="A260" s="7">
        <v>259.0</v>
      </c>
      <c r="B260" s="8" t="s">
        <v>2076</v>
      </c>
      <c r="C260" s="8" t="s">
        <v>2077</v>
      </c>
      <c r="D260" s="8" t="s">
        <v>2070</v>
      </c>
      <c r="F260" s="5" t="str">
        <f>IFERROR(__xludf.DUMMYFUNCTION("GOOGLETRANSLATE(A260, ""en"", ""hi"")"),"259")</f>
        <v>259</v>
      </c>
      <c r="G260" s="5" t="str">
        <f>IFERROR(__xludf.DUMMYFUNCTION("GOOGLETRANSLATE(B260, ""en"", ""hi"")"),"1995 में स्थापित खो-खो विकास कोष का प्राथमिक उद्देश्य क्या था?")</f>
        <v>1995 में स्थापित खो-खो विकास कोष का प्राथमिक उद्देश्य क्या था?</v>
      </c>
      <c r="H260" s="5" t="str">
        <f>IFERROR(__xludf.DUMMYFUNCTION("GOOGLETRANSLATE(C260, ""en"", ""hi"")"),"A) जमीनी स्तर पर विकास का समर्थन करना, B) अंतर्राष्ट्रीय टूर्नामेंटों को बढ़ावा देना, C) नई तकनीक का परिचय देना, D) मैदान के आयामों का मानकीकरण करना")</f>
        <v>A) जमीनी स्तर पर विकास का समर्थन करना, B) अंतर्राष्ट्रीय टूर्नामेंटों को बढ़ावा देना, C) नई तकनीक का परिचय देना, D) मैदान के आयामों का मानकीकरण करना</v>
      </c>
      <c r="I260" s="5" t="str">
        <f>IFERROR(__xludf.DUMMYFUNCTION("GOOGLETRANSLATE(D260, ""en"", ""hi"")"),"A) जमीनी स्तर पर विकास का समर्थन करना")</f>
        <v>A) जमीनी स्तर पर विकास का समर्थन करना</v>
      </c>
    </row>
    <row r="261" ht="22.5" customHeight="1">
      <c r="A261" s="7">
        <v>260.0</v>
      </c>
      <c r="B261" s="8" t="s">
        <v>2162</v>
      </c>
      <c r="C261" s="8" t="s">
        <v>271</v>
      </c>
      <c r="D261" s="8" t="s">
        <v>842</v>
      </c>
      <c r="F261" s="5" t="str">
        <f>IFERROR(__xludf.DUMMYFUNCTION("GOOGLETRANSLATE(A261, ""en"", ""hi"")"),"260")</f>
        <v>260</v>
      </c>
      <c r="G261" s="5" t="str">
        <f>IFERROR(__xludf.DUMMYFUNCTION("GOOGLETRANSLATE(B261, ""en"", ""hi"")"),"2000 के दशक में अंतर्राष्ट्रीय खो-खो टूर्नामेंट की मेजबानी करने वाला पहला भारतीय राज्य कौन सा था?")</f>
        <v>2000 के दशक में अंतर्राष्ट्रीय खो-खो टूर्नामेंट की मेजबानी करने वाला पहला भारतीय राज्य कौन सा था?</v>
      </c>
      <c r="H261" s="5" t="str">
        <f>IFERROR(__xludf.DUMMYFUNCTION("GOOGLETRANSLATE(C261, ""en"", ""hi"")"),"ए) पंजाब, बी) हरियाणा, सी) महाराष्ट्र, डी) उत्तर प्रदेश")</f>
        <v>ए) पंजाब, बी) हरियाणा, सी) महाराष्ट्र, डी) उत्तर प्रदेश</v>
      </c>
      <c r="I261" s="5" t="str">
        <f>IFERROR(__xludf.DUMMYFUNCTION("GOOGLETRANSLATE(D261, ""en"", ""hi"")"),"C) महाराष्ट्र")</f>
        <v>C) महाराष्ट्र</v>
      </c>
    </row>
    <row r="262" ht="22.5" customHeight="1">
      <c r="A262" s="7">
        <v>261.0</v>
      </c>
      <c r="B262" s="8" t="s">
        <v>2180</v>
      </c>
      <c r="C262" s="8" t="s">
        <v>1988</v>
      </c>
      <c r="D262" s="8" t="s">
        <v>1953</v>
      </c>
      <c r="F262" s="5" t="str">
        <f>IFERROR(__xludf.DUMMYFUNCTION("GOOGLETRANSLATE(A262, ""en"", ""hi"")"),"261")</f>
        <v>261</v>
      </c>
      <c r="G262" s="5" t="str">
        <f>IFERROR(__xludf.DUMMYFUNCTION("GOOGLETRANSLATE(B262, ""en"", ""hi"")"),"2015 में खो-खो विश्व कप का मुख्य आयोजक कौन था?")</f>
        <v>2015 में खो-खो विश्व कप का मुख्य आयोजक कौन था?</v>
      </c>
      <c r="H262" s="5" t="str">
        <f>IFERROR(__xludf.DUMMYFUNCTION("GOOGLETRANSLATE(C262, ""en"", ""hi"")"),"A) वी.के. जोशी, B) एच.पी. सिंह, C) एम.के. शर्मा, D) आर.एस. कुमार")</f>
        <v>A) वी.के. जोशी, B) एच.पी. सिंह, C) एम.के. शर्मा, D) आर.एस. कुमार</v>
      </c>
      <c r="I262" s="5" t="str">
        <f>IFERROR(__xludf.DUMMYFUNCTION("GOOGLETRANSLATE(D262, ""en"", ""hi"")"),"बी) एच.पी. सिंह")</f>
        <v>बी) एच.पी. सिंह</v>
      </c>
    </row>
    <row r="263" ht="22.5" customHeight="1">
      <c r="A263" s="7">
        <v>262.0</v>
      </c>
      <c r="B263" s="8" t="s">
        <v>2181</v>
      </c>
      <c r="C263" s="8" t="s">
        <v>1966</v>
      </c>
      <c r="D263" s="8" t="s">
        <v>2116</v>
      </c>
      <c r="F263" s="5" t="str">
        <f>IFERROR(__xludf.DUMMYFUNCTION("GOOGLETRANSLATE(A263, ""en"", ""hi"")"),"262")</f>
        <v>262</v>
      </c>
      <c r="G263" s="5" t="str">
        <f>IFERROR(__xludf.DUMMYFUNCTION("GOOGLETRANSLATE(B263, ""en"", ""hi"")"),"2000 के दशक में कौन सा भारतीय खिलाड़ी अपने असाधारण लक्ष्य का पीछा करने के कौशल के लिए जाना जाता था?")</f>
        <v>2000 के दशक में कौन सा भारतीय खिलाड़ी अपने असाधारण लक्ष्य का पीछा करने के कौशल के लिए जाना जाता था?</v>
      </c>
      <c r="H263" s="5" t="str">
        <f>IFERROR(__xludf.DUMMYFUNCTION("GOOGLETRANSLATE(C263, ""en"", ""hi"")"),"A) एच.पी. सिंह, B) आर.एस. कुमार, C) एम.के. शर्मा, D) एस.पी. सिंह")</f>
        <v>A) एच.पी. सिंह, B) आर.एस. कुमार, C) एम.के. शर्मा, D) एस.पी. सिंह</v>
      </c>
      <c r="I263" s="5" t="str">
        <f>IFERROR(__xludf.DUMMYFUNCTION("GOOGLETRANSLATE(D263, ""en"", ""hi"")"),"A) एच.पी. सिंह, B) आर.एस. कुमार")</f>
        <v>A) एच.पी. सिंह, B) आर.एस. कुमार</v>
      </c>
    </row>
    <row r="264" ht="22.5" customHeight="1">
      <c r="A264" s="7">
        <v>263.0</v>
      </c>
      <c r="B264" s="8" t="s">
        <v>2117</v>
      </c>
      <c r="C264" s="8" t="s">
        <v>2118</v>
      </c>
      <c r="D264" s="8" t="s">
        <v>2119</v>
      </c>
      <c r="F264" s="5" t="str">
        <f>IFERROR(__xludf.DUMMYFUNCTION("GOOGLETRANSLATE(A264, ""en"", ""hi"")"),"263")</f>
        <v>263</v>
      </c>
      <c r="G264" s="5" t="str">
        <f>IFERROR(__xludf.DUMMYFUNCTION("GOOGLETRANSLATE(B264, ""en"", ""hi"")"),"1995 में खो-खो में कौन से महत्वपूर्ण नियम परिवर्तन किए गए?")</f>
        <v>1995 में खो-खो में कौन से महत्वपूर्ण नियम परिवर्तन किए गए?</v>
      </c>
      <c r="H264" s="5" t="str">
        <f>IFERROR(__xludf.DUMMYFUNCTION("GOOGLETRANSLATE(C264, ""en"", ""hi"")"),"ए) खो-खो विकास निधि की स्थापना, बी) इलेक्ट्रॉनिक स्कोरिंग की शुरुआत, सी) एशियाई खो-खो महासंघ का गठन, डी) टैगिंग नियमों में संशोधन")</f>
        <v>ए) खो-खो विकास निधि की स्थापना, बी) इलेक्ट्रॉनिक स्कोरिंग की शुरुआत, सी) एशियाई खो-खो महासंघ का गठन, डी) टैगिंग नियमों में संशोधन</v>
      </c>
      <c r="I264" s="5" t="str">
        <f>IFERROR(__xludf.DUMMYFUNCTION("GOOGLETRANSLATE(D264, ""en"", ""hi"")"),"क) खो-खो विकास कोष की स्थापना, ग) एशियाई खो-खो महासंघ का गठन")</f>
        <v>क) खो-खो विकास कोष की स्थापना, ग) एशियाई खो-खो महासंघ का गठन</v>
      </c>
    </row>
    <row r="265" ht="22.5" customHeight="1">
      <c r="A265" s="7">
        <v>264.0</v>
      </c>
      <c r="B265" s="8" t="s">
        <v>2182</v>
      </c>
      <c r="C265" s="8" t="s">
        <v>1966</v>
      </c>
      <c r="D265" s="8" t="s">
        <v>1915</v>
      </c>
      <c r="F265" s="5" t="str">
        <f>IFERROR(__xludf.DUMMYFUNCTION("GOOGLETRANSLATE(A265, ""en"", ""hi"")"),"264")</f>
        <v>264</v>
      </c>
      <c r="G265" s="5" t="str">
        <f>IFERROR(__xludf.DUMMYFUNCTION("GOOGLETRANSLATE(B265, ""en"", ""hi"")"),"किस भारतीय खिलाड़ी ने 2005 में एक खो-खो मैच में सर्वाधिक सफल टैग का रिकार्ड बनाया?")</f>
        <v>किस भारतीय खिलाड़ी ने 2005 में एक खो-खो मैच में सर्वाधिक सफल टैग का रिकार्ड बनाया?</v>
      </c>
      <c r="H265" s="5" t="str">
        <f>IFERROR(__xludf.DUMMYFUNCTION("GOOGLETRANSLATE(C265, ""en"", ""hi"")"),"A) एच.पी. सिंह, B) आर.एस. कुमार, C) एम.के. शर्मा, D) एस.पी. सिंह")</f>
        <v>A) एच.पी. सिंह, B) आर.एस. कुमार, C) एम.के. शर्मा, D) एस.पी. सिंह</v>
      </c>
      <c r="I265" s="5" t="str">
        <f>IFERROR(__xludf.DUMMYFUNCTION("GOOGLETRANSLATE(D265, ""en"", ""hi"")"),"ए) एच.पी. सिंह")</f>
        <v>ए) एच.पी. सिंह</v>
      </c>
    </row>
    <row r="266" ht="22.5" customHeight="1">
      <c r="A266" s="7">
        <v>265.0</v>
      </c>
      <c r="B266" s="8" t="s">
        <v>2183</v>
      </c>
      <c r="C266" s="8" t="s">
        <v>1960</v>
      </c>
      <c r="D266" s="8" t="s">
        <v>1889</v>
      </c>
      <c r="F266" s="5" t="str">
        <f>IFERROR(__xludf.DUMMYFUNCTION("GOOGLETRANSLATE(A266, ""en"", ""hi"")"),"265")</f>
        <v>265</v>
      </c>
      <c r="G266" s="5" t="str">
        <f>IFERROR(__xludf.DUMMYFUNCTION("GOOGLETRANSLATE(B266, ""en"", ""hi"")"),"1980 के दशक के अंत में खो-खो राष्ट्रीय चैम्पियनशिप का आयोजन स्थल कौन सा शहर था?")</f>
        <v>1980 के दशक के अंत में खो-खो राष्ट्रीय चैम्पियनशिप का आयोजन स्थल कौन सा शहर था?</v>
      </c>
      <c r="H266" s="5" t="str">
        <f>IFERROR(__xludf.DUMMYFUNCTION("GOOGLETRANSLATE(C266, ""en"", ""hi"")"),"A) दिल्ली, B) मुंबई, C) पुणे, D) बैंगलोर")</f>
        <v>A) दिल्ली, B) मुंबई, C) पुणे, D) बैंगलोर</v>
      </c>
      <c r="I266" s="5" t="str">
        <f>IFERROR(__xludf.DUMMYFUNCTION("GOOGLETRANSLATE(D266, ""en"", ""hi"")"),"C) पुणे")</f>
        <v>C) पुणे</v>
      </c>
    </row>
    <row r="267" ht="22.5" customHeight="1">
      <c r="A267" s="7">
        <v>266.0</v>
      </c>
      <c r="B267" s="8" t="s">
        <v>2184</v>
      </c>
      <c r="C267" s="8" t="s">
        <v>1966</v>
      </c>
      <c r="D267" s="8" t="s">
        <v>2101</v>
      </c>
      <c r="F267" s="5" t="str">
        <f>IFERROR(__xludf.DUMMYFUNCTION("GOOGLETRANSLATE(A267, ""en"", ""hi"")"),"266")</f>
        <v>266</v>
      </c>
      <c r="G267" s="5" t="str">
        <f>IFERROR(__xludf.DUMMYFUNCTION("GOOGLETRANSLATE(B267, ""en"", ""hi"")"),"1994 में आयोजित खो-खो विश्व कप में शीर्ष स्कोरर कौन था?")</f>
        <v>1994 में आयोजित खो-खो विश्व कप में शीर्ष स्कोरर कौन था?</v>
      </c>
      <c r="H267" s="5" t="str">
        <f>IFERROR(__xludf.DUMMYFUNCTION("GOOGLETRANSLATE(C267, ""en"", ""hi"")"),"A) एच.पी. सिंह, B) आर.एस. कुमार, C) एम.के. शर्मा, D) एस.पी. सिंह")</f>
        <v>A) एच.पी. सिंह, B) आर.एस. कुमार, C) एम.के. शर्मा, D) एस.पी. सिंह</v>
      </c>
      <c r="I267" s="5" t="str">
        <f>IFERROR(__xludf.DUMMYFUNCTION("GOOGLETRANSLATE(D267, ""en"", ""hi"")"),"C) एम.के. शर्मा")</f>
        <v>C) एम.के. शर्मा</v>
      </c>
    </row>
    <row r="268" ht="22.5" customHeight="1">
      <c r="A268" s="7">
        <v>267.0</v>
      </c>
      <c r="B268" s="8" t="s">
        <v>2185</v>
      </c>
      <c r="C268" s="8" t="s">
        <v>2186</v>
      </c>
      <c r="D268" s="8" t="s">
        <v>1991</v>
      </c>
      <c r="F268" s="5" t="str">
        <f>IFERROR(__xludf.DUMMYFUNCTION("GOOGLETRANSLATE(A268, ""en"", ""hi"")"),"267")</f>
        <v>267</v>
      </c>
      <c r="G268" s="5" t="str">
        <f>IFERROR(__xludf.DUMMYFUNCTION("GOOGLETRANSLATE(B268, ""en"", ""hi"")"),"1984 में खो-खो में क्या महत्वपूर्ण विकास हुआ?")</f>
        <v>1984 में खो-खो में क्या महत्वपूर्ण विकास हुआ?</v>
      </c>
      <c r="H268" s="5" t="str">
        <f>IFERROR(__xludf.DUMMYFUNCTION("GOOGLETRANSLATE(C268, ""en"", ""hi"")"),"A) नई तकनीक का परिचय, B) खो-खो विश्व कप की स्थापना, C) टैगिंग नियमों में संशोधन, D) एशियाई खो-खो महासंघ का गठन")</f>
        <v>A) नई तकनीक का परिचय, B) खो-खो विश्व कप की स्थापना, C) टैगिंग नियमों में संशोधन, D) एशियाई खो-खो महासंघ का गठन</v>
      </c>
      <c r="I268" s="5" t="str">
        <f>IFERROR(__xludf.DUMMYFUNCTION("GOOGLETRANSLATE(D268, ""en"", ""hi"")"),"बी) खो-खो विश्व कप की स्थापना")</f>
        <v>बी) खो-खो विश्व कप की स्थापना</v>
      </c>
    </row>
    <row r="269" ht="22.5" customHeight="1">
      <c r="A269" s="7">
        <v>268.0</v>
      </c>
      <c r="B269" s="8" t="s">
        <v>2187</v>
      </c>
      <c r="C269" s="8" t="s">
        <v>1966</v>
      </c>
      <c r="D269" s="8" t="s">
        <v>1915</v>
      </c>
      <c r="F269" s="5" t="str">
        <f>IFERROR(__xludf.DUMMYFUNCTION("GOOGLETRANSLATE(A269, ""en"", ""hi"")"),"268")</f>
        <v>268</v>
      </c>
      <c r="G269" s="5" t="str">
        <f>IFERROR(__xludf.DUMMYFUNCTION("GOOGLETRANSLATE(B269, ""en"", ""hi"")"),"2005 में आयोजित खो-खो विश्व कप में किस भारतीय खिलाड़ी को उनके प्रदर्शन के लिए जाना गया?")</f>
        <v>2005 में आयोजित खो-खो विश्व कप में किस भारतीय खिलाड़ी को उनके प्रदर्शन के लिए जाना गया?</v>
      </c>
      <c r="H269" s="5" t="str">
        <f>IFERROR(__xludf.DUMMYFUNCTION("GOOGLETRANSLATE(C269, ""en"", ""hi"")"),"A) एच.पी. सिंह, B) आर.एस. कुमार, C) एम.के. शर्मा, D) एस.पी. सिंह")</f>
        <v>A) एच.पी. सिंह, B) आर.एस. कुमार, C) एम.के. शर्मा, D) एस.पी. सिंह</v>
      </c>
      <c r="I269" s="5" t="str">
        <f>IFERROR(__xludf.DUMMYFUNCTION("GOOGLETRANSLATE(D269, ""en"", ""hi"")"),"ए) एच.पी. सिंह")</f>
        <v>ए) एच.पी. सिंह</v>
      </c>
    </row>
    <row r="270" ht="22.5" customHeight="1">
      <c r="A270" s="7">
        <v>269.0</v>
      </c>
      <c r="B270" s="8" t="s">
        <v>2188</v>
      </c>
      <c r="C270" s="8" t="s">
        <v>1998</v>
      </c>
      <c r="D270" s="8" t="s">
        <v>2107</v>
      </c>
      <c r="F270" s="5" t="str">
        <f>IFERROR(__xludf.DUMMYFUNCTION("GOOGLETRANSLATE(A270, ""en"", ""hi"")"),"269")</f>
        <v>269</v>
      </c>
      <c r="G270" s="5" t="str">
        <f>IFERROR(__xludf.DUMMYFUNCTION("GOOGLETRANSLATE(B270, ""en"", ""hi"")"),"1994 में खो-खो विश्व कप की मेजबानी किस भारतीय शहर ने की थी?")</f>
        <v>1994 में खो-खो विश्व कप की मेजबानी किस भारतीय शहर ने की थी?</v>
      </c>
      <c r="H270" s="5" t="str">
        <f>IFERROR(__xludf.DUMMYFUNCTION("GOOGLETRANSLATE(C270, ""en"", ""hi"")"),"ए) दिल्ली, बी) मुंबई, सी) बैंगलोर, डी) कोलकाता")</f>
        <v>ए) दिल्ली, बी) मुंबई, सी) बैंगलोर, डी) कोलकाता</v>
      </c>
      <c r="I270" s="5" t="str">
        <f>IFERROR(__xludf.DUMMYFUNCTION("GOOGLETRANSLATE(D270, ""en"", ""hi"")"),"D) कोलकाता")</f>
        <v>D) कोलकाता</v>
      </c>
    </row>
    <row r="271" ht="22.5" customHeight="1">
      <c r="A271" s="7">
        <v>270.0</v>
      </c>
      <c r="B271" s="8" t="s">
        <v>2189</v>
      </c>
      <c r="C271" s="8" t="s">
        <v>2190</v>
      </c>
      <c r="D271" s="8" t="s">
        <v>1974</v>
      </c>
      <c r="F271" s="5" t="str">
        <f>IFERROR(__xludf.DUMMYFUNCTION("GOOGLETRANSLATE(A271, ""en"", ""hi"")"),"270")</f>
        <v>270</v>
      </c>
      <c r="G271" s="5" t="str">
        <f>IFERROR(__xludf.DUMMYFUNCTION("GOOGLETRANSLATE(B271, ""en"", ""hi"")"),"2005 में आयोजित खो-खो विश्व कप में मुख्य रेफरी कौन थे?")</f>
        <v>2005 में आयोजित खो-खो विश्व कप में मुख्य रेफरी कौन थे?</v>
      </c>
      <c r="H271" s="5" t="str">
        <f>IFERROR(__xludf.DUMMYFUNCTION("GOOGLETRANSLATE(C271, ""en"", ""hi"")"),"A) वी.के. जोशी, B) आर.एस. कुमार, C) एम.के. शर्मा, D) एच.पी. सिंह")</f>
        <v>A) वी.के. जोशी, B) आर.एस. कुमार, C) एम.के. शर्मा, D) एच.पी. सिंह</v>
      </c>
      <c r="I271" s="5" t="str">
        <f>IFERROR(__xludf.DUMMYFUNCTION("GOOGLETRANSLATE(D271, ""en"", ""hi"")"),"A) वी.के. जोशी")</f>
        <v>A) वी.के. जोशी</v>
      </c>
    </row>
    <row r="272" ht="22.5" customHeight="1">
      <c r="A272" s="7">
        <v>271.0</v>
      </c>
      <c r="B272" s="8" t="s">
        <v>2191</v>
      </c>
      <c r="C272" s="8" t="s">
        <v>1966</v>
      </c>
      <c r="D272" s="8" t="s">
        <v>2059</v>
      </c>
      <c r="F272" s="5" t="str">
        <f>IFERROR(__xludf.DUMMYFUNCTION("GOOGLETRANSLATE(A272, ""en"", ""hi"")"),"271")</f>
        <v>271</v>
      </c>
      <c r="G272" s="5" t="str">
        <f>IFERROR(__xludf.DUMMYFUNCTION("GOOGLETRANSLATE(B272, ""en"", ""hi"")"),"2010 के खो-खो विश्व कप में कौन सा भारतीय खिलाड़ी अपनी नवीन रणनीतियों के लिए जाना गया?")</f>
        <v>2010 के खो-खो विश्व कप में कौन सा भारतीय खिलाड़ी अपनी नवीन रणनीतियों के लिए जाना गया?</v>
      </c>
      <c r="H272" s="5" t="str">
        <f>IFERROR(__xludf.DUMMYFUNCTION("GOOGLETRANSLATE(C272, ""en"", ""hi"")"),"A) एच.पी. सिंह, B) आर.एस. कुमार, C) एम.के. शर्मा, D) एस.पी. सिंह")</f>
        <v>A) एच.पी. सिंह, B) आर.एस. कुमार, C) एम.के. शर्मा, D) एस.पी. सिंह</v>
      </c>
      <c r="I272" s="5" t="str">
        <f>IFERROR(__xludf.DUMMYFUNCTION("GOOGLETRANSLATE(D272, ""en"", ""hi"")"),"D) एस.पी. सिंह")</f>
        <v>D) एस.पी. सिंह</v>
      </c>
    </row>
    <row r="273" ht="22.5" customHeight="1">
      <c r="A273" s="7">
        <v>272.0</v>
      </c>
      <c r="B273" s="8" t="s">
        <v>2192</v>
      </c>
      <c r="C273" s="8" t="s">
        <v>2193</v>
      </c>
      <c r="D273" s="8" t="s">
        <v>2042</v>
      </c>
      <c r="F273" s="5" t="str">
        <f>IFERROR(__xludf.DUMMYFUNCTION("GOOGLETRANSLATE(A273, ""en"", ""hi"")"),"272")</f>
        <v>272</v>
      </c>
      <c r="G273" s="5" t="str">
        <f>IFERROR(__xludf.DUMMYFUNCTION("GOOGLETRANSLATE(B273, ""en"", ""hi"")"),"1998 में खो-खो में सबसे उल्लेखनीय नियम परिवर्तन क्या था?")</f>
        <v>1998 में खो-खो में सबसे उल्लेखनीय नियम परिवर्तन क्या था?</v>
      </c>
      <c r="H273" s="5" t="str">
        <f>IFERROR(__xludf.DUMMYFUNCTION("GOOGLETRANSLATE(C273, ""en"", ""hi"")"),"ए) टैगिंग के लिए समय सीमा का परिचय, बी) खेल अवधि का मानकीकरण, सी) नए खिलाड़ी पदों को जोड़ना, डी) मैदान के आयामों में संशोधन")</f>
        <v>ए) टैगिंग के लिए समय सीमा का परिचय, बी) खेल अवधि का मानकीकरण, सी) नए खिलाड़ी पदों को जोड़ना, डी) मैदान के आयामों में संशोधन</v>
      </c>
      <c r="I273" s="5" t="str">
        <f>IFERROR(__xludf.DUMMYFUNCTION("GOOGLETRANSLATE(D273, ""en"", ""hi"")"),"ए) टैगिंग के लिए समय सीमा का परिचय")</f>
        <v>ए) टैगिंग के लिए समय सीमा का परिचय</v>
      </c>
    </row>
    <row r="274" ht="22.5" customHeight="1">
      <c r="A274" s="7">
        <v>273.0</v>
      </c>
      <c r="B274" s="8" t="s">
        <v>2194</v>
      </c>
      <c r="C274" s="8" t="s">
        <v>271</v>
      </c>
      <c r="D274" s="8" t="s">
        <v>842</v>
      </c>
      <c r="F274" s="5" t="str">
        <f>IFERROR(__xludf.DUMMYFUNCTION("GOOGLETRANSLATE(A274, ""en"", ""hi"")"),"273")</f>
        <v>273</v>
      </c>
      <c r="G274" s="5" t="str">
        <f>IFERROR(__xludf.DUMMYFUNCTION("GOOGLETRANSLATE(B274, ""en"", ""hi"")"),"किस राज्य ने 2000 के दशक में खो-खो में 'तेज़ खेल' की अवधारणा शुरू की?")</f>
        <v>किस राज्य ने 2000 के दशक में खो-खो में 'तेज़ खेल' की अवधारणा शुरू की?</v>
      </c>
      <c r="H274" s="5" t="str">
        <f>IFERROR(__xludf.DUMMYFUNCTION("GOOGLETRANSLATE(C274, ""en"", ""hi"")"),"ए) पंजाब, बी) हरियाणा, सी) महाराष्ट्र, डी) उत्तर प्रदेश")</f>
        <v>ए) पंजाब, बी) हरियाणा, सी) महाराष्ट्र, डी) उत्तर प्रदेश</v>
      </c>
      <c r="I274" s="5" t="str">
        <f>IFERROR(__xludf.DUMMYFUNCTION("GOOGLETRANSLATE(D274, ""en"", ""hi"")"),"C) महाराष्ट्र")</f>
        <v>C) महाराष्ट्र</v>
      </c>
    </row>
    <row r="275" ht="22.5" customHeight="1">
      <c r="A275" s="7">
        <v>274.0</v>
      </c>
      <c r="B275" s="8" t="s">
        <v>2125</v>
      </c>
      <c r="C275" s="8" t="s">
        <v>1880</v>
      </c>
      <c r="D275" s="8" t="s">
        <v>37</v>
      </c>
      <c r="F275" s="5" t="str">
        <f>IFERROR(__xludf.DUMMYFUNCTION("GOOGLETRANSLATE(A275, ""en"", ""hi"")"),"274")</f>
        <v>274</v>
      </c>
      <c r="G275" s="5" t="str">
        <f>IFERROR(__xludf.DUMMYFUNCTION("GOOGLETRANSLATE(B275, ""en"", ""hi"")"),"1990 में खो-खो विश्व कप किसने जीता?")</f>
        <v>1990 में खो-खो विश्व कप किसने जीता?</v>
      </c>
      <c r="H275" s="5" t="str">
        <f>IFERROR(__xludf.DUMMYFUNCTION("GOOGLETRANSLATE(C275, ""en"", ""hi"")"),"A) भारत, B) पाकिस्तान, C) श्रीलंका, D) बांग्लादेश")</f>
        <v>A) भारत, B) पाकिस्तान, C) श्रीलंका, D) बांग्लादेश</v>
      </c>
      <c r="I275" s="5" t="str">
        <f>IFERROR(__xludf.DUMMYFUNCTION("GOOGLETRANSLATE(D275, ""en"", ""hi"")"),"ए) भारत")</f>
        <v>ए) भारत</v>
      </c>
    </row>
    <row r="276" ht="22.5" customHeight="1">
      <c r="A276" s="7">
        <v>275.0</v>
      </c>
      <c r="B276" s="8" t="s">
        <v>2195</v>
      </c>
      <c r="C276" s="8" t="s">
        <v>2196</v>
      </c>
      <c r="D276" s="8" t="s">
        <v>2197</v>
      </c>
      <c r="F276" s="5" t="str">
        <f>IFERROR(__xludf.DUMMYFUNCTION("GOOGLETRANSLATE(A276, ""en"", ""hi"")"),"275")</f>
        <v>275</v>
      </c>
      <c r="G276" s="5" t="str">
        <f>IFERROR(__xludf.DUMMYFUNCTION("GOOGLETRANSLATE(B276, ""en"", ""hi"")"),"2015 में आयोजित खो-खो विश्व कप की एक महत्वपूर्ण विशेषता क्या थी?")</f>
        <v>2015 में आयोजित खो-खो विश्व कप की एक महत्वपूर्ण विशेषता क्या थी?</v>
      </c>
      <c r="H276" s="5" t="str">
        <f>IFERROR(__xludf.DUMMYFUNCTION("GOOGLETRANSLATE(C276, ""en"", ""hi"")"),"ए) लाइव स्ट्रीमिंग की शुरुआत, बी) एक नई स्कोरिंग प्रणाली की स्थापना, सी) अंतर्राष्ट्रीय टीमों को शामिल करने के लिए विस्तार, डी) नए खिलाड़ी भूमिकाओं की शुरुआत")</f>
        <v>ए) लाइव स्ट्रीमिंग की शुरुआत, बी) एक नई स्कोरिंग प्रणाली की स्थापना, सी) अंतर्राष्ट्रीय टीमों को शामिल करने के लिए विस्तार, डी) नए खिलाड़ी भूमिकाओं की शुरुआत</v>
      </c>
      <c r="I276" s="5" t="str">
        <f>IFERROR(__xludf.DUMMYFUNCTION("GOOGLETRANSLATE(D276, ""en"", ""hi"")"),"C) अंतर्राष्ट्रीय टीमों को शामिल करने के लिए विस्तार")</f>
        <v>C) अंतर्राष्ट्रीय टीमों को शामिल करने के लिए विस्तार</v>
      </c>
    </row>
    <row r="277" ht="22.5" customHeight="1">
      <c r="A277" s="7">
        <v>276.0</v>
      </c>
      <c r="B277" s="8" t="s">
        <v>2198</v>
      </c>
      <c r="C277" s="8" t="s">
        <v>1984</v>
      </c>
      <c r="D277" s="8" t="s">
        <v>2199</v>
      </c>
      <c r="F277" s="5" t="str">
        <f>IFERROR(__xludf.DUMMYFUNCTION("GOOGLETRANSLATE(A277, ""en"", ""hi"")"),"276")</f>
        <v>276</v>
      </c>
      <c r="G277" s="5" t="str">
        <f>IFERROR(__xludf.DUMMYFUNCTION("GOOGLETRANSLATE(B277, ""en"", ""hi"")"),"खो-खो विश्व कप 2005 में किस भारतीय खिलाड़ी को उनके असाधारण रक्षात्मक कौशल के लिए सम्मानित किया गया था?")</f>
        <v>खो-खो विश्व कप 2005 में किस भारतीय खिलाड़ी को उनके असाधारण रक्षात्मक कौशल के लिए सम्मानित किया गया था?</v>
      </c>
      <c r="H277" s="5" t="str">
        <f>IFERROR(__xludf.DUMMYFUNCTION("GOOGLETRANSLATE(C277, ""en"", ""hi"")"),"A) एच.पी. सिंह, B) एम.के. शर्मा, C) आर.एस. कुमार, D) एस.पी. सिंह")</f>
        <v>A) एच.पी. सिंह, B) एम.के. शर्मा, C) आर.एस. कुमार, D) एस.पी. सिंह</v>
      </c>
      <c r="I277" s="5" t="str">
        <f>IFERROR(__xludf.DUMMYFUNCTION("GOOGLETRANSLATE(D277, ""en"", ""hi"")"),"C) आर.एस. कुमार")</f>
        <v>C) आर.एस. कुमार</v>
      </c>
    </row>
    <row r="278" ht="22.5" customHeight="1">
      <c r="A278" s="7">
        <v>277.0</v>
      </c>
      <c r="B278" s="8" t="s">
        <v>2200</v>
      </c>
      <c r="C278" s="8" t="s">
        <v>2201</v>
      </c>
      <c r="D278" s="8" t="s">
        <v>2202</v>
      </c>
      <c r="F278" s="5" t="str">
        <f>IFERROR(__xludf.DUMMYFUNCTION("GOOGLETRANSLATE(A278, ""en"", ""hi"")"),"277")</f>
        <v>277</v>
      </c>
      <c r="G278" s="5" t="str">
        <f>IFERROR(__xludf.DUMMYFUNCTION("GOOGLETRANSLATE(B278, ""en"", ""hi"")"),"1980 के दशक में खो-खो में प्रमुख विकास क्या था?")</f>
        <v>1980 के दशक में खो-खो में प्रमुख विकास क्या था?</v>
      </c>
      <c r="H278" s="5" t="str">
        <f>IFERROR(__xludf.DUMMYFUNCTION("GOOGLETRANSLATE(C278, ""en"", ""hi"")"),"A) इलेक्ट्रॉनिक स्कोरबोर्ड की शुरूआत, B) एशियाई खो-खो महासंघ का गठन, C) खो-खो अकादमियों की स्थापना, D) खेल नियमों का मानकीकरण")</f>
        <v>A) इलेक्ट्रॉनिक स्कोरबोर्ड की शुरूआत, B) एशियाई खो-खो महासंघ का गठन, C) खो-खो अकादमियों की स्थापना, D) खेल नियमों का मानकीकरण</v>
      </c>
      <c r="I278" s="5" t="str">
        <f>IFERROR(__xludf.DUMMYFUNCTION("GOOGLETRANSLATE(D278, ""en"", ""hi"")"),"बी) एशियाई खो-खो महासंघ का गठन")</f>
        <v>बी) एशियाई खो-खो महासंघ का गठन</v>
      </c>
    </row>
    <row r="279" ht="22.5" customHeight="1">
      <c r="A279" s="7">
        <v>278.0</v>
      </c>
      <c r="B279" s="8" t="s">
        <v>2203</v>
      </c>
      <c r="C279" s="8" t="s">
        <v>1960</v>
      </c>
      <c r="D279" s="8" t="s">
        <v>543</v>
      </c>
      <c r="F279" s="5" t="str">
        <f>IFERROR(__xludf.DUMMYFUNCTION("GOOGLETRANSLATE(A279, ""en"", ""hi"")"),"278")</f>
        <v>278</v>
      </c>
      <c r="G279" s="5" t="str">
        <f>IFERROR(__xludf.DUMMYFUNCTION("GOOGLETRANSLATE(B279, ""en"", ""hi"")"),"2000 के दशक के प्रारंभ में किस भारतीय शहर ने खो-खो राष्ट्रीय चैम्पियनशिप की मेजबानी की थी?")</f>
        <v>2000 के दशक के प्रारंभ में किस भारतीय शहर ने खो-खो राष्ट्रीय चैम्पियनशिप की मेजबानी की थी?</v>
      </c>
      <c r="H279" s="5" t="str">
        <f>IFERROR(__xludf.DUMMYFUNCTION("GOOGLETRANSLATE(C279, ""en"", ""hi"")"),"A) दिल्ली, B) मुंबई, C) पुणे, D) बैंगलोर")</f>
        <v>A) दिल्ली, B) मुंबई, C) पुणे, D) बैंगलोर</v>
      </c>
      <c r="I279" s="5" t="str">
        <f>IFERROR(__xludf.DUMMYFUNCTION("GOOGLETRANSLATE(D279, ""en"", ""hi"")"),"ए) दिल्ली")</f>
        <v>ए) दिल्ली</v>
      </c>
    </row>
    <row r="280" ht="22.5" customHeight="1">
      <c r="A280" s="7">
        <v>279.0</v>
      </c>
      <c r="B280" s="8" t="s">
        <v>2204</v>
      </c>
      <c r="C280" s="8" t="s">
        <v>1966</v>
      </c>
      <c r="D280" s="8" t="s">
        <v>1915</v>
      </c>
      <c r="F280" s="5" t="str">
        <f>IFERROR(__xludf.DUMMYFUNCTION("GOOGLETRANSLATE(A280, ""en"", ""hi"")"),"279")</f>
        <v>279</v>
      </c>
      <c r="G280" s="5" t="str">
        <f>IFERROR(__xludf.DUMMYFUNCTION("GOOGLETRANSLATE(B280, ""en"", ""hi"")"),"कौन सा खिलाड़ी 2005 में खो-खो विश्व कप में सबसे तेज टैग का रिकॉर्ड स्थापित करने के लिए जाना जाता था?")</f>
        <v>कौन सा खिलाड़ी 2005 में खो-खो विश्व कप में सबसे तेज टैग का रिकॉर्ड स्थापित करने के लिए जाना जाता था?</v>
      </c>
      <c r="H280" s="5" t="str">
        <f>IFERROR(__xludf.DUMMYFUNCTION("GOOGLETRANSLATE(C280, ""en"", ""hi"")"),"A) एच.पी. सिंह, B) आर.एस. कुमार, C) एम.के. शर्मा, D) एस.पी. सिंह")</f>
        <v>A) एच.पी. सिंह, B) आर.एस. कुमार, C) एम.के. शर्मा, D) एस.पी. सिंह</v>
      </c>
      <c r="I280" s="5" t="str">
        <f>IFERROR(__xludf.DUMMYFUNCTION("GOOGLETRANSLATE(D280, ""en"", ""hi"")"),"ए) एच.पी. सिंह")</f>
        <v>ए) एच.पी. सिंह</v>
      </c>
    </row>
    <row r="281" ht="22.5" customHeight="1">
      <c r="A281" s="7">
        <v>280.0</v>
      </c>
      <c r="B281" s="8" t="s">
        <v>2205</v>
      </c>
      <c r="C281" s="8" t="s">
        <v>2206</v>
      </c>
      <c r="D281" s="8" t="s">
        <v>2207</v>
      </c>
      <c r="F281" s="5" t="str">
        <f>IFERROR(__xludf.DUMMYFUNCTION("GOOGLETRANSLATE(A281, ""en"", ""hi"")"),"280")</f>
        <v>280</v>
      </c>
      <c r="G281" s="5" t="str">
        <f>IFERROR(__xludf.DUMMYFUNCTION("GOOGLETRANSLATE(B281, ""en"", ""hi"")"),"2010 में शुरू की गई खो-खो लीग का मुख्य फोकस क्या था?")</f>
        <v>2010 में शुरू की गई खो-खो लीग का मुख्य फोकस क्या था?</v>
      </c>
      <c r="H281" s="5" t="str">
        <f>IFERROR(__xludf.DUMMYFUNCTION("GOOGLETRANSLATE(C281, ""en"", ""hi"")"),"A) खिलाड़ी कौशल को बढ़ाने के लिए, B) अंतर्राष्ट्रीय प्रतिस्पर्धा को बढ़ावा देने के लिए, C) खेल की दृश्यता बढ़ाने के लिए, D) स्कोरिंग को मानकीकृत करने के लिए")</f>
        <v>A) खिलाड़ी कौशल को बढ़ाने के लिए, B) अंतर्राष्ट्रीय प्रतिस्पर्धा को बढ़ावा देने के लिए, C) खेल की दृश्यता बढ़ाने के लिए, D) स्कोरिंग को मानकीकृत करने के लिए</v>
      </c>
      <c r="I281" s="5" t="str">
        <f>IFERROR(__xludf.DUMMYFUNCTION("GOOGLETRANSLATE(D281, ""en"", ""hi"")"),"C) खेल की दृश्यता बढ़ाने के लिए")</f>
        <v>C) खेल की दृश्यता बढ़ाने के लिए</v>
      </c>
    </row>
    <row r="282" ht="22.5" customHeight="1">
      <c r="A282" s="7">
        <v>281.0</v>
      </c>
      <c r="B282" s="8" t="s">
        <v>1987</v>
      </c>
      <c r="C282" s="8" t="s">
        <v>1988</v>
      </c>
      <c r="D282" s="8" t="s">
        <v>1953</v>
      </c>
      <c r="F282" s="5" t="str">
        <f>IFERROR(__xludf.DUMMYFUNCTION("GOOGLETRANSLATE(A282, ""en"", ""hi"")"),"281")</f>
        <v>281</v>
      </c>
      <c r="G282" s="5" t="str">
        <f>IFERROR(__xludf.DUMMYFUNCTION("GOOGLETRANSLATE(B282, ""en"", ""hi"")"),"2010 में आयोजित खो-खो विश्व कप का मुख्य आयोजक कौन था?")</f>
        <v>2010 में आयोजित खो-खो विश्व कप का मुख्य आयोजक कौन था?</v>
      </c>
      <c r="H282" s="5" t="str">
        <f>IFERROR(__xludf.DUMMYFUNCTION("GOOGLETRANSLATE(C282, ""en"", ""hi"")"),"A) वी.के. जोशी, B) एच.पी. सिंह, C) एम.के. शर्मा, D) आर.एस. कुमार")</f>
        <v>A) वी.के. जोशी, B) एच.पी. सिंह, C) एम.के. शर्मा, D) आर.एस. कुमार</v>
      </c>
      <c r="I282" s="5" t="str">
        <f>IFERROR(__xludf.DUMMYFUNCTION("GOOGLETRANSLATE(D282, ""en"", ""hi"")"),"बी) एच.पी. सिंह")</f>
        <v>बी) एच.पी. सिंह</v>
      </c>
    </row>
    <row r="283" ht="22.5" customHeight="1">
      <c r="A283" s="7">
        <v>282.0</v>
      </c>
      <c r="B283" s="8" t="s">
        <v>2208</v>
      </c>
      <c r="C283" s="8" t="s">
        <v>2209</v>
      </c>
      <c r="D283" s="8" t="s">
        <v>2210</v>
      </c>
      <c r="F283" s="5" t="str">
        <f>IFERROR(__xludf.DUMMYFUNCTION("GOOGLETRANSLATE(A283, ""en"", ""hi"")"),"282")</f>
        <v>282</v>
      </c>
      <c r="G283" s="5" t="str">
        <f>IFERROR(__xludf.DUMMYFUNCTION("GOOGLETRANSLATE(B283, ""en"", ""hi"")"),"1984 में खो-खो में कौन सा नियम परिवर्तन किया गया?")</f>
        <v>1984 में खो-खो में कौन सा नियम परिवर्तन किया गया?</v>
      </c>
      <c r="H283" s="5" t="str">
        <f>IFERROR(__xludf.DUMMYFUNCTION("GOOGLETRANSLATE(C283, ""en"", ""hi"")"),"A) वीडियो रिप्ले की शुरुआत, B) खेल की अवधि में संशोधन, C) खो-खो विश्व कप की स्थापना, D) नए खिलाड़ियों की स्थिति को जोड़ना")</f>
        <v>A) वीडियो रिप्ले की शुरुआत, B) खेल की अवधि में संशोधन, C) खो-खो विश्व कप की स्थापना, D) नए खिलाड़ियों की स्थिति को जोड़ना</v>
      </c>
      <c r="I283" s="5" t="str">
        <f>IFERROR(__xludf.DUMMYFUNCTION("GOOGLETRANSLATE(D283, ""en"", ""hi"")"),"C) खो-खो विश्व कप की स्थापना")</f>
        <v>C) खो-खो विश्व कप की स्थापना</v>
      </c>
    </row>
    <row r="284" ht="22.5" customHeight="1">
      <c r="A284" s="7">
        <v>283.0</v>
      </c>
      <c r="B284" s="8" t="s">
        <v>2211</v>
      </c>
      <c r="C284" s="8" t="s">
        <v>2212</v>
      </c>
      <c r="D284" s="8" t="s">
        <v>2213</v>
      </c>
      <c r="F284" s="5" t="str">
        <f>IFERROR(__xludf.DUMMYFUNCTION("GOOGLETRANSLATE(A284, ""en"", ""hi"")"),"283")</f>
        <v>283</v>
      </c>
      <c r="G284" s="5" t="str">
        <f>IFERROR(__xludf.DUMMYFUNCTION("GOOGLETRANSLATE(B284, ""en"", ""hi"")"),"2000 में खो-खो में उल्लेखनीय नियम परिवर्तन क्या था?")</f>
        <v>2000 में खो-खो में उल्लेखनीय नियम परिवर्तन क्या था?</v>
      </c>
      <c r="H284" s="5" t="str">
        <f>IFERROR(__xludf.DUMMYFUNCTION("GOOGLETRANSLATE(C284, ""en"", ""hi"")"),"A) समय सीमा का परिचय, B) क्षेत्र आयामों का मानकीकरण, C) इलेक्ट्रॉनिक स्कोरिंग का परिचय, D) टैगिंग नियमों में संशोधन")</f>
        <v>A) समय सीमा का परिचय, B) क्षेत्र आयामों का मानकीकरण, C) इलेक्ट्रॉनिक स्कोरिंग का परिचय, D) टैगिंग नियमों में संशोधन</v>
      </c>
      <c r="I284" s="5" t="str">
        <f>IFERROR(__xludf.DUMMYFUNCTION("GOOGLETRANSLATE(D284, ""en"", ""hi"")"),"A) समय सीमा का परिचय")</f>
        <v>A) समय सीमा का परिचय</v>
      </c>
    </row>
    <row r="285" ht="22.5" customHeight="1">
      <c r="A285" s="7">
        <v>284.0</v>
      </c>
      <c r="B285" s="8" t="s">
        <v>2214</v>
      </c>
      <c r="C285" s="8" t="s">
        <v>249</v>
      </c>
      <c r="D285" s="8" t="s">
        <v>842</v>
      </c>
      <c r="F285" s="5" t="str">
        <f>IFERROR(__xludf.DUMMYFUNCTION("GOOGLETRANSLATE(A285, ""en"", ""hi"")"),"284")</f>
        <v>284</v>
      </c>
      <c r="G285" s="5" t="str">
        <f>IFERROR(__xludf.DUMMYFUNCTION("GOOGLETRANSLATE(B285, ""en"", ""hi"")"),"1990 के दशक में खो-खो राष्ट्रीय चैम्पियनशिप की मेजबानी करने वाला पहला भारतीय राज्य कौन सा था?")</f>
        <v>1990 के दशक में खो-खो राष्ट्रीय चैम्पियनशिप की मेजबानी करने वाला पहला भारतीय राज्य कौन सा था?</v>
      </c>
      <c r="H285" s="5" t="str">
        <f>IFERROR(__xludf.DUMMYFUNCTION("GOOGLETRANSLATE(C285, ""en"", ""hi"")"),"ए) हरियाणा, बी) पंजाब, सी) महाराष्ट्र, डी) उत्तर प्रदेश")</f>
        <v>ए) हरियाणा, बी) पंजाब, सी) महाराष्ट्र, डी) उत्तर प्रदेश</v>
      </c>
      <c r="I285" s="5" t="str">
        <f>IFERROR(__xludf.DUMMYFUNCTION("GOOGLETRANSLATE(D285, ""en"", ""hi"")"),"C) महाराष्ट्र")</f>
        <v>C) महाराष्ट्र</v>
      </c>
    </row>
    <row r="286" ht="22.5" customHeight="1">
      <c r="A286" s="7">
        <v>285.0</v>
      </c>
      <c r="B286" s="8" t="s">
        <v>2215</v>
      </c>
      <c r="C286" s="8" t="s">
        <v>1966</v>
      </c>
      <c r="D286" s="8" t="s">
        <v>1980</v>
      </c>
      <c r="F286" s="5" t="str">
        <f>IFERROR(__xludf.DUMMYFUNCTION("GOOGLETRANSLATE(A286, ""en"", ""hi"")"),"285")</f>
        <v>285</v>
      </c>
      <c r="G286" s="5" t="str">
        <f>IFERROR(__xludf.DUMMYFUNCTION("GOOGLETRANSLATE(B286, ""en"", ""hi"")"),"1986 में आयोजित खो-खो विश्व कप में शीर्ष स्कोरर कौन था?")</f>
        <v>1986 में आयोजित खो-खो विश्व कप में शीर्ष स्कोरर कौन था?</v>
      </c>
      <c r="H286" s="5" t="str">
        <f>IFERROR(__xludf.DUMMYFUNCTION("GOOGLETRANSLATE(C286, ""en"", ""hi"")"),"A) एच.पी. सिंह, B) आर.एस. कुमार, C) एम.के. शर्मा, D) एस.पी. सिंह")</f>
        <v>A) एच.पी. सिंह, B) आर.एस. कुमार, C) एम.के. शर्मा, D) एस.पी. सिंह</v>
      </c>
      <c r="I286" s="5" t="str">
        <f>IFERROR(__xludf.DUMMYFUNCTION("GOOGLETRANSLATE(D286, ""en"", ""hi"")"),"बी) आर.एस. कुमार")</f>
        <v>बी) आर.एस. कुमार</v>
      </c>
    </row>
    <row r="287" ht="22.5" customHeight="1">
      <c r="A287" s="7">
        <v>286.0</v>
      </c>
      <c r="B287" s="8" t="s">
        <v>2216</v>
      </c>
      <c r="C287" s="8" t="s">
        <v>2217</v>
      </c>
      <c r="D287" s="8" t="s">
        <v>2218</v>
      </c>
      <c r="F287" s="5" t="str">
        <f>IFERROR(__xludf.DUMMYFUNCTION("GOOGLETRANSLATE(A287, ""en"", ""hi"")"),"286")</f>
        <v>286</v>
      </c>
      <c r="G287" s="5" t="str">
        <f>IFERROR(__xludf.DUMMYFUNCTION("GOOGLETRANSLATE(B287, ""en"", ""hi"")"),"1994 में आयोजित खो-खो विश्व कप की मुख्य विशेषता क्या थी?")</f>
        <v>1994 में आयोजित खो-खो विश्व कप की मुख्य विशेषता क्या थी?</v>
      </c>
      <c r="H287" s="5" t="str">
        <f>IFERROR(__xludf.DUMMYFUNCTION("GOOGLETRANSLATE(C287, ""en"", ""hi"")"),"ए) नए खिलाड़ी पदों की शुरूआत, बी) अंतरराष्ट्रीय टीमों को शामिल करने के लिए विस्तार, सी) इलेक्ट्रॉनिक स्कोरिंग की शुरूआत, डी) वीडियो समीक्षा की स्थापना")</f>
        <v>ए) नए खिलाड़ी पदों की शुरूआत, बी) अंतरराष्ट्रीय टीमों को शामिल करने के लिए विस्तार, सी) इलेक्ट्रॉनिक स्कोरिंग की शुरूआत, डी) वीडियो समीक्षा की स्थापना</v>
      </c>
      <c r="I287" s="5" t="str">
        <f>IFERROR(__xludf.DUMMYFUNCTION("GOOGLETRANSLATE(D287, ""en"", ""hi"")"),"बी) अंतर्राष्ट्रीय टीमों को शामिल करने के लिए विस्तार")</f>
        <v>बी) अंतर्राष्ट्रीय टीमों को शामिल करने के लिए विस्तार</v>
      </c>
    </row>
    <row r="288" ht="22.5" customHeight="1">
      <c r="A288" s="7">
        <v>287.0</v>
      </c>
      <c r="B288" s="8" t="s">
        <v>1979</v>
      </c>
      <c r="C288" s="8" t="s">
        <v>1984</v>
      </c>
      <c r="D288" s="8" t="s">
        <v>1915</v>
      </c>
      <c r="F288" s="5" t="str">
        <f>IFERROR(__xludf.DUMMYFUNCTION("GOOGLETRANSLATE(A288, ""en"", ""hi"")"),"287")</f>
        <v>287</v>
      </c>
      <c r="G288" s="5" t="str">
        <f>IFERROR(__xludf.DUMMYFUNCTION("GOOGLETRANSLATE(B288, ""en"", ""hi"")"),"1998 में आयोजित खो-खो विश्व कप में अग्रणी स्कोरर कौन था?")</f>
        <v>1998 में आयोजित खो-खो विश्व कप में अग्रणी स्कोरर कौन था?</v>
      </c>
      <c r="H288" s="5" t="str">
        <f>IFERROR(__xludf.DUMMYFUNCTION("GOOGLETRANSLATE(C288, ""en"", ""hi"")"),"A) एच.पी. सिंह, B) एम.के. शर्मा, C) आर.एस. कुमार, D) एस.पी. सिंह")</f>
        <v>A) एच.पी. सिंह, B) एम.के. शर्मा, C) आर.एस. कुमार, D) एस.पी. सिंह</v>
      </c>
      <c r="I288" s="5" t="str">
        <f>IFERROR(__xludf.DUMMYFUNCTION("GOOGLETRANSLATE(D288, ""en"", ""hi"")"),"ए) एच.पी. सिंह")</f>
        <v>ए) एच.पी. सिंह</v>
      </c>
    </row>
    <row r="289" ht="22.5" customHeight="1">
      <c r="A289" s="7">
        <v>288.0</v>
      </c>
      <c r="B289" s="8" t="s">
        <v>2219</v>
      </c>
      <c r="C289" s="8" t="s">
        <v>1960</v>
      </c>
      <c r="D289" s="8" t="s">
        <v>2135</v>
      </c>
      <c r="F289" s="5" t="str">
        <f>IFERROR(__xludf.DUMMYFUNCTION("GOOGLETRANSLATE(A289, ""en"", ""hi"")"),"288")</f>
        <v>288</v>
      </c>
      <c r="G289" s="5" t="str">
        <f>IFERROR(__xludf.DUMMYFUNCTION("GOOGLETRANSLATE(B289, ""en"", ""hi"")"),"1980 के दशक में खो-खो राष्ट्रीय चैम्पियनशिप का आयोजन किस भारतीय शहर में हुआ था?")</f>
        <v>1980 के दशक में खो-खो राष्ट्रीय चैम्पियनशिप का आयोजन किस भारतीय शहर में हुआ था?</v>
      </c>
      <c r="H289" s="5" t="str">
        <f>IFERROR(__xludf.DUMMYFUNCTION("GOOGLETRANSLATE(C289, ""en"", ""hi"")"),"A) दिल्ली, B) मुंबई, C) पुणे, D) बैंगलोर")</f>
        <v>A) दिल्ली, B) मुंबई, C) पुणे, D) बैंगलोर</v>
      </c>
      <c r="I289" s="5" t="str">
        <f>IFERROR(__xludf.DUMMYFUNCTION("GOOGLETRANSLATE(D289, ""en"", ""hi"")"),"डी) बैंगलोर")</f>
        <v>डी) बैंगलोर</v>
      </c>
    </row>
    <row r="290" ht="22.5" customHeight="1">
      <c r="A290" s="7">
        <v>289.0</v>
      </c>
      <c r="B290" s="8" t="s">
        <v>2220</v>
      </c>
      <c r="C290" s="8" t="s">
        <v>2221</v>
      </c>
      <c r="D290" s="8" t="s">
        <v>2222</v>
      </c>
      <c r="F290" s="5" t="str">
        <f>IFERROR(__xludf.DUMMYFUNCTION("GOOGLETRANSLATE(A290, ""en"", ""hi"")"),"289")</f>
        <v>289</v>
      </c>
      <c r="G290" s="5" t="str">
        <f>IFERROR(__xludf.DUMMYFUNCTION("GOOGLETRANSLATE(B290, ""en"", ""hi"")"),"2000 के दशक में स्थापित खो-खो विकास कार्यक्रम का फोकस क्या था?")</f>
        <v>2000 के दशक में स्थापित खो-खो विकास कार्यक्रम का फोकस क्या था?</v>
      </c>
      <c r="H290" s="5" t="str">
        <f>IFERROR(__xludf.DUMMYFUNCTION("GOOGLETRANSLATE(C290, ""en"", ""hi"")"),"A) अंतर्राष्ट्रीय प्रतिस्पर्धा को बढ़ाना, B) खिलाड़ियों के कौशल में सुधार करना, C) जमीनी स्तर पर विकास को समर्थन देना, D) नई तकनीक को पेश करना")</f>
        <v>A) अंतर्राष्ट्रीय प्रतिस्पर्धा को बढ़ाना, B) खिलाड़ियों के कौशल में सुधार करना, C) जमीनी स्तर पर विकास को समर्थन देना, D) नई तकनीक को पेश करना</v>
      </c>
      <c r="I290" s="5" t="str">
        <f>IFERROR(__xludf.DUMMYFUNCTION("GOOGLETRANSLATE(D290, ""en"", ""hi"")"),"C) जमीनी स्तर पर विकास का समर्थन करना")</f>
        <v>C) जमीनी स्तर पर विकास का समर्थन करना</v>
      </c>
    </row>
    <row r="291" ht="22.5" customHeight="1">
      <c r="A291" s="7">
        <v>290.0</v>
      </c>
      <c r="B291" s="8" t="s">
        <v>2223</v>
      </c>
      <c r="C291" s="8" t="s">
        <v>1984</v>
      </c>
      <c r="D291" s="8" t="s">
        <v>1915</v>
      </c>
      <c r="F291" s="5" t="str">
        <f>IFERROR(__xludf.DUMMYFUNCTION("GOOGLETRANSLATE(A291, ""en"", ""hi"")"),"290")</f>
        <v>290</v>
      </c>
      <c r="G291" s="5" t="str">
        <f>IFERROR(__xludf.DUMMYFUNCTION("GOOGLETRANSLATE(B291, ""en"", ""hi"")"),"1990 में आयोजित खो-खो विश्व कप में कौन सा भारतीय खिलाड़ी अपनी नवीन रणनीतियों के लिए जाना जाता था?")</f>
        <v>1990 में आयोजित खो-खो विश्व कप में कौन सा भारतीय खिलाड़ी अपनी नवीन रणनीतियों के लिए जाना जाता था?</v>
      </c>
      <c r="H291" s="5" t="str">
        <f>IFERROR(__xludf.DUMMYFUNCTION("GOOGLETRANSLATE(C291, ""en"", ""hi"")"),"A) एच.पी. सिंह, B) एम.के. शर्मा, C) आर.एस. कुमार, D) एस.पी. सिंह")</f>
        <v>A) एच.पी. सिंह, B) एम.के. शर्मा, C) आर.एस. कुमार, D) एस.पी. सिंह</v>
      </c>
      <c r="I291" s="5" t="str">
        <f>IFERROR(__xludf.DUMMYFUNCTION("GOOGLETRANSLATE(D291, ""en"", ""hi"")"),"ए) एच.पी. सिंह")</f>
        <v>ए) एच.पी. सिंह</v>
      </c>
    </row>
    <row r="292" ht="22.5" customHeight="1">
      <c r="A292" s="7">
        <v>291.0</v>
      </c>
      <c r="B292" s="8" t="s">
        <v>2224</v>
      </c>
      <c r="C292" s="8" t="s">
        <v>2225</v>
      </c>
      <c r="D292" s="8" t="s">
        <v>2042</v>
      </c>
      <c r="F292" s="5" t="str">
        <f>IFERROR(__xludf.DUMMYFUNCTION("GOOGLETRANSLATE(A292, ""en"", ""hi"")"),"291")</f>
        <v>291</v>
      </c>
      <c r="G292" s="5" t="str">
        <f>IFERROR(__xludf.DUMMYFUNCTION("GOOGLETRANSLATE(B292, ""en"", ""hi"")"),"2000 के दशक के प्रारंभ में खो-खो में क्या महत्वपूर्ण विकास हुआ?")</f>
        <v>2000 के दशक के प्रारंभ में खो-खो में क्या महत्वपूर्ण विकास हुआ?</v>
      </c>
      <c r="H292" s="5" t="str">
        <f>IFERROR(__xludf.DUMMYFUNCTION("GOOGLETRANSLATE(C292, ""en"", ""hi"")"),"ए) टैगिंग के लिए समय सीमा का परिचय, बी) नए खिलाड़ी भूमिकाओं की स्थापना, सी) क्षेत्र आयामों का मानकीकरण, डी) इलेक्ट्रॉनिक स्कोरिंग का परिचय")</f>
        <v>ए) टैगिंग के लिए समय सीमा का परिचय, बी) नए खिलाड़ी भूमिकाओं की स्थापना, सी) क्षेत्र आयामों का मानकीकरण, डी) इलेक्ट्रॉनिक स्कोरिंग का परिचय</v>
      </c>
      <c r="I292" s="5" t="str">
        <f>IFERROR(__xludf.DUMMYFUNCTION("GOOGLETRANSLATE(D292, ""en"", ""hi"")"),"ए) टैगिंग के लिए समय सीमा का परिचय")</f>
        <v>ए) टैगिंग के लिए समय सीमा का परिचय</v>
      </c>
    </row>
    <row r="293" ht="22.5" customHeight="1">
      <c r="A293" s="7">
        <v>292.0</v>
      </c>
      <c r="B293" s="8" t="s">
        <v>2226</v>
      </c>
      <c r="C293" s="8" t="s">
        <v>271</v>
      </c>
      <c r="D293" s="8" t="s">
        <v>66</v>
      </c>
      <c r="F293" s="5" t="str">
        <f>IFERROR(__xludf.DUMMYFUNCTION("GOOGLETRANSLATE(A293, ""en"", ""hi"")"),"292")</f>
        <v>292</v>
      </c>
      <c r="G293" s="5" t="str">
        <f>IFERROR(__xludf.DUMMYFUNCTION("GOOGLETRANSLATE(B293, ""en"", ""hi"")"),"किस राज्य ने 2010 के दशक में खो-खो में 'फास्ट प्ले' की अवधारणा पहली बार पेश की थी?")</f>
        <v>किस राज्य ने 2010 के दशक में खो-खो में 'फास्ट प्ले' की अवधारणा पहली बार पेश की थी?</v>
      </c>
      <c r="H293" s="5" t="str">
        <f>IFERROR(__xludf.DUMMYFUNCTION("GOOGLETRANSLATE(C293, ""en"", ""hi"")"),"ए) पंजाब, बी) हरियाणा, सी) महाराष्ट्र, डी) उत्तर प्रदेश")</f>
        <v>ए) पंजाब, बी) हरियाणा, सी) महाराष्ट्र, डी) उत्तर प्रदेश</v>
      </c>
      <c r="I293" s="5" t="str">
        <f>IFERROR(__xludf.DUMMYFUNCTION("GOOGLETRANSLATE(D293, ""en"", ""hi"")"),"A) पंजाब")</f>
        <v>A) पंजाब</v>
      </c>
    </row>
    <row r="294" ht="22.5" customHeight="1">
      <c r="A294" s="7">
        <v>293.0</v>
      </c>
      <c r="B294" s="8" t="s">
        <v>2227</v>
      </c>
      <c r="C294" s="8" t="s">
        <v>2228</v>
      </c>
      <c r="D294" s="8" t="s">
        <v>2229</v>
      </c>
      <c r="F294" s="5" t="str">
        <f>IFERROR(__xludf.DUMMYFUNCTION("GOOGLETRANSLATE(A294, ""en"", ""hi"")"),"293")</f>
        <v>293</v>
      </c>
      <c r="G294" s="5" t="str">
        <f>IFERROR(__xludf.DUMMYFUNCTION("GOOGLETRANSLATE(B294, ""en"", ""hi"")"),"2015 में आयोजित खो-खो विश्व कप के मुख्य रेफरी कौन थे?")</f>
        <v>2015 में आयोजित खो-खो विश्व कप के मुख्य रेफरी कौन थे?</v>
      </c>
      <c r="H294" s="5" t="str">
        <f>IFERROR(__xludf.DUMMYFUNCTION("GOOGLETRANSLATE(C294, ""en"", ""hi"")"),"A) वी.के. जोशी, B) एच.पी. सिंह, C) आर.एस. कुमार, D) एम.के. शर्मा")</f>
        <v>A) वी.के. जोशी, B) एच.पी. सिंह, C) आर.एस. कुमार, D) एम.के. शर्मा</v>
      </c>
      <c r="I294" s="5" t="str">
        <f>IFERROR(__xludf.DUMMYFUNCTION("GOOGLETRANSLATE(D294, ""en"", ""hi"")"),"D) एम.के. शर्मा")</f>
        <v>D) एम.के. शर्मा</v>
      </c>
    </row>
    <row r="295" ht="22.5" customHeight="1">
      <c r="A295" s="7">
        <v>294.0</v>
      </c>
      <c r="B295" s="8" t="s">
        <v>2230</v>
      </c>
      <c r="C295" s="8" t="s">
        <v>1966</v>
      </c>
      <c r="D295" s="8" t="s">
        <v>1980</v>
      </c>
      <c r="F295" s="5" t="str">
        <f>IFERROR(__xludf.DUMMYFUNCTION("GOOGLETRANSLATE(A295, ""en"", ""hi"")"),"294")</f>
        <v>294</v>
      </c>
      <c r="G295" s="5" t="str">
        <f>IFERROR(__xludf.DUMMYFUNCTION("GOOGLETRANSLATE(B295, ""en"", ""hi"")"),"किस भारतीय खिलाड़ी ने 2015 में एक खो-खो मैच में सर्वाधिक सफल टैग का रिकॉर्ड बनाया?")</f>
        <v>किस भारतीय खिलाड़ी ने 2015 में एक खो-खो मैच में सर्वाधिक सफल टैग का रिकॉर्ड बनाया?</v>
      </c>
      <c r="H295" s="5" t="str">
        <f>IFERROR(__xludf.DUMMYFUNCTION("GOOGLETRANSLATE(C295, ""en"", ""hi"")"),"A) एच.पी. सिंह, B) आर.एस. कुमार, C) एम.के. शर्मा, D) एस.पी. सिंह")</f>
        <v>A) एच.पी. सिंह, B) आर.एस. कुमार, C) एम.के. शर्मा, D) एस.पी. सिंह</v>
      </c>
      <c r="I295" s="5" t="str">
        <f>IFERROR(__xludf.DUMMYFUNCTION("GOOGLETRANSLATE(D295, ""en"", ""hi"")"),"बी) आर.एस. कुमार")</f>
        <v>बी) आर.एस. कुमार</v>
      </c>
    </row>
    <row r="296" ht="22.5" customHeight="1">
      <c r="A296" s="7">
        <v>295.0</v>
      </c>
      <c r="B296" s="8" t="s">
        <v>2231</v>
      </c>
      <c r="C296" s="8" t="s">
        <v>2232</v>
      </c>
      <c r="D296" s="8" t="s">
        <v>2233</v>
      </c>
      <c r="F296" s="5" t="str">
        <f>IFERROR(__xludf.DUMMYFUNCTION("GOOGLETRANSLATE(A296, ""en"", ""hi"")"),"295")</f>
        <v>295</v>
      </c>
      <c r="G296" s="5" t="str">
        <f>IFERROR(__xludf.DUMMYFUNCTION("GOOGLETRANSLATE(B296, ""en"", ""hi"")"),"2010 के दशक में खो-खो के नियमों में क्या महत्वपूर्ण परिवर्तन हुआ?")</f>
        <v>2010 के दशक में खो-खो के नियमों में क्या महत्वपूर्ण परिवर्तन हुआ?</v>
      </c>
      <c r="H296" s="5" t="str">
        <f>IFERROR(__xludf.DUMMYFUNCTION("GOOGLETRANSLATE(C296, ""en"", ""hi"")"),"A) लाइव स्ट्रीमिंग की शुरुआत, B) खो-खो लीग का विस्तार, C) टैगिंग नियमों में संशोधन, D) नई तकनीक का परिचय")</f>
        <v>A) लाइव स्ट्रीमिंग की शुरुआत, B) खो-खो लीग का विस्तार, C) टैगिंग नियमों में संशोधन, D) नई तकनीक का परिचय</v>
      </c>
      <c r="I296" s="5" t="str">
        <f>IFERROR(__xludf.DUMMYFUNCTION("GOOGLETRANSLATE(D296, ""en"", ""hi"")"),"बी) खो-खो लीग का विस्तार")</f>
        <v>बी) खो-खो लीग का विस्तार</v>
      </c>
    </row>
    <row r="297" ht="22.5" customHeight="1">
      <c r="A297" s="7">
        <v>296.0</v>
      </c>
      <c r="B297" s="8" t="s">
        <v>2234</v>
      </c>
      <c r="C297" s="8" t="s">
        <v>2228</v>
      </c>
      <c r="D297" s="8" t="s">
        <v>2229</v>
      </c>
      <c r="F297" s="5" t="str">
        <f>IFERROR(__xludf.DUMMYFUNCTION("GOOGLETRANSLATE(A297, ""en"", ""hi"")"),"296")</f>
        <v>296</v>
      </c>
      <c r="G297" s="5" t="str">
        <f>IFERROR(__xludf.DUMMYFUNCTION("GOOGLETRANSLATE(B297, ""en"", ""hi"")"),"1998 में आयोजित खो-खो विश्व कप का मुख्य आयोजक कौन था?")</f>
        <v>1998 में आयोजित खो-खो विश्व कप का मुख्य आयोजक कौन था?</v>
      </c>
      <c r="H297" s="5" t="str">
        <f>IFERROR(__xludf.DUMMYFUNCTION("GOOGLETRANSLATE(C297, ""en"", ""hi"")"),"A) वी.के. जोशी, B) एच.पी. सिंह, C) आर.एस. कुमार, D) एम.के. शर्मा")</f>
        <v>A) वी.के. जोशी, B) एच.पी. सिंह, C) आर.एस. कुमार, D) एम.के. शर्मा</v>
      </c>
      <c r="I297" s="5" t="str">
        <f>IFERROR(__xludf.DUMMYFUNCTION("GOOGLETRANSLATE(D297, ""en"", ""hi"")"),"D) एम.के. शर्मा")</f>
        <v>D) एम.के. शर्मा</v>
      </c>
    </row>
    <row r="298" ht="22.5" customHeight="1">
      <c r="A298" s="7">
        <v>297.0</v>
      </c>
      <c r="B298" s="8" t="s">
        <v>2235</v>
      </c>
      <c r="C298" s="8" t="s">
        <v>1998</v>
      </c>
      <c r="D298" s="8" t="s">
        <v>2084</v>
      </c>
      <c r="F298" s="5" t="str">
        <f>IFERROR(__xludf.DUMMYFUNCTION("GOOGLETRANSLATE(A298, ""en"", ""hi"")"),"297")</f>
        <v>297</v>
      </c>
      <c r="G298" s="5" t="str">
        <f>IFERROR(__xludf.DUMMYFUNCTION("GOOGLETRANSLATE(B298, ""en"", ""hi"")"),"1998 में खो-खो विश्व कप की मेजबानी किस भारतीय शहर ने की थी?")</f>
        <v>1998 में खो-खो विश्व कप की मेजबानी किस भारतीय शहर ने की थी?</v>
      </c>
      <c r="H298" s="5" t="str">
        <f>IFERROR(__xludf.DUMMYFUNCTION("GOOGLETRANSLATE(C298, ""en"", ""hi"")"),"ए) दिल्ली, बी) मुंबई, सी) बैंगलोर, डी) कोलकाता")</f>
        <v>ए) दिल्ली, बी) मुंबई, सी) बैंगलोर, डी) कोलकाता</v>
      </c>
      <c r="I298" s="5" t="str">
        <f>IFERROR(__xludf.DUMMYFUNCTION("GOOGLETRANSLATE(D298, ""en"", ""hi"")"),"C) बैंगलोर")</f>
        <v>C) बैंगलोर</v>
      </c>
    </row>
    <row r="299" ht="22.5" customHeight="1">
      <c r="A299" s="7">
        <v>298.0</v>
      </c>
      <c r="B299" s="8" t="s">
        <v>2162</v>
      </c>
      <c r="C299" s="8" t="s">
        <v>271</v>
      </c>
      <c r="D299" s="8" t="s">
        <v>842</v>
      </c>
      <c r="F299" s="5" t="str">
        <f>IFERROR(__xludf.DUMMYFUNCTION("GOOGLETRANSLATE(A299, ""en"", ""hi"")"),"298")</f>
        <v>298</v>
      </c>
      <c r="G299" s="5" t="str">
        <f>IFERROR(__xludf.DUMMYFUNCTION("GOOGLETRANSLATE(B299, ""en"", ""hi"")"),"2000 के दशक में अंतर्राष्ट्रीय खो-खो टूर्नामेंट की मेजबानी करने वाला पहला भारतीय राज्य कौन सा था?")</f>
        <v>2000 के दशक में अंतर्राष्ट्रीय खो-खो टूर्नामेंट की मेजबानी करने वाला पहला भारतीय राज्य कौन सा था?</v>
      </c>
      <c r="H299" s="5" t="str">
        <f>IFERROR(__xludf.DUMMYFUNCTION("GOOGLETRANSLATE(C299, ""en"", ""hi"")"),"ए) पंजाब, बी) हरियाणा, सी) महाराष्ट्र, डी) उत्तर प्रदेश")</f>
        <v>ए) पंजाब, बी) हरियाणा, सी) महाराष्ट्र, डी) उत्तर प्रदेश</v>
      </c>
      <c r="I299" s="5" t="str">
        <f>IFERROR(__xludf.DUMMYFUNCTION("GOOGLETRANSLATE(D299, ""en"", ""hi"")"),"C) महाराष्ट्र")</f>
        <v>C) महाराष्ट्र</v>
      </c>
    </row>
    <row r="300" ht="22.5" customHeight="1">
      <c r="A300" s="7">
        <v>299.0</v>
      </c>
      <c r="B300" s="8" t="s">
        <v>2120</v>
      </c>
      <c r="C300" s="8" t="s">
        <v>1966</v>
      </c>
      <c r="D300" s="8" t="s">
        <v>1915</v>
      </c>
      <c r="F300" s="5" t="str">
        <f>IFERROR(__xludf.DUMMYFUNCTION("GOOGLETRANSLATE(A300, ""en"", ""hi"")"),"299")</f>
        <v>299</v>
      </c>
      <c r="G300" s="5" t="str">
        <f>IFERROR(__xludf.DUMMYFUNCTION("GOOGLETRANSLATE(B300, ""en"", ""hi"")"),"2002 में आयोजित खो-खो विश्व कप में शीर्ष स्कोरर कौन था?")</f>
        <v>2002 में आयोजित खो-खो विश्व कप में शीर्ष स्कोरर कौन था?</v>
      </c>
      <c r="H300" s="5" t="str">
        <f>IFERROR(__xludf.DUMMYFUNCTION("GOOGLETRANSLATE(C300, ""en"", ""hi"")"),"A) एच.पी. सिंह, B) आर.एस. कुमार, C) एम.के. शर्मा, D) एस.पी. सिंह")</f>
        <v>A) एच.पी. सिंह, B) आर.एस. कुमार, C) एम.के. शर्मा, D) एस.पी. सिंह</v>
      </c>
      <c r="I300" s="5" t="str">
        <f>IFERROR(__xludf.DUMMYFUNCTION("GOOGLETRANSLATE(D300, ""en"", ""hi"")"),"ए) एच.पी. सिंह")</f>
        <v>ए) एच.पी. सिंह</v>
      </c>
    </row>
    <row r="301" ht="22.5" customHeight="1">
      <c r="A301" s="7">
        <v>300.0</v>
      </c>
      <c r="B301" s="8" t="s">
        <v>2236</v>
      </c>
      <c r="C301" s="8" t="s">
        <v>2237</v>
      </c>
      <c r="D301" s="8" t="s">
        <v>2070</v>
      </c>
      <c r="F301" s="5" t="str">
        <f>IFERROR(__xludf.DUMMYFUNCTION("GOOGLETRANSLATE(A301, ""en"", ""hi"")"),"300")</f>
        <v>300</v>
      </c>
      <c r="G301" s="5" t="str">
        <f>IFERROR(__xludf.DUMMYFUNCTION("GOOGLETRANSLATE(B301, ""en"", ""hi"")"),"2005 में स्थापित खो-खो विकास कोष का प्राथमिक उद्देश्य क्या था?")</f>
        <v>2005 में स्थापित खो-खो विकास कोष का प्राथमिक उद्देश्य क्या था?</v>
      </c>
      <c r="H301" s="5" t="str">
        <f>IFERROR(__xludf.DUMMYFUNCTION("GOOGLETRANSLATE(C301, ""en"", ""hi"")"),"A) जमीनी स्तर पर विकास का समर्थन करना, B) नई तकनीक का परिचय देना, C) अंतर्राष्ट्रीय टूर्नामेंटों को बढ़ावा देना, D) मैदान के आयामों को मानकीकृत करना")</f>
        <v>A) जमीनी स्तर पर विकास का समर्थन करना, B) नई तकनीक का परिचय देना, C) अंतर्राष्ट्रीय टूर्नामेंटों को बढ़ावा देना, D) मैदान के आयामों को मानकीकृत करना</v>
      </c>
      <c r="I301" s="5" t="str">
        <f>IFERROR(__xludf.DUMMYFUNCTION("GOOGLETRANSLATE(D301, ""en"", ""hi"")"),"A) जमीनी स्तर पर विकास का समर्थन करना")</f>
        <v>A) जमीनी स्तर पर विकास का समर्थन करना</v>
      </c>
    </row>
    <row r="302" ht="22.5" customHeight="1">
      <c r="A302" s="7">
        <v>301.0</v>
      </c>
      <c r="B302" s="8" t="s">
        <v>2238</v>
      </c>
      <c r="C302" s="8" t="s">
        <v>1988</v>
      </c>
      <c r="D302" s="8" t="s">
        <v>2101</v>
      </c>
      <c r="F302" s="5" t="str">
        <f>IFERROR(__xludf.DUMMYFUNCTION("GOOGLETRANSLATE(A302, ""en"", ""hi"")"),"301")</f>
        <v>301</v>
      </c>
      <c r="G302" s="5" t="str">
        <f>IFERROR(__xludf.DUMMYFUNCTION("GOOGLETRANSLATE(B302, ""en"", ""hi"")"),"1994 में आयोजित खो-खो विश्व कप का मुख्य आयोजक कौन था?")</f>
        <v>1994 में आयोजित खो-खो विश्व कप का मुख्य आयोजक कौन था?</v>
      </c>
      <c r="H302" s="5" t="str">
        <f>IFERROR(__xludf.DUMMYFUNCTION("GOOGLETRANSLATE(C302, ""en"", ""hi"")"),"A) वी.के. जोशी, B) एच.पी. सिंह, C) एम.के. शर्मा, D) आर.एस. कुमार")</f>
        <v>A) वी.के. जोशी, B) एच.पी. सिंह, C) एम.के. शर्मा, D) आर.एस. कुमार</v>
      </c>
      <c r="I302" s="5" t="str">
        <f>IFERROR(__xludf.DUMMYFUNCTION("GOOGLETRANSLATE(D302, ""en"", ""hi"")"),"C) एम.के. शर्मा")</f>
        <v>C) एम.के. शर्मा</v>
      </c>
    </row>
    <row r="303" ht="22.5" customHeight="1">
      <c r="A303" s="7">
        <v>302.0</v>
      </c>
      <c r="B303" s="8" t="s">
        <v>2239</v>
      </c>
      <c r="C303" s="8" t="s">
        <v>1966</v>
      </c>
      <c r="D303" s="8" t="s">
        <v>1980</v>
      </c>
      <c r="F303" s="5" t="str">
        <f>IFERROR(__xludf.DUMMYFUNCTION("GOOGLETRANSLATE(A303, ""en"", ""hi"")"),"302")</f>
        <v>302</v>
      </c>
      <c r="G303" s="5" t="str">
        <f>IFERROR(__xludf.DUMMYFUNCTION("GOOGLETRANSLATE(B303, ""en"", ""hi"")"),"कौन सा भारतीय खिलाड़ी 2005 के खो-खो विश्व कप में अपने असाधारण लक्ष्य का पीछा करने के कौशल के लिए जाना जाता था?")</f>
        <v>कौन सा भारतीय खिलाड़ी 2005 के खो-खो विश्व कप में अपने असाधारण लक्ष्य का पीछा करने के कौशल के लिए जाना जाता था?</v>
      </c>
      <c r="H303" s="5" t="str">
        <f>IFERROR(__xludf.DUMMYFUNCTION("GOOGLETRANSLATE(C303, ""en"", ""hi"")"),"A) एच.पी. सिंह, B) आर.एस. कुमार, C) एम.के. शर्मा, D) एस.पी. सिंह")</f>
        <v>A) एच.पी. सिंह, B) आर.एस. कुमार, C) एम.के. शर्मा, D) एस.पी. सिंह</v>
      </c>
      <c r="I303" s="5" t="str">
        <f>IFERROR(__xludf.DUMMYFUNCTION("GOOGLETRANSLATE(D303, ""en"", ""hi"")"),"बी) आर.एस. कुमार")</f>
        <v>बी) आर.एस. कुमार</v>
      </c>
    </row>
    <row r="304" ht="22.5" customHeight="1">
      <c r="A304" s="7">
        <v>303.0</v>
      </c>
      <c r="B304" s="8" t="s">
        <v>2240</v>
      </c>
      <c r="C304" s="8" t="s">
        <v>2241</v>
      </c>
      <c r="D304" s="8" t="s">
        <v>2242</v>
      </c>
      <c r="F304" s="5" t="str">
        <f>IFERROR(__xludf.DUMMYFUNCTION("GOOGLETRANSLATE(A304, ""en"", ""hi"")"),"303")</f>
        <v>303</v>
      </c>
      <c r="G304" s="5" t="str">
        <f>IFERROR(__xludf.DUMMYFUNCTION("GOOGLETRANSLATE(B304, ""en"", ""hi"")"),"2015 में शुरू की गई खो-खो लीग का मुख्य फोकस क्या था?")</f>
        <v>2015 में शुरू की गई खो-खो लीग का मुख्य फोकस क्या था?</v>
      </c>
      <c r="H304" s="5" t="str">
        <f>IFERROR(__xludf.DUMMYFUNCTION("GOOGLETRANSLATE(C304, ""en"", ""hi"")"),"A) अंतर्राष्ट्रीय प्रतिस्पर्धा को बढ़ावा देना, B) खेल की दृश्यता बढ़ाना, C) खिलाड़ी कौशल को बढ़ाना, D) नई तकनीक को पेश करना")</f>
        <v>A) अंतर्राष्ट्रीय प्रतिस्पर्धा को बढ़ावा देना, B) खेल की दृश्यता बढ़ाना, C) खिलाड़ी कौशल को बढ़ाना, D) नई तकनीक को पेश करना</v>
      </c>
      <c r="I304" s="5" t="str">
        <f>IFERROR(__xludf.DUMMYFUNCTION("GOOGLETRANSLATE(D304, ""en"", ""hi"")"),"बी) खेल की दृश्यता बढ़ाने के लिए")</f>
        <v>बी) खेल की दृश्यता बढ़ाने के लिए</v>
      </c>
    </row>
    <row r="305" ht="22.5" customHeight="1">
      <c r="A305" s="7">
        <v>304.0</v>
      </c>
      <c r="B305" s="8" t="s">
        <v>2243</v>
      </c>
      <c r="C305" s="8" t="s">
        <v>1998</v>
      </c>
      <c r="D305" s="8" t="s">
        <v>77</v>
      </c>
      <c r="F305" s="5" t="str">
        <f>IFERROR(__xludf.DUMMYFUNCTION("GOOGLETRANSLATE(A305, ""en"", ""hi"")"),"304")</f>
        <v>304</v>
      </c>
      <c r="G305" s="5" t="str">
        <f>IFERROR(__xludf.DUMMYFUNCTION("GOOGLETRANSLATE(B305, ""en"", ""hi"")"),"2005 में खो-खो विश्व कप की मेजबानी किस भारतीय शहर ने की थी?")</f>
        <v>2005 में खो-खो विश्व कप की मेजबानी किस भारतीय शहर ने की थी?</v>
      </c>
      <c r="H305" s="5" t="str">
        <f>IFERROR(__xludf.DUMMYFUNCTION("GOOGLETRANSLATE(C305, ""en"", ""hi"")"),"ए) दिल्ली, बी) मुंबई, सी) बैंगलोर, डी) कोलकाता")</f>
        <v>ए) दिल्ली, बी) मुंबई, सी) बैंगलोर, डी) कोलकाता</v>
      </c>
      <c r="I305" s="5" t="str">
        <f>IFERROR(__xludf.DUMMYFUNCTION("GOOGLETRANSLATE(D305, ""en"", ""hi"")"),"बी) मुंबई")</f>
        <v>बी) मुंबई</v>
      </c>
    </row>
    <row r="306" ht="22.5" customHeight="1">
      <c r="A306" s="7">
        <v>305.0</v>
      </c>
      <c r="B306" s="8" t="s">
        <v>2244</v>
      </c>
      <c r="C306" s="8" t="s">
        <v>1988</v>
      </c>
      <c r="D306" s="8" t="s">
        <v>2101</v>
      </c>
      <c r="F306" s="5" t="str">
        <f>IFERROR(__xludf.DUMMYFUNCTION("GOOGLETRANSLATE(A306, ""en"", ""hi"")"),"305")</f>
        <v>305</v>
      </c>
      <c r="G306" s="5" t="str">
        <f>IFERROR(__xludf.DUMMYFUNCTION("GOOGLETRANSLATE(B306, ""en"", ""hi"")"),"2010 में आयोजित खो-खो विश्व कप के मुख्य रेफरी कौन थे?")</f>
        <v>2010 में आयोजित खो-खो विश्व कप के मुख्य रेफरी कौन थे?</v>
      </c>
      <c r="H306" s="5" t="str">
        <f>IFERROR(__xludf.DUMMYFUNCTION("GOOGLETRANSLATE(C306, ""en"", ""hi"")"),"A) वी.के. जोशी, B) एच.पी. सिंह, C) एम.के. शर्मा, D) आर.एस. कुमार")</f>
        <v>A) वी.के. जोशी, B) एच.पी. सिंह, C) एम.के. शर्मा, D) आर.एस. कुमार</v>
      </c>
      <c r="I306" s="5" t="str">
        <f>IFERROR(__xludf.DUMMYFUNCTION("GOOGLETRANSLATE(D306, ""en"", ""hi"")"),"C) एम.के. शर्मा")</f>
        <v>C) एम.के. शर्मा</v>
      </c>
    </row>
    <row r="307" ht="22.5" customHeight="1">
      <c r="A307" s="7">
        <v>306.0</v>
      </c>
      <c r="B307" s="8" t="s">
        <v>2079</v>
      </c>
      <c r="C307" s="8" t="s">
        <v>1966</v>
      </c>
      <c r="D307" s="8" t="s">
        <v>2059</v>
      </c>
      <c r="F307" s="5" t="str">
        <f>IFERROR(__xludf.DUMMYFUNCTION("GOOGLETRANSLATE(A307, ""en"", ""hi"")"),"306")</f>
        <v>306</v>
      </c>
      <c r="G307" s="5" t="str">
        <f>IFERROR(__xludf.DUMMYFUNCTION("GOOGLETRANSLATE(B307, ""en"", ""hi"")"),"किस भारतीय खिलाड़ी ने 2010 में एक खो-खो मैच में सर्वाधिक टैग का रिकॉर्ड बनाया?")</f>
        <v>किस भारतीय खिलाड़ी ने 2010 में एक खो-खो मैच में सर्वाधिक टैग का रिकॉर्ड बनाया?</v>
      </c>
      <c r="H307" s="5" t="str">
        <f>IFERROR(__xludf.DUMMYFUNCTION("GOOGLETRANSLATE(C307, ""en"", ""hi"")"),"A) एच.पी. सिंह, B) आर.एस. कुमार, C) एम.के. शर्मा, D) एस.पी. सिंह")</f>
        <v>A) एच.पी. सिंह, B) आर.एस. कुमार, C) एम.के. शर्मा, D) एस.पी. सिंह</v>
      </c>
      <c r="I307" s="5" t="str">
        <f>IFERROR(__xludf.DUMMYFUNCTION("GOOGLETRANSLATE(D307, ""en"", ""hi"")"),"D) एस.पी. सिंह")</f>
        <v>D) एस.पी. सिंह</v>
      </c>
    </row>
    <row r="308" ht="22.5" customHeight="1">
      <c r="A308" s="7">
        <v>307.0</v>
      </c>
      <c r="B308" s="8" t="s">
        <v>2245</v>
      </c>
      <c r="C308" s="8" t="s">
        <v>2246</v>
      </c>
      <c r="D308" s="8" t="s">
        <v>2247</v>
      </c>
      <c r="F308" s="5" t="str">
        <f>IFERROR(__xludf.DUMMYFUNCTION("GOOGLETRANSLATE(A308, ""en"", ""hi"")"),"307")</f>
        <v>307</v>
      </c>
      <c r="G308" s="5" t="str">
        <f>IFERROR(__xludf.DUMMYFUNCTION("GOOGLETRANSLATE(B308, ""en"", ""hi"")"),"2010 के दशक के दौरान खो-खो में प्रमुख विकास क्या था?")</f>
        <v>2010 के दशक के दौरान खो-खो में प्रमुख विकास क्या था?</v>
      </c>
      <c r="H308" s="5" t="str">
        <f>IFERROR(__xludf.DUMMYFUNCTION("GOOGLETRANSLATE(C308, ""en"", ""hi"")"),"A) नई तकनीक का परिचय, B) अंतर्राष्ट्रीय टूर्नामेंटों का विस्तार, C) मैदान के आयामों का मानकीकरण, D) खो-खो अकादमियों की स्थापना")</f>
        <v>A) नई तकनीक का परिचय, B) अंतर्राष्ट्रीय टूर्नामेंटों का विस्तार, C) मैदान के आयामों का मानकीकरण, D) खो-खो अकादमियों की स्थापना</v>
      </c>
      <c r="I308" s="5" t="str">
        <f>IFERROR(__xludf.DUMMYFUNCTION("GOOGLETRANSLATE(D308, ""en"", ""hi"")"),"बी) अंतर्राष्ट्रीय टूर्नामेंटों का विस्तार")</f>
        <v>बी) अंतर्राष्ट्रीय टूर्नामेंटों का विस्तार</v>
      </c>
    </row>
    <row r="309" ht="22.5" customHeight="1">
      <c r="A309" s="7">
        <v>308.0</v>
      </c>
      <c r="B309" s="8" t="s">
        <v>2248</v>
      </c>
      <c r="C309" s="8" t="s">
        <v>271</v>
      </c>
      <c r="D309" s="8" t="s">
        <v>603</v>
      </c>
      <c r="F309" s="5" t="str">
        <f>IFERROR(__xludf.DUMMYFUNCTION("GOOGLETRANSLATE(A309, ""en"", ""hi"")"),"308")</f>
        <v>308</v>
      </c>
      <c r="G309" s="5" t="str">
        <f>IFERROR(__xludf.DUMMYFUNCTION("GOOGLETRANSLATE(B309, ""en"", ""hi"")"),"2000 के दशक में खो-खो में 'फास्ट प्ले' की अवधारणा को शुरू करने वाला पहला भारतीय राज्य कौन सा था?")</f>
        <v>2000 के दशक में खो-खो में 'फास्ट प्ले' की अवधारणा को शुरू करने वाला पहला भारतीय राज्य कौन सा था?</v>
      </c>
      <c r="H309" s="5" t="str">
        <f>IFERROR(__xludf.DUMMYFUNCTION("GOOGLETRANSLATE(C309, ""en"", ""hi"")"),"ए) पंजाब, बी) हरियाणा, सी) महाराष्ट्र, डी) उत्तर प्रदेश")</f>
        <v>ए) पंजाब, बी) हरियाणा, सी) महाराष्ट्र, डी) उत्तर प्रदेश</v>
      </c>
      <c r="I309" s="5" t="str">
        <f>IFERROR(__xludf.DUMMYFUNCTION("GOOGLETRANSLATE(D309, ""en"", ""hi"")"),"बी) हरियाणा")</f>
        <v>बी) हरियाणा</v>
      </c>
    </row>
    <row r="310" ht="22.5" customHeight="1">
      <c r="A310" s="7">
        <v>309.0</v>
      </c>
      <c r="B310" s="8" t="s">
        <v>2249</v>
      </c>
      <c r="C310" s="8" t="s">
        <v>1966</v>
      </c>
      <c r="D310" s="8" t="s">
        <v>2101</v>
      </c>
      <c r="F310" s="5" t="str">
        <f>IFERROR(__xludf.DUMMYFUNCTION("GOOGLETRANSLATE(A310, ""en"", ""hi"")"),"309")</f>
        <v>309</v>
      </c>
      <c r="G310" s="5" t="str">
        <f>IFERROR(__xludf.DUMMYFUNCTION("GOOGLETRANSLATE(B310, ""en"", ""hi"")"),"1990 में आयोजित खो-खो विश्व कप में शीर्ष स्कोरर कौन था?")</f>
        <v>1990 में आयोजित खो-खो विश्व कप में शीर्ष स्कोरर कौन था?</v>
      </c>
      <c r="H310" s="5" t="str">
        <f>IFERROR(__xludf.DUMMYFUNCTION("GOOGLETRANSLATE(C310, ""en"", ""hi"")"),"A) एच.पी. सिंह, B) आर.एस. कुमार, C) एम.के. शर्मा, D) एस.पी. सिंह")</f>
        <v>A) एच.पी. सिंह, B) आर.एस. कुमार, C) एम.के. शर्मा, D) एस.पी. सिंह</v>
      </c>
      <c r="I310" s="5" t="str">
        <f>IFERROR(__xludf.DUMMYFUNCTION("GOOGLETRANSLATE(D310, ""en"", ""hi"")"),"C) एम.के. शर्मा")</f>
        <v>C) एम.के. शर्मा</v>
      </c>
    </row>
    <row r="311" ht="22.5" customHeight="1">
      <c r="A311" s="7">
        <v>310.0</v>
      </c>
      <c r="B311" s="8" t="s">
        <v>2250</v>
      </c>
      <c r="C311" s="8" t="s">
        <v>1960</v>
      </c>
      <c r="D311" s="8" t="s">
        <v>77</v>
      </c>
      <c r="F311" s="5" t="str">
        <f>IFERROR(__xludf.DUMMYFUNCTION("GOOGLETRANSLATE(A311, ""en"", ""hi"")"),"310")</f>
        <v>310</v>
      </c>
      <c r="G311" s="5" t="str">
        <f>IFERROR(__xludf.DUMMYFUNCTION("GOOGLETRANSLATE(B311, ""en"", ""hi"")"),"1990 के दशक के अंत में कौन सा भारतीय शहर खो-खो राष्ट्रीय चैम्पियनशिप की मेजबानी के लिए जाना जाता था?")</f>
        <v>1990 के दशक के अंत में कौन सा भारतीय शहर खो-खो राष्ट्रीय चैम्पियनशिप की मेजबानी के लिए जाना जाता था?</v>
      </c>
      <c r="H311" s="5" t="str">
        <f>IFERROR(__xludf.DUMMYFUNCTION("GOOGLETRANSLATE(C311, ""en"", ""hi"")"),"A) दिल्ली, B) मुंबई, C) पुणे, D) बैंगलोर")</f>
        <v>A) दिल्ली, B) मुंबई, C) पुणे, D) बैंगलोर</v>
      </c>
      <c r="I311" s="5" t="str">
        <f>IFERROR(__xludf.DUMMYFUNCTION("GOOGLETRANSLATE(D311, ""en"", ""hi"")"),"बी) मुंबई")</f>
        <v>बी) मुंबई</v>
      </c>
    </row>
    <row r="312" ht="22.5" customHeight="1">
      <c r="A312" s="7">
        <v>311.0</v>
      </c>
      <c r="B312" s="8" t="s">
        <v>2251</v>
      </c>
      <c r="C312" s="8" t="s">
        <v>2252</v>
      </c>
      <c r="D312" s="8" t="s">
        <v>2253</v>
      </c>
      <c r="F312" s="5" t="str">
        <f>IFERROR(__xludf.DUMMYFUNCTION("GOOGLETRANSLATE(A312, ""en"", ""hi"")"),"311")</f>
        <v>311</v>
      </c>
      <c r="G312" s="5" t="str">
        <f>IFERROR(__xludf.DUMMYFUNCTION("GOOGLETRANSLATE(B312, ""en"", ""hi"")"),"2000 के दशक में खो-खो में महत्वपूर्ण नियम परिवर्तन क्या था?")</f>
        <v>2000 के दशक में खो-खो में महत्वपूर्ण नियम परिवर्तन क्या था?</v>
      </c>
      <c r="H312" s="5" t="str">
        <f>IFERROR(__xludf.DUMMYFUNCTION("GOOGLETRANSLATE(C312, ""en"", ""hi"")"),"A) लाइव स्ट्रीमिंग की शुरुआत, B) टैगिंग नियमों में संशोधन, C) खेल अवधि का मानकीकरण, D) नई तकनीक का परिचय")</f>
        <v>A) लाइव स्ट्रीमिंग की शुरुआत, B) टैगिंग नियमों में संशोधन, C) खेल अवधि का मानकीकरण, D) नई तकनीक का परिचय</v>
      </c>
      <c r="I312" s="5" t="str">
        <f>IFERROR(__xludf.DUMMYFUNCTION("GOOGLETRANSLATE(D312, ""en"", ""hi"")"),"बी) टैगिंग नियमों में संशोधन")</f>
        <v>बी) टैगिंग नियमों में संशोधन</v>
      </c>
    </row>
    <row r="313" ht="22.5" customHeight="1">
      <c r="A313" s="7">
        <v>312.0</v>
      </c>
      <c r="B313" s="8" t="s">
        <v>2254</v>
      </c>
      <c r="C313" s="8" t="s">
        <v>1966</v>
      </c>
      <c r="D313" s="8" t="s">
        <v>2059</v>
      </c>
      <c r="F313" s="5" t="str">
        <f>IFERROR(__xludf.DUMMYFUNCTION("GOOGLETRANSLATE(A313, ""en"", ""hi"")"),"312")</f>
        <v>312</v>
      </c>
      <c r="G313" s="5" t="str">
        <f>IFERROR(__xludf.DUMMYFUNCTION("GOOGLETRANSLATE(B313, ""en"", ""hi"")"),"2010 के खो-खो विश्व कप में किस भारतीय खिलाड़ी को उनके असाधारण रक्षात्मक कौशल के लिए सम्मानित किया गया?")</f>
        <v>2010 के खो-खो विश्व कप में किस भारतीय खिलाड़ी को उनके असाधारण रक्षात्मक कौशल के लिए सम्मानित किया गया?</v>
      </c>
      <c r="H313" s="5" t="str">
        <f>IFERROR(__xludf.DUMMYFUNCTION("GOOGLETRANSLATE(C313, ""en"", ""hi"")"),"A) एच.पी. सिंह, B) आर.एस. कुमार, C) एम.के. शर्मा, D) एस.पी. सिंह")</f>
        <v>A) एच.पी. सिंह, B) आर.एस. कुमार, C) एम.के. शर्मा, D) एस.पी. सिंह</v>
      </c>
      <c r="I313" s="5" t="str">
        <f>IFERROR(__xludf.DUMMYFUNCTION("GOOGLETRANSLATE(D313, ""en"", ""hi"")"),"D) एस.पी. सिंह")</f>
        <v>D) एस.पी. सिंह</v>
      </c>
    </row>
    <row r="314" ht="22.5" customHeight="1">
      <c r="A314" s="7">
        <v>313.0</v>
      </c>
      <c r="B314" s="8" t="s">
        <v>2255</v>
      </c>
      <c r="C314" s="8" t="s">
        <v>2256</v>
      </c>
      <c r="D314" s="8" t="s">
        <v>1958</v>
      </c>
      <c r="F314" s="5" t="str">
        <f>IFERROR(__xludf.DUMMYFUNCTION("GOOGLETRANSLATE(A314, ""en"", ""hi"")"),"313")</f>
        <v>313</v>
      </c>
      <c r="G314" s="5" t="str">
        <f>IFERROR(__xludf.DUMMYFUNCTION("GOOGLETRANSLATE(B314, ""en"", ""hi"")"),"1990 के दशक के अंत में खो-खो में प्रमुख विकास क्या था?")</f>
        <v>1990 के दशक के अंत में खो-खो में प्रमुख विकास क्या था?</v>
      </c>
      <c r="H314" s="5" t="str">
        <f>IFERROR(__xludf.DUMMYFUNCTION("GOOGLETRANSLATE(C314, ""en"", ""hi"")"),"ए) खो-खो विकास निधि की स्थापना, बी) इलेक्ट्रॉनिक स्कोरबोर्ड की शुरूआत, सी) एशियाई खो-खो महासंघ का गठन, डी) वीडियो समीक्षा की शुरूआत")</f>
        <v>ए) खो-खो विकास निधि की स्थापना, बी) इलेक्ट्रॉनिक स्कोरबोर्ड की शुरूआत, सी) एशियाई खो-खो महासंघ का गठन, डी) वीडियो समीक्षा की शुरूआत</v>
      </c>
      <c r="I314" s="5" t="str">
        <f>IFERROR(__xludf.DUMMYFUNCTION("GOOGLETRANSLATE(D314, ""en"", ""hi"")"),"क) खो-खो विकास कोष की स्थापना")</f>
        <v>क) खो-खो विकास कोष की स्थापना</v>
      </c>
    </row>
    <row r="315" ht="22.5" customHeight="1">
      <c r="A315" s="7">
        <v>314.0</v>
      </c>
      <c r="B315" s="8" t="s">
        <v>2257</v>
      </c>
      <c r="C315" s="8" t="s">
        <v>2031</v>
      </c>
      <c r="D315" s="8" t="s">
        <v>2092</v>
      </c>
      <c r="F315" s="5" t="str">
        <f>IFERROR(__xludf.DUMMYFUNCTION("GOOGLETRANSLATE(A315, ""en"", ""hi"")"),"314")</f>
        <v>314</v>
      </c>
      <c r="G315" s="5" t="str">
        <f>IFERROR(__xludf.DUMMYFUNCTION("GOOGLETRANSLATE(B315, ""en"", ""hi"")"),"2010 में किस भारतीय शहर ने खो-खो राष्ट्रीय चैम्पियनशिप की मेजबानी की?")</f>
        <v>2010 में किस भारतीय शहर ने खो-खो राष्ट्रीय चैम्पियनशिप की मेजबानी की?</v>
      </c>
      <c r="H315" s="5" t="str">
        <f>IFERROR(__xludf.DUMMYFUNCTION("GOOGLETRANSLATE(C315, ""en"", ""hi"")"),"A) दिल्ली, B) मुंबई, C) बैंगलोर, D) पुणे")</f>
        <v>A) दिल्ली, B) मुंबई, C) बैंगलोर, D) पुणे</v>
      </c>
      <c r="I315" s="5" t="str">
        <f>IFERROR(__xludf.DUMMYFUNCTION("GOOGLETRANSLATE(D315, ""en"", ""hi"")"),"D) पुणे")</f>
        <v>D) पुणे</v>
      </c>
    </row>
    <row r="316" ht="22.5" customHeight="1">
      <c r="A316" s="7">
        <v>315.0</v>
      </c>
      <c r="B316" s="8" t="s">
        <v>2258</v>
      </c>
      <c r="C316" s="8" t="s">
        <v>1984</v>
      </c>
      <c r="D316" s="8" t="s">
        <v>2124</v>
      </c>
      <c r="F316" s="5" t="str">
        <f>IFERROR(__xludf.DUMMYFUNCTION("GOOGLETRANSLATE(A316, ""en"", ""hi"")"),"315")</f>
        <v>315</v>
      </c>
      <c r="G316" s="5" t="str">
        <f>IFERROR(__xludf.DUMMYFUNCTION("GOOGLETRANSLATE(B316, ""en"", ""hi"")"),"1982 में आयोजित खो-खो विश्व कप में अग्रणी स्कोरर कौन था?")</f>
        <v>1982 में आयोजित खो-खो विश्व कप में अग्रणी स्कोरर कौन था?</v>
      </c>
      <c r="H316" s="5" t="str">
        <f>IFERROR(__xludf.DUMMYFUNCTION("GOOGLETRANSLATE(C316, ""en"", ""hi"")"),"A) एच.पी. सिंह, B) एम.के. शर्मा, C) आर.एस. कुमार, D) एस.पी. सिंह")</f>
        <v>A) एच.पी. सिंह, B) एम.के. शर्मा, C) आर.एस. कुमार, D) एस.पी. सिंह</v>
      </c>
      <c r="I316" s="5" t="str">
        <f>IFERROR(__xludf.DUMMYFUNCTION("GOOGLETRANSLATE(D316, ""en"", ""hi"")"),"बी) एम.के. शर्मा")</f>
        <v>बी) एम.के. शर्मा</v>
      </c>
    </row>
    <row r="317" ht="22.5" customHeight="1">
      <c r="A317" s="7">
        <v>316.0</v>
      </c>
      <c r="B317" s="4" t="s">
        <v>2259</v>
      </c>
      <c r="C317" s="4" t="s">
        <v>2260</v>
      </c>
      <c r="D317" s="4" t="s">
        <v>2261</v>
      </c>
      <c r="F317" s="5" t="str">
        <f>IFERROR(__xludf.DUMMYFUNCTION("GOOGLETRANSLATE(A317, ""en"", ""hi"")"),"316")</f>
        <v>316</v>
      </c>
      <c r="G317" s="5" t="str">
        <f>IFERROR(__xludf.DUMMYFUNCTION("GOOGLETRANSLATE(B317, ""en"", ""hi"")"),"भारतीय खो-खो महासंघ की स्थापना किस वर्ष हुई थी?")</f>
        <v>भारतीय खो-खो महासंघ की स्थापना किस वर्ष हुई थी?</v>
      </c>
      <c r="H317" s="5" t="str">
        <f>IFERROR(__xludf.DUMMYFUNCTION("GOOGLETRANSLATE(C317, ""en"", ""hi"")"),"ए) 1956, बी) 1962, सी) 1970, डी) 1980")</f>
        <v>ए) 1956, बी) 1962, सी) 1970, डी) 1980</v>
      </c>
      <c r="I317" s="5" t="str">
        <f>IFERROR(__xludf.DUMMYFUNCTION("GOOGLETRANSLATE(D317, ""en"", ""hi"")"),"सी) 1970")</f>
        <v>सी) 1970</v>
      </c>
    </row>
    <row r="318" ht="22.5" customHeight="1">
      <c r="A318" s="7">
        <v>317.0</v>
      </c>
      <c r="B318" s="4" t="s">
        <v>2262</v>
      </c>
      <c r="C318" s="4" t="s">
        <v>1827</v>
      </c>
      <c r="D318" s="4" t="s">
        <v>28</v>
      </c>
      <c r="F318" s="5" t="str">
        <f>IFERROR(__xludf.DUMMYFUNCTION("GOOGLETRANSLATE(A318, ""en"", ""hi"")"),"317")</f>
        <v>317</v>
      </c>
      <c r="G318" s="5" t="str">
        <f>IFERROR(__xludf.DUMMYFUNCTION("GOOGLETRANSLATE(B318, ""en"", ""hi"")"),"1982 में खो-खो विश्व कप किसने जीता?")</f>
        <v>1982 में खो-खो विश्व कप किसने जीता?</v>
      </c>
      <c r="H318" s="5" t="str">
        <f>IFERROR(__xludf.DUMMYFUNCTION("GOOGLETRANSLATE(C318, ""en"", ""hi"")"),"ए) भारत, बी) पाकिस्तान, सी) श्रीलंका, डी) नेपाल")</f>
        <v>ए) भारत, बी) पाकिस्तान, सी) श्रीलंका, डी) नेपाल</v>
      </c>
      <c r="I318" s="5" t="str">
        <f>IFERROR(__xludf.DUMMYFUNCTION("GOOGLETRANSLATE(D318, ""en"", ""hi"")"),"बी) पाकिस्तान")</f>
        <v>बी) पाकिस्तान</v>
      </c>
    </row>
    <row r="319" ht="22.5" customHeight="1">
      <c r="A319" s="7">
        <v>318.0</v>
      </c>
      <c r="B319" s="4" t="s">
        <v>2263</v>
      </c>
      <c r="C319" s="4" t="s">
        <v>2264</v>
      </c>
      <c r="D319" s="4" t="s">
        <v>158</v>
      </c>
      <c r="F319" s="5" t="str">
        <f>IFERROR(__xludf.DUMMYFUNCTION("GOOGLETRANSLATE(A319, ""en"", ""hi"")"),"318")</f>
        <v>318</v>
      </c>
      <c r="G319" s="5" t="str">
        <f>IFERROR(__xludf.DUMMYFUNCTION("GOOGLETRANSLATE(B319, ""en"", ""hi"")"),"कौन सा भारतीय राज्य अंतर्राष्ट्रीय खो-खो टूर्नामेंट का आयोजन करने वाला पहला राज्य था?")</f>
        <v>कौन सा भारतीय राज्य अंतर्राष्ट्रीय खो-खो टूर्नामेंट का आयोजन करने वाला पहला राज्य था?</v>
      </c>
      <c r="H319" s="5" t="str">
        <f>IFERROR(__xludf.DUMMYFUNCTION("GOOGLETRANSLATE(C319, ""en"", ""hi"")"),"A) महाराष्ट्र, B) पंजाब, C) दिल्ली, D) गुजरात")</f>
        <v>A) महाराष्ट्र, B) पंजाब, C) दिल्ली, D) गुजरात</v>
      </c>
      <c r="I319" s="5" t="str">
        <f>IFERROR(__xludf.DUMMYFUNCTION("GOOGLETRANSLATE(D319, ""en"", ""hi"")"),"A) महाराष्ट्र")</f>
        <v>A) महाराष्ट्र</v>
      </c>
    </row>
    <row r="320" ht="22.5" customHeight="1">
      <c r="A320" s="7">
        <v>319.0</v>
      </c>
      <c r="B320" s="4" t="s">
        <v>2265</v>
      </c>
      <c r="C320" s="4" t="s">
        <v>2266</v>
      </c>
      <c r="D320" s="4" t="s">
        <v>2267</v>
      </c>
      <c r="F320" s="5" t="str">
        <f>IFERROR(__xludf.DUMMYFUNCTION("GOOGLETRANSLATE(A320, ""en"", ""hi"")"),"319")</f>
        <v>319</v>
      </c>
      <c r="G320" s="5" t="str">
        <f>IFERROR(__xludf.DUMMYFUNCTION("GOOGLETRANSLATE(B320, ""en"", ""hi"")"),"2010 में आयोजित खो-खो विश्व कप में किस उल्लेखनीय खिलाड़ी ने सर्वाधिक टैग का रिकॉर्ड बनाया?")</f>
        <v>2010 में आयोजित खो-खो विश्व कप में किस उल्लेखनीय खिलाड़ी ने सर्वाधिक टैग का रिकॉर्ड बनाया?</v>
      </c>
      <c r="H320" s="5" t="str">
        <f>IFERROR(__xludf.DUMMYFUNCTION("GOOGLETRANSLATE(C320, ""en"", ""hi"")"),"A) एच.पी. सिंह, B) आर.एस. कुमार, C) एस.पी. सिंह, D) एम.के. शर्मा")</f>
        <v>A) एच.पी. सिंह, B) आर.एस. कुमार, C) एस.पी. सिंह, D) एम.के. शर्मा</v>
      </c>
      <c r="I320" s="5" t="str">
        <f>IFERROR(__xludf.DUMMYFUNCTION("GOOGLETRANSLATE(D320, ""en"", ""hi"")"),"C) एस.पी. सिंह")</f>
        <v>C) एस.पी. सिंह</v>
      </c>
    </row>
    <row r="321" ht="22.5" customHeight="1">
      <c r="A321" s="7">
        <v>320.0</v>
      </c>
      <c r="B321" s="4" t="s">
        <v>2268</v>
      </c>
      <c r="C321" s="4" t="s">
        <v>828</v>
      </c>
      <c r="D321" s="4" t="s">
        <v>829</v>
      </c>
      <c r="F321" s="5" t="str">
        <f>IFERROR(__xludf.DUMMYFUNCTION("GOOGLETRANSLATE(A321, ""en"", ""hi"")"),"320")</f>
        <v>320</v>
      </c>
      <c r="G321" s="5" t="str">
        <f>IFERROR(__xludf.DUMMYFUNCTION("GOOGLETRANSLATE(B321, ""en"", ""hi"")"),"खो-खो में इलेक्ट्रॉनिक स्कोरबोर्ड की शुरुआत किस वर्ष हुई?")</f>
        <v>खो-खो में इलेक्ट्रॉनिक स्कोरबोर्ड की शुरुआत किस वर्ष हुई?</v>
      </c>
      <c r="H321" s="5" t="str">
        <f>IFERROR(__xludf.DUMMYFUNCTION("GOOGLETRANSLATE(C321, ""en"", ""hi"")"),"ए) 1995, बी) 2000, सी) 2005, डी) 2010")</f>
        <v>ए) 1995, बी) 2000, सी) 2005, डी) 2010</v>
      </c>
      <c r="I321" s="5" t="str">
        <f>IFERROR(__xludf.DUMMYFUNCTION("GOOGLETRANSLATE(D321, ""en"", ""hi"")"),"बी) 2000")</f>
        <v>बी) 2000</v>
      </c>
    </row>
    <row r="322" ht="22.5" customHeight="1">
      <c r="A322" s="7">
        <v>321.0</v>
      </c>
      <c r="B322" s="4" t="s">
        <v>2269</v>
      </c>
      <c r="C322" s="4" t="s">
        <v>2228</v>
      </c>
      <c r="D322" s="4" t="s">
        <v>1974</v>
      </c>
      <c r="F322" s="5" t="str">
        <f>IFERROR(__xludf.DUMMYFUNCTION("GOOGLETRANSLATE(A322, ""en"", ""hi"")"),"321")</f>
        <v>321</v>
      </c>
      <c r="G322" s="5" t="str">
        <f>IFERROR(__xludf.DUMMYFUNCTION("GOOGLETRANSLATE(B322, ""en"", ""hi"")"),"2015 में आयोजित खो-खो विश्व कप का मुख्य आयोजक कौन था?")</f>
        <v>2015 में आयोजित खो-खो विश्व कप का मुख्य आयोजक कौन था?</v>
      </c>
      <c r="H322" s="5" t="str">
        <f>IFERROR(__xludf.DUMMYFUNCTION("GOOGLETRANSLATE(C322, ""en"", ""hi"")"),"A) वी.के. जोशी, B) एच.पी. सिंह, C) आर.एस. कुमार, D) एम.के. शर्मा")</f>
        <v>A) वी.के. जोशी, B) एच.पी. सिंह, C) आर.एस. कुमार, D) एम.के. शर्मा</v>
      </c>
      <c r="I322" s="5" t="str">
        <f>IFERROR(__xludf.DUMMYFUNCTION("GOOGLETRANSLATE(D322, ""en"", ""hi"")"),"A) वी.के. जोशी")</f>
        <v>A) वी.के. जोशी</v>
      </c>
    </row>
    <row r="323" ht="22.5" customHeight="1">
      <c r="A323" s="7">
        <v>322.0</v>
      </c>
      <c r="B323" s="4" t="s">
        <v>2270</v>
      </c>
      <c r="C323" s="4" t="s">
        <v>542</v>
      </c>
      <c r="D323" s="4" t="s">
        <v>543</v>
      </c>
      <c r="F323" s="5" t="str">
        <f>IFERROR(__xludf.DUMMYFUNCTION("GOOGLETRANSLATE(A323, ""en"", ""hi"")"),"322")</f>
        <v>322</v>
      </c>
      <c r="G323" s="5" t="str">
        <f>IFERROR(__xludf.DUMMYFUNCTION("GOOGLETRANSLATE(B323, ""en"", ""hi"")"),"वर्ष 2000 में खो-खो विश्व कप का आयोजन किस भारतीय शहर में हुआ था?")</f>
        <v>वर्ष 2000 में खो-खो विश्व कप का आयोजन किस भारतीय शहर में हुआ था?</v>
      </c>
      <c r="H323" s="5" t="str">
        <f>IFERROR(__xludf.DUMMYFUNCTION("GOOGLETRANSLATE(C323, ""en"", ""hi"")"),"A) दिल्ली, B) मुंबई, C) बैंगलोर, D) चेन्नई")</f>
        <v>A) दिल्ली, B) मुंबई, C) बैंगलोर, D) चेन्नई</v>
      </c>
      <c r="I323" s="5" t="str">
        <f>IFERROR(__xludf.DUMMYFUNCTION("GOOGLETRANSLATE(D323, ""en"", ""hi"")"),"ए) दिल्ली")</f>
        <v>ए) दिल्ली</v>
      </c>
    </row>
    <row r="324" ht="22.5" customHeight="1">
      <c r="A324" s="7">
        <v>323.0</v>
      </c>
      <c r="B324" s="4" t="s">
        <v>2271</v>
      </c>
      <c r="C324" s="4" t="s">
        <v>2272</v>
      </c>
      <c r="D324" s="4" t="s">
        <v>2207</v>
      </c>
      <c r="F324" s="5" t="str">
        <f>IFERROR(__xludf.DUMMYFUNCTION("GOOGLETRANSLATE(A324, ""en"", ""hi"")"),"323")</f>
        <v>323</v>
      </c>
      <c r="G324" s="5" t="str">
        <f>IFERROR(__xludf.DUMMYFUNCTION("GOOGLETRANSLATE(B324, ""en"", ""hi"")"),"2005 में शुरू की गई खो-खो लीग का मुख्य फोकस क्या था?")</f>
        <v>2005 में शुरू की गई खो-खो लीग का मुख्य फोकस क्या था?</v>
      </c>
      <c r="H324" s="5" t="str">
        <f>IFERROR(__xludf.DUMMYFUNCTION("GOOGLETRANSLATE(C324, ""en"", ""hi"")"),"A) अंतर्राष्ट्रीय प्रतिस्पर्धा को बढ़ाने के लिए, B) खिलाड़ी कौशल में सुधार करने के लिए, C) खेल की दृश्यता बढ़ाने के लिए, D) नई तकनीक को पेश करने के लिए")</f>
        <v>A) अंतर्राष्ट्रीय प्रतिस्पर्धा को बढ़ाने के लिए, B) खिलाड़ी कौशल में सुधार करने के लिए, C) खेल की दृश्यता बढ़ाने के लिए, D) नई तकनीक को पेश करने के लिए</v>
      </c>
      <c r="I324" s="5" t="str">
        <f>IFERROR(__xludf.DUMMYFUNCTION("GOOGLETRANSLATE(D324, ""en"", ""hi"")"),"C) खेल की दृश्यता बढ़ाने के लिए")</f>
        <v>C) खेल की दृश्यता बढ़ाने के लिए</v>
      </c>
    </row>
    <row r="325" ht="22.5" customHeight="1">
      <c r="A325" s="7">
        <v>324.0</v>
      </c>
      <c r="B325" s="4" t="s">
        <v>2273</v>
      </c>
      <c r="C325" s="4" t="s">
        <v>2274</v>
      </c>
      <c r="D325" s="4" t="s">
        <v>1968</v>
      </c>
      <c r="F325" s="5" t="str">
        <f>IFERROR(__xludf.DUMMYFUNCTION("GOOGLETRANSLATE(A325, ""en"", ""hi"")"),"324")</f>
        <v>324</v>
      </c>
      <c r="G325" s="5" t="str">
        <f>IFERROR(__xludf.DUMMYFUNCTION("GOOGLETRANSLATE(B325, ""en"", ""hi"")"),"1988 में खो-खो राष्ट्रीय चैम्पियनशिप किसने जीती?")</f>
        <v>1988 में खो-खो राष्ट्रीय चैम्पियनशिप किसने जीती?</v>
      </c>
      <c r="H325" s="5" t="str">
        <f>IFERROR(__xludf.DUMMYFUNCTION("GOOGLETRANSLATE(C325, ""en"", ""hi"")"),"A) महाराष्ट्र, B) पंजाब, C) हरियाणा, D) दिल्ली")</f>
        <v>A) महाराष्ट्र, B) पंजाब, C) हरियाणा, D) दिल्ली</v>
      </c>
      <c r="I325" s="5" t="str">
        <f>IFERROR(__xludf.DUMMYFUNCTION("GOOGLETRANSLATE(D325, ""en"", ""hi"")"),"बी) पंजाब")</f>
        <v>बी) पंजाब</v>
      </c>
    </row>
    <row r="326" ht="22.5" customHeight="1">
      <c r="A326" s="7">
        <v>325.0</v>
      </c>
      <c r="B326" s="4" t="s">
        <v>2275</v>
      </c>
      <c r="C326" s="4" t="s">
        <v>249</v>
      </c>
      <c r="D326" s="4" t="s">
        <v>842</v>
      </c>
      <c r="F326" s="5" t="str">
        <f>IFERROR(__xludf.DUMMYFUNCTION("GOOGLETRANSLATE(A326, ""en"", ""hi"")"),"325")</f>
        <v>325</v>
      </c>
      <c r="G326" s="5" t="str">
        <f>IFERROR(__xludf.DUMMYFUNCTION("GOOGLETRANSLATE(B326, ""en"", ""hi"")"),"खो-खो में टैगिंग के लिए समय सीमा लागू करने वाला पहला भारतीय राज्य कौन सा था?")</f>
        <v>खो-खो में टैगिंग के लिए समय सीमा लागू करने वाला पहला भारतीय राज्य कौन सा था?</v>
      </c>
      <c r="H326" s="5" t="str">
        <f>IFERROR(__xludf.DUMMYFUNCTION("GOOGLETRANSLATE(C326, ""en"", ""hi"")"),"ए) हरियाणा, बी) पंजाब, सी) महाराष्ट्र, डी) उत्तर प्रदेश")</f>
        <v>ए) हरियाणा, बी) पंजाब, सी) महाराष्ट्र, डी) उत्तर प्रदेश</v>
      </c>
      <c r="I326" s="5" t="str">
        <f>IFERROR(__xludf.DUMMYFUNCTION("GOOGLETRANSLATE(D326, ""en"", ""hi"")"),"C) महाराष्ट्र")</f>
        <v>C) महाराष्ट्र</v>
      </c>
    </row>
    <row r="327" ht="22.5" customHeight="1">
      <c r="A327" s="7">
        <v>326.0</v>
      </c>
      <c r="B327" s="4" t="s">
        <v>2276</v>
      </c>
      <c r="C327" s="4" t="s">
        <v>2277</v>
      </c>
      <c r="D327" s="4" t="s">
        <v>2278</v>
      </c>
      <c r="F327" s="5" t="str">
        <f>IFERROR(__xludf.DUMMYFUNCTION("GOOGLETRANSLATE(A327, ""en"", ""hi"")"),"326")</f>
        <v>326</v>
      </c>
      <c r="G327" s="5" t="str">
        <f>IFERROR(__xludf.DUMMYFUNCTION("GOOGLETRANSLATE(B327, ""en"", ""hi"")"),"2015 में आयोजित खो-खो विश्व कप में शीर्ष स्कोरर कौन था?")</f>
        <v>2015 में आयोजित खो-खो विश्व कप में शीर्ष स्कोरर कौन था?</v>
      </c>
      <c r="H327" s="5" t="str">
        <f>IFERROR(__xludf.DUMMYFUNCTION("GOOGLETRANSLATE(C327, ""en"", ""hi"")"),"A) एच.पी. सिंह, B) एस.पी. सिंह, C) एम.के. शर्मा, D) आर.एस. कुमार")</f>
        <v>A) एच.पी. सिंह, B) एस.पी. सिंह, C) एम.के. शर्मा, D) आर.एस. कुमार</v>
      </c>
      <c r="I327" s="5" t="str">
        <f>IFERROR(__xludf.DUMMYFUNCTION("GOOGLETRANSLATE(D327, ""en"", ""hi"")"),"बी) एस.पी. सिंह")</f>
        <v>बी) एस.पी. सिंह</v>
      </c>
    </row>
    <row r="328" ht="22.5" customHeight="1">
      <c r="A328" s="7">
        <v>327.0</v>
      </c>
      <c r="B328" s="4" t="s">
        <v>2279</v>
      </c>
      <c r="C328" s="4" t="s">
        <v>2280</v>
      </c>
      <c r="D328" s="4" t="s">
        <v>2159</v>
      </c>
      <c r="F328" s="5" t="str">
        <f>IFERROR(__xludf.DUMMYFUNCTION("GOOGLETRANSLATE(A328, ""en"", ""hi"")"),"327")</f>
        <v>327</v>
      </c>
      <c r="G328" s="5" t="str">
        <f>IFERROR(__xludf.DUMMYFUNCTION("GOOGLETRANSLATE(B328, ""en"", ""hi"")"),"1980 के दशक में खो-खो में महत्वपूर्ण नियम परिवर्तन क्या था?")</f>
        <v>1980 के दशक में खो-खो में महत्वपूर्ण नियम परिवर्तन क्या था?</v>
      </c>
      <c r="H328" s="5" t="str">
        <f>IFERROR(__xludf.DUMMYFUNCTION("GOOGLETRANSLATE(C328, ""en"", ""hi"")"),"ए) लाइव स्ट्रीमिंग की शुरुआत, बी) खेल की अवधि में संशोधन, सी) मैदान के आयामों का मानकीकरण, डी) खो-खो विश्व कप की स्थापना")</f>
        <v>ए) लाइव स्ट्रीमिंग की शुरुआत, बी) खेल की अवधि में संशोधन, सी) मैदान के आयामों का मानकीकरण, डी) खो-खो विश्व कप की स्थापना</v>
      </c>
      <c r="I328" s="5" t="str">
        <f>IFERROR(__xludf.DUMMYFUNCTION("GOOGLETRANSLATE(D328, ""en"", ""hi"")"),"D) खो-खो विश्व कप की स्थापना")</f>
        <v>D) खो-खो विश्व कप की स्थापना</v>
      </c>
    </row>
    <row r="329" ht="22.5" customHeight="1">
      <c r="A329" s="7">
        <v>328.0</v>
      </c>
      <c r="B329" s="4" t="s">
        <v>2281</v>
      </c>
      <c r="C329" s="4" t="s">
        <v>1888</v>
      </c>
      <c r="D329" s="4" t="s">
        <v>549</v>
      </c>
      <c r="F329" s="5" t="str">
        <f>IFERROR(__xludf.DUMMYFUNCTION("GOOGLETRANSLATE(A329, ""en"", ""hi"")"),"328")</f>
        <v>328</v>
      </c>
      <c r="G329" s="5" t="str">
        <f>IFERROR(__xludf.DUMMYFUNCTION("GOOGLETRANSLATE(B329, ""en"", ""hi"")"),"1992 में खो-खो राष्ट्रीय चैम्पियनशिप की मेजबानी किस शहर ने की थी?")</f>
        <v>1992 में खो-खो राष्ट्रीय चैम्पियनशिप की मेजबानी किस शहर ने की थी?</v>
      </c>
      <c r="H329" s="5" t="str">
        <f>IFERROR(__xludf.DUMMYFUNCTION("GOOGLETRANSLATE(C329, ""en"", ""hi"")"),"A) मुंबई, B) दिल्ली, C) पुणे, D) बैंगलोर")</f>
        <v>A) मुंबई, B) दिल्ली, C) पुणे, D) बैंगलोर</v>
      </c>
      <c r="I329" s="5" t="str">
        <f>IFERROR(__xludf.DUMMYFUNCTION("GOOGLETRANSLATE(D329, ""en"", ""hi"")"),"ए) मुंबई")</f>
        <v>ए) मुंबई</v>
      </c>
    </row>
    <row r="330" ht="22.5" customHeight="1">
      <c r="A330" s="7">
        <v>329.0</v>
      </c>
      <c r="B330" s="4" t="s">
        <v>2282</v>
      </c>
      <c r="C330" s="4" t="s">
        <v>1988</v>
      </c>
      <c r="D330" s="4" t="s">
        <v>1953</v>
      </c>
      <c r="F330" s="5" t="str">
        <f>IFERROR(__xludf.DUMMYFUNCTION("GOOGLETRANSLATE(A330, ""en"", ""hi"")"),"329")</f>
        <v>329</v>
      </c>
      <c r="G330" s="5" t="str">
        <f>IFERROR(__xludf.DUMMYFUNCTION("GOOGLETRANSLATE(B330, ""en"", ""hi"")"),"1986 में खो-खो विश्व कप में मुख्य रेफरी कौन थे?")</f>
        <v>1986 में खो-खो विश्व कप में मुख्य रेफरी कौन थे?</v>
      </c>
      <c r="H330" s="5" t="str">
        <f>IFERROR(__xludf.DUMMYFUNCTION("GOOGLETRANSLATE(C330, ""en"", ""hi"")"),"A) वी.के. जोशी, B) एच.पी. सिंह, C) एम.के. शर्मा, D) आर.एस. कुमार")</f>
        <v>A) वी.के. जोशी, B) एच.पी. सिंह, C) एम.के. शर्मा, D) आर.एस. कुमार</v>
      </c>
      <c r="I330" s="5" t="str">
        <f>IFERROR(__xludf.DUMMYFUNCTION("GOOGLETRANSLATE(D330, ""en"", ""hi"")"),"बी) एच.पी. सिंह")</f>
        <v>बी) एच.पी. सिंह</v>
      </c>
    </row>
    <row r="331" ht="22.5" customHeight="1">
      <c r="A331" s="7">
        <v>330.0</v>
      </c>
      <c r="B331" s="4" t="s">
        <v>2283</v>
      </c>
      <c r="C331" s="4" t="s">
        <v>2284</v>
      </c>
      <c r="D331" s="4" t="s">
        <v>2218</v>
      </c>
      <c r="F331" s="5" t="str">
        <f>IFERROR(__xludf.DUMMYFUNCTION("GOOGLETRANSLATE(A331, ""en"", ""hi"")"),"330")</f>
        <v>330</v>
      </c>
      <c r="G331" s="5" t="str">
        <f>IFERROR(__xludf.DUMMYFUNCTION("GOOGLETRANSLATE(B331, ""en"", ""hi"")"),"2005 में आयोजित खो-खो विश्व कप की उल्लेखनीय विशेषता क्या थी?")</f>
        <v>2005 में आयोजित खो-खो विश्व कप की उल्लेखनीय विशेषता क्या थी?</v>
      </c>
      <c r="H331" s="5" t="str">
        <f>IFERROR(__xludf.DUMMYFUNCTION("GOOGLETRANSLATE(C331, ""en"", ""hi"")"),"ए) नए खिलाड़ी भूमिकाओं का परिचय, बी) अंतर्राष्ट्रीय टीमों को शामिल करने के लिए विस्तार, सी) इलेक्ट्रॉनिक स्कोरिंग की शुरूआत, डी) वीडियो समीक्षा की स्थापना")</f>
        <v>ए) नए खिलाड़ी भूमिकाओं का परिचय, बी) अंतर्राष्ट्रीय टीमों को शामिल करने के लिए विस्तार, सी) इलेक्ट्रॉनिक स्कोरिंग की शुरूआत, डी) वीडियो समीक्षा की स्थापना</v>
      </c>
      <c r="I331" s="5" t="str">
        <f>IFERROR(__xludf.DUMMYFUNCTION("GOOGLETRANSLATE(D331, ""en"", ""hi"")"),"बी) अंतर्राष्ट्रीय टीमों को शामिल करने के लिए विस्तार")</f>
        <v>बी) अंतर्राष्ट्रीय टीमों को शामिल करने के लिए विस्तार</v>
      </c>
    </row>
    <row r="332" ht="22.5" customHeight="1">
      <c r="A332" s="7">
        <v>331.0</v>
      </c>
      <c r="B332" s="4" t="s">
        <v>2285</v>
      </c>
      <c r="C332" s="4" t="s">
        <v>2228</v>
      </c>
      <c r="D332" s="4" t="s">
        <v>2199</v>
      </c>
      <c r="F332" s="5" t="str">
        <f>IFERROR(__xludf.DUMMYFUNCTION("GOOGLETRANSLATE(A332, ""en"", ""hi"")"),"331")</f>
        <v>331</v>
      </c>
      <c r="G332" s="5" t="str">
        <f>IFERROR(__xludf.DUMMYFUNCTION("GOOGLETRANSLATE(B332, ""en"", ""hi"")"),"2002 में खो-खो राष्ट्रीय चैम्पियनशिप के मुख्य आयोजक कौन थे?")</f>
        <v>2002 में खो-खो राष्ट्रीय चैम्पियनशिप के मुख्य आयोजक कौन थे?</v>
      </c>
      <c r="H332" s="5" t="str">
        <f>IFERROR(__xludf.DUMMYFUNCTION("GOOGLETRANSLATE(C332, ""en"", ""hi"")"),"A) वी.के. जोशी, B) एच.पी. सिंह, C) आर.एस. कुमार, D) एम.के. शर्मा")</f>
        <v>A) वी.के. जोशी, B) एच.पी. सिंह, C) आर.एस. कुमार, D) एम.के. शर्मा</v>
      </c>
      <c r="I332" s="5" t="str">
        <f>IFERROR(__xludf.DUMMYFUNCTION("GOOGLETRANSLATE(D332, ""en"", ""hi"")"),"C) आर.एस. कुमार")</f>
        <v>C) आर.एस. कुमार</v>
      </c>
    </row>
    <row r="333" ht="22.5" customHeight="1">
      <c r="A333" s="7">
        <v>332.0</v>
      </c>
      <c r="B333" s="4" t="s">
        <v>2286</v>
      </c>
      <c r="C333" s="4" t="s">
        <v>271</v>
      </c>
      <c r="D333" s="4" t="s">
        <v>603</v>
      </c>
      <c r="F333" s="5" t="str">
        <f>IFERROR(__xludf.DUMMYFUNCTION("GOOGLETRANSLATE(A333, ""en"", ""hi"")"),"332")</f>
        <v>332</v>
      </c>
      <c r="G333" s="5" t="str">
        <f>IFERROR(__xludf.DUMMYFUNCTION("GOOGLETRANSLATE(B333, ""en"", ""hi"")"),"1990 के दशक के अंत में किस भारतीय राज्य ने खो-खो में 'तेज़ खेल' की अवधारणा शुरू की?")</f>
        <v>1990 के दशक के अंत में किस भारतीय राज्य ने खो-खो में 'तेज़ खेल' की अवधारणा शुरू की?</v>
      </c>
      <c r="H333" s="5" t="str">
        <f>IFERROR(__xludf.DUMMYFUNCTION("GOOGLETRANSLATE(C333, ""en"", ""hi"")"),"ए) पंजाब, बी) हरियाणा, सी) महाराष्ट्र, डी) उत्तर प्रदेश")</f>
        <v>ए) पंजाब, बी) हरियाणा, सी) महाराष्ट्र, डी) उत्तर प्रदेश</v>
      </c>
      <c r="I333" s="5" t="str">
        <f>IFERROR(__xludf.DUMMYFUNCTION("GOOGLETRANSLATE(D333, ""en"", ""hi"")"),"बी) हरियाणा")</f>
        <v>बी) हरियाणा</v>
      </c>
    </row>
    <row r="334" ht="22.5" customHeight="1">
      <c r="A334" s="7">
        <v>333.0</v>
      </c>
      <c r="B334" s="4" t="s">
        <v>2287</v>
      </c>
      <c r="C334" s="4" t="s">
        <v>1966</v>
      </c>
      <c r="D334" s="4" t="s">
        <v>1915</v>
      </c>
      <c r="F334" s="5" t="str">
        <f>IFERROR(__xludf.DUMMYFUNCTION("GOOGLETRANSLATE(A334, ""en"", ""hi"")"),"333")</f>
        <v>333</v>
      </c>
      <c r="G334" s="5" t="str">
        <f>IFERROR(__xludf.DUMMYFUNCTION("GOOGLETRANSLATE(B334, ""en"", ""hi"")"),"1994 में खो-खो विश्व कप के दौरान अपनी असाधारण रणनीतियों के लिए कौन जाने गए?")</f>
        <v>1994 में खो-खो विश्व कप के दौरान अपनी असाधारण रणनीतियों के लिए कौन जाने गए?</v>
      </c>
      <c r="H334" s="5" t="str">
        <f>IFERROR(__xludf.DUMMYFUNCTION("GOOGLETRANSLATE(C334, ""en"", ""hi"")"),"A) एच.पी. सिंह, B) आर.एस. कुमार, C) एम.के. शर्मा, D) एस.पी. सिंह")</f>
        <v>A) एच.पी. सिंह, B) आर.एस. कुमार, C) एम.के. शर्मा, D) एस.पी. सिंह</v>
      </c>
      <c r="I334" s="5" t="str">
        <f>IFERROR(__xludf.DUMMYFUNCTION("GOOGLETRANSLATE(D334, ""en"", ""hi"")"),"ए) एच.पी. सिंह")</f>
        <v>ए) एच.पी. सिंह</v>
      </c>
    </row>
    <row r="335" ht="22.5" customHeight="1">
      <c r="A335" s="7">
        <v>334.0</v>
      </c>
      <c r="B335" s="4" t="s">
        <v>2288</v>
      </c>
      <c r="C335" s="4" t="s">
        <v>2221</v>
      </c>
      <c r="D335" s="4" t="s">
        <v>2222</v>
      </c>
      <c r="F335" s="5" t="str">
        <f>IFERROR(__xludf.DUMMYFUNCTION("GOOGLETRANSLATE(A335, ""en"", ""hi"")"),"334")</f>
        <v>334</v>
      </c>
      <c r="G335" s="5" t="str">
        <f>IFERROR(__xludf.DUMMYFUNCTION("GOOGLETRANSLATE(B335, ""en"", ""hi"")"),"वर्ष 2000 में स्थापित खो-खो विकास कार्यक्रम का मुख्य उद्देश्य क्या था?")</f>
        <v>वर्ष 2000 में स्थापित खो-खो विकास कार्यक्रम का मुख्य उद्देश्य क्या था?</v>
      </c>
      <c r="H335" s="5" t="str">
        <f>IFERROR(__xludf.DUMMYFUNCTION("GOOGLETRANSLATE(C335, ""en"", ""hi"")"),"A) अंतर्राष्ट्रीय प्रतिस्पर्धा को बढ़ाना, B) खिलाड़ियों के कौशल में सुधार करना, C) जमीनी स्तर पर विकास को समर्थन देना, D) नई तकनीक को पेश करना")</f>
        <v>A) अंतर्राष्ट्रीय प्रतिस्पर्धा को बढ़ाना, B) खिलाड़ियों के कौशल में सुधार करना, C) जमीनी स्तर पर विकास को समर्थन देना, D) नई तकनीक को पेश करना</v>
      </c>
      <c r="I335" s="5" t="str">
        <f>IFERROR(__xludf.DUMMYFUNCTION("GOOGLETRANSLATE(D335, ""en"", ""hi"")"),"C) जमीनी स्तर पर विकास का समर्थन करना")</f>
        <v>C) जमीनी स्तर पर विकास का समर्थन करना</v>
      </c>
    </row>
    <row r="336" ht="22.5" customHeight="1">
      <c r="A336" s="7">
        <v>335.0</v>
      </c>
      <c r="B336" s="4" t="s">
        <v>2289</v>
      </c>
      <c r="C336" s="4" t="s">
        <v>1998</v>
      </c>
      <c r="D336" s="4" t="s">
        <v>2107</v>
      </c>
      <c r="F336" s="5" t="str">
        <f>IFERROR(__xludf.DUMMYFUNCTION("GOOGLETRANSLATE(A336, ""en"", ""hi"")"),"335")</f>
        <v>335</v>
      </c>
      <c r="G336" s="5" t="str">
        <f>IFERROR(__xludf.DUMMYFUNCTION("GOOGLETRANSLATE(B336, ""en"", ""hi"")"),"1990 में खो-खो विश्व कप की मेजबानी किस भारतीय शहर ने की थी?")</f>
        <v>1990 में खो-खो विश्व कप की मेजबानी किस भारतीय शहर ने की थी?</v>
      </c>
      <c r="H336" s="5" t="str">
        <f>IFERROR(__xludf.DUMMYFUNCTION("GOOGLETRANSLATE(C336, ""en"", ""hi"")"),"ए) दिल्ली, बी) मुंबई, सी) बैंगलोर, डी) कोलकाता")</f>
        <v>ए) दिल्ली, बी) मुंबई, सी) बैंगलोर, डी) कोलकाता</v>
      </c>
      <c r="I336" s="5" t="str">
        <f>IFERROR(__xludf.DUMMYFUNCTION("GOOGLETRANSLATE(D336, ""en"", ""hi"")"),"D) कोलकाता")</f>
        <v>D) कोलकाता</v>
      </c>
    </row>
    <row r="337" ht="22.5" customHeight="1">
      <c r="A337" s="7">
        <v>336.0</v>
      </c>
      <c r="B337" s="4" t="s">
        <v>2290</v>
      </c>
      <c r="C337" s="4" t="s">
        <v>2291</v>
      </c>
      <c r="D337" s="4" t="s">
        <v>2292</v>
      </c>
      <c r="F337" s="5" t="str">
        <f>IFERROR(__xludf.DUMMYFUNCTION("GOOGLETRANSLATE(A337, ""en"", ""hi"")"),"336")</f>
        <v>336</v>
      </c>
      <c r="G337" s="5" t="str">
        <f>IFERROR(__xludf.DUMMYFUNCTION("GOOGLETRANSLATE(B337, ""en"", ""hi"")"),"1982 में आयोजित खो-खो विश्व कप में शीर्ष स्कोरर कौन था?")</f>
        <v>1982 में आयोजित खो-खो विश्व कप में शीर्ष स्कोरर कौन था?</v>
      </c>
      <c r="H337" s="5" t="str">
        <f>IFERROR(__xludf.DUMMYFUNCTION("GOOGLETRANSLATE(C337, ""en"", ""hi"")"),"A) एम.के. शर्मा, B) आर.एस. कुमार, C) एच.पी. सिंह, D) एस.पी. सिंह")</f>
        <v>A) एम.के. शर्मा, B) आर.एस. कुमार, C) एच.पी. सिंह, D) एस.पी. सिंह</v>
      </c>
      <c r="I337" s="5" t="str">
        <f>IFERROR(__xludf.DUMMYFUNCTION("GOOGLETRANSLATE(D337, ""en"", ""hi"")"),"A) एम.के. शर्मा")</f>
        <v>A) एम.के. शर्मा</v>
      </c>
    </row>
    <row r="338" ht="22.5" customHeight="1">
      <c r="A338" s="7">
        <v>337.0</v>
      </c>
      <c r="B338" s="4" t="s">
        <v>2293</v>
      </c>
      <c r="C338" s="4" t="s">
        <v>1966</v>
      </c>
      <c r="D338" s="4" t="s">
        <v>1915</v>
      </c>
      <c r="F338" s="5" t="str">
        <f>IFERROR(__xludf.DUMMYFUNCTION("GOOGLETRANSLATE(A338, ""en"", ""hi"")"),"337")</f>
        <v>337</v>
      </c>
      <c r="G338" s="5" t="str">
        <f>IFERROR(__xludf.DUMMYFUNCTION("GOOGLETRANSLATE(B338, ""en"", ""hi"")"),"2005 में आयोजित खो-खो विश्व कप में किस भारतीय खिलाड़ी को उनके असाधारण लक्ष्य का पीछा करने के कौशल के लिए सम्मानित किया गया था?")</f>
        <v>2005 में आयोजित खो-खो विश्व कप में किस भारतीय खिलाड़ी को उनके असाधारण लक्ष्य का पीछा करने के कौशल के लिए सम्मानित किया गया था?</v>
      </c>
      <c r="H338" s="5" t="str">
        <f>IFERROR(__xludf.DUMMYFUNCTION("GOOGLETRANSLATE(C338, ""en"", ""hi"")"),"A) एच.पी. सिंह, B) आर.एस. कुमार, C) एम.के. शर्मा, D) एस.पी. सिंह")</f>
        <v>A) एच.पी. सिंह, B) आर.एस. कुमार, C) एम.के. शर्मा, D) एस.पी. सिंह</v>
      </c>
      <c r="I338" s="5" t="str">
        <f>IFERROR(__xludf.DUMMYFUNCTION("GOOGLETRANSLATE(D338, ""en"", ""hi"")"),"ए) एच.पी. सिंह")</f>
        <v>ए) एच.पी. सिंह</v>
      </c>
    </row>
    <row r="339" ht="22.5" customHeight="1">
      <c r="A339" s="7">
        <v>338.0</v>
      </c>
      <c r="B339" s="4" t="s">
        <v>2294</v>
      </c>
      <c r="C339" s="4" t="s">
        <v>2295</v>
      </c>
      <c r="D339" s="4" t="s">
        <v>2296</v>
      </c>
      <c r="F339" s="5" t="str">
        <f>IFERROR(__xludf.DUMMYFUNCTION("GOOGLETRANSLATE(A339, ""en"", ""hi"")"),"338")</f>
        <v>338</v>
      </c>
      <c r="G339" s="5" t="str">
        <f>IFERROR(__xludf.DUMMYFUNCTION("GOOGLETRANSLATE(B339, ""en"", ""hi"")"),"2000 के दशक के प्रारंभ में खो-खो में प्रमुख विकास क्या था?")</f>
        <v>2000 के दशक के प्रारंभ में खो-खो में प्रमुख विकास क्या था?</v>
      </c>
      <c r="H339" s="5" t="str">
        <f>IFERROR(__xludf.DUMMYFUNCTION("GOOGLETRANSLATE(C339, ""en"", ""hi"")"),"A) इलेक्ट्रॉनिक स्कोरबोर्ड की शुरूआत, B) एशियाई खो-खो महासंघ का गठन, C) खो-खो अकादमियों की स्थापना, D) अंतर्राष्ट्रीय टूर्नामेंटों का विस्तार")</f>
        <v>A) इलेक्ट्रॉनिक स्कोरबोर्ड की शुरूआत, B) एशियाई खो-खो महासंघ का गठन, C) खो-खो अकादमियों की स्थापना, D) अंतर्राष्ट्रीय टूर्नामेंटों का विस्तार</v>
      </c>
      <c r="I339" s="5" t="str">
        <f>IFERROR(__xludf.DUMMYFUNCTION("GOOGLETRANSLATE(D339, ""en"", ""hi"")"),"D) अंतर्राष्ट्रीय टूर्नामेंटों का विस्तार")</f>
        <v>D) अंतर्राष्ट्रीय टूर्नामेंटों का विस्तार</v>
      </c>
    </row>
    <row r="340" ht="22.5" customHeight="1">
      <c r="A340" s="7">
        <v>339.0</v>
      </c>
      <c r="B340" s="4" t="s">
        <v>2234</v>
      </c>
      <c r="C340" s="4" t="s">
        <v>1988</v>
      </c>
      <c r="D340" s="4" t="s">
        <v>1974</v>
      </c>
      <c r="F340" s="5" t="str">
        <f>IFERROR(__xludf.DUMMYFUNCTION("GOOGLETRANSLATE(A340, ""en"", ""hi"")"),"339")</f>
        <v>339</v>
      </c>
      <c r="G340" s="5" t="str">
        <f>IFERROR(__xludf.DUMMYFUNCTION("GOOGLETRANSLATE(B340, ""en"", ""hi"")"),"1998 में आयोजित खो-खो विश्व कप का मुख्य आयोजक कौन था?")</f>
        <v>1998 में आयोजित खो-खो विश्व कप का मुख्य आयोजक कौन था?</v>
      </c>
      <c r="H340" s="5" t="str">
        <f>IFERROR(__xludf.DUMMYFUNCTION("GOOGLETRANSLATE(C340, ""en"", ""hi"")"),"A) वी.के. जोशी, B) एच.पी. सिंह, C) एम.के. शर्मा, D) आर.एस. कुमार")</f>
        <v>A) वी.के. जोशी, B) एच.पी. सिंह, C) एम.के. शर्मा, D) आर.एस. कुमार</v>
      </c>
      <c r="I340" s="5" t="str">
        <f>IFERROR(__xludf.DUMMYFUNCTION("GOOGLETRANSLATE(D340, ""en"", ""hi"")"),"A) वी.के. जोशी")</f>
        <v>A) वी.के. जोशी</v>
      </c>
    </row>
    <row r="341" ht="22.5" customHeight="1">
      <c r="A341" s="7">
        <v>340.0</v>
      </c>
      <c r="B341" s="4" t="s">
        <v>2297</v>
      </c>
      <c r="C341" s="4" t="s">
        <v>2031</v>
      </c>
      <c r="D341" s="4" t="s">
        <v>2092</v>
      </c>
      <c r="F341" s="5" t="str">
        <f>IFERROR(__xludf.DUMMYFUNCTION("GOOGLETRANSLATE(A341, ""en"", ""hi"")"),"340")</f>
        <v>340</v>
      </c>
      <c r="G341" s="5" t="str">
        <f>IFERROR(__xludf.DUMMYFUNCTION("GOOGLETRANSLATE(B341, ""en"", ""hi"")"),"2015 में खो-खो राष्ट्रीय चैम्पियनशिप का आयोजन किस भारतीय शहर में हुआ था?")</f>
        <v>2015 में खो-खो राष्ट्रीय चैम्पियनशिप का आयोजन किस भारतीय शहर में हुआ था?</v>
      </c>
      <c r="H341" s="5" t="str">
        <f>IFERROR(__xludf.DUMMYFUNCTION("GOOGLETRANSLATE(C341, ""en"", ""hi"")"),"A) दिल्ली, B) मुंबई, C) बैंगलोर, D) पुणे")</f>
        <v>A) दिल्ली, B) मुंबई, C) बैंगलोर, D) पुणे</v>
      </c>
      <c r="I341" s="5" t="str">
        <f>IFERROR(__xludf.DUMMYFUNCTION("GOOGLETRANSLATE(D341, ""en"", ""hi"")"),"D) पुणे")</f>
        <v>D) पुणे</v>
      </c>
    </row>
    <row r="342" ht="22.5" customHeight="1">
      <c r="A342" s="7">
        <v>341.0</v>
      </c>
      <c r="B342" s="4" t="s">
        <v>2298</v>
      </c>
      <c r="C342" s="4" t="s">
        <v>1966</v>
      </c>
      <c r="D342" s="4" t="s">
        <v>2059</v>
      </c>
      <c r="F342" s="5" t="str">
        <f>IFERROR(__xludf.DUMMYFUNCTION("GOOGLETRANSLATE(A342, ""en"", ""hi"")"),"341")</f>
        <v>341</v>
      </c>
      <c r="G342" s="5" t="str">
        <f>IFERROR(__xludf.DUMMYFUNCTION("GOOGLETRANSLATE(B342, ""en"", ""hi"")"),"1990 में आयोजित खो-खो विश्व कप में अपने असाधारण रक्षात्मक कौशल के लिए कौन जाने गए?")</f>
        <v>1990 में आयोजित खो-खो विश्व कप में अपने असाधारण रक्षात्मक कौशल के लिए कौन जाने गए?</v>
      </c>
      <c r="H342" s="5" t="str">
        <f>IFERROR(__xludf.DUMMYFUNCTION("GOOGLETRANSLATE(C342, ""en"", ""hi"")"),"A) एच.पी. सिंह, B) आर.एस. कुमार, C) एम.के. शर्मा, D) एस.पी. सिंह")</f>
        <v>A) एच.पी. सिंह, B) आर.एस. कुमार, C) एम.के. शर्मा, D) एस.पी. सिंह</v>
      </c>
      <c r="I342" s="5" t="str">
        <f>IFERROR(__xludf.DUMMYFUNCTION("GOOGLETRANSLATE(D342, ""en"", ""hi"")"),"D) एस.पी. सिंह")</f>
        <v>D) एस.पी. सिंह</v>
      </c>
    </row>
    <row r="343" ht="22.5" customHeight="1">
      <c r="A343" s="7">
        <v>342.0</v>
      </c>
      <c r="B343" s="4" t="s">
        <v>2299</v>
      </c>
      <c r="C343" s="4" t="s">
        <v>2300</v>
      </c>
      <c r="D343" s="4" t="s">
        <v>2301</v>
      </c>
      <c r="F343" s="5" t="str">
        <f>IFERROR(__xludf.DUMMYFUNCTION("GOOGLETRANSLATE(A343, ""en"", ""hi"")"),"342")</f>
        <v>342</v>
      </c>
      <c r="G343" s="5" t="str">
        <f>IFERROR(__xludf.DUMMYFUNCTION("GOOGLETRANSLATE(B343, ""en"", ""hi"")"),"2000 के दशक के अंत में खो-खो स्कोरिंग के लिए नई तकनीक शुरू करने वाला पहला भारतीय राज्य कौन सा था?")</f>
        <v>2000 के दशक के अंत में खो-खो स्कोरिंग के लिए नई तकनीक शुरू करने वाला पहला भारतीय राज्य कौन सा था?</v>
      </c>
      <c r="H343" s="5" t="str">
        <f>IFERROR(__xludf.DUMMYFUNCTION("GOOGLETRANSLATE(C343, ""en"", ""hi"")"),"A) पंजाब, B) हरियाणा, C) महाराष्ट्र, D) दिल्ली")</f>
        <v>A) पंजाब, B) हरियाणा, C) महाराष्ट्र, D) दिल्ली</v>
      </c>
      <c r="I343" s="5" t="str">
        <f>IFERROR(__xludf.DUMMYFUNCTION("GOOGLETRANSLATE(D343, ""en"", ""hi"")"),"D) दिल्ली")</f>
        <v>D) दिल्ली</v>
      </c>
    </row>
    <row r="344" ht="22.5" customHeight="1">
      <c r="A344" s="7">
        <v>343.0</v>
      </c>
      <c r="B344" s="4" t="s">
        <v>2302</v>
      </c>
      <c r="C344" s="4" t="s">
        <v>1988</v>
      </c>
      <c r="D344" s="4" t="s">
        <v>2101</v>
      </c>
      <c r="F344" s="5" t="str">
        <f>IFERROR(__xludf.DUMMYFUNCTION("GOOGLETRANSLATE(A344, ""en"", ""hi"")"),"343")</f>
        <v>343</v>
      </c>
      <c r="G344" s="5" t="str">
        <f>IFERROR(__xludf.DUMMYFUNCTION("GOOGLETRANSLATE(B344, ""en"", ""hi"")"),"वर्ष 2000 में आयोजित खो-खो विश्व कप के मुख्य रेफरी कौन थे?")</f>
        <v>वर्ष 2000 में आयोजित खो-खो विश्व कप के मुख्य रेफरी कौन थे?</v>
      </c>
      <c r="H344" s="5" t="str">
        <f>IFERROR(__xludf.DUMMYFUNCTION("GOOGLETRANSLATE(C344, ""en"", ""hi"")"),"A) वी.के. जोशी, B) एच.पी. सिंह, C) एम.के. शर्मा, D) आर.एस. कुमार")</f>
        <v>A) वी.के. जोशी, B) एच.पी. सिंह, C) एम.के. शर्मा, D) आर.एस. कुमार</v>
      </c>
      <c r="I344" s="5" t="str">
        <f>IFERROR(__xludf.DUMMYFUNCTION("GOOGLETRANSLATE(D344, ""en"", ""hi"")"),"C) एम.के. शर्मा")</f>
        <v>C) एम.के. शर्मा</v>
      </c>
    </row>
    <row r="345" ht="22.5" customHeight="1">
      <c r="A345" s="7">
        <v>344.0</v>
      </c>
      <c r="B345" s="4" t="s">
        <v>2303</v>
      </c>
      <c r="C345" s="4" t="s">
        <v>2304</v>
      </c>
      <c r="D345" s="4" t="s">
        <v>2197</v>
      </c>
      <c r="F345" s="5" t="str">
        <f>IFERROR(__xludf.DUMMYFUNCTION("GOOGLETRANSLATE(A345, ""en"", ""hi"")"),"344")</f>
        <v>344</v>
      </c>
      <c r="G345" s="5" t="str">
        <f>IFERROR(__xludf.DUMMYFUNCTION("GOOGLETRANSLATE(B345, ""en"", ""hi"")"),"1986 के खो-खो विश्व कप की उल्लेखनीय विशेषता क्या थी?")</f>
        <v>1986 के खो-खो विश्व कप की उल्लेखनीय विशेषता क्या थी?</v>
      </c>
      <c r="H345" s="5" t="str">
        <f>IFERROR(__xludf.DUMMYFUNCTION("GOOGLETRANSLATE(C345, ""en"", ""hi"")"),"ए) लाइव स्ट्रीमिंग की शुरुआत, बी) नए खिलाड़ी भूमिकाओं की स्थापना, सी) अंतर्राष्ट्रीय टीमों को शामिल करने के लिए विस्तार, डी) इलेक्ट्रॉनिक स्कोरिंग की शुरुआत")</f>
        <v>ए) लाइव स्ट्रीमिंग की शुरुआत, बी) नए खिलाड़ी भूमिकाओं की स्थापना, सी) अंतर्राष्ट्रीय टीमों को शामिल करने के लिए विस्तार, डी) इलेक्ट्रॉनिक स्कोरिंग की शुरुआत</v>
      </c>
      <c r="I345" s="5" t="str">
        <f>IFERROR(__xludf.DUMMYFUNCTION("GOOGLETRANSLATE(D345, ""en"", ""hi"")"),"C) अंतर्राष्ट्रीय टीमों को शामिल करने के लिए विस्तार")</f>
        <v>C) अंतर्राष्ट्रीय टीमों को शामिल करने के लिए विस्तार</v>
      </c>
    </row>
    <row r="346" ht="22.5" customHeight="1">
      <c r="A346" s="7">
        <v>345.0</v>
      </c>
      <c r="B346" s="4" t="s">
        <v>2305</v>
      </c>
      <c r="C346" s="4" t="s">
        <v>1966</v>
      </c>
      <c r="D346" s="4" t="s">
        <v>2059</v>
      </c>
      <c r="F346" s="5" t="str">
        <f>IFERROR(__xludf.DUMMYFUNCTION("GOOGLETRANSLATE(A346, ""en"", ""hi"")"),"345")</f>
        <v>345</v>
      </c>
      <c r="G346" s="5" t="str">
        <f>IFERROR(__xludf.DUMMYFUNCTION("GOOGLETRANSLATE(B346, ""en"", ""hi"")"),"किस भारतीय खिलाड़ी ने 2015 में एक ही मैच में सर्वाधिक सफल टैग का रिकॉर्ड बनाया?")</f>
        <v>किस भारतीय खिलाड़ी ने 2015 में एक ही मैच में सर्वाधिक सफल टैग का रिकॉर्ड बनाया?</v>
      </c>
      <c r="H346" s="5" t="str">
        <f>IFERROR(__xludf.DUMMYFUNCTION("GOOGLETRANSLATE(C346, ""en"", ""hi"")"),"A) एच.पी. सिंह, B) आर.एस. कुमार, C) एम.के. शर्मा, D) एस.पी. सिंह")</f>
        <v>A) एच.पी. सिंह, B) आर.एस. कुमार, C) एम.के. शर्मा, D) एस.पी. सिंह</v>
      </c>
      <c r="I346" s="5" t="str">
        <f>IFERROR(__xludf.DUMMYFUNCTION("GOOGLETRANSLATE(D346, ""en"", ""hi"")"),"D) एस.पी. सिंह")</f>
        <v>D) एस.पी. सिंह</v>
      </c>
    </row>
    <row r="347" ht="22.5" customHeight="1">
      <c r="A347" s="7">
        <v>346.0</v>
      </c>
      <c r="B347" s="4" t="s">
        <v>2306</v>
      </c>
      <c r="C347" s="4" t="s">
        <v>2291</v>
      </c>
      <c r="D347" s="4" t="s">
        <v>1980</v>
      </c>
      <c r="F347" s="5" t="str">
        <f>IFERROR(__xludf.DUMMYFUNCTION("GOOGLETRANSLATE(A347, ""en"", ""hi"")"),"346")</f>
        <v>346</v>
      </c>
      <c r="G347" s="5" t="str">
        <f>IFERROR(__xludf.DUMMYFUNCTION("GOOGLETRANSLATE(B347, ""en"", ""hi"")"),"1984 में आयोजित खो-खो विश्व कप में शीर्ष स्कोरर कौन था?")</f>
        <v>1984 में आयोजित खो-खो विश्व कप में शीर्ष स्कोरर कौन था?</v>
      </c>
      <c r="H347" s="5" t="str">
        <f>IFERROR(__xludf.DUMMYFUNCTION("GOOGLETRANSLATE(C347, ""en"", ""hi"")"),"A) एम.के. शर्मा, B) आर.एस. कुमार, C) एच.पी. सिंह, D) एस.पी. सिंह")</f>
        <v>A) एम.के. शर्मा, B) आर.एस. कुमार, C) एच.पी. सिंह, D) एस.पी. सिंह</v>
      </c>
      <c r="I347" s="5" t="str">
        <f>IFERROR(__xludf.DUMMYFUNCTION("GOOGLETRANSLATE(D347, ""en"", ""hi"")"),"बी) आर.एस. कुमार")</f>
        <v>बी) आर.एस. कुमार</v>
      </c>
    </row>
    <row r="348" ht="22.5" customHeight="1">
      <c r="A348" s="7">
        <v>347.0</v>
      </c>
      <c r="B348" s="4" t="s">
        <v>2307</v>
      </c>
      <c r="C348" s="4" t="s">
        <v>2274</v>
      </c>
      <c r="D348" s="4" t="s">
        <v>158</v>
      </c>
      <c r="F348" s="5" t="str">
        <f>IFERROR(__xludf.DUMMYFUNCTION("GOOGLETRANSLATE(A348, ""en"", ""hi"")"),"347")</f>
        <v>347</v>
      </c>
      <c r="G348" s="5" t="str">
        <f>IFERROR(__xludf.DUMMYFUNCTION("GOOGLETRANSLATE(B348, ""en"", ""hi"")"),"1984 में खो-खो राष्ट्रीय चैम्पियनशिप का आयोजन किस भारतीय राज्य में हुआ था?")</f>
        <v>1984 में खो-खो राष्ट्रीय चैम्पियनशिप का आयोजन किस भारतीय राज्य में हुआ था?</v>
      </c>
      <c r="H348" s="5" t="str">
        <f>IFERROR(__xludf.DUMMYFUNCTION("GOOGLETRANSLATE(C348, ""en"", ""hi"")"),"A) महाराष्ट्र, B) पंजाब, C) हरियाणा, D) दिल्ली")</f>
        <v>A) महाराष्ट्र, B) पंजाब, C) हरियाणा, D) दिल्ली</v>
      </c>
      <c r="I348" s="5" t="str">
        <f>IFERROR(__xludf.DUMMYFUNCTION("GOOGLETRANSLATE(D348, ""en"", ""hi"")"),"A) महाराष्ट्र")</f>
        <v>A) महाराष्ट्र</v>
      </c>
    </row>
    <row r="349" ht="22.5" customHeight="1">
      <c r="A349" s="7">
        <v>348.0</v>
      </c>
      <c r="B349" s="4" t="s">
        <v>2308</v>
      </c>
      <c r="C349" s="4" t="s">
        <v>2228</v>
      </c>
      <c r="D349" s="4" t="s">
        <v>1974</v>
      </c>
      <c r="F349" s="5" t="str">
        <f>IFERROR(__xludf.DUMMYFUNCTION("GOOGLETRANSLATE(A349, ""en"", ""hi"")"),"348")</f>
        <v>348</v>
      </c>
      <c r="G349" s="5" t="str">
        <f>IFERROR(__xludf.DUMMYFUNCTION("GOOGLETRANSLATE(B349, ""en"", ""hi"")"),"1988 में खो-खो विश्व कप के मुख्य रेफरी कौन थे?")</f>
        <v>1988 में खो-खो विश्व कप के मुख्य रेफरी कौन थे?</v>
      </c>
      <c r="H349" s="5" t="str">
        <f>IFERROR(__xludf.DUMMYFUNCTION("GOOGLETRANSLATE(C349, ""en"", ""hi"")"),"A) वी.के. जोशी, B) एच.पी. सिंह, C) आर.एस. कुमार, D) एम.के. शर्मा")</f>
        <v>A) वी.के. जोशी, B) एच.पी. सिंह, C) आर.एस. कुमार, D) एम.के. शर्मा</v>
      </c>
      <c r="I349" s="5" t="str">
        <f>IFERROR(__xludf.DUMMYFUNCTION("GOOGLETRANSLATE(D349, ""en"", ""hi"")"),"A) वी.के. जोशी")</f>
        <v>A) वी.के. जोशी</v>
      </c>
    </row>
    <row r="350" ht="22.5" customHeight="1">
      <c r="A350" s="7">
        <v>349.0</v>
      </c>
      <c r="B350" s="4" t="s">
        <v>2309</v>
      </c>
      <c r="C350" s="4" t="s">
        <v>2310</v>
      </c>
      <c r="D350" s="4" t="s">
        <v>462</v>
      </c>
      <c r="F350" s="5" t="str">
        <f>IFERROR(__xludf.DUMMYFUNCTION("GOOGLETRANSLATE(A350, ""en"", ""hi"")"),"349")</f>
        <v>349</v>
      </c>
      <c r="G350" s="5" t="str">
        <f>IFERROR(__xludf.DUMMYFUNCTION("GOOGLETRANSLATE(B350, ""en"", ""hi"")"),"2004 में किस भारतीय शहर ने खो-खो राष्ट्रीय चैम्पियनशिप की मेजबानी की थी?")</f>
        <v>2004 में किस भारतीय शहर ने खो-खो राष्ट्रीय चैम्पियनशिप की मेजबानी की थी?</v>
      </c>
      <c r="H350" s="5" t="str">
        <f>IFERROR(__xludf.DUMMYFUNCTION("GOOGLETRANSLATE(C350, ""en"", ""hi"")"),"A) बैंगलोर, B) मुंबई, C) चेन्नई, D) दिल्ली")</f>
        <v>A) बैंगलोर, B) मुंबई, C) चेन्नई, D) दिल्ली</v>
      </c>
      <c r="I350" s="5" t="str">
        <f>IFERROR(__xludf.DUMMYFUNCTION("GOOGLETRANSLATE(D350, ""en"", ""hi"")"),"ए) बैंगलोर")</f>
        <v>ए) बैंगलोर</v>
      </c>
    </row>
    <row r="351" ht="22.5" customHeight="1">
      <c r="A351" s="7">
        <v>350.0</v>
      </c>
      <c r="B351" s="4" t="s">
        <v>2311</v>
      </c>
      <c r="C351" s="4" t="s">
        <v>2312</v>
      </c>
      <c r="D351" s="4" t="s">
        <v>2313</v>
      </c>
      <c r="F351" s="5" t="str">
        <f>IFERROR(__xludf.DUMMYFUNCTION("GOOGLETRANSLATE(A351, ""en"", ""hi"")"),"350")</f>
        <v>350</v>
      </c>
      <c r="G351" s="5" t="str">
        <f>IFERROR(__xludf.DUMMYFUNCTION("GOOGLETRANSLATE(B351, ""en"", ""hi"")"),"1990 के दशक में खो-खो में प्रमुख नियम परिवर्तन क्या था?")</f>
        <v>1990 के दशक में खो-खो में प्रमुख नियम परिवर्तन क्या था?</v>
      </c>
      <c r="H351" s="5" t="str">
        <f>IFERROR(__xludf.DUMMYFUNCTION("GOOGLETRANSLATE(C351, ""en"", ""hi"")"),"ए) वीडियो समीक्षा की शुरूआत, बी) क्षेत्र आयामों का मानकीकरण, सी) टैगिंग नियमों में संशोधन, डी) इलेक्ट्रॉनिक स्कोरबोर्ड की स्थापना")</f>
        <v>ए) वीडियो समीक्षा की शुरूआत, बी) क्षेत्र आयामों का मानकीकरण, सी) टैगिंग नियमों में संशोधन, डी) इलेक्ट्रॉनिक स्कोरबोर्ड की स्थापना</v>
      </c>
      <c r="I351" s="5" t="str">
        <f>IFERROR(__xludf.DUMMYFUNCTION("GOOGLETRANSLATE(D351, ""en"", ""hi"")"),"बी) क्षेत्र आयामों का मानकीकरण")</f>
        <v>बी) क्षेत्र आयामों का मानकीकरण</v>
      </c>
    </row>
    <row r="352" ht="22.5" customHeight="1">
      <c r="A352" s="7">
        <v>351.0</v>
      </c>
      <c r="B352" s="4" t="s">
        <v>2314</v>
      </c>
      <c r="C352" s="4" t="s">
        <v>1966</v>
      </c>
      <c r="D352" s="4" t="s">
        <v>1915</v>
      </c>
      <c r="F352" s="5" t="str">
        <f>IFERROR(__xludf.DUMMYFUNCTION("GOOGLETRANSLATE(A352, ""en"", ""hi"")"),"351")</f>
        <v>351</v>
      </c>
      <c r="G352" s="5" t="str">
        <f>IFERROR(__xludf.DUMMYFUNCTION("GOOGLETRANSLATE(B352, ""en"", ""hi"")"),"2010 में आयोजित खो-खो विश्व कप में शीर्ष स्कोरर कौन था?")</f>
        <v>2010 में आयोजित खो-खो विश्व कप में शीर्ष स्कोरर कौन था?</v>
      </c>
      <c r="H352" s="5" t="str">
        <f>IFERROR(__xludf.DUMMYFUNCTION("GOOGLETRANSLATE(C352, ""en"", ""hi"")"),"A) एच.पी. सिंह, B) आर.एस. कुमार, C) एम.के. शर्मा, D) एस.पी. सिंह")</f>
        <v>A) एच.पी. सिंह, B) आर.एस. कुमार, C) एम.के. शर्मा, D) एस.पी. सिंह</v>
      </c>
      <c r="I352" s="5" t="str">
        <f>IFERROR(__xludf.DUMMYFUNCTION("GOOGLETRANSLATE(D352, ""en"", ""hi"")"),"ए) एच.पी. सिंह")</f>
        <v>ए) एच.पी. सिंह</v>
      </c>
    </row>
    <row r="353" ht="22.5" customHeight="1">
      <c r="A353" s="7">
        <v>352.0</v>
      </c>
      <c r="B353" s="4" t="s">
        <v>2315</v>
      </c>
      <c r="C353" s="4" t="s">
        <v>2300</v>
      </c>
      <c r="D353" s="4" t="s">
        <v>603</v>
      </c>
      <c r="F353" s="5" t="str">
        <f>IFERROR(__xludf.DUMMYFUNCTION("GOOGLETRANSLATE(A353, ""en"", ""hi"")"),"352")</f>
        <v>352</v>
      </c>
      <c r="G353" s="5" t="str">
        <f>IFERROR(__xludf.DUMMYFUNCTION("GOOGLETRANSLATE(B353, ""en"", ""hi"")"),"1990 के दशक के अंत में किस भारतीय राज्य ने पहली बार 'फास्ट प्ले' की अवधारणा पेश की?")</f>
        <v>1990 के दशक के अंत में किस भारतीय राज्य ने पहली बार 'फास्ट प्ले' की अवधारणा पेश की?</v>
      </c>
      <c r="H353" s="5" t="str">
        <f>IFERROR(__xludf.DUMMYFUNCTION("GOOGLETRANSLATE(C353, ""en"", ""hi"")"),"A) पंजाब, B) हरियाणा, C) महाराष्ट्र, D) दिल्ली")</f>
        <v>A) पंजाब, B) हरियाणा, C) महाराष्ट्र, D) दिल्ली</v>
      </c>
      <c r="I353" s="5" t="str">
        <f>IFERROR(__xludf.DUMMYFUNCTION("GOOGLETRANSLATE(D353, ""en"", ""hi"")"),"बी) हरियाणा")</f>
        <v>बी) हरियाणा</v>
      </c>
    </row>
    <row r="354" ht="22.5" customHeight="1">
      <c r="A354" s="7">
        <v>353.0</v>
      </c>
      <c r="B354" s="4" t="s">
        <v>2316</v>
      </c>
      <c r="C354" s="4" t="s">
        <v>2317</v>
      </c>
      <c r="D354" s="4" t="s">
        <v>2318</v>
      </c>
      <c r="F354" s="5" t="str">
        <f>IFERROR(__xludf.DUMMYFUNCTION("GOOGLETRANSLATE(A354, ""en"", ""hi"")"),"353")</f>
        <v>353</v>
      </c>
      <c r="G354" s="5" t="str">
        <f>IFERROR(__xludf.DUMMYFUNCTION("GOOGLETRANSLATE(B354, ""en"", ""hi"")"),"2005 में आयोजित खो-खो विश्व कप की उल्लेखनीय उपलब्धि क्या थी?")</f>
        <v>2005 में आयोजित खो-खो विश्व कप की उल्लेखनीय उपलब्धि क्या थी?</v>
      </c>
      <c r="H354" s="5" t="str">
        <f>IFERROR(__xludf.DUMMYFUNCTION("GOOGLETRANSLATE(C354, ""en"", ""hi"")"),"ए) अंतर्राष्ट्रीय टीमों का विस्तार, बी) इलेक्ट्रॉनिक स्कोरिंग की शुरुआत, सी) वीडियो समीक्षा की स्थापना, डी) नए खिलाड़ी भूमिकाओं की शुरुआत")</f>
        <v>ए) अंतर्राष्ट्रीय टीमों का विस्तार, बी) इलेक्ट्रॉनिक स्कोरिंग की शुरुआत, सी) वीडियो समीक्षा की स्थापना, डी) नए खिलाड़ी भूमिकाओं की शुरुआत</v>
      </c>
      <c r="I354" s="5" t="str">
        <f>IFERROR(__xludf.DUMMYFUNCTION("GOOGLETRANSLATE(D354, ""en"", ""hi"")"),"A) अंतर्राष्ट्रीय टीमों का विस्तार")</f>
        <v>A) अंतर्राष्ट्रीय टीमों का विस्तार</v>
      </c>
    </row>
    <row r="355" ht="22.5" customHeight="1">
      <c r="A355" s="7">
        <v>354.0</v>
      </c>
      <c r="B355" s="4" t="s">
        <v>2111</v>
      </c>
      <c r="C355" s="4" t="s">
        <v>1966</v>
      </c>
      <c r="D355" s="4" t="s">
        <v>2101</v>
      </c>
      <c r="F355" s="5" t="str">
        <f>IFERROR(__xludf.DUMMYFUNCTION("GOOGLETRANSLATE(A355, ""en"", ""hi"")"),"354")</f>
        <v>354</v>
      </c>
      <c r="G355" s="5" t="str">
        <f>IFERROR(__xludf.DUMMYFUNCTION("GOOGLETRANSLATE(B355, ""en"", ""hi"")"),"1994 में आयोजित खो-खो विश्व कप में अग्रणी स्कोरर कौन था?")</f>
        <v>1994 में आयोजित खो-खो विश्व कप में अग्रणी स्कोरर कौन था?</v>
      </c>
      <c r="H355" s="5" t="str">
        <f>IFERROR(__xludf.DUMMYFUNCTION("GOOGLETRANSLATE(C355, ""en"", ""hi"")"),"A) एच.पी. सिंह, B) आर.एस. कुमार, C) एम.के. शर्मा, D) एस.पी. सिंह")</f>
        <v>A) एच.पी. सिंह, B) आर.एस. कुमार, C) एम.के. शर्मा, D) एस.पी. सिंह</v>
      </c>
      <c r="I355" s="5" t="str">
        <f>IFERROR(__xludf.DUMMYFUNCTION("GOOGLETRANSLATE(D355, ""en"", ""hi"")"),"C) एम.के. शर्मा")</f>
        <v>C) एम.के. शर्मा</v>
      </c>
    </row>
    <row r="356" ht="22.5" customHeight="1">
      <c r="A356" s="7">
        <v>355.0</v>
      </c>
      <c r="B356" s="4" t="s">
        <v>2319</v>
      </c>
      <c r="C356" s="4" t="s">
        <v>2320</v>
      </c>
      <c r="D356" s="4" t="s">
        <v>2092</v>
      </c>
      <c r="F356" s="5" t="str">
        <f>IFERROR(__xludf.DUMMYFUNCTION("GOOGLETRANSLATE(A356, ""en"", ""hi"")"),"355")</f>
        <v>355</v>
      </c>
      <c r="G356" s="5" t="str">
        <f>IFERROR(__xludf.DUMMYFUNCTION("GOOGLETRANSLATE(B356, ""en"", ""hi"")"),"कौन सा भारतीय शहर 1999 में खो-खो राष्ट्रीय चैम्पियनशिप की मेजबानी के लिए जाना जाता था?")</f>
        <v>कौन सा भारतीय शहर 1999 में खो-खो राष्ट्रीय चैम्पियनशिप की मेजबानी के लिए जाना जाता था?</v>
      </c>
      <c r="H356" s="5" t="str">
        <f>IFERROR(__xludf.DUMMYFUNCTION("GOOGLETRANSLATE(C356, ""en"", ""hi"")"),"A) मुंबई, B) दिल्ली, C) बैंगलोर, D) पुणे")</f>
        <v>A) मुंबई, B) दिल्ली, C) बैंगलोर, D) पुणे</v>
      </c>
      <c r="I356" s="5" t="str">
        <f>IFERROR(__xludf.DUMMYFUNCTION("GOOGLETRANSLATE(D356, ""en"", ""hi"")"),"D) पुणे")</f>
        <v>D) पुणे</v>
      </c>
    </row>
    <row r="357" ht="22.5" customHeight="1">
      <c r="A357" s="7">
        <v>356.0</v>
      </c>
      <c r="B357" s="4" t="s">
        <v>2321</v>
      </c>
      <c r="C357" s="4" t="s">
        <v>1988</v>
      </c>
      <c r="D357" s="4" t="s">
        <v>1953</v>
      </c>
      <c r="F357" s="5" t="str">
        <f>IFERROR(__xludf.DUMMYFUNCTION("GOOGLETRANSLATE(A357, ""en"", ""hi"")"),"356")</f>
        <v>356</v>
      </c>
      <c r="G357" s="5" t="str">
        <f>IFERROR(__xludf.DUMMYFUNCTION("GOOGLETRANSLATE(B357, ""en"", ""hi"")"),"2008 में आयोजित खो-खो विश्व कप का मुख्य आयोजक कौन था?")</f>
        <v>2008 में आयोजित खो-खो विश्व कप का मुख्य आयोजक कौन था?</v>
      </c>
      <c r="H357" s="5" t="str">
        <f>IFERROR(__xludf.DUMMYFUNCTION("GOOGLETRANSLATE(C357, ""en"", ""hi"")"),"A) वी.के. जोशी, B) एच.पी. सिंह, C) एम.के. शर्मा, D) आर.एस. कुमार")</f>
        <v>A) वी.के. जोशी, B) एच.पी. सिंह, C) एम.के. शर्मा, D) आर.एस. कुमार</v>
      </c>
      <c r="I357" s="5" t="str">
        <f>IFERROR(__xludf.DUMMYFUNCTION("GOOGLETRANSLATE(D357, ""en"", ""hi"")"),"बी) एच.पी. सिंह")</f>
        <v>बी) एच.पी. सिंह</v>
      </c>
    </row>
    <row r="358" ht="22.5" customHeight="1">
      <c r="A358" s="7">
        <v>357.0</v>
      </c>
      <c r="B358" s="4" t="s">
        <v>2322</v>
      </c>
      <c r="C358" s="4" t="s">
        <v>1966</v>
      </c>
      <c r="D358" s="4" t="s">
        <v>1980</v>
      </c>
      <c r="F358" s="5" t="str">
        <f>IFERROR(__xludf.DUMMYFUNCTION("GOOGLETRANSLATE(A358, ""en"", ""hi"")"),"357")</f>
        <v>357</v>
      </c>
      <c r="G358" s="5" t="str">
        <f>IFERROR(__xludf.DUMMYFUNCTION("GOOGLETRANSLATE(B358, ""en"", ""hi"")"),"2002 में खो-खो विश्व कप में किस भारतीय खिलाड़ी को उनके असाधारण कौशल के लिए सम्मानित किया गया था?")</f>
        <v>2002 में खो-खो विश्व कप में किस भारतीय खिलाड़ी को उनके असाधारण कौशल के लिए सम्मानित किया गया था?</v>
      </c>
      <c r="H358" s="5" t="str">
        <f>IFERROR(__xludf.DUMMYFUNCTION("GOOGLETRANSLATE(C358, ""en"", ""hi"")"),"A) एच.पी. सिंह, B) आर.एस. कुमार, C) एम.के. शर्मा, D) एस.पी. सिंह")</f>
        <v>A) एच.पी. सिंह, B) आर.एस. कुमार, C) एम.के. शर्मा, D) एस.पी. सिंह</v>
      </c>
      <c r="I358" s="5" t="str">
        <f>IFERROR(__xludf.DUMMYFUNCTION("GOOGLETRANSLATE(D358, ""en"", ""hi"")"),"बी) आर.एस. कुमार")</f>
        <v>बी) आर.एस. कुमार</v>
      </c>
    </row>
    <row r="359" ht="22.5" customHeight="1">
      <c r="A359" s="7">
        <v>358.0</v>
      </c>
      <c r="B359" s="4" t="s">
        <v>2323</v>
      </c>
      <c r="C359" s="4" t="s">
        <v>2324</v>
      </c>
      <c r="D359" s="4" t="s">
        <v>2325</v>
      </c>
      <c r="F359" s="5" t="str">
        <f>IFERROR(__xludf.DUMMYFUNCTION("GOOGLETRANSLATE(A359, ""en"", ""hi"")"),"358")</f>
        <v>358</v>
      </c>
      <c r="G359" s="5" t="str">
        <f>IFERROR(__xludf.DUMMYFUNCTION("GOOGLETRANSLATE(B359, ""en"", ""hi"")"),"2010 के दशक के प्रारंभ में खो-खो में क्या महत्वपूर्ण विकास हुआ?")</f>
        <v>2010 के दशक के प्रारंभ में खो-खो में क्या महत्वपूर्ण विकास हुआ?</v>
      </c>
      <c r="H359" s="5" t="str">
        <f>IFERROR(__xludf.DUMMYFUNCTION("GOOGLETRANSLATE(C359, ""en"", ""hi"")"),"ए) इलेक्ट्रॉनिक स्कोरबोर्ड की शुरूआत, बी) खो-खो अकादमियों की स्थापना, सी) अंतर्राष्ट्रीय टूर्नामेंटों का विस्तार, डी) वीडियो समीक्षा की शुरूआत")</f>
        <v>ए) इलेक्ट्रॉनिक स्कोरबोर्ड की शुरूआत, बी) खो-खो अकादमियों की स्थापना, सी) अंतर्राष्ट्रीय टूर्नामेंटों का विस्तार, डी) वीडियो समीक्षा की शुरूआत</v>
      </c>
      <c r="I359" s="5" t="str">
        <f>IFERROR(__xludf.DUMMYFUNCTION("GOOGLETRANSLATE(D359, ""en"", ""hi"")"),"C) अंतर्राष्ट्रीय टूर्नामेंटों का विस्तार")</f>
        <v>C) अंतर्राष्ट्रीय टूर्नामेंटों का विस्तार</v>
      </c>
    </row>
    <row r="360" ht="22.5" customHeight="1">
      <c r="A360" s="7">
        <v>359.0</v>
      </c>
      <c r="B360" s="4" t="s">
        <v>2326</v>
      </c>
      <c r="C360" s="4" t="s">
        <v>2058</v>
      </c>
      <c r="D360" s="4" t="s">
        <v>2292</v>
      </c>
      <c r="F360" s="5" t="str">
        <f>IFERROR(__xludf.DUMMYFUNCTION("GOOGLETRANSLATE(A360, ""en"", ""hi"")"),"359")</f>
        <v>359</v>
      </c>
      <c r="G360" s="5" t="str">
        <f>IFERROR(__xludf.DUMMYFUNCTION("GOOGLETRANSLATE(B360, ""en"", ""hi"")"),"1988 में आयोजित खो-खो विश्व कप में शीर्ष स्कोरर कौन था?")</f>
        <v>1988 में आयोजित खो-खो विश्व कप में शीर्ष स्कोरर कौन था?</v>
      </c>
      <c r="H360" s="5" t="str">
        <f>IFERROR(__xludf.DUMMYFUNCTION("GOOGLETRANSLATE(C360, ""en"", ""hi"")"),"A) एम.के. शर्मा, B) एच.पी. सिंह, C) आर.एस. कुमार, D) एस.पी. सिंह")</f>
        <v>A) एम.के. शर्मा, B) एच.पी. सिंह, C) आर.एस. कुमार, D) एस.पी. सिंह</v>
      </c>
      <c r="I360" s="5" t="str">
        <f>IFERROR(__xludf.DUMMYFUNCTION("GOOGLETRANSLATE(D360, ""en"", ""hi"")"),"A) एम.के. शर्मा")</f>
        <v>A) एम.के. शर्मा</v>
      </c>
    </row>
    <row r="361" ht="22.5" customHeight="1">
      <c r="A361" s="7">
        <v>360.0</v>
      </c>
      <c r="B361" s="4" t="s">
        <v>2327</v>
      </c>
      <c r="C361" s="4" t="s">
        <v>2031</v>
      </c>
      <c r="D361" s="4" t="s">
        <v>2092</v>
      </c>
      <c r="F361" s="5" t="str">
        <f>IFERROR(__xludf.DUMMYFUNCTION("GOOGLETRANSLATE(A361, ""en"", ""hi"")"),"360")</f>
        <v>360</v>
      </c>
      <c r="G361" s="5" t="str">
        <f>IFERROR(__xludf.DUMMYFUNCTION("GOOGLETRANSLATE(B361, ""en"", ""hi"")"),"2010 में खो-खो विश्व कप की मेजबानी किस भारतीय शहर ने की थी?")</f>
        <v>2010 में खो-खो विश्व कप की मेजबानी किस भारतीय शहर ने की थी?</v>
      </c>
      <c r="H361" s="5" t="str">
        <f>IFERROR(__xludf.DUMMYFUNCTION("GOOGLETRANSLATE(C361, ""en"", ""hi"")"),"A) दिल्ली, B) मुंबई, C) बैंगलोर, D) पुणे")</f>
        <v>A) दिल्ली, B) मुंबई, C) बैंगलोर, D) पुणे</v>
      </c>
      <c r="I361" s="5" t="str">
        <f>IFERROR(__xludf.DUMMYFUNCTION("GOOGLETRANSLATE(D361, ""en"", ""hi"")"),"D) पुणे")</f>
        <v>D) पुणे</v>
      </c>
    </row>
    <row r="362" ht="22.5" customHeight="1">
      <c r="A362" s="7">
        <v>361.0</v>
      </c>
      <c r="B362" s="4" t="s">
        <v>2227</v>
      </c>
      <c r="C362" s="4" t="s">
        <v>1988</v>
      </c>
      <c r="D362" s="4" t="s">
        <v>2328</v>
      </c>
      <c r="F362" s="5" t="str">
        <f>IFERROR(__xludf.DUMMYFUNCTION("GOOGLETRANSLATE(A362, ""en"", ""hi"")"),"361")</f>
        <v>361</v>
      </c>
      <c r="G362" s="5" t="str">
        <f>IFERROR(__xludf.DUMMYFUNCTION("GOOGLETRANSLATE(B362, ""en"", ""hi"")"),"2015 में आयोजित खो-खो विश्व कप के मुख्य रेफरी कौन थे?")</f>
        <v>2015 में आयोजित खो-खो विश्व कप के मुख्य रेफरी कौन थे?</v>
      </c>
      <c r="H362" s="5" t="str">
        <f>IFERROR(__xludf.DUMMYFUNCTION("GOOGLETRANSLATE(C362, ""en"", ""hi"")"),"A) वी.के. जोशी, B) एच.पी. सिंह, C) एम.के. शर्मा, D) आर.एस. कुमार")</f>
        <v>A) वी.के. जोशी, B) एच.पी. सिंह, C) एम.के. शर्मा, D) आर.एस. कुमार</v>
      </c>
      <c r="I362" s="5" t="str">
        <f>IFERROR(__xludf.DUMMYFUNCTION("GOOGLETRANSLATE(D362, ""en"", ""hi"")"),"D) आर.एस. कुमार")</f>
        <v>D) आर.एस. कुमार</v>
      </c>
    </row>
    <row r="363" ht="22.5" customHeight="1">
      <c r="A363" s="7">
        <v>362.0</v>
      </c>
      <c r="B363" s="4" t="s">
        <v>2329</v>
      </c>
      <c r="C363" s="4" t="s">
        <v>2330</v>
      </c>
      <c r="D363" s="4" t="s">
        <v>2331</v>
      </c>
      <c r="F363" s="5" t="str">
        <f>IFERROR(__xludf.DUMMYFUNCTION("GOOGLETRANSLATE(A363, ""en"", ""hi"")"),"362")</f>
        <v>362</v>
      </c>
      <c r="G363" s="5" t="str">
        <f>IFERROR(__xludf.DUMMYFUNCTION("GOOGLETRANSLATE(B363, ""en"", ""hi"")"),"2000 के दशक के अंत में खो-खो के नियमों में क्या बड़ा बदलाव किया गया?")</f>
        <v>2000 के दशक के अंत में खो-खो के नियमों में क्या बड़ा बदलाव किया गया?</v>
      </c>
      <c r="H363" s="5" t="str">
        <f>IFERROR(__xludf.DUMMYFUNCTION("GOOGLETRANSLATE(C363, ""en"", ""hi"")"),"ए) खेल अवधि में संशोधन, बी) नए खिलाड़ी भूमिकाओं का परिचय, सी) क्षेत्र आयामों का मानकीकरण, डी) इलेक्ट्रॉनिक स्कोरिंग का परिचय")</f>
        <v>ए) खेल अवधि में संशोधन, बी) नए खिलाड़ी भूमिकाओं का परिचय, सी) क्षेत्र आयामों का मानकीकरण, डी) इलेक्ट्रॉनिक स्कोरिंग का परिचय</v>
      </c>
      <c r="I363" s="5" t="str">
        <f>IFERROR(__xludf.DUMMYFUNCTION("GOOGLETRANSLATE(D363, ""en"", ""hi"")"),"D) इलेक्ट्रॉनिक स्कोरिंग का परिचय")</f>
        <v>D) इलेक्ट्रॉनिक स्कोरिंग का परिचय</v>
      </c>
    </row>
    <row r="364" ht="22.5" customHeight="1">
      <c r="A364" s="7">
        <v>363.0</v>
      </c>
      <c r="B364" s="4" t="s">
        <v>2332</v>
      </c>
      <c r="C364" s="4" t="s">
        <v>1984</v>
      </c>
      <c r="D364" s="4" t="s">
        <v>2124</v>
      </c>
      <c r="F364" s="5" t="str">
        <f>IFERROR(__xludf.DUMMYFUNCTION("GOOGLETRANSLATE(A364, ""en"", ""hi"")"),"363")</f>
        <v>363</v>
      </c>
      <c r="G364" s="5" t="str">
        <f>IFERROR(__xludf.DUMMYFUNCTION("GOOGLETRANSLATE(B364, ""en"", ""hi"")"),"वर्ष 2000 में आयोजित खो-खो विश्व कप में अग्रणी स्कोरर कौन था?")</f>
        <v>वर्ष 2000 में आयोजित खो-खो विश्व कप में अग्रणी स्कोरर कौन था?</v>
      </c>
      <c r="H364" s="5" t="str">
        <f>IFERROR(__xludf.DUMMYFUNCTION("GOOGLETRANSLATE(C364, ""en"", ""hi"")"),"A) एच.पी. सिंह, B) एम.के. शर्मा, C) आर.एस. कुमार, D) एस.पी. सिंह")</f>
        <v>A) एच.पी. सिंह, B) एम.के. शर्मा, C) आर.एस. कुमार, D) एस.पी. सिंह</v>
      </c>
      <c r="I364" s="5" t="str">
        <f>IFERROR(__xludf.DUMMYFUNCTION("GOOGLETRANSLATE(D364, ""en"", ""hi"")"),"बी) एम.के. शर्मा")</f>
        <v>बी) एम.के. शर्मा</v>
      </c>
    </row>
    <row r="365" ht="22.5" customHeight="1">
      <c r="A365" s="7">
        <v>364.0</v>
      </c>
      <c r="B365" s="4" t="s">
        <v>2333</v>
      </c>
      <c r="C365" s="4" t="s">
        <v>2300</v>
      </c>
      <c r="D365" s="4" t="s">
        <v>2301</v>
      </c>
      <c r="F365" s="5" t="str">
        <f>IFERROR(__xludf.DUMMYFUNCTION("GOOGLETRANSLATE(A365, ""en"", ""hi"")"),"364")</f>
        <v>364</v>
      </c>
      <c r="G365" s="5" t="str">
        <f>IFERROR(__xludf.DUMMYFUNCTION("GOOGLETRANSLATE(B365, ""en"", ""hi"")"),"किस भारतीय राज्य ने 2000 के दशक के प्रारंभ में खो-खो स्कोरिंग के लिए नई तकनीक शुरू की?")</f>
        <v>किस भारतीय राज्य ने 2000 के दशक के प्रारंभ में खो-खो स्कोरिंग के लिए नई तकनीक शुरू की?</v>
      </c>
      <c r="H365" s="5" t="str">
        <f>IFERROR(__xludf.DUMMYFUNCTION("GOOGLETRANSLATE(C365, ""en"", ""hi"")"),"A) पंजाब, B) हरियाणा, C) महाराष्ट्र, D) दिल्ली")</f>
        <v>A) पंजाब, B) हरियाणा, C) महाराष्ट्र, D) दिल्ली</v>
      </c>
      <c r="I365" s="5" t="str">
        <f>IFERROR(__xludf.DUMMYFUNCTION("GOOGLETRANSLATE(D365, ""en"", ""hi"")"),"D) दिल्ली")</f>
        <v>D) दिल्ली</v>
      </c>
    </row>
    <row r="366" ht="22.5" customHeight="1">
      <c r="A366" s="7">
        <v>365.0</v>
      </c>
      <c r="B366" s="4" t="s">
        <v>2334</v>
      </c>
      <c r="C366" s="4" t="s">
        <v>2335</v>
      </c>
      <c r="D366" s="4" t="s">
        <v>2336</v>
      </c>
      <c r="F366" s="5" t="str">
        <f>IFERROR(__xludf.DUMMYFUNCTION("GOOGLETRANSLATE(A366, ""en"", ""hi"")"),"365")</f>
        <v>365</v>
      </c>
      <c r="G366" s="5" t="str">
        <f>IFERROR(__xludf.DUMMYFUNCTION("GOOGLETRANSLATE(B366, ""en"", ""hi"")"),"2012 के खो-खो विश्व कप की उल्लेखनीय विशेषता क्या थी?")</f>
        <v>2012 के खो-खो विश्व कप की उल्लेखनीय विशेषता क्या थी?</v>
      </c>
      <c r="H366" s="5" t="str">
        <f>IFERROR(__xludf.DUMMYFUNCTION("GOOGLETRANSLATE(C366, ""en"", ""hi"")"),"ए) अधिक अंतर्राष्ट्रीय टीमों को शामिल करने के लिए विस्तार, बी) वीडियो समीक्षा की शुरूआत, सी) क्षेत्र आयामों का मानकीकरण, डी) टैगिंग नियमों में संशोधन")</f>
        <v>ए) अधिक अंतर्राष्ट्रीय टीमों को शामिल करने के लिए विस्तार, बी) वीडियो समीक्षा की शुरूआत, सी) क्षेत्र आयामों का मानकीकरण, डी) टैगिंग नियमों में संशोधन</v>
      </c>
      <c r="I366" s="5" t="str">
        <f>IFERROR(__xludf.DUMMYFUNCTION("GOOGLETRANSLATE(D366, ""en"", ""hi"")"),"A) अधिक अंतर्राष्ट्रीय टीमों को शामिल करने के लिए विस्तार")</f>
        <v>A) अधिक अंतर्राष्ट्रीय टीमों को शामिल करने के लिए विस्तार</v>
      </c>
    </row>
    <row r="367" ht="22.5" customHeight="1">
      <c r="A367" s="7">
        <v>366.0</v>
      </c>
      <c r="B367" s="4" t="s">
        <v>2160</v>
      </c>
      <c r="C367" s="4" t="s">
        <v>1966</v>
      </c>
      <c r="D367" s="4" t="s">
        <v>1980</v>
      </c>
      <c r="F367" s="5" t="str">
        <f>IFERROR(__xludf.DUMMYFUNCTION("GOOGLETRANSLATE(A367, ""en"", ""hi"")"),"366")</f>
        <v>366</v>
      </c>
      <c r="G367" s="5" t="str">
        <f>IFERROR(__xludf.DUMMYFUNCTION("GOOGLETRANSLATE(B367, ""en"", ""hi"")"),"2005 में आयोजित खो-खो विश्व कप में शीर्ष स्कोरर कौन था?")</f>
        <v>2005 में आयोजित खो-खो विश्व कप में शीर्ष स्कोरर कौन था?</v>
      </c>
      <c r="H367" s="5" t="str">
        <f>IFERROR(__xludf.DUMMYFUNCTION("GOOGLETRANSLATE(C367, ""en"", ""hi"")"),"A) एच.पी. सिंह, B) आर.एस. कुमार, C) एम.के. शर्मा, D) एस.पी. सिंह")</f>
        <v>A) एच.पी. सिंह, B) आर.एस. कुमार, C) एम.के. शर्मा, D) एस.पी. सिंह</v>
      </c>
      <c r="I367" s="5" t="str">
        <f>IFERROR(__xludf.DUMMYFUNCTION("GOOGLETRANSLATE(D367, ""en"", ""hi"")"),"बी) आर.एस. कुमार")</f>
        <v>बी) आर.एस. कुमार</v>
      </c>
    </row>
    <row r="368" ht="22.5" customHeight="1">
      <c r="A368" s="7">
        <v>367.0</v>
      </c>
      <c r="B368" s="4" t="s">
        <v>2337</v>
      </c>
      <c r="C368" s="4" t="s">
        <v>2310</v>
      </c>
      <c r="D368" s="4" t="s">
        <v>77</v>
      </c>
      <c r="F368" s="5" t="str">
        <f>IFERROR(__xludf.DUMMYFUNCTION("GOOGLETRANSLATE(A368, ""en"", ""hi"")"),"367")</f>
        <v>367</v>
      </c>
      <c r="G368" s="5" t="str">
        <f>IFERROR(__xludf.DUMMYFUNCTION("GOOGLETRANSLATE(B368, ""en"", ""hi"")"),"कौन सा भारतीय शहर 2001 में खो-खो राष्ट्रीय चैम्पियनशिप की मेजबानी के लिए जाना जाता था?")</f>
        <v>कौन सा भारतीय शहर 2001 में खो-खो राष्ट्रीय चैम्पियनशिप की मेजबानी के लिए जाना जाता था?</v>
      </c>
      <c r="H368" s="5" t="str">
        <f>IFERROR(__xludf.DUMMYFUNCTION("GOOGLETRANSLATE(C368, ""en"", ""hi"")"),"A) बैंगलोर, B) मुंबई, C) चेन्नई, D) दिल्ली")</f>
        <v>A) बैंगलोर, B) मुंबई, C) चेन्नई, D) दिल्ली</v>
      </c>
      <c r="I368" s="5" t="str">
        <f>IFERROR(__xludf.DUMMYFUNCTION("GOOGLETRANSLATE(D368, ""en"", ""hi"")"),"बी) मुंबई")</f>
        <v>बी) मुंबई</v>
      </c>
    </row>
    <row r="369" ht="22.5" customHeight="1">
      <c r="A369" s="7">
        <v>368.0</v>
      </c>
      <c r="B369" s="4" t="s">
        <v>2338</v>
      </c>
      <c r="C369" s="4" t="s">
        <v>1988</v>
      </c>
      <c r="D369" s="4" t="s">
        <v>1974</v>
      </c>
      <c r="F369" s="5" t="str">
        <f>IFERROR(__xludf.DUMMYFUNCTION("GOOGLETRANSLATE(A369, ""en"", ""hi"")"),"368")</f>
        <v>368</v>
      </c>
      <c r="G369" s="5" t="str">
        <f>IFERROR(__xludf.DUMMYFUNCTION("GOOGLETRANSLATE(B369, ""en"", ""hi"")"),"1996 में आयोजित खो-खो विश्व कप का मुख्य आयोजक कौन था?")</f>
        <v>1996 में आयोजित खो-खो विश्व कप का मुख्य आयोजक कौन था?</v>
      </c>
      <c r="H369" s="5" t="str">
        <f>IFERROR(__xludf.DUMMYFUNCTION("GOOGLETRANSLATE(C369, ""en"", ""hi"")"),"A) वी.के. जोशी, B) एच.पी. सिंह, C) एम.के. शर्मा, D) आर.एस. कुमार")</f>
        <v>A) वी.के. जोशी, B) एच.पी. सिंह, C) एम.के. शर्मा, D) आर.एस. कुमार</v>
      </c>
      <c r="I369" s="5" t="str">
        <f>IFERROR(__xludf.DUMMYFUNCTION("GOOGLETRANSLATE(D369, ""en"", ""hi"")"),"A) वी.के. जोशी")</f>
        <v>A) वी.के. जोशी</v>
      </c>
    </row>
    <row r="370" ht="22.5" customHeight="1">
      <c r="A370" s="7">
        <v>369.0</v>
      </c>
      <c r="B370" s="4" t="s">
        <v>2339</v>
      </c>
      <c r="C370" s="4" t="s">
        <v>1966</v>
      </c>
      <c r="D370" s="4" t="s">
        <v>2059</v>
      </c>
      <c r="F370" s="5" t="str">
        <f>IFERROR(__xludf.DUMMYFUNCTION("GOOGLETRANSLATE(A370, ""en"", ""hi"")"),"369")</f>
        <v>369</v>
      </c>
      <c r="G370" s="5" t="str">
        <f>IFERROR(__xludf.DUMMYFUNCTION("GOOGLETRANSLATE(B370, ""en"", ""hi"")"),"कौन सा भारतीय खिलाड़ी 2008 के खो-खो विश्व कप में अपने असाधारण टैगिंग कौशल के लिए जाना जाता था?")</f>
        <v>कौन सा भारतीय खिलाड़ी 2008 के खो-खो विश्व कप में अपने असाधारण टैगिंग कौशल के लिए जाना जाता था?</v>
      </c>
      <c r="H370" s="5" t="str">
        <f>IFERROR(__xludf.DUMMYFUNCTION("GOOGLETRANSLATE(C370, ""en"", ""hi"")"),"A) एच.पी. सिंह, B) आर.एस. कुमार, C) एम.के. शर्मा, D) एस.पी. सिंह")</f>
        <v>A) एच.पी. सिंह, B) आर.एस. कुमार, C) एम.के. शर्मा, D) एस.पी. सिंह</v>
      </c>
      <c r="I370" s="5" t="str">
        <f>IFERROR(__xludf.DUMMYFUNCTION("GOOGLETRANSLATE(D370, ""en"", ""hi"")"),"D) एस.पी. सिंह")</f>
        <v>D) एस.पी. सिंह</v>
      </c>
    </row>
    <row r="371" ht="22.5" customHeight="1">
      <c r="A371" s="7">
        <v>370.0</v>
      </c>
      <c r="B371" s="4" t="s">
        <v>2340</v>
      </c>
      <c r="C371" s="4" t="s">
        <v>2341</v>
      </c>
      <c r="D371" s="4" t="s">
        <v>2325</v>
      </c>
      <c r="F371" s="5" t="str">
        <f>IFERROR(__xludf.DUMMYFUNCTION("GOOGLETRANSLATE(A371, ""en"", ""hi"")"),"370")</f>
        <v>370</v>
      </c>
      <c r="G371" s="5" t="str">
        <f>IFERROR(__xludf.DUMMYFUNCTION("GOOGLETRANSLATE(B371, ""en"", ""hi"")"),"2010 के दशक में खो-खो के नियमों में क्या महत्वपूर्ण परिवर्तन हुआ?")</f>
        <v>2010 के दशक में खो-खो के नियमों में क्या महत्वपूर्ण परिवर्तन हुआ?</v>
      </c>
      <c r="H371" s="5" t="str">
        <f>IFERROR(__xludf.DUMMYFUNCTION("GOOGLETRANSLATE(C371, ""en"", ""hi"")"),"A) नई तकनीक का परिचय, B) खेल की अवधि में संशोधन, C) अंतर्राष्ट्रीय टूर्नामेंटों का विस्तार, D) मैदान के आयामों का मानकीकरण")</f>
        <v>A) नई तकनीक का परिचय, B) खेल की अवधि में संशोधन, C) अंतर्राष्ट्रीय टूर्नामेंटों का विस्तार, D) मैदान के आयामों का मानकीकरण</v>
      </c>
      <c r="I371" s="5" t="str">
        <f>IFERROR(__xludf.DUMMYFUNCTION("GOOGLETRANSLATE(D371, ""en"", ""hi"")"),"C) अंतर्राष्ट्रीय टूर्नामेंटों का विस्तार")</f>
        <v>C) अंतर्राष्ट्रीय टूर्नामेंटों का विस्तार</v>
      </c>
    </row>
    <row r="372" ht="22.5" customHeight="1">
      <c r="A372" s="7">
        <v>371.0</v>
      </c>
      <c r="B372" s="4" t="s">
        <v>2342</v>
      </c>
      <c r="C372" s="4" t="s">
        <v>2058</v>
      </c>
      <c r="D372" s="4" t="s">
        <v>2059</v>
      </c>
      <c r="F372" s="5" t="str">
        <f>IFERROR(__xludf.DUMMYFUNCTION("GOOGLETRANSLATE(A372, ""en"", ""hi"")"),"371")</f>
        <v>371</v>
      </c>
      <c r="G372" s="5" t="str">
        <f>IFERROR(__xludf.DUMMYFUNCTION("GOOGLETRANSLATE(B372, ""en"", ""hi"")"),"2008 में आयोजित खो-खो विश्व कप में अग्रणी स्कोरर कौन था?")</f>
        <v>2008 में आयोजित खो-खो विश्व कप में अग्रणी स्कोरर कौन था?</v>
      </c>
      <c r="H372" s="5" t="str">
        <f>IFERROR(__xludf.DUMMYFUNCTION("GOOGLETRANSLATE(C372, ""en"", ""hi"")"),"A) एम.के. शर्मा, B) एच.पी. सिंह, C) आर.एस. कुमार, D) एस.पी. सिंह")</f>
        <v>A) एम.के. शर्मा, B) एच.पी. सिंह, C) आर.एस. कुमार, D) एस.पी. सिंह</v>
      </c>
      <c r="I372" s="5" t="str">
        <f>IFERROR(__xludf.DUMMYFUNCTION("GOOGLETRANSLATE(D372, ""en"", ""hi"")"),"D) एस.पी. सिंह")</f>
        <v>D) एस.पी. सिंह</v>
      </c>
    </row>
    <row r="373" ht="22.5" customHeight="1">
      <c r="A373" s="7">
        <v>372.0</v>
      </c>
      <c r="B373" s="4" t="s">
        <v>2343</v>
      </c>
      <c r="C373" s="4" t="s">
        <v>2344</v>
      </c>
      <c r="D373" s="4" t="s">
        <v>2092</v>
      </c>
      <c r="F373" s="5" t="str">
        <f>IFERROR(__xludf.DUMMYFUNCTION("GOOGLETRANSLATE(A373, ""en"", ""hi"")"),"372")</f>
        <v>372</v>
      </c>
      <c r="G373" s="5" t="str">
        <f>IFERROR(__xludf.DUMMYFUNCTION("GOOGLETRANSLATE(B373, ""en"", ""hi"")"),"1984 में खो-खो विश्व कप की मेजबानी किस भारतीय शहर ने की थी?")</f>
        <v>1984 में खो-खो विश्व कप की मेजबानी किस भारतीय शहर ने की थी?</v>
      </c>
      <c r="H373" s="5" t="str">
        <f>IFERROR(__xludf.DUMMYFUNCTION("GOOGLETRANSLATE(C373, ""en"", ""hi"")"),"A) दिल्ली, B) मुंबई, C) चेन्नई, D) पुणे")</f>
        <v>A) दिल्ली, B) मुंबई, C) चेन्नई, D) पुणे</v>
      </c>
      <c r="I373" s="5" t="str">
        <f>IFERROR(__xludf.DUMMYFUNCTION("GOOGLETRANSLATE(D373, ""en"", ""hi"")"),"D) पुणे")</f>
        <v>D) पुणे</v>
      </c>
    </row>
    <row r="374" ht="22.5" customHeight="1">
      <c r="A374" s="7">
        <v>373.0</v>
      </c>
      <c r="B374" s="4" t="s">
        <v>2345</v>
      </c>
      <c r="C374" s="4" t="s">
        <v>1988</v>
      </c>
      <c r="D374" s="4" t="s">
        <v>1974</v>
      </c>
      <c r="F374" s="5" t="str">
        <f>IFERROR(__xludf.DUMMYFUNCTION("GOOGLETRANSLATE(A374, ""en"", ""hi"")"),"373")</f>
        <v>373</v>
      </c>
      <c r="G374" s="5" t="str">
        <f>IFERROR(__xludf.DUMMYFUNCTION("GOOGLETRANSLATE(B374, ""en"", ""hi"")"),"1994 में आयोजित खो-खो विश्व कप के मुख्य रेफरी कौन थे?")</f>
        <v>1994 में आयोजित खो-खो विश्व कप के मुख्य रेफरी कौन थे?</v>
      </c>
      <c r="H374" s="5" t="str">
        <f>IFERROR(__xludf.DUMMYFUNCTION("GOOGLETRANSLATE(C374, ""en"", ""hi"")"),"A) वी.के. जोशी, B) एच.पी. सिंह, C) एम.के. शर्मा, D) आर.एस. कुमार")</f>
        <v>A) वी.के. जोशी, B) एच.पी. सिंह, C) एम.के. शर्मा, D) आर.एस. कुमार</v>
      </c>
      <c r="I374" s="5" t="str">
        <f>IFERROR(__xludf.DUMMYFUNCTION("GOOGLETRANSLATE(D374, ""en"", ""hi"")"),"A) वी.के. जोशी")</f>
        <v>A) वी.के. जोशी</v>
      </c>
    </row>
    <row r="375" ht="22.5" customHeight="1">
      <c r="A375" s="7">
        <v>374.0</v>
      </c>
      <c r="B375" s="4" t="s">
        <v>2346</v>
      </c>
      <c r="C375" s="4" t="s">
        <v>2347</v>
      </c>
      <c r="D375" s="4" t="s">
        <v>2348</v>
      </c>
      <c r="F375" s="5" t="str">
        <f>IFERROR(__xludf.DUMMYFUNCTION("GOOGLETRANSLATE(A375, ""en"", ""hi"")"),"374")</f>
        <v>374</v>
      </c>
      <c r="G375" s="5" t="str">
        <f>IFERROR(__xludf.DUMMYFUNCTION("GOOGLETRANSLATE(B375, ""en"", ""hi"")"),"2000 के दशक के अंत में खो-खो में क्या महत्वपूर्ण विकास हुआ?")</f>
        <v>2000 के दशक के अंत में खो-खो में क्या महत्वपूर्ण विकास हुआ?</v>
      </c>
      <c r="H375" s="5" t="str">
        <f>IFERROR(__xludf.DUMMYFUNCTION("GOOGLETRANSLATE(C375, ""en"", ""hi"")"),"A) वीडियो समीक्षा की शुरूआत, B) खो-खो अकादमियों की स्थापना, C) इलेक्ट्रॉनिक स्कोरबोर्ड की शुरूआत, D) अंतर्राष्ट्रीय टूर्नामेंटों का विस्तार")</f>
        <v>A) वीडियो समीक्षा की शुरूआत, B) खो-खो अकादमियों की स्थापना, C) इलेक्ट्रॉनिक स्कोरबोर्ड की शुरूआत, D) अंतर्राष्ट्रीय टूर्नामेंटों का विस्तार</v>
      </c>
      <c r="I375" s="5" t="str">
        <f>IFERROR(__xludf.DUMMYFUNCTION("GOOGLETRANSLATE(D375, ""en"", ""hi"")"),"C) इलेक्ट्रॉनिक स्कोरबोर्ड का परिचय")</f>
        <v>C) इलेक्ट्रॉनिक स्कोरबोर्ड का परिचय</v>
      </c>
    </row>
    <row r="376" ht="22.5" customHeight="1">
      <c r="A376" s="7">
        <v>375.0</v>
      </c>
      <c r="B376" s="4" t="s">
        <v>2349</v>
      </c>
      <c r="C376" s="4" t="s">
        <v>1966</v>
      </c>
      <c r="D376" s="4" t="s">
        <v>2101</v>
      </c>
      <c r="F376" s="5" t="str">
        <f>IFERROR(__xludf.DUMMYFUNCTION("GOOGLETRANSLATE(A376, ""en"", ""hi"")"),"375")</f>
        <v>375</v>
      </c>
      <c r="G376" s="5" t="str">
        <f>IFERROR(__xludf.DUMMYFUNCTION("GOOGLETRANSLATE(B376, ""en"", ""hi"")"),"2012 में आयोजित खो-खो विश्व कप में शीर्ष स्कोरर कौन था?")</f>
        <v>2012 में आयोजित खो-खो विश्व कप में शीर्ष स्कोरर कौन था?</v>
      </c>
      <c r="H376" s="5" t="str">
        <f>IFERROR(__xludf.DUMMYFUNCTION("GOOGLETRANSLATE(C376, ""en"", ""hi"")"),"A) एच.पी. सिंह, B) आर.एस. कुमार, C) एम.के. शर्मा, D) एस.पी. सिंह")</f>
        <v>A) एच.पी. सिंह, B) आर.एस. कुमार, C) एम.के. शर्मा, D) एस.पी. सिंह</v>
      </c>
      <c r="I376" s="5" t="str">
        <f>IFERROR(__xludf.DUMMYFUNCTION("GOOGLETRANSLATE(D376, ""en"", ""hi"")"),"C) एम.के. शर्मा")</f>
        <v>C) एम.के. शर्मा</v>
      </c>
    </row>
    <row r="377" ht="22.5" customHeight="1">
      <c r="A377" s="7">
        <v>376.0</v>
      </c>
      <c r="B377" s="4" t="s">
        <v>2350</v>
      </c>
      <c r="C377" s="4" t="s">
        <v>2300</v>
      </c>
      <c r="D377" s="4" t="s">
        <v>66</v>
      </c>
      <c r="F377" s="5" t="str">
        <f>IFERROR(__xludf.DUMMYFUNCTION("GOOGLETRANSLATE(A377, ""en"", ""hi"")"),"376")</f>
        <v>376</v>
      </c>
      <c r="G377" s="5" t="str">
        <f>IFERROR(__xludf.DUMMYFUNCTION("GOOGLETRANSLATE(B377, ""en"", ""hi"")"),"किस भारतीय राज्य ने 2000 के दशक के प्रारंभ में खो-खो में 'तेज खेल' नियम लागू किया था?")</f>
        <v>किस भारतीय राज्य ने 2000 के दशक के प्रारंभ में खो-खो में 'तेज खेल' नियम लागू किया था?</v>
      </c>
      <c r="H377" s="5" t="str">
        <f>IFERROR(__xludf.DUMMYFUNCTION("GOOGLETRANSLATE(C377, ""en"", ""hi"")"),"A) पंजाब, B) हरियाणा, C) महाराष्ट्र, D) दिल्ली")</f>
        <v>A) पंजाब, B) हरियाणा, C) महाराष्ट्र, D) दिल्ली</v>
      </c>
      <c r="I377" s="5" t="str">
        <f>IFERROR(__xludf.DUMMYFUNCTION("GOOGLETRANSLATE(D377, ""en"", ""hi"")"),"A) पंजाब")</f>
        <v>A) पंजाब</v>
      </c>
    </row>
    <row r="378" ht="22.5" customHeight="1">
      <c r="A378" s="7">
        <v>377.0</v>
      </c>
      <c r="B378" s="4" t="s">
        <v>1979</v>
      </c>
      <c r="C378" s="4" t="s">
        <v>1966</v>
      </c>
      <c r="D378" s="4" t="s">
        <v>1980</v>
      </c>
      <c r="F378" s="5" t="str">
        <f>IFERROR(__xludf.DUMMYFUNCTION("GOOGLETRANSLATE(A378, ""en"", ""hi"")"),"377")</f>
        <v>377</v>
      </c>
      <c r="G378" s="5" t="str">
        <f>IFERROR(__xludf.DUMMYFUNCTION("GOOGLETRANSLATE(B378, ""en"", ""hi"")"),"1998 में आयोजित खो-खो विश्व कप में अग्रणी स्कोरर कौन था?")</f>
        <v>1998 में आयोजित खो-खो विश्व कप में अग्रणी स्कोरर कौन था?</v>
      </c>
      <c r="H378" s="5" t="str">
        <f>IFERROR(__xludf.DUMMYFUNCTION("GOOGLETRANSLATE(C378, ""en"", ""hi"")"),"A) एच.पी. सिंह, B) आर.एस. कुमार, C) एम.के. शर्मा, D) एस.पी. सिंह")</f>
        <v>A) एच.पी. सिंह, B) आर.एस. कुमार, C) एम.के. शर्मा, D) एस.पी. सिंह</v>
      </c>
      <c r="I378" s="5" t="str">
        <f>IFERROR(__xludf.DUMMYFUNCTION("GOOGLETRANSLATE(D378, ""en"", ""hi"")"),"बी) आर.एस. कुमार")</f>
        <v>बी) आर.एस. कुमार</v>
      </c>
    </row>
    <row r="379" ht="22.5" customHeight="1">
      <c r="A379" s="7">
        <v>378.0</v>
      </c>
      <c r="B379" s="4" t="s">
        <v>2351</v>
      </c>
      <c r="C379" s="4" t="s">
        <v>2352</v>
      </c>
      <c r="D379" s="4" t="s">
        <v>766</v>
      </c>
      <c r="F379" s="5" t="str">
        <f>IFERROR(__xludf.DUMMYFUNCTION("GOOGLETRANSLATE(A379, ""en"", ""hi"")"),"378")</f>
        <v>378</v>
      </c>
      <c r="G379" s="5" t="str">
        <f>IFERROR(__xludf.DUMMYFUNCTION("GOOGLETRANSLATE(B379, ""en"", ""hi"")"),"कौन सा भारतीय शहर 1997 में खो-खो राष्ट्रीय चैम्पियनशिप की मेजबानी के लिए जाना जाता था?")</f>
        <v>कौन सा भारतीय शहर 1997 में खो-खो राष्ट्रीय चैम्पियनशिप की मेजबानी के लिए जाना जाता था?</v>
      </c>
      <c r="H379" s="5" t="str">
        <f>IFERROR(__xludf.DUMMYFUNCTION("GOOGLETRANSLATE(C379, ""en"", ""hi"")"),"A) मुंबई, B) बैंगलोर, C) दिल्ली, D) चेन्नई")</f>
        <v>A) मुंबई, B) बैंगलोर, C) दिल्ली, D) चेन्नई</v>
      </c>
      <c r="I379" s="5" t="str">
        <f>IFERROR(__xludf.DUMMYFUNCTION("GOOGLETRANSLATE(D379, ""en"", ""hi"")"),"C) दिल्ली")</f>
        <v>C) दिल्ली</v>
      </c>
    </row>
    <row r="380" ht="22.5" customHeight="1">
      <c r="A380" s="7">
        <v>379.0</v>
      </c>
      <c r="B380" s="4" t="s">
        <v>2353</v>
      </c>
      <c r="C380" s="4" t="s">
        <v>1988</v>
      </c>
      <c r="D380" s="4" t="s">
        <v>1953</v>
      </c>
      <c r="F380" s="5" t="str">
        <f>IFERROR(__xludf.DUMMYFUNCTION("GOOGLETRANSLATE(A380, ""en"", ""hi"")"),"379")</f>
        <v>379</v>
      </c>
      <c r="G380" s="5" t="str">
        <f>IFERROR(__xludf.DUMMYFUNCTION("GOOGLETRANSLATE(B380, ""en"", ""hi"")"),"1990 में आयोजित खो-खो विश्व कप का मुख्य आयोजक कौन था?")</f>
        <v>1990 में आयोजित खो-खो विश्व कप का मुख्य आयोजक कौन था?</v>
      </c>
      <c r="H380" s="5" t="str">
        <f>IFERROR(__xludf.DUMMYFUNCTION("GOOGLETRANSLATE(C380, ""en"", ""hi"")"),"A) वी.के. जोशी, B) एच.पी. सिंह, C) एम.के. शर्मा, D) आर.एस. कुमार")</f>
        <v>A) वी.के. जोशी, B) एच.पी. सिंह, C) एम.के. शर्मा, D) आर.एस. कुमार</v>
      </c>
      <c r="I380" s="5" t="str">
        <f>IFERROR(__xludf.DUMMYFUNCTION("GOOGLETRANSLATE(D380, ""en"", ""hi"")"),"बी) एच.पी. सिंह")</f>
        <v>बी) एच.पी. सिंह</v>
      </c>
    </row>
    <row r="381" ht="22.5" customHeight="1">
      <c r="A381" s="7">
        <v>380.0</v>
      </c>
      <c r="B381" s="4" t="s">
        <v>2354</v>
      </c>
      <c r="C381" s="4" t="s">
        <v>2355</v>
      </c>
      <c r="D381" s="4" t="s">
        <v>2356</v>
      </c>
      <c r="F381" s="5" t="str">
        <f>IFERROR(__xludf.DUMMYFUNCTION("GOOGLETRANSLATE(A381, ""en"", ""hi"")"),"380")</f>
        <v>380</v>
      </c>
      <c r="G381" s="5" t="str">
        <f>IFERROR(__xludf.DUMMYFUNCTION("GOOGLETRANSLATE(B381, ""en"", ""hi"")"),"2018 में आयोजित खो-खो विश्व कप की उल्लेखनीय विशेषता क्या थी?")</f>
        <v>2018 में आयोजित खो-खो विश्व कप की उल्लेखनीय विशेषता क्या थी?</v>
      </c>
      <c r="H381" s="5" t="str">
        <f>IFERROR(__xludf.DUMMYFUNCTION("GOOGLETRANSLATE(C381, ""en"", ""hi"")"),"ए) नई तकनीक का परिचय, बी) अधिक अंतरराष्ट्रीय टीमों को शामिल करने के लिए विस्तार, सी) टैगिंग नियमों में संशोधन, डी) वीडियो समीक्षा की शुरूआत")</f>
        <v>ए) नई तकनीक का परिचय, बी) अधिक अंतरराष्ट्रीय टीमों को शामिल करने के लिए विस्तार, सी) टैगिंग नियमों में संशोधन, डी) वीडियो समीक्षा की शुरूआत</v>
      </c>
      <c r="I381" s="5" t="str">
        <f>IFERROR(__xludf.DUMMYFUNCTION("GOOGLETRANSLATE(D381, ""en"", ""hi"")"),"बी) अधिक अंतर्राष्ट्रीय टीमों को शामिल करने के लिए विस्तार")</f>
        <v>बी) अधिक अंतर्राष्ट्रीय टीमों को शामिल करने के लिए विस्तार</v>
      </c>
    </row>
    <row r="382" ht="22.5" customHeight="1">
      <c r="A382" s="7">
        <v>381.0</v>
      </c>
      <c r="B382" s="4" t="s">
        <v>2120</v>
      </c>
      <c r="C382" s="4" t="s">
        <v>2058</v>
      </c>
      <c r="D382" s="4" t="s">
        <v>2199</v>
      </c>
      <c r="F382" s="5" t="str">
        <f>IFERROR(__xludf.DUMMYFUNCTION("GOOGLETRANSLATE(A382, ""en"", ""hi"")"),"381")</f>
        <v>381</v>
      </c>
      <c r="G382" s="5" t="str">
        <f>IFERROR(__xludf.DUMMYFUNCTION("GOOGLETRANSLATE(B382, ""en"", ""hi"")"),"2002 में आयोजित खो-खो विश्व कप में शीर्ष स्कोरर कौन था?")</f>
        <v>2002 में आयोजित खो-खो विश्व कप में शीर्ष स्कोरर कौन था?</v>
      </c>
      <c r="H382" s="5" t="str">
        <f>IFERROR(__xludf.DUMMYFUNCTION("GOOGLETRANSLATE(C382, ""en"", ""hi"")"),"A) एम.के. शर्मा, B) एच.पी. सिंह, C) आर.एस. कुमार, D) एस.पी. सिंह")</f>
        <v>A) एम.के. शर्मा, B) एच.पी. सिंह, C) आर.एस. कुमार, D) एस.पी. सिंह</v>
      </c>
      <c r="I382" s="5" t="str">
        <f>IFERROR(__xludf.DUMMYFUNCTION("GOOGLETRANSLATE(D382, ""en"", ""hi"")"),"C) आर.एस. कुमार")</f>
        <v>C) आर.एस. कुमार</v>
      </c>
    </row>
    <row r="383" ht="22.5" customHeight="1">
      <c r="A383" s="7">
        <v>382.0</v>
      </c>
      <c r="B383" s="4" t="s">
        <v>2357</v>
      </c>
      <c r="C383" s="4" t="s">
        <v>2358</v>
      </c>
      <c r="D383" s="4" t="s">
        <v>2092</v>
      </c>
      <c r="F383" s="5" t="str">
        <f>IFERROR(__xludf.DUMMYFUNCTION("GOOGLETRANSLATE(A383, ""en"", ""hi"")"),"382")</f>
        <v>382</v>
      </c>
      <c r="G383" s="5" t="str">
        <f>IFERROR(__xludf.DUMMYFUNCTION("GOOGLETRANSLATE(B383, ""en"", ""hi"")"),"2008 में किस भारतीय शहर ने खो-खो राष्ट्रीय चैम्पियनशिप की मेजबानी की?")</f>
        <v>2008 में किस भारतीय शहर ने खो-खो राष्ट्रीय चैम्पियनशिप की मेजबानी की?</v>
      </c>
      <c r="H383" s="5" t="str">
        <f>IFERROR(__xludf.DUMMYFUNCTION("GOOGLETRANSLATE(C383, ""en"", ""hi"")"),"A) बैंगलोर, B) मुंबई, C) चेन्नई, D) पुणे")</f>
        <v>A) बैंगलोर, B) मुंबई, C) चेन्नई, D) पुणे</v>
      </c>
      <c r="I383" s="5" t="str">
        <f>IFERROR(__xludf.DUMMYFUNCTION("GOOGLETRANSLATE(D383, ""en"", ""hi"")"),"D) पुणे")</f>
        <v>D) पुणे</v>
      </c>
    </row>
    <row r="384" ht="22.5" customHeight="1">
      <c r="A384" s="7">
        <v>383.0</v>
      </c>
      <c r="B384" s="4" t="s">
        <v>2359</v>
      </c>
      <c r="C384" s="4" t="s">
        <v>1988</v>
      </c>
      <c r="D384" s="4" t="s">
        <v>2101</v>
      </c>
      <c r="F384" s="5" t="str">
        <f>IFERROR(__xludf.DUMMYFUNCTION("GOOGLETRANSLATE(A384, ""en"", ""hi"")"),"383")</f>
        <v>383</v>
      </c>
      <c r="G384" s="5" t="str">
        <f>IFERROR(__xludf.DUMMYFUNCTION("GOOGLETRANSLATE(B384, ""en"", ""hi"")"),"2004 में आयोजित खो-खो विश्व कप के मुख्य रेफरी कौन थे?")</f>
        <v>2004 में आयोजित खो-खो विश्व कप के मुख्य रेफरी कौन थे?</v>
      </c>
      <c r="H384" s="5" t="str">
        <f>IFERROR(__xludf.DUMMYFUNCTION("GOOGLETRANSLATE(C384, ""en"", ""hi"")"),"A) वी.के. जोशी, B) एच.पी. सिंह, C) एम.के. शर्मा, D) आर.एस. कुमार")</f>
        <v>A) वी.के. जोशी, B) एच.पी. सिंह, C) एम.के. शर्मा, D) आर.एस. कुमार</v>
      </c>
      <c r="I384" s="5" t="str">
        <f>IFERROR(__xludf.DUMMYFUNCTION("GOOGLETRANSLATE(D384, ""en"", ""hi"")"),"C) एम.के. शर्मा")</f>
        <v>C) एम.के. शर्मा</v>
      </c>
    </row>
    <row r="385" ht="22.5" customHeight="1">
      <c r="A385" s="7">
        <v>384.0</v>
      </c>
      <c r="B385" s="4" t="s">
        <v>2360</v>
      </c>
      <c r="C385" s="4" t="s">
        <v>2361</v>
      </c>
      <c r="D385" s="4" t="s">
        <v>98</v>
      </c>
      <c r="F385" s="5" t="str">
        <f>IFERROR(__xludf.DUMMYFUNCTION("GOOGLETRANSLATE(A385, ""en"", ""hi"")"),"384")</f>
        <v>384</v>
      </c>
      <c r="G385" s="5" t="str">
        <f>IFERROR(__xludf.DUMMYFUNCTION("GOOGLETRANSLATE(B385, ""en"", ""hi"")"),"2013 में खो-खो विश्व कप का आयोजन किस भारतीय राज्य में हुआ था?")</f>
        <v>2013 में खो-खो विश्व कप का आयोजन किस भारतीय राज्य में हुआ था?</v>
      </c>
      <c r="H385" s="5" t="str">
        <f>IFERROR(__xludf.DUMMYFUNCTION("GOOGLETRANSLATE(C385, ""en"", ""hi"")"),"A) दिल्ली, B) महाराष्ट्र, C) पंजाब, D) हरियाणा")</f>
        <v>A) दिल्ली, B) महाराष्ट्र, C) पंजाब, D) हरियाणा</v>
      </c>
      <c r="I385" s="5" t="str">
        <f>IFERROR(__xludf.DUMMYFUNCTION("GOOGLETRANSLATE(D385, ""en"", ""hi"")"),"बी) महाराष्ट्र")</f>
        <v>बी) महाराष्ट्र</v>
      </c>
    </row>
    <row r="386" ht="22.5" customHeight="1">
      <c r="A386" s="7">
        <v>385.0</v>
      </c>
      <c r="B386" s="4" t="s">
        <v>2362</v>
      </c>
      <c r="C386" s="4" t="s">
        <v>1988</v>
      </c>
      <c r="D386" s="4" t="s">
        <v>2328</v>
      </c>
      <c r="F386" s="5" t="str">
        <f>IFERROR(__xludf.DUMMYFUNCTION("GOOGLETRANSLATE(A386, ""en"", ""hi"")"),"385")</f>
        <v>385</v>
      </c>
      <c r="G386" s="5" t="str">
        <f>IFERROR(__xludf.DUMMYFUNCTION("GOOGLETRANSLATE(B386, ""en"", ""hi"")"),"1992 में आयोजित खो-खो विश्व कप का मुख्य आयोजक कौन था?")</f>
        <v>1992 में आयोजित खो-खो विश्व कप का मुख्य आयोजक कौन था?</v>
      </c>
      <c r="H386" s="5" t="str">
        <f>IFERROR(__xludf.DUMMYFUNCTION("GOOGLETRANSLATE(C386, ""en"", ""hi"")"),"A) वी.के. जोशी, B) एच.पी. सिंह, C) एम.के. शर्मा, D) आर.एस. कुमार")</f>
        <v>A) वी.के. जोशी, B) एच.पी. सिंह, C) एम.के. शर्मा, D) आर.एस. कुमार</v>
      </c>
      <c r="I386" s="5" t="str">
        <f>IFERROR(__xludf.DUMMYFUNCTION("GOOGLETRANSLATE(D386, ""en"", ""hi"")"),"D) आर.एस. कुमार")</f>
        <v>D) आर.एस. कुमार</v>
      </c>
    </row>
    <row r="387" ht="22.5" customHeight="1">
      <c r="A387" s="7">
        <v>386.0</v>
      </c>
      <c r="B387" s="4" t="s">
        <v>2363</v>
      </c>
      <c r="C387" s="4" t="s">
        <v>2364</v>
      </c>
      <c r="D387" s="4" t="s">
        <v>2365</v>
      </c>
      <c r="F387" s="5" t="str">
        <f>IFERROR(__xludf.DUMMYFUNCTION("GOOGLETRANSLATE(A387, ""en"", ""hi"")"),"386")</f>
        <v>386</v>
      </c>
      <c r="G387" s="5" t="str">
        <f>IFERROR(__xludf.DUMMYFUNCTION("GOOGLETRANSLATE(B387, ""en"", ""hi"")"),"2000 के दशक में खो-खो में महत्वपूर्ण नियम परिवर्तन क्या था?")</f>
        <v>2000 के दशक में खो-खो में महत्वपूर्ण नियम परिवर्तन क्या था?</v>
      </c>
      <c r="H387" s="5" t="str">
        <f>IFERROR(__xludf.DUMMYFUNCTION("GOOGLETRANSLATE(C387, ""en"", ""hi"")"),"ए) इलेक्ट्रॉनिक स्कोरबोर्ड का परिचय, बी) खेल की अवधि में संशोधन, सी) मैदान के आयामों का मानकीकरण, डी) अंतर्राष्ट्रीय टूर्नामेंटों का विस्तार")</f>
        <v>ए) इलेक्ट्रॉनिक स्कोरबोर्ड का परिचय, बी) खेल की अवधि में संशोधन, सी) मैदान के आयामों का मानकीकरण, डी) अंतर्राष्ट्रीय टूर्नामेंटों का विस्तार</v>
      </c>
      <c r="I387" s="5" t="str">
        <f>IFERROR(__xludf.DUMMYFUNCTION("GOOGLETRANSLATE(D387, ""en"", ""hi"")"),"ए) इलेक्ट्रॉनिक स्कोरबोर्ड का परिचय")</f>
        <v>ए) इलेक्ट्रॉनिक स्कोरबोर्ड का परिचय</v>
      </c>
    </row>
    <row r="388" ht="22.5" customHeight="1">
      <c r="A388" s="7">
        <v>387.0</v>
      </c>
      <c r="B388" s="4" t="s">
        <v>2366</v>
      </c>
      <c r="C388" s="4" t="s">
        <v>2291</v>
      </c>
      <c r="D388" s="4" t="s">
        <v>2292</v>
      </c>
      <c r="F388" s="5" t="str">
        <f>IFERROR(__xludf.DUMMYFUNCTION("GOOGLETRANSLATE(A388, ""en"", ""hi"")"),"387")</f>
        <v>387</v>
      </c>
      <c r="G388" s="5" t="str">
        <f>IFERROR(__xludf.DUMMYFUNCTION("GOOGLETRANSLATE(B388, ""en"", ""hi"")"),"1996 में आयोजित खो-खो विश्व कप में शीर्ष स्कोरर कौन था?")</f>
        <v>1996 में आयोजित खो-खो विश्व कप में शीर्ष स्कोरर कौन था?</v>
      </c>
      <c r="H388" s="5" t="str">
        <f>IFERROR(__xludf.DUMMYFUNCTION("GOOGLETRANSLATE(C388, ""en"", ""hi"")"),"A) एम.के. शर्मा, B) आर.एस. कुमार, C) एच.पी. सिंह, D) एस.पी. सिंह")</f>
        <v>A) एम.के. शर्मा, B) आर.एस. कुमार, C) एच.पी. सिंह, D) एस.पी. सिंह</v>
      </c>
      <c r="I388" s="5" t="str">
        <f>IFERROR(__xludf.DUMMYFUNCTION("GOOGLETRANSLATE(D388, ""en"", ""hi"")"),"A) एम.के. शर्मा")</f>
        <v>A) एम.के. शर्मा</v>
      </c>
    </row>
    <row r="389" ht="22.5" customHeight="1">
      <c r="A389" s="7">
        <v>388.0</v>
      </c>
      <c r="B389" s="4" t="s">
        <v>2367</v>
      </c>
      <c r="C389" s="4" t="s">
        <v>548</v>
      </c>
      <c r="D389" s="4" t="s">
        <v>549</v>
      </c>
      <c r="F389" s="5" t="str">
        <f>IFERROR(__xludf.DUMMYFUNCTION("GOOGLETRANSLATE(A389, ""en"", ""hi"")"),"388")</f>
        <v>388</v>
      </c>
      <c r="G389" s="5" t="str">
        <f>IFERROR(__xludf.DUMMYFUNCTION("GOOGLETRANSLATE(B389, ""en"", ""hi"")"),"कौन सा भारतीय शहर 2003 में खो-खो राष्ट्रीय चैम्पियनशिप की मेजबानी के लिए जाना जाता था?")</f>
        <v>कौन सा भारतीय शहर 2003 में खो-खो राष्ट्रीय चैम्पियनशिप की मेजबानी के लिए जाना जाता था?</v>
      </c>
      <c r="H389" s="5" t="str">
        <f>IFERROR(__xludf.DUMMYFUNCTION("GOOGLETRANSLATE(C389, ""en"", ""hi"")"),"A) मुंबई, B) दिल्ली, C) बैंगलोर, D) चेन्नई")</f>
        <v>A) मुंबई, B) दिल्ली, C) बैंगलोर, D) चेन्नई</v>
      </c>
      <c r="I389" s="5" t="str">
        <f>IFERROR(__xludf.DUMMYFUNCTION("GOOGLETRANSLATE(D389, ""en"", ""hi"")"),"ए) मुंबई")</f>
        <v>ए) मुंबई</v>
      </c>
    </row>
    <row r="390" ht="22.5" customHeight="1">
      <c r="A390" s="7">
        <v>389.0</v>
      </c>
      <c r="B390" s="4" t="s">
        <v>2368</v>
      </c>
      <c r="C390" s="4" t="s">
        <v>1988</v>
      </c>
      <c r="D390" s="4" t="s">
        <v>2328</v>
      </c>
      <c r="F390" s="5" t="str">
        <f>IFERROR(__xludf.DUMMYFUNCTION("GOOGLETRANSLATE(A390, ""en"", ""hi"")"),"389")</f>
        <v>389</v>
      </c>
      <c r="G390" s="5" t="str">
        <f>IFERROR(__xludf.DUMMYFUNCTION("GOOGLETRANSLATE(B390, ""en"", ""hi"")"),"2018 में आयोजित खो-खो विश्व कप के मुख्य रेफरी कौन थे?")</f>
        <v>2018 में आयोजित खो-खो विश्व कप के मुख्य रेफरी कौन थे?</v>
      </c>
      <c r="H390" s="5" t="str">
        <f>IFERROR(__xludf.DUMMYFUNCTION("GOOGLETRANSLATE(C390, ""en"", ""hi"")"),"A) वी.के. जोशी, B) एच.पी. सिंह, C) एम.के. शर्मा, D) आर.एस. कुमार")</f>
        <v>A) वी.के. जोशी, B) एच.पी. सिंह, C) एम.के. शर्मा, D) आर.एस. कुमार</v>
      </c>
      <c r="I390" s="5" t="str">
        <f>IFERROR(__xludf.DUMMYFUNCTION("GOOGLETRANSLATE(D390, ""en"", ""hi"")"),"D) आर.एस. कुमार")</f>
        <v>D) आर.एस. कुमार</v>
      </c>
    </row>
    <row r="391" ht="22.5" customHeight="1">
      <c r="A391" s="7">
        <v>390.0</v>
      </c>
      <c r="B391" s="4" t="s">
        <v>2369</v>
      </c>
      <c r="C391" s="4" t="s">
        <v>2370</v>
      </c>
      <c r="D391" s="4" t="s">
        <v>2371</v>
      </c>
      <c r="F391" s="5" t="str">
        <f>IFERROR(__xludf.DUMMYFUNCTION("GOOGLETRANSLATE(A391, ""en"", ""hi"")"),"390")</f>
        <v>390</v>
      </c>
      <c r="G391" s="5" t="str">
        <f>IFERROR(__xludf.DUMMYFUNCTION("GOOGLETRANSLATE(B391, ""en"", ""hi"")"),"2004 में आयोजित खो-खो विश्व कप की उल्लेखनीय उपलब्धि क्या थी?")</f>
        <v>2004 में आयोजित खो-खो विश्व कप की उल्लेखनीय उपलब्धि क्या थी?</v>
      </c>
      <c r="H391" s="5" t="str">
        <f>IFERROR(__xludf.DUMMYFUNCTION("GOOGLETRANSLATE(C391, ""en"", ""hi"")"),"A) नई तकनीक का परिचय, B) अंतर्राष्ट्रीय टीमों का विस्तार, C) खो-खो अकादमियों की स्थापना, D) वीडियो समीक्षा की शुरुआत")</f>
        <v>A) नई तकनीक का परिचय, B) अंतर्राष्ट्रीय टीमों का विस्तार, C) खो-खो अकादमियों की स्थापना, D) वीडियो समीक्षा की शुरुआत</v>
      </c>
      <c r="I391" s="5" t="str">
        <f>IFERROR(__xludf.DUMMYFUNCTION("GOOGLETRANSLATE(D391, ""en"", ""hi"")"),"बी) अंतर्राष्ट्रीय टीमों का विस्तार")</f>
        <v>बी) अंतर्राष्ट्रीय टीमों का विस्तार</v>
      </c>
    </row>
    <row r="392" ht="22.5" customHeight="1">
      <c r="A392" s="7">
        <v>391.0</v>
      </c>
      <c r="B392" s="4" t="s">
        <v>2372</v>
      </c>
      <c r="C392" s="4" t="s">
        <v>1966</v>
      </c>
      <c r="D392" s="4" t="s">
        <v>2059</v>
      </c>
      <c r="F392" s="5" t="str">
        <f>IFERROR(__xludf.DUMMYFUNCTION("GOOGLETRANSLATE(A392, ""en"", ""hi"")"),"391")</f>
        <v>391</v>
      </c>
      <c r="G392" s="5" t="str">
        <f>IFERROR(__xludf.DUMMYFUNCTION("GOOGLETRANSLATE(B392, ""en"", ""hi"")"),"2018 में आयोजित खो-खो विश्व कप में अग्रणी स्कोरर कौन था?")</f>
        <v>2018 में आयोजित खो-खो विश्व कप में अग्रणी स्कोरर कौन था?</v>
      </c>
      <c r="H392" s="5" t="str">
        <f>IFERROR(__xludf.DUMMYFUNCTION("GOOGLETRANSLATE(C392, ""en"", ""hi"")"),"A) एच.पी. सिंह, B) आर.एस. कुमार, C) एम.के. शर्मा, D) एस.पी. सिंह")</f>
        <v>A) एच.पी. सिंह, B) आर.एस. कुमार, C) एम.के. शर्मा, D) एस.पी. सिंह</v>
      </c>
      <c r="I392" s="5" t="str">
        <f>IFERROR(__xludf.DUMMYFUNCTION("GOOGLETRANSLATE(D392, ""en"", ""hi"")"),"D) एस.पी. सिंह")</f>
        <v>D) एस.पी. सिंह</v>
      </c>
    </row>
    <row r="393" ht="22.5" customHeight="1">
      <c r="A393" s="7">
        <v>392.0</v>
      </c>
      <c r="B393" s="4" t="s">
        <v>2373</v>
      </c>
      <c r="C393" s="4" t="s">
        <v>542</v>
      </c>
      <c r="D393" s="4" t="s">
        <v>543</v>
      </c>
      <c r="F393" s="5" t="str">
        <f>IFERROR(__xludf.DUMMYFUNCTION("GOOGLETRANSLATE(A393, ""en"", ""hi"")"),"392")</f>
        <v>392</v>
      </c>
      <c r="G393" s="5" t="str">
        <f>IFERROR(__xludf.DUMMYFUNCTION("GOOGLETRANSLATE(B393, ""en"", ""hi"")"),"2006 में खो-खो विश्व कप की मेजबानी किस भारतीय शहर ने की थी?")</f>
        <v>2006 में खो-खो विश्व कप की मेजबानी किस भारतीय शहर ने की थी?</v>
      </c>
      <c r="H393" s="5" t="str">
        <f>IFERROR(__xludf.DUMMYFUNCTION("GOOGLETRANSLATE(C393, ""en"", ""hi"")"),"A) दिल्ली, B) मुंबई, C) बैंगलोर, D) चेन्नई")</f>
        <v>A) दिल्ली, B) मुंबई, C) बैंगलोर, D) चेन्नई</v>
      </c>
      <c r="I393" s="5" t="str">
        <f>IFERROR(__xludf.DUMMYFUNCTION("GOOGLETRANSLATE(D393, ""en"", ""hi"")"),"ए) दिल्ली")</f>
        <v>ए) दिल्ली</v>
      </c>
    </row>
    <row r="394" ht="22.5" customHeight="1">
      <c r="A394" s="7">
        <v>393.0</v>
      </c>
      <c r="B394" s="4" t="s">
        <v>2374</v>
      </c>
      <c r="C394" s="4" t="s">
        <v>1988</v>
      </c>
      <c r="D394" s="4" t="s">
        <v>2328</v>
      </c>
      <c r="F394" s="5" t="str">
        <f>IFERROR(__xludf.DUMMYFUNCTION("GOOGLETRANSLATE(A394, ""en"", ""hi"")"),"393")</f>
        <v>393</v>
      </c>
      <c r="G394" s="5" t="str">
        <f>IFERROR(__xludf.DUMMYFUNCTION("GOOGLETRANSLATE(B394, ""en"", ""hi"")"),"2006 में खो-खो राष्ट्रीय चैम्पियनशिप के मुख्य आयोजक कौन थे?")</f>
        <v>2006 में खो-खो राष्ट्रीय चैम्पियनशिप के मुख्य आयोजक कौन थे?</v>
      </c>
      <c r="H394" s="5" t="str">
        <f>IFERROR(__xludf.DUMMYFUNCTION("GOOGLETRANSLATE(C394, ""en"", ""hi"")"),"A) वी.के. जोशी, B) एच.पी. सिंह, C) एम.के. शर्मा, D) आर.एस. कुमार")</f>
        <v>A) वी.के. जोशी, B) एच.पी. सिंह, C) एम.के. शर्मा, D) आर.एस. कुमार</v>
      </c>
      <c r="I394" s="5" t="str">
        <f>IFERROR(__xludf.DUMMYFUNCTION("GOOGLETRANSLATE(D394, ""en"", ""hi"")"),"D) आर.एस. कुमार")</f>
        <v>D) आर.एस. कुमार</v>
      </c>
    </row>
    <row r="395" ht="22.5" customHeight="1">
      <c r="A395" s="7">
        <v>394.0</v>
      </c>
      <c r="B395" s="4" t="s">
        <v>2375</v>
      </c>
      <c r="C395" s="4" t="s">
        <v>2376</v>
      </c>
      <c r="D395" s="4" t="s">
        <v>2377</v>
      </c>
      <c r="F395" s="5" t="str">
        <f>IFERROR(__xludf.DUMMYFUNCTION("GOOGLETRANSLATE(A395, ""en"", ""hi"")"),"394")</f>
        <v>394</v>
      </c>
      <c r="G395" s="5" t="str">
        <f>IFERROR(__xludf.DUMMYFUNCTION("GOOGLETRANSLATE(B395, ""en"", ""hi"")"),"भारत में पहली खो-खो राष्ट्रीय चैम्पियनशिप किस वर्ष आयोजित की गई थी?")</f>
        <v>भारत में पहली खो-खो राष्ट्रीय चैम्पियनशिप किस वर्ष आयोजित की गई थी?</v>
      </c>
      <c r="H395" s="5" t="str">
        <f>IFERROR(__xludf.DUMMYFUNCTION("GOOGLETRANSLATE(C395, ""en"", ""hi"")"),"ए) 1955, बी) 1960, सी) 1965, डी) 1970")</f>
        <v>ए) 1955, बी) 1960, सी) 1965, डी) 1970</v>
      </c>
      <c r="I395" s="5" t="str">
        <f>IFERROR(__xludf.DUMMYFUNCTION("GOOGLETRANSLATE(D395, ""en"", ""hi"")"),"ए) 1955")</f>
        <v>ए) 1955</v>
      </c>
    </row>
    <row r="396" ht="22.5" customHeight="1">
      <c r="A396" s="7">
        <v>395.0</v>
      </c>
      <c r="B396" s="4" t="s">
        <v>2378</v>
      </c>
      <c r="C396" s="4" t="s">
        <v>2379</v>
      </c>
      <c r="D396" s="4" t="s">
        <v>37</v>
      </c>
      <c r="F396" s="5" t="str">
        <f>IFERROR(__xludf.DUMMYFUNCTION("GOOGLETRANSLATE(A396, ""en"", ""hi"")"),"395")</f>
        <v>395</v>
      </c>
      <c r="G396" s="5" t="str">
        <f>IFERROR(__xludf.DUMMYFUNCTION("GOOGLETRANSLATE(B396, ""en"", ""hi"")"),"1980 में आयोजित पहला खो-खो विश्व कप किसने जीता?")</f>
        <v>1980 में आयोजित पहला खो-खो विश्व कप किसने जीता?</v>
      </c>
      <c r="H396" s="5" t="str">
        <f>IFERROR(__xludf.DUMMYFUNCTION("GOOGLETRANSLATE(C396, ""en"", ""hi"")"),"A) भारत, B) पाकिस्तान, C) नेपाल, D) बांग्लादेश")</f>
        <v>A) भारत, B) पाकिस्तान, C) नेपाल, D) बांग्लादेश</v>
      </c>
      <c r="I396" s="5" t="str">
        <f>IFERROR(__xludf.DUMMYFUNCTION("GOOGLETRANSLATE(D396, ""en"", ""hi"")"),"ए) भारत")</f>
        <v>ए) भारत</v>
      </c>
    </row>
    <row r="397" ht="22.5" customHeight="1">
      <c r="A397" s="7">
        <v>396.0</v>
      </c>
      <c r="B397" s="4" t="s">
        <v>2380</v>
      </c>
      <c r="C397" s="4" t="s">
        <v>2381</v>
      </c>
      <c r="D397" s="4" t="s">
        <v>2382</v>
      </c>
      <c r="F397" s="5" t="str">
        <f>IFERROR(__xludf.DUMMYFUNCTION("GOOGLETRANSLATE(A397, ""en"", ""hi"")"),"396")</f>
        <v>396</v>
      </c>
      <c r="G397" s="5" t="str">
        <f>IFERROR(__xludf.DUMMYFUNCTION("GOOGLETRANSLATE(B397, ""en"", ""hi"")"),"1990 में खो-खो विश्व कप किस भारतीय शहर में आयोजित किया गया था?")</f>
        <v>1990 में खो-खो विश्व कप किस भारतीय शहर में आयोजित किया गया था?</v>
      </c>
      <c r="H397" s="5" t="str">
        <f>IFERROR(__xludf.DUMMYFUNCTION("GOOGLETRANSLATE(C397, ""en"", ""hi"")"),"ए) दिल्ली, बी) चेन्नई, सी) मुंबई, डी) कोलकाता")</f>
        <v>ए) दिल्ली, बी) चेन्नई, सी) मुंबई, डी) कोलकाता</v>
      </c>
      <c r="I397" s="5" t="str">
        <f>IFERROR(__xludf.DUMMYFUNCTION("GOOGLETRANSLATE(D397, ""en"", ""hi"")"),"C) मुंबई")</f>
        <v>C) मुंबई</v>
      </c>
    </row>
    <row r="398" ht="22.5" customHeight="1">
      <c r="A398" s="7">
        <v>397.0</v>
      </c>
      <c r="B398" s="4" t="s">
        <v>2383</v>
      </c>
      <c r="C398" s="4" t="s">
        <v>2384</v>
      </c>
      <c r="D398" s="4" t="s">
        <v>2385</v>
      </c>
      <c r="F398" s="5" t="str">
        <f>IFERROR(__xludf.DUMMYFUNCTION("GOOGLETRANSLATE(A398, ""en"", ""hi"")"),"397")</f>
        <v>397</v>
      </c>
      <c r="G398" s="5" t="str">
        <f>IFERROR(__xludf.DUMMYFUNCTION("GOOGLETRANSLATE(B398, ""en"", ""hi"")"),"2000 विश्व कप के दौरान भारतीय खो-खो टीम के कोच कौन थे?")</f>
        <v>2000 विश्व कप के दौरान भारतीय खो-खो टीम के कोच कौन थे?</v>
      </c>
      <c r="H398" s="5" t="str">
        <f>IFERROR(__xludf.DUMMYFUNCTION("GOOGLETRANSLATE(C398, ""en"", ""hi"")"),"A) एस.पी. सिंह, B) आर.के. शर्मा, C) एच.पी. सिंह, D) एम.के. शर्मा")</f>
        <v>A) एस.पी. सिंह, B) आर.के. शर्मा, C) एच.पी. सिंह, D) एम.के. शर्मा</v>
      </c>
      <c r="I398" s="5" t="str">
        <f>IFERROR(__xludf.DUMMYFUNCTION("GOOGLETRANSLATE(D398, ""en"", ""hi"")"),"बी) आर.के. शर्मा")</f>
        <v>बी) आर.के. शर्मा</v>
      </c>
    </row>
    <row r="399" ht="22.5" customHeight="1">
      <c r="A399" s="7">
        <v>398.0</v>
      </c>
      <c r="B399" s="4" t="s">
        <v>2386</v>
      </c>
      <c r="C399" s="4" t="s">
        <v>389</v>
      </c>
      <c r="D399" s="4" t="s">
        <v>603</v>
      </c>
      <c r="F399" s="5" t="str">
        <f>IFERROR(__xludf.DUMMYFUNCTION("GOOGLETRANSLATE(A399, ""en"", ""hi"")"),"398")</f>
        <v>398</v>
      </c>
      <c r="G399" s="5" t="str">
        <f>IFERROR(__xludf.DUMMYFUNCTION("GOOGLETRANSLATE(B399, ""en"", ""hi"")"),"1995 में किस भारतीय राज्य ने खो-खो राष्ट्रीय चैम्पियनशिप जीती?")</f>
        <v>1995 में किस भारतीय राज्य ने खो-खो राष्ट्रीय चैम्पियनशिप जीती?</v>
      </c>
      <c r="H399" s="5" t="str">
        <f>IFERROR(__xludf.DUMMYFUNCTION("GOOGLETRANSLATE(C399, ""en"", ""hi"")"),"ए) पंजाब, बी) हरियाणा, सी) महाराष्ट्र, डी) कर्नाटक")</f>
        <v>ए) पंजाब, बी) हरियाणा, सी) महाराष्ट्र, डी) कर्नाटक</v>
      </c>
      <c r="I399" s="5" t="str">
        <f>IFERROR(__xludf.DUMMYFUNCTION("GOOGLETRANSLATE(D399, ""en"", ""hi"")"),"बी) हरियाणा")</f>
        <v>बी) हरियाणा</v>
      </c>
    </row>
    <row r="400" ht="22.5" customHeight="1">
      <c r="A400" s="7">
        <v>399.0</v>
      </c>
      <c r="B400" s="4" t="s">
        <v>2171</v>
      </c>
      <c r="C400" s="4" t="s">
        <v>2266</v>
      </c>
      <c r="D400" s="4" t="s">
        <v>2229</v>
      </c>
      <c r="F400" s="5" t="str">
        <f>IFERROR(__xludf.DUMMYFUNCTION("GOOGLETRANSLATE(A400, ""en"", ""hi"")"),"399")</f>
        <v>399</v>
      </c>
      <c r="G400" s="5" t="str">
        <f>IFERROR(__xludf.DUMMYFUNCTION("GOOGLETRANSLATE(B400, ""en"", ""hi"")"),"1998 में आयोजित खो-खो विश्व कप में शीर्ष स्कोरर कौन था?")</f>
        <v>1998 में आयोजित खो-खो विश्व कप में शीर्ष स्कोरर कौन था?</v>
      </c>
      <c r="H400" s="5" t="str">
        <f>IFERROR(__xludf.DUMMYFUNCTION("GOOGLETRANSLATE(C400, ""en"", ""hi"")"),"A) एच.पी. सिंह, B) आर.एस. कुमार, C) एस.पी. सिंह, D) एम.के. शर्मा")</f>
        <v>A) एच.पी. सिंह, B) आर.एस. कुमार, C) एस.पी. सिंह, D) एम.के. शर्मा</v>
      </c>
      <c r="I400" s="5" t="str">
        <f>IFERROR(__xludf.DUMMYFUNCTION("GOOGLETRANSLATE(D400, ""en"", ""hi"")"),"D) एम.के. शर्मा")</f>
        <v>D) एम.के. शर्मा</v>
      </c>
    </row>
    <row r="401" ht="22.5" customHeight="1">
      <c r="A401" s="7">
        <v>400.0</v>
      </c>
      <c r="B401" s="4" t="s">
        <v>2387</v>
      </c>
      <c r="C401" s="4" t="s">
        <v>2031</v>
      </c>
      <c r="D401" s="4" t="s">
        <v>543</v>
      </c>
      <c r="F401" s="5" t="str">
        <f>IFERROR(__xludf.DUMMYFUNCTION("GOOGLETRANSLATE(A401, ""en"", ""hi"")"),"400")</f>
        <v>400</v>
      </c>
      <c r="G401" s="5" t="str">
        <f>IFERROR(__xludf.DUMMYFUNCTION("GOOGLETRANSLATE(B401, ""en"", ""hi"")"),"2015 में किस भारतीय शहर ने खो-खो राष्ट्रीय चैम्पियनशिप की मेजबानी की?")</f>
        <v>2015 में किस भारतीय शहर ने खो-खो राष्ट्रीय चैम्पियनशिप की मेजबानी की?</v>
      </c>
      <c r="H401" s="5" t="str">
        <f>IFERROR(__xludf.DUMMYFUNCTION("GOOGLETRANSLATE(C401, ""en"", ""hi"")"),"A) दिल्ली, B) मुंबई, C) बैंगलोर, D) पुणे")</f>
        <v>A) दिल्ली, B) मुंबई, C) बैंगलोर, D) पुणे</v>
      </c>
      <c r="I401" s="5" t="str">
        <f>IFERROR(__xludf.DUMMYFUNCTION("GOOGLETRANSLATE(D401, ""en"", ""hi"")"),"ए) दिल्ली")</f>
        <v>ए) दिल्ली</v>
      </c>
    </row>
    <row r="402" ht="22.5" customHeight="1">
      <c r="A402" s="7">
        <v>401.0</v>
      </c>
      <c r="B402" s="4" t="s">
        <v>2388</v>
      </c>
      <c r="C402" s="4" t="s">
        <v>2389</v>
      </c>
      <c r="D402" s="4" t="s">
        <v>2101</v>
      </c>
      <c r="F402" s="5" t="str">
        <f>IFERROR(__xludf.DUMMYFUNCTION("GOOGLETRANSLATE(A402, ""en"", ""hi"")"),"401")</f>
        <v>401</v>
      </c>
      <c r="G402" s="5" t="str">
        <f>IFERROR(__xludf.DUMMYFUNCTION("GOOGLETRANSLATE(B402, ""en"", ""hi"")"),"2006 में आयोजित खो-खो विश्व कप में अग्रणी स्कोरर कौन था?")</f>
        <v>2006 में आयोजित खो-खो विश्व कप में अग्रणी स्कोरर कौन था?</v>
      </c>
      <c r="H402" s="5" t="str">
        <f>IFERROR(__xludf.DUMMYFUNCTION("GOOGLETRANSLATE(C402, ""en"", ""hi"")"),"A) एस.पी. सिंह, B) एच.पी. सिंह, C) एम.के. शर्मा, D) आर.एस. कुमार")</f>
        <v>A) एस.पी. सिंह, B) एच.पी. सिंह, C) एम.के. शर्मा, D) आर.एस. कुमार</v>
      </c>
      <c r="I402" s="5" t="str">
        <f>IFERROR(__xludf.DUMMYFUNCTION("GOOGLETRANSLATE(D402, ""en"", ""hi"")"),"C) एम.के. शर्मा")</f>
        <v>C) एम.के. शर्मा</v>
      </c>
    </row>
    <row r="403" ht="22.5" customHeight="1">
      <c r="A403" s="7">
        <v>402.0</v>
      </c>
      <c r="B403" s="4" t="s">
        <v>2390</v>
      </c>
      <c r="C403" s="4" t="s">
        <v>2361</v>
      </c>
      <c r="D403" s="4" t="s">
        <v>98</v>
      </c>
      <c r="F403" s="5" t="str">
        <f>IFERROR(__xludf.DUMMYFUNCTION("GOOGLETRANSLATE(A403, ""en"", ""hi"")"),"402")</f>
        <v>402</v>
      </c>
      <c r="G403" s="5" t="str">
        <f>IFERROR(__xludf.DUMMYFUNCTION("GOOGLETRANSLATE(B403, ""en"", ""hi"")"),"2008 में खो-खो विश्व कप का आयोजन किस भारतीय राज्य में हुआ था?")</f>
        <v>2008 में खो-खो विश्व कप का आयोजन किस भारतीय राज्य में हुआ था?</v>
      </c>
      <c r="H403" s="5" t="str">
        <f>IFERROR(__xludf.DUMMYFUNCTION("GOOGLETRANSLATE(C403, ""en"", ""hi"")"),"A) दिल्ली, B) महाराष्ट्र, C) पंजाब, D) हरियाणा")</f>
        <v>A) दिल्ली, B) महाराष्ट्र, C) पंजाब, D) हरियाणा</v>
      </c>
      <c r="I403" s="5" t="str">
        <f>IFERROR(__xludf.DUMMYFUNCTION("GOOGLETRANSLATE(D403, ""en"", ""hi"")"),"बी) महाराष्ट्र")</f>
        <v>बी) महाराष्ट्र</v>
      </c>
    </row>
    <row r="404" ht="22.5" customHeight="1">
      <c r="A404" s="7">
        <v>403.0</v>
      </c>
      <c r="B404" s="4" t="s">
        <v>2391</v>
      </c>
      <c r="C404" s="4" t="s">
        <v>2392</v>
      </c>
      <c r="D404" s="4" t="s">
        <v>1819</v>
      </c>
      <c r="F404" s="5" t="str">
        <f>IFERROR(__xludf.DUMMYFUNCTION("GOOGLETRANSLATE(A404, ""en"", ""hi"")"),"403")</f>
        <v>403</v>
      </c>
      <c r="G404" s="5" t="str">
        <f>IFERROR(__xludf.DUMMYFUNCTION("GOOGLETRANSLATE(B404, ""en"", ""hi"")"),"1992 में आयोजित खो-खो विश्व कप के मुख्य रेफरी कौन थे?")</f>
        <v>1992 में आयोजित खो-खो विश्व कप के मुख्य रेफरी कौन थे?</v>
      </c>
      <c r="H404" s="5" t="str">
        <f>IFERROR(__xludf.DUMMYFUNCTION("GOOGLETRANSLATE(C404, ""en"", ""hi"")"),"A) एच.पी. सिंह, B) वी.के. जोशी, C) एम.के. शर्मा, D) आर.एस. कुमार")</f>
        <v>A) एच.पी. सिंह, B) वी.के. जोशी, C) एम.के. शर्मा, D) आर.एस. कुमार</v>
      </c>
      <c r="I404" s="5" t="str">
        <f>IFERROR(__xludf.DUMMYFUNCTION("GOOGLETRANSLATE(D404, ""en"", ""hi"")"),"बी) वी.के. जोशी")</f>
        <v>बी) वी.के. जोशी</v>
      </c>
    </row>
    <row r="405" ht="22.5" customHeight="1">
      <c r="A405" s="7">
        <v>404.0</v>
      </c>
      <c r="B405" s="4" t="s">
        <v>2393</v>
      </c>
      <c r="C405" s="4" t="s">
        <v>2394</v>
      </c>
      <c r="D405" s="4" t="s">
        <v>77</v>
      </c>
      <c r="F405" s="5" t="str">
        <f>IFERROR(__xludf.DUMMYFUNCTION("GOOGLETRANSLATE(A405, ""en"", ""hi"")"),"404")</f>
        <v>404</v>
      </c>
      <c r="G405" s="5" t="str">
        <f>IFERROR(__xludf.DUMMYFUNCTION("GOOGLETRANSLATE(B405, ""en"", ""hi"")"),"2012 में खो-खो राष्ट्रीय चैम्पियनशिप की मेजबानी किस भारतीय शहर ने की?")</f>
        <v>2012 में खो-खो राष्ट्रीय चैम्पियनशिप की मेजबानी किस भारतीय शहर ने की?</v>
      </c>
      <c r="H405" s="5" t="str">
        <f>IFERROR(__xludf.DUMMYFUNCTION("GOOGLETRANSLATE(C405, ""en"", ""hi"")"),"A) बैंगलोर, B) मुंबई, C) दिल्ली, D) चेन्नई")</f>
        <v>A) बैंगलोर, B) मुंबई, C) दिल्ली, D) चेन्नई</v>
      </c>
      <c r="I405" s="5" t="str">
        <f>IFERROR(__xludf.DUMMYFUNCTION("GOOGLETRANSLATE(D405, ""en"", ""hi"")"),"बी) मुंबई")</f>
        <v>बी) मुंबई</v>
      </c>
    </row>
    <row r="406" ht="22.5" customHeight="1">
      <c r="A406" s="7">
        <v>405.0</v>
      </c>
      <c r="B406" s="4" t="s">
        <v>2395</v>
      </c>
      <c r="C406" s="4" t="s">
        <v>2080</v>
      </c>
      <c r="D406" s="4" t="s">
        <v>2396</v>
      </c>
      <c r="F406" s="5" t="str">
        <f>IFERROR(__xludf.DUMMYFUNCTION("GOOGLETRANSLATE(A406, ""en"", ""hi"")"),"405")</f>
        <v>405</v>
      </c>
      <c r="G406" s="5" t="str">
        <f>IFERROR(__xludf.DUMMYFUNCTION("GOOGLETRANSLATE(B406, ""en"", ""hi"")"),"2004 में आयोजित खो-खो विश्व कप में शीर्ष स्कोरर कौन था?")</f>
        <v>2004 में आयोजित खो-खो विश्व कप में शीर्ष स्कोरर कौन था?</v>
      </c>
      <c r="H406" s="5" t="str">
        <f>IFERROR(__xludf.DUMMYFUNCTION("GOOGLETRANSLATE(C406, ""en"", ""hi"")"),"A) आर.एस. कुमार, B) एच.पी. सिंह, C) एम.के. शर्मा, D) एस.पी. सिंह")</f>
        <v>A) आर.एस. कुमार, B) एच.पी. सिंह, C) एम.के. शर्मा, D) एस.पी. सिंह</v>
      </c>
      <c r="I406" s="5" t="str">
        <f>IFERROR(__xludf.DUMMYFUNCTION("GOOGLETRANSLATE(D406, ""en"", ""hi"")"),"A) आर.एस. कुमार")</f>
        <v>A) आर.एस. कुमार</v>
      </c>
    </row>
    <row r="407" ht="22.5" customHeight="1">
      <c r="A407" s="7">
        <v>406.0</v>
      </c>
      <c r="B407" s="4" t="s">
        <v>2397</v>
      </c>
      <c r="C407" s="4" t="s">
        <v>2398</v>
      </c>
      <c r="D407" s="4" t="s">
        <v>561</v>
      </c>
      <c r="F407" s="5" t="str">
        <f>IFERROR(__xludf.DUMMYFUNCTION("GOOGLETRANSLATE(A407, ""en"", ""hi"")"),"406")</f>
        <v>406</v>
      </c>
      <c r="G407" s="5" t="str">
        <f>IFERROR(__xludf.DUMMYFUNCTION("GOOGLETRANSLATE(B407, ""en"", ""hi"")"),"1994 में खो-खो विश्व कप का आयोजन किस भारतीय शहर में हुआ था?")</f>
        <v>1994 में खो-खो विश्व कप का आयोजन किस भारतीय शहर में हुआ था?</v>
      </c>
      <c r="H407" s="5" t="str">
        <f>IFERROR(__xludf.DUMMYFUNCTION("GOOGLETRANSLATE(C407, ""en"", ""hi"")"),"A) चेन्नई, B) दिल्ली, C) बैंगलोर, D) पुणे")</f>
        <v>A) चेन्नई, B) दिल्ली, C) बैंगलोर, D) पुणे</v>
      </c>
      <c r="I407" s="5" t="str">
        <f>IFERROR(__xludf.DUMMYFUNCTION("GOOGLETRANSLATE(D407, ""en"", ""hi"")"),"ए) चेन्नई")</f>
        <v>ए) चेन्नई</v>
      </c>
    </row>
    <row r="408" ht="22.5" customHeight="1">
      <c r="A408" s="7">
        <v>407.0</v>
      </c>
      <c r="B408" s="4" t="s">
        <v>2399</v>
      </c>
      <c r="C408" s="4" t="s">
        <v>2400</v>
      </c>
      <c r="D408" s="4" t="s">
        <v>2101</v>
      </c>
      <c r="F408" s="5" t="str">
        <f>IFERROR(__xludf.DUMMYFUNCTION("GOOGLETRANSLATE(A408, ""en"", ""hi"")"),"407")</f>
        <v>407</v>
      </c>
      <c r="G408" s="5" t="str">
        <f>IFERROR(__xludf.DUMMYFUNCTION("GOOGLETRANSLATE(B408, ""en"", ""hi"")"),"1984 में आयोजित खो-खो विश्व कप का मुख्य आयोजक कौन था?")</f>
        <v>1984 में आयोजित खो-खो विश्व कप का मुख्य आयोजक कौन था?</v>
      </c>
      <c r="H408" s="5" t="str">
        <f>IFERROR(__xludf.DUMMYFUNCTION("GOOGLETRANSLATE(C408, ""en"", ""hi"")"),"A) वी.के. जोशी, B) एच.पी. सिंह, C) एम.के. शर्मा, D) एस.पी. सिंह")</f>
        <v>A) वी.के. जोशी, B) एच.पी. सिंह, C) एम.के. शर्मा, D) एस.पी. सिंह</v>
      </c>
      <c r="I408" s="5" t="str">
        <f>IFERROR(__xludf.DUMMYFUNCTION("GOOGLETRANSLATE(D408, ""en"", ""hi"")"),"C) एम.के. शर्मा")</f>
        <v>C) एम.के. शर्मा</v>
      </c>
    </row>
    <row r="409" ht="22.5" customHeight="1">
      <c r="A409" s="7">
        <v>408.0</v>
      </c>
      <c r="B409" s="4" t="s">
        <v>2401</v>
      </c>
      <c r="C409" s="4" t="s">
        <v>2300</v>
      </c>
      <c r="D409" s="4" t="s">
        <v>842</v>
      </c>
      <c r="F409" s="5" t="str">
        <f>IFERROR(__xludf.DUMMYFUNCTION("GOOGLETRANSLATE(A409, ""en"", ""hi"")"),"408")</f>
        <v>408</v>
      </c>
      <c r="G409" s="5" t="str">
        <f>IFERROR(__xludf.DUMMYFUNCTION("GOOGLETRANSLATE(B409, ""en"", ""hi"")"),"किस भारतीय राज्य ने 2003 में खो-खो में टैगिंग के लिए एक नया नियम लागू किया?")</f>
        <v>किस भारतीय राज्य ने 2003 में खो-खो में टैगिंग के लिए एक नया नियम लागू किया?</v>
      </c>
      <c r="H409" s="5" t="str">
        <f>IFERROR(__xludf.DUMMYFUNCTION("GOOGLETRANSLATE(C409, ""en"", ""hi"")"),"A) पंजाब, B) हरियाणा, C) महाराष्ट्र, D) दिल्ली")</f>
        <v>A) पंजाब, B) हरियाणा, C) महाराष्ट्र, D) दिल्ली</v>
      </c>
      <c r="I409" s="5" t="str">
        <f>IFERROR(__xludf.DUMMYFUNCTION("GOOGLETRANSLATE(D409, ""en"", ""hi"")"),"C) महाराष्ट्र")</f>
        <v>C) महाराष्ट्र</v>
      </c>
    </row>
    <row r="410" ht="22.5" customHeight="1">
      <c r="A410" s="7">
        <v>409.0</v>
      </c>
      <c r="B410" s="4" t="s">
        <v>2402</v>
      </c>
      <c r="C410" s="4" t="s">
        <v>2403</v>
      </c>
      <c r="D410" s="4" t="s">
        <v>2404</v>
      </c>
      <c r="F410" s="5" t="str">
        <f>IFERROR(__xludf.DUMMYFUNCTION("GOOGLETRANSLATE(A410, ""en"", ""hi"")"),"409")</f>
        <v>409</v>
      </c>
      <c r="G410" s="5" t="str">
        <f>IFERROR(__xludf.DUMMYFUNCTION("GOOGLETRANSLATE(B410, ""en"", ""hi"")"),"2000 के दशक में खो-खो के नियमों में क्या बड़ा बदलाव किया गया?")</f>
        <v>2000 के दशक में खो-खो के नियमों में क्या बड़ा बदलाव किया गया?</v>
      </c>
      <c r="H410" s="5" t="str">
        <f>IFERROR(__xludf.DUMMYFUNCTION("GOOGLETRANSLATE(C410, ""en"", ""hi"")"),"ए) इलेक्ट्रॉनिक स्कोरिंग की शुरुआत, बी) खो-खो अकादमियों की स्थापना, सी) मैदान के आयामों का मानकीकरण, डी) अंतर्राष्ट्रीय टूर्नामेंटों का विस्तार")</f>
        <v>ए) इलेक्ट्रॉनिक स्कोरिंग की शुरुआत, बी) खो-खो अकादमियों की स्थापना, सी) मैदान के आयामों का मानकीकरण, डी) अंतर्राष्ट्रीय टूर्नामेंटों का विस्तार</v>
      </c>
      <c r="I410" s="5" t="str">
        <f>IFERROR(__xludf.DUMMYFUNCTION("GOOGLETRANSLATE(D410, ""en"", ""hi"")"),"ए) इलेक्ट्रॉनिक स्कोरिंग का परिचय")</f>
        <v>ए) इलेक्ट्रॉनिक स्कोरिंग का परिचय</v>
      </c>
    </row>
    <row r="411" ht="22.5" customHeight="1">
      <c r="A411" s="7">
        <v>410.0</v>
      </c>
      <c r="B411" s="4" t="s">
        <v>2405</v>
      </c>
      <c r="C411" s="4" t="s">
        <v>2389</v>
      </c>
      <c r="D411" s="4" t="s">
        <v>1953</v>
      </c>
      <c r="F411" s="5" t="str">
        <f>IFERROR(__xludf.DUMMYFUNCTION("GOOGLETRANSLATE(A411, ""en"", ""hi"")"),"410")</f>
        <v>410</v>
      </c>
      <c r="G411" s="5" t="str">
        <f>IFERROR(__xludf.DUMMYFUNCTION("GOOGLETRANSLATE(B411, ""en"", ""hi"")"),"2016 में आयोजित खो-खो विश्व कप में अग्रणी स्कोरर कौन था?")</f>
        <v>2016 में आयोजित खो-खो विश्व कप में अग्रणी स्कोरर कौन था?</v>
      </c>
      <c r="H411" s="5" t="str">
        <f>IFERROR(__xludf.DUMMYFUNCTION("GOOGLETRANSLATE(C411, ""en"", ""hi"")"),"A) एस.पी. सिंह, B) एच.पी. सिंह, C) एम.के. शर्मा, D) आर.एस. कुमार")</f>
        <v>A) एस.पी. सिंह, B) एच.पी. सिंह, C) एम.के. शर्मा, D) आर.एस. कुमार</v>
      </c>
      <c r="I411" s="5" t="str">
        <f>IFERROR(__xludf.DUMMYFUNCTION("GOOGLETRANSLATE(D411, ""en"", ""hi"")"),"बी) एच.पी. सिंह")</f>
        <v>बी) एच.पी. सिंह</v>
      </c>
    </row>
    <row r="412" ht="22.5" customHeight="1">
      <c r="A412" s="7">
        <v>411.0</v>
      </c>
      <c r="B412" s="4" t="s">
        <v>2406</v>
      </c>
      <c r="C412" s="4" t="s">
        <v>2407</v>
      </c>
      <c r="D412" s="4" t="s">
        <v>2107</v>
      </c>
      <c r="F412" s="5" t="str">
        <f>IFERROR(__xludf.DUMMYFUNCTION("GOOGLETRANSLATE(A412, ""en"", ""hi"")"),"411")</f>
        <v>411</v>
      </c>
      <c r="G412" s="5" t="str">
        <f>IFERROR(__xludf.DUMMYFUNCTION("GOOGLETRANSLATE(B412, ""en"", ""hi"")"),"1996 में खो-खो विश्व कप की मेजबानी किस भारतीय शहर ने की थी?")</f>
        <v>1996 में खो-खो विश्व कप की मेजबानी किस भारतीय शहर ने की थी?</v>
      </c>
      <c r="H412" s="5" t="str">
        <f>IFERROR(__xludf.DUMMYFUNCTION("GOOGLETRANSLATE(C412, ""en"", ""hi"")"),"ए) बैंगलोर, बी) दिल्ली, सी) मुंबई, डी) कोलकाता")</f>
        <v>ए) बैंगलोर, बी) दिल्ली, सी) मुंबई, डी) कोलकाता</v>
      </c>
      <c r="I412" s="5" t="str">
        <f>IFERROR(__xludf.DUMMYFUNCTION("GOOGLETRANSLATE(D412, ""en"", ""hi"")"),"D) कोलकाता")</f>
        <v>D) कोलकाता</v>
      </c>
    </row>
    <row r="413" ht="22.5" customHeight="1">
      <c r="A413" s="7">
        <v>412.0</v>
      </c>
      <c r="B413" s="4" t="s">
        <v>2408</v>
      </c>
      <c r="C413" s="4" t="s">
        <v>1988</v>
      </c>
      <c r="D413" s="4" t="s">
        <v>1974</v>
      </c>
      <c r="F413" s="5" t="str">
        <f>IFERROR(__xludf.DUMMYFUNCTION("GOOGLETRANSLATE(A413, ""en"", ""hi"")"),"412")</f>
        <v>412</v>
      </c>
      <c r="G413" s="5" t="str">
        <f>IFERROR(__xludf.DUMMYFUNCTION("GOOGLETRANSLATE(B413, ""en"", ""hi"")"),"2009 में आयोजित खो-खो राष्ट्रीय चैम्पियनशिप के मुख्य रेफरी कौन थे?")</f>
        <v>2009 में आयोजित खो-खो राष्ट्रीय चैम्पियनशिप के मुख्य रेफरी कौन थे?</v>
      </c>
      <c r="H413" s="5" t="str">
        <f>IFERROR(__xludf.DUMMYFUNCTION("GOOGLETRANSLATE(C413, ""en"", ""hi"")"),"A) वी.के. जोशी, B) एच.पी. सिंह, C) एम.के. शर्मा, D) आर.एस. कुमार")</f>
        <v>A) वी.के. जोशी, B) एच.पी. सिंह, C) एम.के. शर्मा, D) आर.एस. कुमार</v>
      </c>
      <c r="I413" s="5" t="str">
        <f>IFERROR(__xludf.DUMMYFUNCTION("GOOGLETRANSLATE(D413, ""en"", ""hi"")"),"A) वी.के. जोशी")</f>
        <v>A) वी.के. जोशी</v>
      </c>
    </row>
    <row r="414" ht="22.5" customHeight="1">
      <c r="A414" s="7">
        <v>413.0</v>
      </c>
      <c r="B414" s="4" t="s">
        <v>2409</v>
      </c>
      <c r="C414" s="4" t="s">
        <v>2410</v>
      </c>
      <c r="D414" s="4" t="s">
        <v>13</v>
      </c>
      <c r="F414" s="5" t="str">
        <f>IFERROR(__xludf.DUMMYFUNCTION("GOOGLETRANSLATE(A414, ""en"", ""hi"")"),"413")</f>
        <v>413</v>
      </c>
      <c r="G414" s="5" t="str">
        <f>IFERROR(__xludf.DUMMYFUNCTION("GOOGLETRANSLATE(B414, ""en"", ""hi"")"),"2010 में खो-खो राष्ट्रीय चैम्पियनशिप का आयोजन किस भारतीय राज्य में हुआ था?")</f>
        <v>2010 में खो-खो राष्ट्रीय चैम्पियनशिप का आयोजन किस भारतीय राज्य में हुआ था?</v>
      </c>
      <c r="H414" s="5" t="str">
        <f>IFERROR(__xludf.DUMMYFUNCTION("GOOGLETRANSLATE(C414, ""en"", ""hi"")"),"A) पंजाब, B) हरियाणा, C) दिल्ली, D) महाराष्ट्र")</f>
        <v>A) पंजाब, B) हरियाणा, C) दिल्ली, D) महाराष्ट्र</v>
      </c>
      <c r="I414" s="5" t="str">
        <f>IFERROR(__xludf.DUMMYFUNCTION("GOOGLETRANSLATE(D414, ""en"", ""hi"")"),"D) महाराष्ट्र")</f>
        <v>D) महाराष्ट्र</v>
      </c>
    </row>
    <row r="415" ht="22.5" customHeight="1">
      <c r="A415" s="7">
        <v>414.0</v>
      </c>
      <c r="B415" s="4" t="s">
        <v>2290</v>
      </c>
      <c r="C415" s="4" t="s">
        <v>2411</v>
      </c>
      <c r="D415" s="4" t="s">
        <v>2124</v>
      </c>
      <c r="F415" s="5" t="str">
        <f>IFERROR(__xludf.DUMMYFUNCTION("GOOGLETRANSLATE(A415, ""en"", ""hi"")"),"414")</f>
        <v>414</v>
      </c>
      <c r="G415" s="5" t="str">
        <f>IFERROR(__xludf.DUMMYFUNCTION("GOOGLETRANSLATE(B415, ""en"", ""hi"")"),"1982 में आयोजित खो-खो विश्व कप में शीर्ष स्कोरर कौन था?")</f>
        <v>1982 में आयोजित खो-खो विश्व कप में शीर्ष स्कोरर कौन था?</v>
      </c>
      <c r="H415" s="5" t="str">
        <f>IFERROR(__xludf.DUMMYFUNCTION("GOOGLETRANSLATE(C415, ""en"", ""hi"")"),"A) आर.एस. कुमार, B) एम.के. शर्मा, C) एच.पी. सिंह, D) एस.पी. सिंह")</f>
        <v>A) आर.एस. कुमार, B) एम.के. शर्मा, C) एच.पी. सिंह, D) एस.पी. सिंह</v>
      </c>
      <c r="I415" s="5" t="str">
        <f>IFERROR(__xludf.DUMMYFUNCTION("GOOGLETRANSLATE(D415, ""en"", ""hi"")"),"बी) एम.के. शर्मा")</f>
        <v>बी) एम.के. शर्मा</v>
      </c>
    </row>
    <row r="416" ht="22.5" customHeight="1">
      <c r="A416" s="7">
        <v>415.0</v>
      </c>
      <c r="B416" s="4" t="s">
        <v>2412</v>
      </c>
      <c r="C416" s="4" t="s">
        <v>2310</v>
      </c>
      <c r="D416" s="4" t="s">
        <v>2301</v>
      </c>
      <c r="F416" s="5" t="str">
        <f>IFERROR(__xludf.DUMMYFUNCTION("GOOGLETRANSLATE(A416, ""en"", ""hi"")"),"415")</f>
        <v>415</v>
      </c>
      <c r="G416" s="5" t="str">
        <f>IFERROR(__xludf.DUMMYFUNCTION("GOOGLETRANSLATE(B416, ""en"", ""hi"")"),"कौन सा भारतीय शहर 2001 में खो-खो विश्व कप की मेजबानी के लिए जाना जाता था?")</f>
        <v>कौन सा भारतीय शहर 2001 में खो-खो विश्व कप की मेजबानी के लिए जाना जाता था?</v>
      </c>
      <c r="H416" s="5" t="str">
        <f>IFERROR(__xludf.DUMMYFUNCTION("GOOGLETRANSLATE(C416, ""en"", ""hi"")"),"A) बैंगलोर, B) मुंबई, C) चेन्नई, D) दिल्ली")</f>
        <v>A) बैंगलोर, B) मुंबई, C) चेन्नई, D) दिल्ली</v>
      </c>
      <c r="I416" s="5" t="str">
        <f>IFERROR(__xludf.DUMMYFUNCTION("GOOGLETRANSLATE(D416, ""en"", ""hi"")"),"D) दिल्ली")</f>
        <v>D) दिल्ली</v>
      </c>
    </row>
    <row r="417" ht="22.5" customHeight="1">
      <c r="A417" s="7">
        <v>416.0</v>
      </c>
      <c r="B417" s="4" t="s">
        <v>2234</v>
      </c>
      <c r="C417" s="4" t="s">
        <v>2392</v>
      </c>
      <c r="D417" s="4" t="s">
        <v>1915</v>
      </c>
      <c r="F417" s="5" t="str">
        <f>IFERROR(__xludf.DUMMYFUNCTION("GOOGLETRANSLATE(A417, ""en"", ""hi"")"),"416")</f>
        <v>416</v>
      </c>
      <c r="G417" s="5" t="str">
        <f>IFERROR(__xludf.DUMMYFUNCTION("GOOGLETRANSLATE(B417, ""en"", ""hi"")"),"1998 में आयोजित खो-खो विश्व कप का मुख्य आयोजक कौन था?")</f>
        <v>1998 में आयोजित खो-खो विश्व कप का मुख्य आयोजक कौन था?</v>
      </c>
      <c r="H417" s="5" t="str">
        <f>IFERROR(__xludf.DUMMYFUNCTION("GOOGLETRANSLATE(C417, ""en"", ""hi"")"),"A) एच.पी. सिंह, B) वी.के. जोशी, C) एम.के. शर्मा, D) आर.एस. कुमार")</f>
        <v>A) एच.पी. सिंह, B) वी.के. जोशी, C) एम.के. शर्मा, D) आर.एस. कुमार</v>
      </c>
      <c r="I417" s="5" t="str">
        <f>IFERROR(__xludf.DUMMYFUNCTION("GOOGLETRANSLATE(D417, ""en"", ""hi"")"),"ए) एच.पी. सिंह")</f>
        <v>ए) एच.पी. सिंह</v>
      </c>
    </row>
    <row r="418" ht="22.5" customHeight="1">
      <c r="A418" s="7">
        <v>417.0</v>
      </c>
      <c r="B418" s="4" t="s">
        <v>2413</v>
      </c>
      <c r="C418" s="4" t="s">
        <v>2414</v>
      </c>
      <c r="D418" s="4" t="s">
        <v>2318</v>
      </c>
      <c r="F418" s="5" t="str">
        <f>IFERROR(__xludf.DUMMYFUNCTION("GOOGLETRANSLATE(A418, ""en"", ""hi"")"),"417")</f>
        <v>417</v>
      </c>
      <c r="G418" s="5" t="str">
        <f>IFERROR(__xludf.DUMMYFUNCTION("GOOGLETRANSLATE(B418, ""en"", ""hi"")"),"2018 में खो-खो विश्व कप की उल्लेखनीय विशेषता क्या थी?")</f>
        <v>2018 में खो-खो विश्व कप की उल्लेखनीय विशेषता क्या थी?</v>
      </c>
      <c r="H418" s="5" t="str">
        <f>IFERROR(__xludf.DUMMYFUNCTION("GOOGLETRANSLATE(C418, ""en"", ""hi"")"),"ए) अंतर्राष्ट्रीय टीमों का विस्तार, बी) इलेक्ट्रॉनिक स्कोरबोर्ड की शुरूआत, सी) वीडियो समीक्षा की शुरूआत, डी) क्षेत्र आयामों का मानकीकरण")</f>
        <v>ए) अंतर्राष्ट्रीय टीमों का विस्तार, बी) इलेक्ट्रॉनिक स्कोरबोर्ड की शुरूआत, सी) वीडियो समीक्षा की शुरूआत, डी) क्षेत्र आयामों का मानकीकरण</v>
      </c>
      <c r="I418" s="5" t="str">
        <f>IFERROR(__xludf.DUMMYFUNCTION("GOOGLETRANSLATE(D418, ""en"", ""hi"")"),"A) अंतर्राष्ट्रीय टीमों का विस्तार")</f>
        <v>A) अंतर्राष्ट्रीय टीमों का विस्तार</v>
      </c>
    </row>
    <row r="419" ht="22.5" customHeight="1">
      <c r="A419" s="7">
        <v>418.0</v>
      </c>
      <c r="B419" s="4" t="s">
        <v>2415</v>
      </c>
      <c r="C419" s="4" t="s">
        <v>1966</v>
      </c>
      <c r="D419" s="4" t="s">
        <v>2101</v>
      </c>
      <c r="F419" s="5" t="str">
        <f>IFERROR(__xludf.DUMMYFUNCTION("GOOGLETRANSLATE(A419, ""en"", ""hi"")"),"418")</f>
        <v>418</v>
      </c>
      <c r="G419" s="5" t="str">
        <f>IFERROR(__xludf.DUMMYFUNCTION("GOOGLETRANSLATE(B419, ""en"", ""hi"")"),"1992 में आयोजित खो-खो विश्व कप में अग्रणी स्कोरर कौन था?")</f>
        <v>1992 में आयोजित खो-खो विश्व कप में अग्रणी स्कोरर कौन था?</v>
      </c>
      <c r="H419" s="5" t="str">
        <f>IFERROR(__xludf.DUMMYFUNCTION("GOOGLETRANSLATE(C419, ""en"", ""hi"")"),"A) एच.पी. सिंह, B) आर.एस. कुमार, C) एम.के. शर्मा, D) एस.पी. सिंह")</f>
        <v>A) एच.पी. सिंह, B) आर.एस. कुमार, C) एम.के. शर्मा, D) एस.पी. सिंह</v>
      </c>
      <c r="I419" s="5" t="str">
        <f>IFERROR(__xludf.DUMMYFUNCTION("GOOGLETRANSLATE(D419, ""en"", ""hi"")"),"C) एम.के. शर्मा")</f>
        <v>C) एम.के. शर्मा</v>
      </c>
    </row>
    <row r="420" ht="22.5" customHeight="1">
      <c r="A420" s="7">
        <v>419.0</v>
      </c>
      <c r="B420" s="4" t="s">
        <v>2416</v>
      </c>
      <c r="C420" s="4" t="s">
        <v>2410</v>
      </c>
      <c r="D420" s="4" t="s">
        <v>766</v>
      </c>
      <c r="F420" s="5" t="str">
        <f>IFERROR(__xludf.DUMMYFUNCTION("GOOGLETRANSLATE(A420, ""en"", ""hi"")"),"419")</f>
        <v>419</v>
      </c>
      <c r="G420" s="5" t="str">
        <f>IFERROR(__xludf.DUMMYFUNCTION("GOOGLETRANSLATE(B420, ""en"", ""hi"")"),"किस भारतीय राज्य ने 2010 में खो-खो में एक नए खिलाड़ी की भूमिका शुरू की?")</f>
        <v>किस भारतीय राज्य ने 2010 में खो-खो में एक नए खिलाड़ी की भूमिका शुरू की?</v>
      </c>
      <c r="H420" s="5" t="str">
        <f>IFERROR(__xludf.DUMMYFUNCTION("GOOGLETRANSLATE(C420, ""en"", ""hi"")"),"A) पंजाब, B) हरियाणा, C) दिल्ली, D) महाराष्ट्र")</f>
        <v>A) पंजाब, B) हरियाणा, C) दिल्ली, D) महाराष्ट्र</v>
      </c>
      <c r="I420" s="5" t="str">
        <f>IFERROR(__xludf.DUMMYFUNCTION("GOOGLETRANSLATE(D420, ""en"", ""hi"")"),"C) दिल्ली")</f>
        <v>C) दिल्ली</v>
      </c>
    </row>
    <row r="421" ht="22.5" customHeight="1">
      <c r="A421" s="7">
        <v>420.0</v>
      </c>
      <c r="B421" s="4" t="s">
        <v>2417</v>
      </c>
      <c r="C421" s="4" t="s">
        <v>1984</v>
      </c>
      <c r="D421" s="4" t="s">
        <v>2059</v>
      </c>
      <c r="F421" s="5" t="str">
        <f>IFERROR(__xludf.DUMMYFUNCTION("GOOGLETRANSLATE(A421, ""en"", ""hi"")"),"420")</f>
        <v>420</v>
      </c>
      <c r="G421" s="5" t="str">
        <f>IFERROR(__xludf.DUMMYFUNCTION("GOOGLETRANSLATE(B421, ""en"", ""hi"")"),"2007 में आयोजित खो-खो विश्व कप में शीर्ष स्कोरर कौन था?")</f>
        <v>2007 में आयोजित खो-खो विश्व कप में शीर्ष स्कोरर कौन था?</v>
      </c>
      <c r="H421" s="5" t="str">
        <f>IFERROR(__xludf.DUMMYFUNCTION("GOOGLETRANSLATE(C421, ""en"", ""hi"")"),"A) एच.पी. सिंह, B) एम.के. शर्मा, C) आर.एस. कुमार, D) एस.पी. सिंह")</f>
        <v>A) एच.पी. सिंह, B) एम.के. शर्मा, C) आर.एस. कुमार, D) एस.पी. सिंह</v>
      </c>
      <c r="I421" s="5" t="str">
        <f>IFERROR(__xludf.DUMMYFUNCTION("GOOGLETRANSLATE(D421, ""en"", ""hi"")"),"D) एस.पी. सिंह")</f>
        <v>D) एस.पी. सिंह</v>
      </c>
    </row>
    <row r="422" ht="22.5" customHeight="1">
      <c r="A422" s="7">
        <v>421.0</v>
      </c>
      <c r="B422" s="4" t="s">
        <v>2418</v>
      </c>
      <c r="C422" s="4" t="s">
        <v>2352</v>
      </c>
      <c r="D422" s="4" t="s">
        <v>766</v>
      </c>
      <c r="F422" s="5" t="str">
        <f>IFERROR(__xludf.DUMMYFUNCTION("GOOGLETRANSLATE(A422, ""en"", ""hi"")"),"421")</f>
        <v>421</v>
      </c>
      <c r="G422" s="5" t="str">
        <f>IFERROR(__xludf.DUMMYFUNCTION("GOOGLETRANSLATE(B422, ""en"", ""hi"")"),"कौन सा भारतीय शहर 1993 में खो-खो राष्ट्रीय चैम्पियनशिप की मेजबानी के लिए जाना जाता था?")</f>
        <v>कौन सा भारतीय शहर 1993 में खो-खो राष्ट्रीय चैम्पियनशिप की मेजबानी के लिए जाना जाता था?</v>
      </c>
      <c r="H422" s="5" t="str">
        <f>IFERROR(__xludf.DUMMYFUNCTION("GOOGLETRANSLATE(C422, ""en"", ""hi"")"),"A) मुंबई, B) बैंगलोर, C) दिल्ली, D) चेन्नई")</f>
        <v>A) मुंबई, B) बैंगलोर, C) दिल्ली, D) चेन्नई</v>
      </c>
      <c r="I422" s="5" t="str">
        <f>IFERROR(__xludf.DUMMYFUNCTION("GOOGLETRANSLATE(D422, ""en"", ""hi"")"),"C) दिल्ली")</f>
        <v>C) दिल्ली</v>
      </c>
    </row>
    <row r="423" ht="22.5" customHeight="1">
      <c r="A423" s="7">
        <v>422.0</v>
      </c>
      <c r="B423" s="4" t="s">
        <v>2419</v>
      </c>
      <c r="C423" s="4" t="s">
        <v>1988</v>
      </c>
      <c r="D423" s="4" t="s">
        <v>1953</v>
      </c>
      <c r="F423" s="5" t="str">
        <f>IFERROR(__xludf.DUMMYFUNCTION("GOOGLETRANSLATE(A423, ""en"", ""hi"")"),"422")</f>
        <v>422</v>
      </c>
      <c r="G423" s="5" t="str">
        <f>IFERROR(__xludf.DUMMYFUNCTION("GOOGLETRANSLATE(B423, ""en"", ""hi"")"),"2002 में आयोजित खो-खो विश्व कप के मुख्य रेफरी कौन थे?")</f>
        <v>2002 में आयोजित खो-खो विश्व कप के मुख्य रेफरी कौन थे?</v>
      </c>
      <c r="H423" s="5" t="str">
        <f>IFERROR(__xludf.DUMMYFUNCTION("GOOGLETRANSLATE(C423, ""en"", ""hi"")"),"A) वी.के. जोशी, B) एच.पी. सिंह, C) एम.के. शर्मा, D) आर.एस. कुमार")</f>
        <v>A) वी.के. जोशी, B) एच.पी. सिंह, C) एम.के. शर्मा, D) आर.एस. कुमार</v>
      </c>
      <c r="I423" s="5" t="str">
        <f>IFERROR(__xludf.DUMMYFUNCTION("GOOGLETRANSLATE(D423, ""en"", ""hi"")"),"बी) एच.पी. सिंह")</f>
        <v>बी) एच.पी. सिंह</v>
      </c>
    </row>
    <row r="424" ht="22.5" customHeight="1">
      <c r="A424" s="7">
        <v>423.0</v>
      </c>
      <c r="B424" s="4" t="s">
        <v>2420</v>
      </c>
      <c r="C424" s="4" t="s">
        <v>2421</v>
      </c>
      <c r="D424" s="4" t="s">
        <v>158</v>
      </c>
      <c r="F424" s="5" t="str">
        <f>IFERROR(__xludf.DUMMYFUNCTION("GOOGLETRANSLATE(A424, ""en"", ""hi"")"),"423")</f>
        <v>423</v>
      </c>
      <c r="G424" s="5" t="str">
        <f>IFERROR(__xludf.DUMMYFUNCTION("GOOGLETRANSLATE(B424, ""en"", ""hi"")"),"2014 में खो-खो विश्व कप का आयोजन किस भारतीय राज्य में हुआ था?")</f>
        <v>2014 में खो-खो विश्व कप का आयोजन किस भारतीय राज्य में हुआ था?</v>
      </c>
      <c r="H424" s="5" t="str">
        <f>IFERROR(__xludf.DUMMYFUNCTION("GOOGLETRANSLATE(C424, ""en"", ""hi"")"),"A) महाराष्ट्र, B) पंजाब, C) दिल्ली, D) हरियाणा")</f>
        <v>A) महाराष्ट्र, B) पंजाब, C) दिल्ली, D) हरियाणा</v>
      </c>
      <c r="I424" s="5" t="str">
        <f>IFERROR(__xludf.DUMMYFUNCTION("GOOGLETRANSLATE(D424, ""en"", ""hi"")"),"A) महाराष्ट्र")</f>
        <v>A) महाराष्ट्र</v>
      </c>
    </row>
    <row r="425" ht="22.5" customHeight="1">
      <c r="A425" s="7">
        <v>424.0</v>
      </c>
      <c r="B425" s="4" t="s">
        <v>2249</v>
      </c>
      <c r="C425" s="4" t="s">
        <v>2058</v>
      </c>
      <c r="D425" s="4" t="s">
        <v>2292</v>
      </c>
      <c r="F425" s="5" t="str">
        <f>IFERROR(__xludf.DUMMYFUNCTION("GOOGLETRANSLATE(A425, ""en"", ""hi"")"),"424")</f>
        <v>424</v>
      </c>
      <c r="G425" s="5" t="str">
        <f>IFERROR(__xludf.DUMMYFUNCTION("GOOGLETRANSLATE(B425, ""en"", ""hi"")"),"1990 में आयोजित खो-खो विश्व कप में शीर्ष स्कोरर कौन था?")</f>
        <v>1990 में आयोजित खो-खो विश्व कप में शीर्ष स्कोरर कौन था?</v>
      </c>
      <c r="H425" s="5" t="str">
        <f>IFERROR(__xludf.DUMMYFUNCTION("GOOGLETRANSLATE(C425, ""en"", ""hi"")"),"A) एम.के. शर्मा, B) एच.पी. सिंह, C) आर.एस. कुमार, D) एस.पी. सिंह")</f>
        <v>A) एम.के. शर्मा, B) एच.पी. सिंह, C) आर.एस. कुमार, D) एस.पी. सिंह</v>
      </c>
      <c r="I425" s="5" t="str">
        <f>IFERROR(__xludf.DUMMYFUNCTION("GOOGLETRANSLATE(D425, ""en"", ""hi"")"),"A) एम.के. शर्मा")</f>
        <v>A) एम.के. शर्मा</v>
      </c>
    </row>
    <row r="426" ht="22.5" customHeight="1">
      <c r="A426" s="7">
        <v>425.0</v>
      </c>
      <c r="B426" s="4" t="s">
        <v>2422</v>
      </c>
      <c r="C426" s="4" t="s">
        <v>2423</v>
      </c>
      <c r="D426" s="4" t="s">
        <v>2424</v>
      </c>
      <c r="F426" s="5" t="str">
        <f>IFERROR(__xludf.DUMMYFUNCTION("GOOGLETRANSLATE(A426, ""en"", ""hi"")"),"425")</f>
        <v>425</v>
      </c>
      <c r="G426" s="5" t="str">
        <f>IFERROR(__xludf.DUMMYFUNCTION("GOOGLETRANSLATE(B426, ""en"", ""hi"")"),"2011 में किस भारतीय शहर ने खो-खो राष्ट्रीय चैम्पियनशिप की मेजबानी की?")</f>
        <v>2011 में किस भारतीय शहर ने खो-खो राष्ट्रीय चैम्पियनशिप की मेजबानी की?</v>
      </c>
      <c r="H426" s="5" t="str">
        <f>IFERROR(__xludf.DUMMYFUNCTION("GOOGLETRANSLATE(C426, ""en"", ""hi"")"),"A) बैंगलोर, B) चेन्नई, C) दिल्ली, D) मुंबई")</f>
        <v>A) बैंगलोर, B) चेन्नई, C) दिल्ली, D) मुंबई</v>
      </c>
      <c r="I426" s="5" t="str">
        <f>IFERROR(__xludf.DUMMYFUNCTION("GOOGLETRANSLATE(D426, ""en"", ""hi"")"),"D) मुंबई")</f>
        <v>D) मुंबई</v>
      </c>
    </row>
    <row r="427" ht="22.5" customHeight="1">
      <c r="A427" s="7">
        <v>426.0</v>
      </c>
      <c r="B427" s="4" t="s">
        <v>2269</v>
      </c>
      <c r="C427" s="4" t="s">
        <v>2425</v>
      </c>
      <c r="D427" s="4" t="s">
        <v>2426</v>
      </c>
      <c r="F427" s="5" t="str">
        <f>IFERROR(__xludf.DUMMYFUNCTION("GOOGLETRANSLATE(A427, ""en"", ""hi"")"),"426")</f>
        <v>426</v>
      </c>
      <c r="G427" s="5" t="str">
        <f>IFERROR(__xludf.DUMMYFUNCTION("GOOGLETRANSLATE(B427, ""en"", ""hi"")"),"2015 में आयोजित खो-खो विश्व कप का मुख्य आयोजक कौन था?")</f>
        <v>2015 में आयोजित खो-खो विश्व कप का मुख्य आयोजक कौन था?</v>
      </c>
      <c r="H427" s="5" t="str">
        <f>IFERROR(__xludf.DUMMYFUNCTION("GOOGLETRANSLATE(C427, ""en"", ""hi"")"),"A) वी.के. जोशी, B) एम.के. शर्मा, C) एच.पी. सिंह, D) आर.एस. कुमार")</f>
        <v>A) वी.के. जोशी, B) एम.के. शर्मा, C) एच.पी. सिंह, D) आर.एस. कुमार</v>
      </c>
      <c r="I427" s="5" t="str">
        <f>IFERROR(__xludf.DUMMYFUNCTION("GOOGLETRANSLATE(D427, ""en"", ""hi"")"),"C) एच.पी. सिंह")</f>
        <v>C) एच.पी. सिंह</v>
      </c>
    </row>
    <row r="428" ht="22.5" customHeight="1">
      <c r="A428" s="7">
        <v>427.0</v>
      </c>
      <c r="B428" s="4" t="s">
        <v>2427</v>
      </c>
      <c r="C428" s="4" t="s">
        <v>2428</v>
      </c>
      <c r="D428" s="4" t="s">
        <v>1927</v>
      </c>
      <c r="F428" s="5" t="str">
        <f>IFERROR(__xludf.DUMMYFUNCTION("GOOGLETRANSLATE(A428, ""en"", ""hi"")"),"427")</f>
        <v>427</v>
      </c>
      <c r="G428" s="5" t="str">
        <f>IFERROR(__xludf.DUMMYFUNCTION("GOOGLETRANSLATE(B428, ""en"", ""hi"")"),"2002 में खो-खो विश्व कप के नियमों में क्या बड़ा बदलाव किया गया?")</f>
        <v>2002 में खो-खो विश्व कप के नियमों में क्या बड़ा बदलाव किया गया?</v>
      </c>
      <c r="H428" s="5" t="str">
        <f>IFERROR(__xludf.DUMMYFUNCTION("GOOGLETRANSLATE(C428, ""en"", ""hi"")"),"ए) इलेक्ट्रॉनिक स्कोरबोर्ड की शुरूआत, बी) अंतर्राष्ट्रीय टीमों का विस्तार, सी) टैगिंग नियमों में संशोधन, डी) वीडियो समीक्षा की शुरूआत")</f>
        <v>ए) इलेक्ट्रॉनिक स्कोरबोर्ड की शुरूआत, बी) अंतर्राष्ट्रीय टीमों का विस्तार, सी) टैगिंग नियमों में संशोधन, डी) वीडियो समीक्षा की शुरूआत</v>
      </c>
      <c r="I428" s="5" t="str">
        <f>IFERROR(__xludf.DUMMYFUNCTION("GOOGLETRANSLATE(D428, ""en"", ""hi"")"),"C) टैगिंग नियमों में संशोधन")</f>
        <v>C) टैगिंग नियमों में संशोधन</v>
      </c>
    </row>
    <row r="429" ht="22.5" customHeight="1">
      <c r="A429" s="7">
        <v>428.0</v>
      </c>
      <c r="B429" s="4" t="s">
        <v>1951</v>
      </c>
      <c r="C429" s="4" t="s">
        <v>2429</v>
      </c>
      <c r="D429" s="4" t="s">
        <v>2124</v>
      </c>
      <c r="F429" s="5" t="str">
        <f>IFERROR(__xludf.DUMMYFUNCTION("GOOGLETRANSLATE(A429, ""en"", ""hi"")"),"428")</f>
        <v>428</v>
      </c>
      <c r="G429" s="5" t="str">
        <f>IFERROR(__xludf.DUMMYFUNCTION("GOOGLETRANSLATE(B429, ""en"", ""hi"")"),"2010 में आयोजित खो-खो विश्व कप में अग्रणी स्कोरर कौन था?")</f>
        <v>2010 में आयोजित खो-खो विश्व कप में अग्रणी स्कोरर कौन था?</v>
      </c>
      <c r="H429" s="5" t="str">
        <f>IFERROR(__xludf.DUMMYFUNCTION("GOOGLETRANSLATE(C429, ""en"", ""hi"")"),"ए) एस.पी. सिंह, बी) एम.के. शर्मा, सी) आर.एस. कुमार, डी) एच.पी. सिंह")</f>
        <v>ए) एस.पी. सिंह, बी) एम.के. शर्मा, सी) आर.एस. कुमार, डी) एच.पी. सिंह</v>
      </c>
      <c r="I429" s="5" t="str">
        <f>IFERROR(__xludf.DUMMYFUNCTION("GOOGLETRANSLATE(D429, ""en"", ""hi"")"),"बी) एम.के. शर्मा")</f>
        <v>बी) एम.के. शर्मा</v>
      </c>
    </row>
    <row r="430" ht="22.5" customHeight="1">
      <c r="A430" s="7">
        <v>429.0</v>
      </c>
      <c r="B430" s="4" t="s">
        <v>2430</v>
      </c>
      <c r="C430" s="4" t="s">
        <v>2431</v>
      </c>
      <c r="D430" s="4" t="s">
        <v>543</v>
      </c>
      <c r="F430" s="5" t="str">
        <f>IFERROR(__xludf.DUMMYFUNCTION("GOOGLETRANSLATE(A430, ""en"", ""hi"")"),"429")</f>
        <v>429</v>
      </c>
      <c r="G430" s="5" t="str">
        <f>IFERROR(__xludf.DUMMYFUNCTION("GOOGLETRANSLATE(B430, ""en"", ""hi"")"),"1997 में खो-खो विश्व कप की मेजबानी किस भारतीय शहर ने की थी?")</f>
        <v>1997 में खो-खो विश्व कप की मेजबानी किस भारतीय शहर ने की थी?</v>
      </c>
      <c r="H430" s="5" t="str">
        <f>IFERROR(__xludf.DUMMYFUNCTION("GOOGLETRANSLATE(C430, ""en"", ""hi"")"),"A) दिल्ली, B) चेन्नई, C) बैंगलोर, D) मुंबई")</f>
        <v>A) दिल्ली, B) चेन्नई, C) बैंगलोर, D) मुंबई</v>
      </c>
      <c r="I430" s="5" t="str">
        <f>IFERROR(__xludf.DUMMYFUNCTION("GOOGLETRANSLATE(D430, ""en"", ""hi"")"),"ए) दिल्ली")</f>
        <v>ए) दिल्ली</v>
      </c>
    </row>
    <row r="431" ht="22.5" customHeight="1">
      <c r="A431" s="7">
        <v>430.0</v>
      </c>
      <c r="B431" s="4" t="s">
        <v>2432</v>
      </c>
      <c r="C431" s="4" t="s">
        <v>2392</v>
      </c>
      <c r="D431" s="4" t="s">
        <v>1915</v>
      </c>
      <c r="F431" s="5" t="str">
        <f>IFERROR(__xludf.DUMMYFUNCTION("GOOGLETRANSLATE(A431, ""en"", ""hi"")"),"430")</f>
        <v>430</v>
      </c>
      <c r="G431" s="5" t="str">
        <f>IFERROR(__xludf.DUMMYFUNCTION("GOOGLETRANSLATE(B431, ""en"", ""hi"")"),"2016 में आयोजित खो-खो विश्व कप के मुख्य रेफरी कौन थे?")</f>
        <v>2016 में आयोजित खो-खो विश्व कप के मुख्य रेफरी कौन थे?</v>
      </c>
      <c r="H431" s="5" t="str">
        <f>IFERROR(__xludf.DUMMYFUNCTION("GOOGLETRANSLATE(C431, ""en"", ""hi"")"),"A) एच.पी. सिंह, B) वी.के. जोशी, C) एम.के. शर्मा, D) आर.एस. कुमार")</f>
        <v>A) एच.पी. सिंह, B) वी.के. जोशी, C) एम.के. शर्मा, D) आर.एस. कुमार</v>
      </c>
      <c r="I431" s="5" t="str">
        <f>IFERROR(__xludf.DUMMYFUNCTION("GOOGLETRANSLATE(D431, ""en"", ""hi"")"),"ए) एच.पी. सिंह")</f>
        <v>ए) एच.पी. सिंह</v>
      </c>
    </row>
    <row r="432" ht="22.5" customHeight="1">
      <c r="A432" s="7">
        <v>431.0</v>
      </c>
      <c r="B432" s="4" t="s">
        <v>2433</v>
      </c>
      <c r="C432" s="4" t="s">
        <v>2434</v>
      </c>
      <c r="D432" s="4" t="s">
        <v>2435</v>
      </c>
      <c r="F432" s="5" t="str">
        <f>IFERROR(__xludf.DUMMYFUNCTION("GOOGLETRANSLATE(A432, ""en"", ""hi"")"),"431")</f>
        <v>431</v>
      </c>
      <c r="G432" s="5" t="str">
        <f>IFERROR(__xludf.DUMMYFUNCTION("GOOGLETRANSLATE(B432, ""en"", ""hi"")"),"कौन सा भारतीय राज्य 2009 में खो-खो विश्व कप की मेजबानी के लिए जाना जाता था?")</f>
        <v>कौन सा भारतीय राज्य 2009 में खो-खो विश्व कप की मेजबानी के लिए जाना जाता था?</v>
      </c>
      <c r="H432" s="5" t="str">
        <f>IFERROR(__xludf.DUMMYFUNCTION("GOOGLETRANSLATE(C432, ""en"", ""hi"")"),"A) दिल्ली, B) पंजाब, C) महाराष्ट्र, D) हरियाणा")</f>
        <v>A) दिल्ली, B) पंजाब, C) महाराष्ट्र, D) हरियाणा</v>
      </c>
      <c r="I432" s="5" t="str">
        <f>IFERROR(__xludf.DUMMYFUNCTION("GOOGLETRANSLATE(D432, ""en"", ""hi"")"),"D) हरियाणा")</f>
        <v>D) हरियाणा</v>
      </c>
    </row>
    <row r="433" ht="22.5" customHeight="1">
      <c r="A433" s="7">
        <v>432.0</v>
      </c>
      <c r="B433" s="4" t="s">
        <v>2184</v>
      </c>
      <c r="C433" s="4" t="s">
        <v>1929</v>
      </c>
      <c r="D433" s="4" t="s">
        <v>2292</v>
      </c>
      <c r="F433" s="5" t="str">
        <f>IFERROR(__xludf.DUMMYFUNCTION("GOOGLETRANSLATE(A433, ""en"", ""hi"")"),"432")</f>
        <v>432</v>
      </c>
      <c r="G433" s="5" t="str">
        <f>IFERROR(__xludf.DUMMYFUNCTION("GOOGLETRANSLATE(B433, ""en"", ""hi"")"),"1994 में आयोजित खो-खो विश्व कप में शीर्ष स्कोरर कौन था?")</f>
        <v>1994 में आयोजित खो-खो विश्व कप में शीर्ष स्कोरर कौन था?</v>
      </c>
      <c r="H433" s="5" t="str">
        <f>IFERROR(__xludf.DUMMYFUNCTION("GOOGLETRANSLATE(C433, ""en"", ""hi"")"),"A) एम.के. शर्मा, B) आर.एस. कुमार, C) एस.पी. सिंह, D) एच.पी. सिंह")</f>
        <v>A) एम.के. शर्मा, B) आर.एस. कुमार, C) एस.पी. सिंह, D) एच.पी. सिंह</v>
      </c>
      <c r="I433" s="5" t="str">
        <f>IFERROR(__xludf.DUMMYFUNCTION("GOOGLETRANSLATE(D433, ""en"", ""hi"")"),"A) एम.के. शर्मा")</f>
        <v>A) एम.के. शर्मा</v>
      </c>
    </row>
    <row r="434" ht="22.5" customHeight="1">
      <c r="A434" s="7">
        <v>433.0</v>
      </c>
      <c r="B434" s="4" t="s">
        <v>2436</v>
      </c>
      <c r="C434" s="4" t="s">
        <v>2437</v>
      </c>
      <c r="D434" s="4" t="s">
        <v>2382</v>
      </c>
      <c r="F434" s="5" t="str">
        <f>IFERROR(__xludf.DUMMYFUNCTION("GOOGLETRANSLATE(A434, ""en"", ""hi"")"),"433")</f>
        <v>433</v>
      </c>
      <c r="G434" s="5" t="str">
        <f>IFERROR(__xludf.DUMMYFUNCTION("GOOGLETRANSLATE(B434, ""en"", ""hi"")"),"2014 में किस भारतीय शहर ने खो-खो राष्ट्रीय चैम्पियनशिप की मेजबानी की?")</f>
        <v>2014 में किस भारतीय शहर ने खो-खो राष्ट्रीय चैम्पियनशिप की मेजबानी की?</v>
      </c>
      <c r="H434" s="5" t="str">
        <f>IFERROR(__xludf.DUMMYFUNCTION("GOOGLETRANSLATE(C434, ""en"", ""hi"")"),"A) चेन्नई, B) दिल्ली, C) मुंबई, D) बैंगलोर")</f>
        <v>A) चेन्नई, B) दिल्ली, C) मुंबई, D) बैंगलोर</v>
      </c>
      <c r="I434" s="5" t="str">
        <f>IFERROR(__xludf.DUMMYFUNCTION("GOOGLETRANSLATE(D434, ""en"", ""hi"")"),"C) मुंबई")</f>
        <v>C) मुंबई</v>
      </c>
    </row>
    <row r="435" ht="22.5" customHeight="1">
      <c r="A435" s="7">
        <v>434.0</v>
      </c>
      <c r="B435" s="4" t="s">
        <v>2438</v>
      </c>
      <c r="C435" s="4" t="s">
        <v>2439</v>
      </c>
      <c r="D435" s="4" t="s">
        <v>2229</v>
      </c>
      <c r="F435" s="5" t="str">
        <f>IFERROR(__xludf.DUMMYFUNCTION("GOOGLETRANSLATE(A435, ""en"", ""hi"")"),"434")</f>
        <v>434</v>
      </c>
      <c r="G435" s="5" t="str">
        <f>IFERROR(__xludf.DUMMYFUNCTION("GOOGLETRANSLATE(B435, ""en"", ""hi"")"),"1999 में आयोजित खो-खो विश्व कप का मुख्य आयोजक कौन था?")</f>
        <v>1999 में आयोजित खो-खो विश्व कप का मुख्य आयोजक कौन था?</v>
      </c>
      <c r="H435" s="5" t="str">
        <f>IFERROR(__xludf.DUMMYFUNCTION("GOOGLETRANSLATE(C435, ""en"", ""hi"")"),"A) वी.के. जोशी, B) आर.एस. कुमार, C) एच.पी. सिंह, D) एम.के. शर्मा")</f>
        <v>A) वी.के. जोशी, B) आर.एस. कुमार, C) एच.पी. सिंह, D) एम.के. शर्मा</v>
      </c>
      <c r="I435" s="5" t="str">
        <f>IFERROR(__xludf.DUMMYFUNCTION("GOOGLETRANSLATE(D435, ""en"", ""hi"")"),"D) एम.के. शर्मा")</f>
        <v>D) एम.के. शर्मा</v>
      </c>
    </row>
    <row r="436" ht="22.5" customHeight="1">
      <c r="A436" s="7">
        <v>435.0</v>
      </c>
      <c r="B436" s="4" t="s">
        <v>2440</v>
      </c>
      <c r="C436" s="4" t="s">
        <v>2441</v>
      </c>
      <c r="D436" s="4" t="s">
        <v>2442</v>
      </c>
      <c r="F436" s="5" t="str">
        <f>IFERROR(__xludf.DUMMYFUNCTION("GOOGLETRANSLATE(A436, ""en"", ""hi"")"),"435")</f>
        <v>435</v>
      </c>
      <c r="G436" s="5" t="str">
        <f>IFERROR(__xludf.DUMMYFUNCTION("GOOGLETRANSLATE(B436, ""en"", ""hi"")"),"1990 के दशक में खो-खो में कौन सा महत्वपूर्ण नियम परिवर्तन किया गया?")</f>
        <v>1990 के दशक में खो-खो में कौन सा महत्वपूर्ण नियम परिवर्तन किया गया?</v>
      </c>
      <c r="H436" s="5" t="str">
        <f>IFERROR(__xludf.DUMMYFUNCTION("GOOGLETRANSLATE(C436, ""en"", ""hi"")"),"ए) इलेक्ट्रॉनिक स्कोरबोर्ड की शुरूआत, बी) खेल की अवधि में संशोधन, सी) वीडियो समीक्षा की शुरूआत, डी) अंतर्राष्ट्रीय टूर्नामेंटों का विस्तार")</f>
        <v>ए) इलेक्ट्रॉनिक स्कोरबोर्ड की शुरूआत, बी) खेल की अवधि में संशोधन, सी) वीडियो समीक्षा की शुरूआत, डी) अंतर्राष्ट्रीय टूर्नामेंटों का विस्तार</v>
      </c>
      <c r="I436" s="5" t="str">
        <f>IFERROR(__xludf.DUMMYFUNCTION("GOOGLETRANSLATE(D436, ""en"", ""hi"")"),"बी) खेल की अवधि में संशोधन")</f>
        <v>बी) खेल की अवधि में संशोधन</v>
      </c>
    </row>
    <row r="437" ht="22.5" customHeight="1">
      <c r="A437" s="7">
        <v>436.0</v>
      </c>
      <c r="B437" s="4" t="s">
        <v>2443</v>
      </c>
      <c r="C437" s="4" t="s">
        <v>2444</v>
      </c>
      <c r="D437" s="4" t="s">
        <v>2278</v>
      </c>
      <c r="F437" s="5" t="str">
        <f>IFERROR(__xludf.DUMMYFUNCTION("GOOGLETRANSLATE(A437, ""en"", ""hi"")"),"436")</f>
        <v>436</v>
      </c>
      <c r="G437" s="5" t="str">
        <f>IFERROR(__xludf.DUMMYFUNCTION("GOOGLETRANSLATE(B437, ""en"", ""hi"")"),"2012 में आयोजित खो-खो विश्व कप में अग्रणी स्कोरर कौन था?")</f>
        <v>2012 में आयोजित खो-खो विश्व कप में अग्रणी स्कोरर कौन था?</v>
      </c>
      <c r="H437" s="5" t="str">
        <f>IFERROR(__xludf.DUMMYFUNCTION("GOOGLETRANSLATE(C437, ""en"", ""hi"")"),"A) आर.एस. कुमार, B) एस.पी. सिंह, C) एम.के. शर्मा, D) एच.पी. सिंह")</f>
        <v>A) आर.एस. कुमार, B) एस.पी. सिंह, C) एम.के. शर्मा, D) एच.पी. सिंह</v>
      </c>
      <c r="I437" s="5" t="str">
        <f>IFERROR(__xludf.DUMMYFUNCTION("GOOGLETRANSLATE(D437, ""en"", ""hi"")"),"बी) एस.पी. सिंह")</f>
        <v>बी) एस.पी. सिंह</v>
      </c>
    </row>
    <row r="438" ht="22.5" customHeight="1">
      <c r="A438" s="7">
        <v>437.0</v>
      </c>
      <c r="B438" s="4" t="s">
        <v>2445</v>
      </c>
      <c r="C438" s="4" t="s">
        <v>2431</v>
      </c>
      <c r="D438" s="4" t="s">
        <v>2446</v>
      </c>
      <c r="F438" s="5" t="str">
        <f>IFERROR(__xludf.DUMMYFUNCTION("GOOGLETRANSLATE(A438, ""en"", ""hi"")"),"437")</f>
        <v>437</v>
      </c>
      <c r="G438" s="5" t="str">
        <f>IFERROR(__xludf.DUMMYFUNCTION("GOOGLETRANSLATE(B438, ""en"", ""hi"")"),"2002 में खो-खो राष्ट्रीय चैम्पियनशिप की मेजबानी किस भारतीय शहर ने की थी?")</f>
        <v>2002 में खो-खो राष्ट्रीय चैम्पियनशिप की मेजबानी किस भारतीय शहर ने की थी?</v>
      </c>
      <c r="H438" s="5" t="str">
        <f>IFERROR(__xludf.DUMMYFUNCTION("GOOGLETRANSLATE(C438, ""en"", ""hi"")"),"A) दिल्ली, B) चेन्नई, C) बैंगलोर, D) मुंबई")</f>
        <v>A) दिल्ली, B) चेन्नई, C) बैंगलोर, D) मुंबई</v>
      </c>
      <c r="I438" s="5" t="str">
        <f>IFERROR(__xludf.DUMMYFUNCTION("GOOGLETRANSLATE(D438, ""en"", ""hi"")"),"बी) चेन्नई")</f>
        <v>बी) चेन्नई</v>
      </c>
    </row>
    <row r="439" ht="22.5" customHeight="1">
      <c r="A439" s="7">
        <v>438.0</v>
      </c>
      <c r="B439" s="4" t="s">
        <v>2302</v>
      </c>
      <c r="C439" s="4" t="s">
        <v>2447</v>
      </c>
      <c r="D439" s="4" t="s">
        <v>2199</v>
      </c>
      <c r="F439" s="5" t="str">
        <f>IFERROR(__xludf.DUMMYFUNCTION("GOOGLETRANSLATE(A439, ""en"", ""hi"")"),"438")</f>
        <v>438</v>
      </c>
      <c r="G439" s="5" t="str">
        <f>IFERROR(__xludf.DUMMYFUNCTION("GOOGLETRANSLATE(B439, ""en"", ""hi"")"),"वर्ष 2000 में आयोजित खो-खो विश्व कप के मुख्य रेफरी कौन थे?")</f>
        <v>वर्ष 2000 में आयोजित खो-खो विश्व कप के मुख्य रेफरी कौन थे?</v>
      </c>
      <c r="H439" s="5" t="str">
        <f>IFERROR(__xludf.DUMMYFUNCTION("GOOGLETRANSLATE(C439, ""en"", ""hi"")"),"A) एम.के. शर्मा, B) एच.पी. सिंह, C) आर.एस. कुमार, D) वी.के. जोशी")</f>
        <v>A) एम.के. शर्मा, B) एच.पी. सिंह, C) आर.एस. कुमार, D) वी.के. जोशी</v>
      </c>
      <c r="I439" s="5" t="str">
        <f>IFERROR(__xludf.DUMMYFUNCTION("GOOGLETRANSLATE(D439, ""en"", ""hi"")"),"C) आर.एस. कुमार")</f>
        <v>C) आर.एस. कुमार</v>
      </c>
    </row>
    <row r="440" ht="22.5" customHeight="1">
      <c r="A440" s="7">
        <v>439.0</v>
      </c>
      <c r="B440" s="4" t="s">
        <v>2448</v>
      </c>
      <c r="C440" s="4" t="s">
        <v>2449</v>
      </c>
      <c r="D440" s="4" t="s">
        <v>13</v>
      </c>
      <c r="F440" s="5" t="str">
        <f>IFERROR(__xludf.DUMMYFUNCTION("GOOGLETRANSLATE(A440, ""en"", ""hi"")"),"439")</f>
        <v>439</v>
      </c>
      <c r="G440" s="5" t="str">
        <f>IFERROR(__xludf.DUMMYFUNCTION("GOOGLETRANSLATE(B440, ""en"", ""hi"")"),"2007 में खो-खो राष्ट्रीय चैम्पियनशिप का आयोजन किस भारतीय राज्य में हुआ था?")</f>
        <v>2007 में खो-खो राष्ट्रीय चैम्पियनशिप का आयोजन किस भारतीय राज्य में हुआ था?</v>
      </c>
      <c r="H440" s="5" t="str">
        <f>IFERROR(__xludf.DUMMYFUNCTION("GOOGLETRANSLATE(C440, ""en"", ""hi"")"),"A) हरियाणा, B) पंजाब, C) दिल्ली, D) महाराष्ट्र")</f>
        <v>A) हरियाणा, B) पंजाब, C) दिल्ली, D) महाराष्ट्र</v>
      </c>
      <c r="I440" s="5" t="str">
        <f>IFERROR(__xludf.DUMMYFUNCTION("GOOGLETRANSLATE(D440, ""en"", ""hi"")"),"D) महाराष्ट्र")</f>
        <v>D) महाराष्ट्र</v>
      </c>
    </row>
    <row r="441" ht="22.5" customHeight="1">
      <c r="A441" s="7">
        <v>440.0</v>
      </c>
      <c r="B441" s="4" t="s">
        <v>2215</v>
      </c>
      <c r="C441" s="4" t="s">
        <v>2450</v>
      </c>
      <c r="D441" s="4" t="s">
        <v>2229</v>
      </c>
      <c r="F441" s="5" t="str">
        <f>IFERROR(__xludf.DUMMYFUNCTION("GOOGLETRANSLATE(A441, ""en"", ""hi"")"),"440")</f>
        <v>440</v>
      </c>
      <c r="G441" s="5" t="str">
        <f>IFERROR(__xludf.DUMMYFUNCTION("GOOGLETRANSLATE(B441, ""en"", ""hi"")"),"1986 में आयोजित खो-खो विश्व कप में शीर्ष स्कोरर कौन था?")</f>
        <v>1986 में आयोजित खो-खो विश्व कप में शीर्ष स्कोरर कौन था?</v>
      </c>
      <c r="H441" s="5" t="str">
        <f>IFERROR(__xludf.DUMMYFUNCTION("GOOGLETRANSLATE(C441, ""en"", ""hi"")"),"A) एस.पी. सिंह, B) एच.पी. सिंह, C) आर.एस. कुमार, D) एम.के. शर्मा")</f>
        <v>A) एस.पी. सिंह, B) एच.पी. सिंह, C) आर.एस. कुमार, D) एम.के. शर्मा</v>
      </c>
      <c r="I441" s="5" t="str">
        <f>IFERROR(__xludf.DUMMYFUNCTION("GOOGLETRANSLATE(D441, ""en"", ""hi"")"),"D) एम.के. शर्मा")</f>
        <v>D) एम.के. शर्मा</v>
      </c>
    </row>
    <row r="442" ht="22.5" customHeight="1">
      <c r="A442" s="7">
        <v>441.0</v>
      </c>
      <c r="B442" s="4" t="s">
        <v>2451</v>
      </c>
      <c r="C442" s="4" t="s">
        <v>2452</v>
      </c>
      <c r="D442" s="4" t="s">
        <v>2135</v>
      </c>
      <c r="F442" s="5" t="str">
        <f>IFERROR(__xludf.DUMMYFUNCTION("GOOGLETRANSLATE(A442, ""en"", ""hi"")"),"441")</f>
        <v>441</v>
      </c>
      <c r="G442" s="5" t="str">
        <f>IFERROR(__xludf.DUMMYFUNCTION("GOOGLETRANSLATE(B442, ""en"", ""hi"")"),"कौन सा भारतीय शहर 1996 में खो-खो राष्ट्रीय चैम्पियनशिप की मेजबानी के लिए जाना जाता था?")</f>
        <v>कौन सा भारतीय शहर 1996 में खो-खो राष्ट्रीय चैम्पियनशिप की मेजबानी के लिए जाना जाता था?</v>
      </c>
      <c r="H442" s="5" t="str">
        <f>IFERROR(__xludf.DUMMYFUNCTION("GOOGLETRANSLATE(C442, ""en"", ""hi"")"),"A) मुंबई, B) चेन्नई, C) दिल्ली, D) बैंगलोर")</f>
        <v>A) मुंबई, B) चेन्नई, C) दिल्ली, D) बैंगलोर</v>
      </c>
      <c r="I442" s="5" t="str">
        <f>IFERROR(__xludf.DUMMYFUNCTION("GOOGLETRANSLATE(D442, ""en"", ""hi"")"),"डी) बैंगलोर")</f>
        <v>डी) बैंगलोर</v>
      </c>
    </row>
    <row r="443" ht="22.5" customHeight="1">
      <c r="A443" s="7">
        <v>442.0</v>
      </c>
      <c r="B443" s="4" t="s">
        <v>2453</v>
      </c>
      <c r="C443" s="4" t="s">
        <v>2454</v>
      </c>
      <c r="D443" s="4" t="s">
        <v>1915</v>
      </c>
      <c r="F443" s="5" t="str">
        <f>IFERROR(__xludf.DUMMYFUNCTION("GOOGLETRANSLATE(A443, ""en"", ""hi"")"),"442")</f>
        <v>442</v>
      </c>
      <c r="G443" s="5" t="str">
        <f>IFERROR(__xludf.DUMMYFUNCTION("GOOGLETRANSLATE(B443, ""en"", ""hi"")"),"1986 में आयोजित खो-खो विश्व कप का मुख्य आयोजक कौन था?")</f>
        <v>1986 में आयोजित खो-खो विश्व कप का मुख्य आयोजक कौन था?</v>
      </c>
      <c r="H443" s="5" t="str">
        <f>IFERROR(__xludf.DUMMYFUNCTION("GOOGLETRANSLATE(C443, ""en"", ""hi"")"),"A) एच.पी. सिंह, B) वी.के. जोशी, C) आर.एस. कुमार, D) एम.के. शर्मा")</f>
        <v>A) एच.पी. सिंह, B) वी.के. जोशी, C) आर.एस. कुमार, D) एम.के. शर्मा</v>
      </c>
      <c r="I443" s="5" t="str">
        <f>IFERROR(__xludf.DUMMYFUNCTION("GOOGLETRANSLATE(D443, ""en"", ""hi"")"),"ए) एच.पी. सिंह")</f>
        <v>ए) एच.पी. सिंह</v>
      </c>
    </row>
    <row r="444" ht="22.5" customHeight="1">
      <c r="A444" s="7">
        <v>443.0</v>
      </c>
      <c r="B444" s="4" t="s">
        <v>2455</v>
      </c>
      <c r="C444" s="4" t="s">
        <v>2456</v>
      </c>
      <c r="D444" s="4" t="s">
        <v>1968</v>
      </c>
      <c r="F444" s="5" t="str">
        <f>IFERROR(__xludf.DUMMYFUNCTION("GOOGLETRANSLATE(A444, ""en"", ""hi"")"),"443")</f>
        <v>443</v>
      </c>
      <c r="G444" s="5" t="str">
        <f>IFERROR(__xludf.DUMMYFUNCTION("GOOGLETRANSLATE(B444, ""en"", ""hi"")"),"किस भारतीय राज्य ने 2001 में खो-खो के लिए एक नया क्षेत्र लेआउट पेश किया?")</f>
        <v>किस भारतीय राज्य ने 2001 में खो-खो के लिए एक नया क्षेत्र लेआउट पेश किया?</v>
      </c>
      <c r="H444" s="5" t="str">
        <f>IFERROR(__xludf.DUMMYFUNCTION("GOOGLETRANSLATE(C444, ""en"", ""hi"")"),"A) हरियाणा, B) पंजाब, C) महाराष्ट्र, D) दिल्ली")</f>
        <v>A) हरियाणा, B) पंजाब, C) महाराष्ट्र, D) दिल्ली</v>
      </c>
      <c r="I444" s="5" t="str">
        <f>IFERROR(__xludf.DUMMYFUNCTION("GOOGLETRANSLATE(D444, ""en"", ""hi"")"),"बी) पंजाब")</f>
        <v>बी) पंजाब</v>
      </c>
    </row>
    <row r="445" ht="22.5" customHeight="1">
      <c r="A445" s="7">
        <v>444.0</v>
      </c>
      <c r="B445" s="4" t="s">
        <v>2457</v>
      </c>
      <c r="C445" s="4" t="s">
        <v>1984</v>
      </c>
      <c r="D445" s="4" t="s">
        <v>1915</v>
      </c>
      <c r="F445" s="5" t="str">
        <f>IFERROR(__xludf.DUMMYFUNCTION("GOOGLETRANSLATE(A445, ""en"", ""hi"")"),"444")</f>
        <v>444</v>
      </c>
      <c r="G445" s="5" t="str">
        <f>IFERROR(__xludf.DUMMYFUNCTION("GOOGLETRANSLATE(B445, ""en"", ""hi"")"),"2001 में आयोजित खो-खो विश्व कप में अग्रणी स्कोरर कौन था?")</f>
        <v>2001 में आयोजित खो-खो विश्व कप में अग्रणी स्कोरर कौन था?</v>
      </c>
      <c r="H445" s="5" t="str">
        <f>IFERROR(__xludf.DUMMYFUNCTION("GOOGLETRANSLATE(C445, ""en"", ""hi"")"),"A) एच.पी. सिंह, B) एम.के. शर्मा, C) आर.एस. कुमार, D) एस.पी. सिंह")</f>
        <v>A) एच.पी. सिंह, B) एम.के. शर्मा, C) आर.एस. कुमार, D) एस.पी. सिंह</v>
      </c>
      <c r="I445" s="5" t="str">
        <f>IFERROR(__xludf.DUMMYFUNCTION("GOOGLETRANSLATE(D445, ""en"", ""hi"")"),"ए) एच.पी. सिंह")</f>
        <v>ए) एच.पी. सिंह</v>
      </c>
    </row>
    <row r="446" ht="22.5" customHeight="1">
      <c r="A446" s="7">
        <v>445.0</v>
      </c>
      <c r="B446" s="4" t="s">
        <v>2458</v>
      </c>
      <c r="C446" s="4" t="s">
        <v>2381</v>
      </c>
      <c r="D446" s="4" t="s">
        <v>2107</v>
      </c>
      <c r="F446" s="5" t="str">
        <f>IFERROR(__xludf.DUMMYFUNCTION("GOOGLETRANSLATE(A446, ""en"", ""hi"")"),"445")</f>
        <v>445</v>
      </c>
      <c r="G446" s="5" t="str">
        <f>IFERROR(__xludf.DUMMYFUNCTION("GOOGLETRANSLATE(B446, ""en"", ""hi"")"),"1988 में खो-खो विश्व कप की मेजबानी किस भारतीय शहर ने की थी?")</f>
        <v>1988 में खो-खो विश्व कप की मेजबानी किस भारतीय शहर ने की थी?</v>
      </c>
      <c r="H446" s="5" t="str">
        <f>IFERROR(__xludf.DUMMYFUNCTION("GOOGLETRANSLATE(C446, ""en"", ""hi"")"),"ए) दिल्ली, बी) चेन्नई, सी) मुंबई, डी) कोलकाता")</f>
        <v>ए) दिल्ली, बी) चेन्नई, सी) मुंबई, डी) कोलकाता</v>
      </c>
      <c r="I446" s="5" t="str">
        <f>IFERROR(__xludf.DUMMYFUNCTION("GOOGLETRANSLATE(D446, ""en"", ""hi"")"),"D) कोलकाता")</f>
        <v>D) कोलकाता</v>
      </c>
    </row>
    <row r="447" ht="22.5" customHeight="1">
      <c r="A447" s="7">
        <v>446.0</v>
      </c>
      <c r="B447" s="4" t="s">
        <v>2459</v>
      </c>
      <c r="C447" s="4" t="s">
        <v>2460</v>
      </c>
      <c r="D447" s="4" t="s">
        <v>1819</v>
      </c>
      <c r="F447" s="5" t="str">
        <f>IFERROR(__xludf.DUMMYFUNCTION("GOOGLETRANSLATE(A447, ""en"", ""hi"")"),"446")</f>
        <v>446</v>
      </c>
      <c r="G447" s="5" t="str">
        <f>IFERROR(__xludf.DUMMYFUNCTION("GOOGLETRANSLATE(B447, ""en"", ""hi"")"),"2011 में आयोजित खो-खो राष्ट्रीय चैम्पियनशिप के मुख्य रेफरी कौन थे?")</f>
        <v>2011 में आयोजित खो-खो राष्ट्रीय चैम्पियनशिप के मुख्य रेफरी कौन थे?</v>
      </c>
      <c r="H447" s="5" t="str">
        <f>IFERROR(__xludf.DUMMYFUNCTION("GOOGLETRANSLATE(C447, ""en"", ""hi"")"),"A) एम.के. शर्मा, B) वी.के. जोशी, C) एच.पी. सिंह, D) आर.एस. कुमार")</f>
        <v>A) एम.के. शर्मा, B) वी.के. जोशी, C) एच.पी. सिंह, D) आर.एस. कुमार</v>
      </c>
      <c r="I447" s="5" t="str">
        <f>IFERROR(__xludf.DUMMYFUNCTION("GOOGLETRANSLATE(D447, ""en"", ""hi"")"),"बी) वी.के. जोशी")</f>
        <v>बी) वी.के. जोशी</v>
      </c>
    </row>
    <row r="448" ht="22.5" customHeight="1">
      <c r="A448" s="7">
        <v>447.0</v>
      </c>
      <c r="B448" s="4" t="s">
        <v>2461</v>
      </c>
      <c r="C448" s="4" t="s">
        <v>2310</v>
      </c>
      <c r="D448" s="4" t="s">
        <v>2301</v>
      </c>
      <c r="F448" s="5" t="str">
        <f>IFERROR(__xludf.DUMMYFUNCTION("GOOGLETRANSLATE(A448, ""en"", ""hi"")"),"447")</f>
        <v>447</v>
      </c>
      <c r="G448" s="5" t="str">
        <f>IFERROR(__xludf.DUMMYFUNCTION("GOOGLETRANSLATE(B448, ""en"", ""hi"")"),"कौन सा भारतीय शहर 1992 में खो-खो विश्व कप की मेजबानी के लिए जाना जाता था?")</f>
        <v>कौन सा भारतीय शहर 1992 में खो-खो विश्व कप की मेजबानी के लिए जाना जाता था?</v>
      </c>
      <c r="H448" s="5" t="str">
        <f>IFERROR(__xludf.DUMMYFUNCTION("GOOGLETRANSLATE(C448, ""en"", ""hi"")"),"A) बैंगलोर, B) मुंबई, C) चेन्नई, D) दिल्ली")</f>
        <v>A) बैंगलोर, B) मुंबई, C) चेन्नई, D) दिल्ली</v>
      </c>
      <c r="I448" s="5" t="str">
        <f>IFERROR(__xludf.DUMMYFUNCTION("GOOGLETRANSLATE(D448, ""en"", ""hi"")"),"D) दिल्ली")</f>
        <v>D) दिल्ली</v>
      </c>
    </row>
    <row r="449" ht="22.5" customHeight="1">
      <c r="A449" s="7">
        <v>448.0</v>
      </c>
      <c r="B449" s="4" t="s">
        <v>2462</v>
      </c>
      <c r="C449" s="4" t="s">
        <v>1952</v>
      </c>
      <c r="D449" s="4" t="s">
        <v>2267</v>
      </c>
      <c r="F449" s="5" t="str">
        <f>IFERROR(__xludf.DUMMYFUNCTION("GOOGLETRANSLATE(A449, ""en"", ""hi"")"),"448")</f>
        <v>448</v>
      </c>
      <c r="G449" s="5" t="str">
        <f>IFERROR(__xludf.DUMMYFUNCTION("GOOGLETRANSLATE(B449, ""en"", ""hi"")"),"2011 में आयोजित खो-खो विश्व कप में शीर्ष स्कोरर कौन था?")</f>
        <v>2011 में आयोजित खो-खो विश्व कप में शीर्ष स्कोरर कौन था?</v>
      </c>
      <c r="H449" s="5" t="str">
        <f>IFERROR(__xludf.DUMMYFUNCTION("GOOGLETRANSLATE(C449, ""en"", ""hi"")"),"A) एम.के. शर्मा, B) एच.पी. सिंह, C) एस.पी. सिंह, D) आर.एस. कुमार")</f>
        <v>A) एम.के. शर्मा, B) एच.पी. सिंह, C) एस.पी. सिंह, D) आर.एस. कुमार</v>
      </c>
      <c r="I449" s="5" t="str">
        <f>IFERROR(__xludf.DUMMYFUNCTION("GOOGLETRANSLATE(D449, ""en"", ""hi"")"),"C) एस.पी. सिंह")</f>
        <v>C) एस.पी. सिंह</v>
      </c>
    </row>
    <row r="450" ht="22.5" customHeight="1">
      <c r="A450" s="7">
        <v>449.0</v>
      </c>
      <c r="B450" s="4" t="s">
        <v>2463</v>
      </c>
      <c r="C450" s="4" t="s">
        <v>2361</v>
      </c>
      <c r="D450" s="4" t="s">
        <v>98</v>
      </c>
      <c r="F450" s="5" t="str">
        <f>IFERROR(__xludf.DUMMYFUNCTION("GOOGLETRANSLATE(A450, ""en"", ""hi"")"),"449")</f>
        <v>449</v>
      </c>
      <c r="G450" s="5" t="str">
        <f>IFERROR(__xludf.DUMMYFUNCTION("GOOGLETRANSLATE(B450, ""en"", ""hi"")"),"कौन सा भारतीय राज्य 2010 में खो-खो विश्व कप की मेजबानी के लिए जाना जाता था?")</f>
        <v>कौन सा भारतीय राज्य 2010 में खो-खो विश्व कप की मेजबानी के लिए जाना जाता था?</v>
      </c>
      <c r="H450" s="5" t="str">
        <f>IFERROR(__xludf.DUMMYFUNCTION("GOOGLETRANSLATE(C450, ""en"", ""hi"")"),"A) दिल्ली, B) महाराष्ट्र, C) पंजाब, D) हरियाणा")</f>
        <v>A) दिल्ली, B) महाराष्ट्र, C) पंजाब, D) हरियाणा</v>
      </c>
      <c r="I450" s="5" t="str">
        <f>IFERROR(__xludf.DUMMYFUNCTION("GOOGLETRANSLATE(D450, ""en"", ""hi"")"),"बी) महाराष्ट्र")</f>
        <v>बी) महाराष्ट्र</v>
      </c>
    </row>
    <row r="451" ht="22.5" customHeight="1">
      <c r="A451" s="7">
        <v>450.0</v>
      </c>
      <c r="B451" s="4" t="s">
        <v>2464</v>
      </c>
      <c r="C451" s="4" t="s">
        <v>2439</v>
      </c>
      <c r="D451" s="4" t="s">
        <v>1974</v>
      </c>
      <c r="F451" s="5" t="str">
        <f>IFERROR(__xludf.DUMMYFUNCTION("GOOGLETRANSLATE(A451, ""en"", ""hi"")"),"450")</f>
        <v>450</v>
      </c>
      <c r="G451" s="5" t="str">
        <f>IFERROR(__xludf.DUMMYFUNCTION("GOOGLETRANSLATE(B451, ""en"", ""hi"")"),"2007 में आयोजित खो-खो विश्व कप का मुख्य आयोजक कौन था?")</f>
        <v>2007 में आयोजित खो-खो विश्व कप का मुख्य आयोजक कौन था?</v>
      </c>
      <c r="H451" s="5" t="str">
        <f>IFERROR(__xludf.DUMMYFUNCTION("GOOGLETRANSLATE(C451, ""en"", ""hi"")"),"A) वी.के. जोशी, B) आर.एस. कुमार, C) एच.पी. सिंह, D) एम.के. शर्मा")</f>
        <v>A) वी.के. जोशी, B) आर.एस. कुमार, C) एच.पी. सिंह, D) एम.के. शर्मा</v>
      </c>
      <c r="I451" s="5" t="str">
        <f>IFERROR(__xludf.DUMMYFUNCTION("GOOGLETRANSLATE(D451, ""en"", ""hi"")"),"A) वी.के. जोशी")</f>
        <v>A) वी.के. जोशी</v>
      </c>
    </row>
    <row r="452" ht="22.5" customHeight="1">
      <c r="A452" s="7">
        <v>451.0</v>
      </c>
      <c r="B452" s="4" t="s">
        <v>2440</v>
      </c>
      <c r="C452" s="4" t="s">
        <v>2465</v>
      </c>
      <c r="D452" s="4" t="s">
        <v>2466</v>
      </c>
      <c r="F452" s="5" t="str">
        <f>IFERROR(__xludf.DUMMYFUNCTION("GOOGLETRANSLATE(A452, ""en"", ""hi"")"),"451")</f>
        <v>451</v>
      </c>
      <c r="G452" s="5" t="str">
        <f>IFERROR(__xludf.DUMMYFUNCTION("GOOGLETRANSLATE(B452, ""en"", ""hi"")"),"1990 के दशक में खो-खो में कौन सा महत्वपूर्ण नियम परिवर्तन किया गया?")</f>
        <v>1990 के दशक में खो-खो में कौन सा महत्वपूर्ण नियम परिवर्तन किया गया?</v>
      </c>
      <c r="H452" s="5" t="str">
        <f>IFERROR(__xludf.DUMMYFUNCTION("GOOGLETRANSLATE(C452, ""en"", ""hi"")"),"ए) खेल अवधि में संशोधन, बी) इलेक्ट्रॉनिक स्कोरिंग की शुरूआत, सी) मैदान के आयामों का मानकीकरण, डी) अंतर्राष्ट्रीय टूर्नामेंटों का विस्तार")</f>
        <v>ए) खेल अवधि में संशोधन, बी) इलेक्ट्रॉनिक स्कोरिंग की शुरूआत, सी) मैदान के आयामों का मानकीकरण, डी) अंतर्राष्ट्रीय टूर्नामेंटों का विस्तार</v>
      </c>
      <c r="I452" s="5" t="str">
        <f>IFERROR(__xludf.DUMMYFUNCTION("GOOGLETRANSLATE(D452, ""en"", ""hi"")"),"A) खेल की अवधि में संशोधन")</f>
        <v>A) खेल की अवधि में संशोधन</v>
      </c>
    </row>
    <row r="453" ht="22.5" customHeight="1">
      <c r="A453" s="7">
        <v>452.0</v>
      </c>
      <c r="B453" s="4" t="s">
        <v>2467</v>
      </c>
      <c r="C453" s="4" t="s">
        <v>2468</v>
      </c>
      <c r="D453" s="4" t="s">
        <v>2229</v>
      </c>
      <c r="F453" s="5" t="str">
        <f>IFERROR(__xludf.DUMMYFUNCTION("GOOGLETRANSLATE(A453, ""en"", ""hi"")"),"452")</f>
        <v>452</v>
      </c>
      <c r="G453" s="5" t="str">
        <f>IFERROR(__xludf.DUMMYFUNCTION("GOOGLETRANSLATE(B453, ""en"", ""hi"")"),"1988 में आयोजित खो-खो विश्व कप में अग्रणी स्कोरर कौन था?")</f>
        <v>1988 में आयोजित खो-खो विश्व कप में अग्रणी स्कोरर कौन था?</v>
      </c>
      <c r="H453" s="5" t="str">
        <f>IFERROR(__xludf.DUMMYFUNCTION("GOOGLETRANSLATE(C453, ""en"", ""hi"")"),"ए) एस.पी. सिंह, बी) आर.एस. कुमार, सी) एच.पी. सिंह, डी) एम.के. शर्मा")</f>
        <v>ए) एस.पी. सिंह, बी) आर.एस. कुमार, सी) एच.पी. सिंह, डी) एम.के. शर्मा</v>
      </c>
      <c r="I453" s="5" t="str">
        <f>IFERROR(__xludf.DUMMYFUNCTION("GOOGLETRANSLATE(D453, ""en"", ""hi"")"),"D) एम.के. शर्मा")</f>
        <v>D) एम.के. शर्मा</v>
      </c>
    </row>
    <row r="454" ht="22.5" customHeight="1">
      <c r="A454" s="7">
        <v>453.0</v>
      </c>
      <c r="B454" s="4" t="s">
        <v>2469</v>
      </c>
      <c r="C454" s="4" t="s">
        <v>2470</v>
      </c>
      <c r="D454" s="4" t="s">
        <v>2092</v>
      </c>
      <c r="F454" s="5" t="str">
        <f>IFERROR(__xludf.DUMMYFUNCTION("GOOGLETRANSLATE(A454, ""en"", ""hi"")"),"453")</f>
        <v>453</v>
      </c>
      <c r="G454" s="5" t="str">
        <f>IFERROR(__xludf.DUMMYFUNCTION("GOOGLETRANSLATE(B454, ""en"", ""hi"")"),"2013 में खो-खो विश्व कप की मेजबानी किस भारतीय शहर ने की थी?")</f>
        <v>2013 में खो-खो विश्व कप की मेजबानी किस भारतीय शहर ने की थी?</v>
      </c>
      <c r="H454" s="5" t="str">
        <f>IFERROR(__xludf.DUMMYFUNCTION("GOOGLETRANSLATE(C454, ""en"", ""hi"")"),"A) बैंगलोर, B) दिल्ली, C) मुंबई, D) पुणे")</f>
        <v>A) बैंगलोर, B) दिल्ली, C) मुंबई, D) पुणे</v>
      </c>
      <c r="I454" s="5" t="str">
        <f>IFERROR(__xludf.DUMMYFUNCTION("GOOGLETRANSLATE(D454, ""en"", ""hi"")"),"D) पुणे")</f>
        <v>D) पुणे</v>
      </c>
    </row>
    <row r="455" ht="22.5" customHeight="1">
      <c r="A455" s="7">
        <v>454.0</v>
      </c>
      <c r="B455" s="4" t="s">
        <v>2471</v>
      </c>
      <c r="C455" s="4" t="s">
        <v>2425</v>
      </c>
      <c r="D455" s="4" t="s">
        <v>2328</v>
      </c>
      <c r="F455" s="5" t="str">
        <f>IFERROR(__xludf.DUMMYFUNCTION("GOOGLETRANSLATE(A455, ""en"", ""hi"")"),"454")</f>
        <v>454</v>
      </c>
      <c r="G455" s="5" t="str">
        <f>IFERROR(__xludf.DUMMYFUNCTION("GOOGLETRANSLATE(B455, ""en"", ""hi"")"),"2005 में आयोजित खो-खो राष्ट्रीय चैम्पियनशिप के मुख्य रेफरी कौन थे?")</f>
        <v>2005 में आयोजित खो-खो राष्ट्रीय चैम्पियनशिप के मुख्य रेफरी कौन थे?</v>
      </c>
      <c r="H455" s="5" t="str">
        <f>IFERROR(__xludf.DUMMYFUNCTION("GOOGLETRANSLATE(C455, ""en"", ""hi"")"),"A) वी.के. जोशी, B) एम.के. शर्मा, C) एच.पी. सिंह, D) आर.एस. कुमार")</f>
        <v>A) वी.के. जोशी, B) एम.के. शर्मा, C) एच.पी. सिंह, D) आर.एस. कुमार</v>
      </c>
      <c r="I455" s="5" t="str">
        <f>IFERROR(__xludf.DUMMYFUNCTION("GOOGLETRANSLATE(D455, ""en"", ""hi"")"),"D) आर.एस. कुमार")</f>
        <v>D) आर.एस. कुमार</v>
      </c>
    </row>
    <row r="456" ht="22.5" customHeight="1">
      <c r="A456" s="7">
        <v>455.0</v>
      </c>
      <c r="B456" s="4" t="s">
        <v>2472</v>
      </c>
      <c r="C456" s="4" t="s">
        <v>2473</v>
      </c>
      <c r="D456" s="4" t="s">
        <v>158</v>
      </c>
      <c r="F456" s="5" t="str">
        <f>IFERROR(__xludf.DUMMYFUNCTION("GOOGLETRANSLATE(A456, ""en"", ""hi"")"),"455")</f>
        <v>455</v>
      </c>
      <c r="G456" s="5" t="str">
        <f>IFERROR(__xludf.DUMMYFUNCTION("GOOGLETRANSLATE(B456, ""en"", ""hi"")"),"किस भारतीय राज्य ने 2002 में खो-खो में एक नए खिलाड़ी की स्थिति शुरू की?")</f>
        <v>किस भारतीय राज्य ने 2002 में खो-खो में एक नए खिलाड़ी की स्थिति शुरू की?</v>
      </c>
      <c r="H456" s="5" t="str">
        <f>IFERROR(__xludf.DUMMYFUNCTION("GOOGLETRANSLATE(C456, ""en"", ""hi"")"),"A) महाराष्ट्र, B) दिल्ली, C) पंजाब, D) हरियाणा")</f>
        <v>A) महाराष्ट्र, B) दिल्ली, C) पंजाब, D) हरियाणा</v>
      </c>
      <c r="I456" s="5" t="str">
        <f>IFERROR(__xludf.DUMMYFUNCTION("GOOGLETRANSLATE(D456, ""en"", ""hi"")"),"A) महाराष्ट्र")</f>
        <v>A) महाराष्ट्र</v>
      </c>
    </row>
    <row r="457" ht="22.5" customHeight="1">
      <c r="A457" s="7">
        <v>456.0</v>
      </c>
      <c r="B457" s="4" t="s">
        <v>2474</v>
      </c>
      <c r="C457" s="4" t="s">
        <v>2291</v>
      </c>
      <c r="D457" s="4" t="s">
        <v>1980</v>
      </c>
      <c r="F457" s="5" t="str">
        <f>IFERROR(__xludf.DUMMYFUNCTION("GOOGLETRANSLATE(A457, ""en"", ""hi"")"),"456")</f>
        <v>456</v>
      </c>
      <c r="G457" s="5" t="str">
        <f>IFERROR(__xludf.DUMMYFUNCTION("GOOGLETRANSLATE(B457, ""en"", ""hi"")"),"1999 में आयोजित खो-खो विश्व कप में शीर्ष स्कोरर कौन था?")</f>
        <v>1999 में आयोजित खो-खो विश्व कप में शीर्ष स्कोरर कौन था?</v>
      </c>
      <c r="H457" s="5" t="str">
        <f>IFERROR(__xludf.DUMMYFUNCTION("GOOGLETRANSLATE(C457, ""en"", ""hi"")"),"A) एम.के. शर्मा, B) आर.एस. कुमार, C) एच.पी. सिंह, D) एस.पी. सिंह")</f>
        <v>A) एम.के. शर्मा, B) आर.एस. कुमार, C) एच.पी. सिंह, D) एस.पी. सिंह</v>
      </c>
      <c r="I457" s="5" t="str">
        <f>IFERROR(__xludf.DUMMYFUNCTION("GOOGLETRANSLATE(D457, ""en"", ""hi"")"),"बी) आर.एस. कुमार")</f>
        <v>बी) आर.एस. कुमार</v>
      </c>
    </row>
    <row r="458" ht="22.5" customHeight="1">
      <c r="A458" s="7">
        <v>457.0</v>
      </c>
      <c r="B458" s="4" t="s">
        <v>2309</v>
      </c>
      <c r="C458" s="4" t="s">
        <v>2452</v>
      </c>
      <c r="D458" s="4" t="s">
        <v>766</v>
      </c>
      <c r="F458" s="5" t="str">
        <f>IFERROR(__xludf.DUMMYFUNCTION("GOOGLETRANSLATE(A458, ""en"", ""hi"")"),"457")</f>
        <v>457</v>
      </c>
      <c r="G458" s="5" t="str">
        <f>IFERROR(__xludf.DUMMYFUNCTION("GOOGLETRANSLATE(B458, ""en"", ""hi"")"),"2004 में किस भारतीय शहर ने खो-खो राष्ट्रीय चैम्पियनशिप की मेजबानी की थी?")</f>
        <v>2004 में किस भारतीय शहर ने खो-खो राष्ट्रीय चैम्पियनशिप की मेजबानी की थी?</v>
      </c>
      <c r="H458" s="5" t="str">
        <f>IFERROR(__xludf.DUMMYFUNCTION("GOOGLETRANSLATE(C458, ""en"", ""hi"")"),"A) मुंबई, B) चेन्नई, C) दिल्ली, D) बैंगलोर")</f>
        <v>A) मुंबई, B) चेन्नई, C) दिल्ली, D) बैंगलोर</v>
      </c>
      <c r="I458" s="5" t="str">
        <f>IFERROR(__xludf.DUMMYFUNCTION("GOOGLETRANSLATE(D458, ""en"", ""hi"")"),"C) दिल्ली")</f>
        <v>C) दिल्ली</v>
      </c>
    </row>
    <row r="459" ht="22.5" customHeight="1">
      <c r="A459" s="7">
        <v>458.0</v>
      </c>
      <c r="B459" s="4" t="s">
        <v>2475</v>
      </c>
      <c r="C459" s="4" t="s">
        <v>1988</v>
      </c>
      <c r="D459" s="4" t="s">
        <v>2101</v>
      </c>
      <c r="F459" s="5" t="str">
        <f>IFERROR(__xludf.DUMMYFUNCTION("GOOGLETRANSLATE(A459, ""en"", ""hi"")"),"458")</f>
        <v>458</v>
      </c>
      <c r="G459" s="5" t="str">
        <f>IFERROR(__xludf.DUMMYFUNCTION("GOOGLETRANSLATE(B459, ""en"", ""hi"")"),"1991 में आयोजित खो-खो विश्व कप का मुख्य आयोजक कौन था?")</f>
        <v>1991 में आयोजित खो-खो विश्व कप का मुख्य आयोजक कौन था?</v>
      </c>
      <c r="H459" s="5" t="str">
        <f>IFERROR(__xludf.DUMMYFUNCTION("GOOGLETRANSLATE(C459, ""en"", ""hi"")"),"A) वी.के. जोशी, B) एच.पी. सिंह, C) एम.के. शर्मा, D) आर.एस. कुमार")</f>
        <v>A) वी.के. जोशी, B) एच.पी. सिंह, C) एम.के. शर्मा, D) आर.एस. कुमार</v>
      </c>
      <c r="I459" s="5" t="str">
        <f>IFERROR(__xludf.DUMMYFUNCTION("GOOGLETRANSLATE(D459, ""en"", ""hi"")"),"C) एम.के. शर्मा")</f>
        <v>C) एम.के. शर्मा</v>
      </c>
    </row>
    <row r="460" ht="22.5" customHeight="1">
      <c r="A460" s="7">
        <v>459.0</v>
      </c>
      <c r="B460" s="4" t="s">
        <v>2476</v>
      </c>
      <c r="C460" s="4" t="s">
        <v>2477</v>
      </c>
      <c r="D460" s="4" t="s">
        <v>2478</v>
      </c>
      <c r="F460" s="5" t="str">
        <f>IFERROR(__xludf.DUMMYFUNCTION("GOOGLETRANSLATE(A460, ""en"", ""hi"")"),"459")</f>
        <v>459</v>
      </c>
      <c r="G460" s="5" t="str">
        <f>IFERROR(__xludf.DUMMYFUNCTION("GOOGLETRANSLATE(B460, ""en"", ""hi"")"),"2010 के दशक में खो-खो विश्व कप में कौन सा प्रमुख नियम परिवर्तन किया गया?")</f>
        <v>2010 के दशक में खो-खो विश्व कप में कौन सा प्रमुख नियम परिवर्तन किया गया?</v>
      </c>
      <c r="H460" s="5" t="str">
        <f>IFERROR(__xludf.DUMMYFUNCTION("GOOGLETRANSLATE(C460, ""en"", ""hi"")"),"ए) इलेक्ट्रॉनिक स्कोरबोर्ड की शुरूआत, बी) खेल अवधि का मानकीकरण, सी) अंतर्राष्ट्रीय टीमों का विस्तार, डी) वीडियो समीक्षा की शुरूआत")</f>
        <v>ए) इलेक्ट्रॉनिक स्कोरबोर्ड की शुरूआत, बी) खेल अवधि का मानकीकरण, सी) अंतर्राष्ट्रीय टीमों का विस्तार, डी) वीडियो समीक्षा की शुरूआत</v>
      </c>
      <c r="I460" s="5" t="str">
        <f>IFERROR(__xludf.DUMMYFUNCTION("GOOGLETRANSLATE(D460, ""en"", ""hi"")"),"डी) वीडियो समीक्षा का परिचय")</f>
        <v>डी) वीडियो समीक्षा का परिचय</v>
      </c>
    </row>
    <row r="461" ht="22.5" customHeight="1">
      <c r="A461" s="7">
        <v>460.0</v>
      </c>
      <c r="B461" s="4" t="s">
        <v>2479</v>
      </c>
      <c r="C461" s="4" t="s">
        <v>2480</v>
      </c>
      <c r="D461" s="4" t="s">
        <v>2396</v>
      </c>
      <c r="F461" s="5" t="str">
        <f>IFERROR(__xludf.DUMMYFUNCTION("GOOGLETRANSLATE(A461, ""en"", ""hi"")"),"460")</f>
        <v>460</v>
      </c>
      <c r="G461" s="5" t="str">
        <f>IFERROR(__xludf.DUMMYFUNCTION("GOOGLETRANSLATE(B461, ""en"", ""hi"")"),"1985 में आयोजित खो-खो विश्व कप में अग्रणी स्कोरर कौन था?")</f>
        <v>1985 में आयोजित खो-खो विश्व कप में अग्रणी स्कोरर कौन था?</v>
      </c>
      <c r="H461" s="5" t="str">
        <f>IFERROR(__xludf.DUMMYFUNCTION("GOOGLETRANSLATE(C461, ""en"", ""hi"")"),"A) आर.एस. कुमार, B) एच.पी. सिंह, C) एस.पी. सिंह, D) एम.के. शर्मा")</f>
        <v>A) आर.एस. कुमार, B) एच.पी. सिंह, C) एस.पी. सिंह, D) एम.के. शर्मा</v>
      </c>
      <c r="I461" s="5" t="str">
        <f>IFERROR(__xludf.DUMMYFUNCTION("GOOGLETRANSLATE(D461, ""en"", ""hi"")"),"A) आर.एस. कुमार")</f>
        <v>A) आर.एस. कुमार</v>
      </c>
    </row>
    <row r="462" ht="22.5" customHeight="1">
      <c r="A462" s="7">
        <v>461.0</v>
      </c>
      <c r="B462" s="4" t="s">
        <v>2481</v>
      </c>
      <c r="C462" s="4" t="s">
        <v>160</v>
      </c>
      <c r="D462" s="4" t="s">
        <v>77</v>
      </c>
      <c r="F462" s="5" t="str">
        <f>IFERROR(__xludf.DUMMYFUNCTION("GOOGLETRANSLATE(A462, ""en"", ""hi"")"),"461")</f>
        <v>461</v>
      </c>
      <c r="G462" s="5" t="str">
        <f>IFERROR(__xludf.DUMMYFUNCTION("GOOGLETRANSLATE(B462, ""en"", ""hi"")"),"कौन सा भारतीय शहर 2003 में खो-खो विश्व कप की मेजबानी के लिए जाना जाता था?")</f>
        <v>कौन सा भारतीय शहर 2003 में खो-खो विश्व कप की मेजबानी के लिए जाना जाता था?</v>
      </c>
      <c r="H462" s="5" t="str">
        <f>IFERROR(__xludf.DUMMYFUNCTION("GOOGLETRANSLATE(C462, ""en"", ""hi"")"),"A) दिल्ली, B) मुंबई, C) चेन्नई, D) बैंगलोर")</f>
        <v>A) दिल्ली, B) मुंबई, C) चेन्नई, D) बैंगलोर</v>
      </c>
      <c r="I462" s="5" t="str">
        <f>IFERROR(__xludf.DUMMYFUNCTION("GOOGLETRANSLATE(D462, ""en"", ""hi"")"),"बी) मुंबई")</f>
        <v>बी) मुंबई</v>
      </c>
    </row>
    <row r="463" ht="22.5" customHeight="1">
      <c r="A463" s="7">
        <v>462.0</v>
      </c>
      <c r="B463" s="4" t="s">
        <v>2482</v>
      </c>
      <c r="C463" s="4" t="s">
        <v>2392</v>
      </c>
      <c r="D463" s="4" t="s">
        <v>1915</v>
      </c>
      <c r="F463" s="5" t="str">
        <f>IFERROR(__xludf.DUMMYFUNCTION("GOOGLETRANSLATE(A463, ""en"", ""hi"")"),"462")</f>
        <v>462</v>
      </c>
      <c r="G463" s="5" t="str">
        <f>IFERROR(__xludf.DUMMYFUNCTION("GOOGLETRANSLATE(B463, ""en"", ""hi"")"),"1985 में आयोजित खो-खो विश्व कप के मुख्य रेफरी कौन थे?")</f>
        <v>1985 में आयोजित खो-खो विश्व कप के मुख्य रेफरी कौन थे?</v>
      </c>
      <c r="H463" s="5" t="str">
        <f>IFERROR(__xludf.DUMMYFUNCTION("GOOGLETRANSLATE(C463, ""en"", ""hi"")"),"A) एच.पी. सिंह, B) वी.के. जोशी, C) एम.के. शर्मा, D) आर.एस. कुमार")</f>
        <v>A) एच.पी. सिंह, B) वी.के. जोशी, C) एम.के. शर्मा, D) आर.एस. कुमार</v>
      </c>
      <c r="I463" s="5" t="str">
        <f>IFERROR(__xludf.DUMMYFUNCTION("GOOGLETRANSLATE(D463, ""en"", ""hi"")"),"ए) एच.पी. सिंह")</f>
        <v>ए) एच.पी. सिंह</v>
      </c>
    </row>
    <row r="464" ht="22.5" customHeight="1">
      <c r="A464" s="7">
        <v>463.0</v>
      </c>
      <c r="B464" s="4" t="s">
        <v>2483</v>
      </c>
      <c r="C464" s="4" t="s">
        <v>2361</v>
      </c>
      <c r="D464" s="4" t="s">
        <v>98</v>
      </c>
      <c r="F464" s="5" t="str">
        <f>IFERROR(__xludf.DUMMYFUNCTION("GOOGLETRANSLATE(A464, ""en"", ""hi"")"),"463")</f>
        <v>463</v>
      </c>
      <c r="G464" s="5" t="str">
        <f>IFERROR(__xludf.DUMMYFUNCTION("GOOGLETRANSLATE(B464, ""en"", ""hi"")"),"2018 में खो-खो राष्ट्रीय चैम्पियनशिप किसने जीती?")</f>
        <v>2018 में खो-खो राष्ट्रीय चैम्पियनशिप किसने जीती?</v>
      </c>
      <c r="H464" s="5" t="str">
        <f>IFERROR(__xludf.DUMMYFUNCTION("GOOGLETRANSLATE(C464, ""en"", ""hi"")"),"A) दिल्ली, B) महाराष्ट्र, C) पंजाब, D) हरियाणा")</f>
        <v>A) दिल्ली, B) महाराष्ट्र, C) पंजाब, D) हरियाणा</v>
      </c>
      <c r="I464" s="5" t="str">
        <f>IFERROR(__xludf.DUMMYFUNCTION("GOOGLETRANSLATE(D464, ""en"", ""hi"")"),"बी) महाराष्ट्र")</f>
        <v>बी) महाराष्ट्र</v>
      </c>
    </row>
    <row r="465" ht="22.5" customHeight="1">
      <c r="A465" s="7">
        <v>464.0</v>
      </c>
      <c r="B465" s="4" t="s">
        <v>2373</v>
      </c>
      <c r="C465" s="4" t="s">
        <v>2484</v>
      </c>
      <c r="D465" s="4" t="s">
        <v>2301</v>
      </c>
      <c r="F465" s="5" t="str">
        <f>IFERROR(__xludf.DUMMYFUNCTION("GOOGLETRANSLATE(A465, ""en"", ""hi"")"),"464")</f>
        <v>464</v>
      </c>
      <c r="G465" s="5" t="str">
        <f>IFERROR(__xludf.DUMMYFUNCTION("GOOGLETRANSLATE(B465, ""en"", ""hi"")"),"2006 में खो-खो विश्व कप की मेजबानी किस भारतीय शहर ने की थी?")</f>
        <v>2006 में खो-खो विश्व कप की मेजबानी किस भारतीय शहर ने की थी?</v>
      </c>
      <c r="H465" s="5" t="str">
        <f>IFERROR(__xludf.DUMMYFUNCTION("GOOGLETRANSLATE(C465, ""en"", ""hi"")"),"A) मुंबई, B) बैंगलोर, C) चेन्नई, D) दिल्ली")</f>
        <v>A) मुंबई, B) बैंगलोर, C) चेन्नई, D) दिल्ली</v>
      </c>
      <c r="I465" s="5" t="str">
        <f>IFERROR(__xludf.DUMMYFUNCTION("GOOGLETRANSLATE(D465, ""en"", ""hi"")"),"D) दिल्ली")</f>
        <v>D) दिल्ली</v>
      </c>
    </row>
    <row r="466" ht="22.5" customHeight="1">
      <c r="A466" s="7">
        <v>465.0</v>
      </c>
      <c r="B466" s="4" t="s">
        <v>2485</v>
      </c>
      <c r="C466" s="4" t="s">
        <v>1952</v>
      </c>
      <c r="D466" s="4" t="s">
        <v>2267</v>
      </c>
      <c r="F466" s="5" t="str">
        <f>IFERROR(__xludf.DUMMYFUNCTION("GOOGLETRANSLATE(A466, ""en"", ""hi"")"),"465")</f>
        <v>465</v>
      </c>
      <c r="G466" s="5" t="str">
        <f>IFERROR(__xludf.DUMMYFUNCTION("GOOGLETRANSLATE(B466, ""en"", ""hi"")"),"2008 में आयोजित खो-खो विश्व कप में शीर्ष स्कोरर कौन था?")</f>
        <v>2008 में आयोजित खो-खो विश्व कप में शीर्ष स्कोरर कौन था?</v>
      </c>
      <c r="H466" s="5" t="str">
        <f>IFERROR(__xludf.DUMMYFUNCTION("GOOGLETRANSLATE(C466, ""en"", ""hi"")"),"A) एम.के. शर्मा, B) एच.पी. सिंह, C) एस.पी. सिंह, D) आर.एस. कुमार")</f>
        <v>A) एम.के. शर्मा, B) एच.पी. सिंह, C) एस.पी. सिंह, D) आर.एस. कुमार</v>
      </c>
      <c r="I466" s="5" t="str">
        <f>IFERROR(__xludf.DUMMYFUNCTION("GOOGLETRANSLATE(D466, ""en"", ""hi"")"),"C) एस.पी. सिंह")</f>
        <v>C) एस.पी. सिंह</v>
      </c>
    </row>
    <row r="467" ht="22.5" customHeight="1">
      <c r="A467" s="7">
        <v>466.0</v>
      </c>
      <c r="B467" s="4" t="s">
        <v>2486</v>
      </c>
      <c r="C467" s="4" t="s">
        <v>2487</v>
      </c>
      <c r="D467" s="4" t="s">
        <v>2488</v>
      </c>
      <c r="F467" s="5" t="str">
        <f>IFERROR(__xludf.DUMMYFUNCTION("GOOGLETRANSLATE(A467, ""en"", ""hi"")"),"466")</f>
        <v>466</v>
      </c>
      <c r="G467" s="5" t="str">
        <f>IFERROR(__xludf.DUMMYFUNCTION("GOOGLETRANSLATE(B467, ""en"", ""hi"")"),"खो-खो विश्व कप में नई अंक प्रणाली किस वर्ष शुरू की गई?")</f>
        <v>खो-खो विश्व कप में नई अंक प्रणाली किस वर्ष शुरू की गई?</v>
      </c>
      <c r="H467" s="5" t="str">
        <f>IFERROR(__xludf.DUMMYFUNCTION("GOOGLETRANSLATE(C467, ""en"", ""hi"")"),"ए) 2012, बी) 2014, सी) 2016, डी) 2018")</f>
        <v>ए) 2012, बी) 2014, सी) 2016, डी) 2018</v>
      </c>
      <c r="I467" s="5" t="str">
        <f>IFERROR(__xludf.DUMMYFUNCTION("GOOGLETRANSLATE(D467, ""en"", ""hi"")"),"बी) 2014")</f>
        <v>बी) 2014</v>
      </c>
    </row>
    <row r="468" ht="22.5" customHeight="1">
      <c r="A468" s="7">
        <v>467.0</v>
      </c>
      <c r="B468" s="4" t="s">
        <v>2489</v>
      </c>
      <c r="C468" s="4" t="s">
        <v>2490</v>
      </c>
      <c r="D468" s="4" t="s">
        <v>150</v>
      </c>
      <c r="F468" s="5" t="str">
        <f>IFERROR(__xludf.DUMMYFUNCTION("GOOGLETRANSLATE(A468, ""en"", ""hi"")"),"467")</f>
        <v>467</v>
      </c>
      <c r="G468" s="5" t="str">
        <f>IFERROR(__xludf.DUMMYFUNCTION("GOOGLETRANSLATE(B468, ""en"", ""hi"")"),"कौन सा भारतीय राज्य 2015 में खो-खो में उन्नत प्रशिक्षण तकनीक शुरू करने के लिए जाना जाता था?")</f>
        <v>कौन सा भारतीय राज्य 2015 में खो-खो में उन्नत प्रशिक्षण तकनीक शुरू करने के लिए जाना जाता था?</v>
      </c>
      <c r="H468" s="5" t="str">
        <f>IFERROR(__xludf.DUMMYFUNCTION("GOOGLETRANSLATE(C468, ""en"", ""hi"")"),"A) हरियाणा, B) महाराष्ट्र, C) पंजाब, D) दिल्ली")</f>
        <v>A) हरियाणा, B) महाराष्ट्र, C) पंजाब, D) दिल्ली</v>
      </c>
      <c r="I468" s="5" t="str">
        <f>IFERROR(__xludf.DUMMYFUNCTION("GOOGLETRANSLATE(D468, ""en"", ""hi"")"),"A) हरियाणा")</f>
        <v>A) हरियाणा</v>
      </c>
    </row>
    <row r="469" ht="22.5" customHeight="1">
      <c r="A469" s="7">
        <v>468.0</v>
      </c>
      <c r="B469" s="4" t="s">
        <v>2491</v>
      </c>
      <c r="C469" s="4" t="s">
        <v>2228</v>
      </c>
      <c r="D469" s="4" t="s">
        <v>1953</v>
      </c>
      <c r="F469" s="5" t="str">
        <f>IFERROR(__xludf.DUMMYFUNCTION("GOOGLETRANSLATE(A469, ""en"", ""hi"")"),"468")</f>
        <v>468</v>
      </c>
      <c r="G469" s="5" t="str">
        <f>IFERROR(__xludf.DUMMYFUNCTION("GOOGLETRANSLATE(B469, ""en"", ""hi"")"),"2004 में खो-खो विश्व कप में मुख्य रेफरी कौन थे?")</f>
        <v>2004 में खो-खो विश्व कप में मुख्य रेफरी कौन थे?</v>
      </c>
      <c r="H469" s="5" t="str">
        <f>IFERROR(__xludf.DUMMYFUNCTION("GOOGLETRANSLATE(C469, ""en"", ""hi"")"),"A) वी.के. जोशी, B) एच.पी. सिंह, C) आर.एस. कुमार, D) एम.के. शर्मा")</f>
        <v>A) वी.के. जोशी, B) एच.पी. सिंह, C) आर.एस. कुमार, D) एम.के. शर्मा</v>
      </c>
      <c r="I469" s="5" t="str">
        <f>IFERROR(__xludf.DUMMYFUNCTION("GOOGLETRANSLATE(D469, ""en"", ""hi"")"),"बी) एच.पी. सिंह")</f>
        <v>बी) एच.पी. सिंह</v>
      </c>
    </row>
    <row r="470" ht="22.5" customHeight="1">
      <c r="A470" s="7">
        <v>469.0</v>
      </c>
      <c r="B470" s="4" t="s">
        <v>2492</v>
      </c>
      <c r="C470" s="4" t="s">
        <v>2493</v>
      </c>
      <c r="D470" s="4" t="s">
        <v>766</v>
      </c>
      <c r="F470" s="5" t="str">
        <f>IFERROR(__xludf.DUMMYFUNCTION("GOOGLETRANSLATE(A470, ""en"", ""hi"")"),"469")</f>
        <v>469</v>
      </c>
      <c r="G470" s="5" t="str">
        <f>IFERROR(__xludf.DUMMYFUNCTION("GOOGLETRANSLATE(B470, ""en"", ""hi"")"),"2009 में खो-खो विश्व कप की मेजबानी किस भारतीय शहर ने की थी?")</f>
        <v>2009 में खो-खो विश्व कप की मेजबानी किस भारतीय शहर ने की थी?</v>
      </c>
      <c r="H470" s="5" t="str">
        <f>IFERROR(__xludf.DUMMYFUNCTION("GOOGLETRANSLATE(C470, ""en"", ""hi"")"),"A) मुंबई, B) पुणे, C) दिल्ली, D) बैंगलोर")</f>
        <v>A) मुंबई, B) पुणे, C) दिल्ली, D) बैंगलोर</v>
      </c>
      <c r="I470" s="5" t="str">
        <f>IFERROR(__xludf.DUMMYFUNCTION("GOOGLETRANSLATE(D470, ""en"", ""hi"")"),"C) दिल्ली")</f>
        <v>C) दिल्ली</v>
      </c>
    </row>
    <row r="471" ht="22.5" customHeight="1">
      <c r="A471" s="7">
        <v>470.0</v>
      </c>
      <c r="B471" s="4" t="s">
        <v>2494</v>
      </c>
      <c r="C471" s="4" t="s">
        <v>2495</v>
      </c>
      <c r="D471" s="4" t="s">
        <v>2328</v>
      </c>
      <c r="F471" s="5" t="str">
        <f>IFERROR(__xludf.DUMMYFUNCTION("GOOGLETRANSLATE(A471, ""en"", ""hi"")"),"470")</f>
        <v>470</v>
      </c>
      <c r="G471" s="5" t="str">
        <f>IFERROR(__xludf.DUMMYFUNCTION("GOOGLETRANSLATE(B471, ""en"", ""hi"")"),"2017 में आयोजित खो-खो विश्व कप में अग्रणी स्कोरर कौन था?")</f>
        <v>2017 में आयोजित खो-खो विश्व कप में अग्रणी स्कोरर कौन था?</v>
      </c>
      <c r="H471" s="5" t="str">
        <f>IFERROR(__xludf.DUMMYFUNCTION("GOOGLETRANSLATE(C471, ""en"", ""hi"")"),"A) एम.के. शर्मा, B) एस.पी. सिंह, C) एच.पी. सिंह, D) आर.एस. कुमार")</f>
        <v>A) एम.के. शर्मा, B) एस.पी. सिंह, C) एच.पी. सिंह, D) आर.एस. कुमार</v>
      </c>
      <c r="I471" s="5" t="str">
        <f>IFERROR(__xludf.DUMMYFUNCTION("GOOGLETRANSLATE(D471, ""en"", ""hi"")"),"D) आर.एस. कुमार")</f>
        <v>D) आर.एस. कुमार</v>
      </c>
    </row>
    <row r="472" ht="22.5" customHeight="1">
      <c r="A472" s="7">
        <v>471.0</v>
      </c>
      <c r="B472" s="4" t="s">
        <v>2496</v>
      </c>
      <c r="C472" s="4" t="s">
        <v>2452</v>
      </c>
      <c r="D472" s="4" t="s">
        <v>766</v>
      </c>
      <c r="F472" s="5" t="str">
        <f>IFERROR(__xludf.DUMMYFUNCTION("GOOGLETRANSLATE(A472, ""en"", ""hi"")"),"471")</f>
        <v>471</v>
      </c>
      <c r="G472" s="5" t="str">
        <f>IFERROR(__xludf.DUMMYFUNCTION("GOOGLETRANSLATE(B472, ""en"", ""hi"")"),"2016 में किस भारतीय शहर ने खो-खो राष्ट्रीय चैम्पियनशिप की मेजबानी की?")</f>
        <v>2016 में किस भारतीय शहर ने खो-खो राष्ट्रीय चैम्पियनशिप की मेजबानी की?</v>
      </c>
      <c r="H472" s="5" t="str">
        <f>IFERROR(__xludf.DUMMYFUNCTION("GOOGLETRANSLATE(C472, ""en"", ""hi"")"),"A) मुंबई, B) चेन्नई, C) दिल्ली, D) बैंगलोर")</f>
        <v>A) मुंबई, B) चेन्नई, C) दिल्ली, D) बैंगलोर</v>
      </c>
      <c r="I472" s="5" t="str">
        <f>IFERROR(__xludf.DUMMYFUNCTION("GOOGLETRANSLATE(D472, ""en"", ""hi"")"),"C) दिल्ली")</f>
        <v>C) दिल्ली</v>
      </c>
    </row>
    <row r="473" ht="22.5" customHeight="1">
      <c r="A473" s="7">
        <v>472.0</v>
      </c>
      <c r="B473" s="4" t="s">
        <v>2497</v>
      </c>
      <c r="C473" s="4" t="s">
        <v>2498</v>
      </c>
      <c r="D473" s="4" t="s">
        <v>2478</v>
      </c>
      <c r="F473" s="5" t="str">
        <f>IFERROR(__xludf.DUMMYFUNCTION("GOOGLETRANSLATE(A473, ""en"", ""hi"")"),"472")</f>
        <v>472</v>
      </c>
      <c r="G473" s="5" t="str">
        <f>IFERROR(__xludf.DUMMYFUNCTION("GOOGLETRANSLATE(B473, ""en"", ""hi"")"),"2010 के दशक में खो-खो के नियमों में क्या महत्वपूर्ण परिवर्तन हुआ?")</f>
        <v>2010 के दशक में खो-खो के नियमों में क्या महत्वपूर्ण परिवर्तन हुआ?</v>
      </c>
      <c r="H473" s="5" t="str">
        <f>IFERROR(__xludf.DUMMYFUNCTION("GOOGLETRANSLATE(C473, ""en"", ""hi"")"),"ए) नई स्कोरिंग प्रणाली की शुरूआत, बी) अंतर्राष्ट्रीय टीमों का विस्तार, सी) मैदान के आयामों में संशोधन, डी) वीडियो समीक्षा की शुरूआत")</f>
        <v>ए) नई स्कोरिंग प्रणाली की शुरूआत, बी) अंतर्राष्ट्रीय टीमों का विस्तार, सी) मैदान के आयामों में संशोधन, डी) वीडियो समीक्षा की शुरूआत</v>
      </c>
      <c r="I473" s="5" t="str">
        <f>IFERROR(__xludf.DUMMYFUNCTION("GOOGLETRANSLATE(D473, ""en"", ""hi"")"),"डी) वीडियो समीक्षा का परिचय")</f>
        <v>डी) वीडियो समीक्षा का परिचय</v>
      </c>
    </row>
    <row r="474" ht="22.5" customHeight="1">
      <c r="A474" s="7">
        <v>473.0</v>
      </c>
      <c r="B474" s="4" t="s">
        <v>2499</v>
      </c>
      <c r="C474" s="4" t="s">
        <v>2500</v>
      </c>
      <c r="D474" s="4" t="s">
        <v>2199</v>
      </c>
      <c r="F474" s="5" t="str">
        <f>IFERROR(__xludf.DUMMYFUNCTION("GOOGLETRANSLATE(A474, ""en"", ""hi"")"),"473")</f>
        <v>473</v>
      </c>
      <c r="G474" s="5" t="str">
        <f>IFERROR(__xludf.DUMMYFUNCTION("GOOGLETRANSLATE(B474, ""en"", ""hi"")"),"1993 में आयोजित खो-खो विश्व कप का मुख्य आयोजक कौन था?")</f>
        <v>1993 में आयोजित खो-खो विश्व कप का मुख्य आयोजक कौन था?</v>
      </c>
      <c r="H474" s="5" t="str">
        <f>IFERROR(__xludf.DUMMYFUNCTION("GOOGLETRANSLATE(C474, ""en"", ""hi"")"),"A) एम.के. शर्मा, B) वी.के. जोशी, C) आर.एस. कुमार, D) एच.पी. सिंह")</f>
        <v>A) एम.के. शर्मा, B) वी.के. जोशी, C) आर.एस. कुमार, D) एच.पी. सिंह</v>
      </c>
      <c r="I474" s="5" t="str">
        <f>IFERROR(__xludf.DUMMYFUNCTION("GOOGLETRANSLATE(D474, ""en"", ""hi"")"),"C) आर.एस. कुमार")</f>
        <v>C) आर.एस. कुमार</v>
      </c>
    </row>
    <row r="475" ht="22.5" customHeight="1">
      <c r="A475" s="7">
        <v>474.0</v>
      </c>
      <c r="B475" s="4" t="s">
        <v>2501</v>
      </c>
      <c r="C475" s="4" t="s">
        <v>2502</v>
      </c>
      <c r="D475" s="4" t="s">
        <v>98</v>
      </c>
      <c r="F475" s="5" t="str">
        <f>IFERROR(__xludf.DUMMYFUNCTION("GOOGLETRANSLATE(A475, ""en"", ""hi"")"),"474")</f>
        <v>474</v>
      </c>
      <c r="G475" s="5" t="str">
        <f>IFERROR(__xludf.DUMMYFUNCTION("GOOGLETRANSLATE(B475, ""en"", ""hi"")"),"किस भारतीय राज्य ने 2003 में खो-खो मैचों के लिए एक नया प्रारूप शुरू किया?")</f>
        <v>किस भारतीय राज्य ने 2003 में खो-खो मैचों के लिए एक नया प्रारूप शुरू किया?</v>
      </c>
      <c r="H475" s="5" t="str">
        <f>IFERROR(__xludf.DUMMYFUNCTION("GOOGLETRANSLATE(C475, ""en"", ""hi"")"),"A) पंजाब, B) महाराष्ट्र, C) दिल्ली, D) हरियाणा")</f>
        <v>A) पंजाब, B) महाराष्ट्र, C) दिल्ली, D) हरियाणा</v>
      </c>
      <c r="I475" s="5" t="str">
        <f>IFERROR(__xludf.DUMMYFUNCTION("GOOGLETRANSLATE(D475, ""en"", ""hi"")"),"बी) महाराष्ट्र")</f>
        <v>बी) महाराष्ट्र</v>
      </c>
    </row>
    <row r="476" ht="22.5" customHeight="1">
      <c r="A476" s="7">
        <v>475.0</v>
      </c>
      <c r="B476" s="4" t="s">
        <v>2503</v>
      </c>
      <c r="C476" s="4" t="s">
        <v>2504</v>
      </c>
      <c r="D476" s="4" t="s">
        <v>2047</v>
      </c>
      <c r="F476" s="5" t="str">
        <f>IFERROR(__xludf.DUMMYFUNCTION("GOOGLETRANSLATE(A476, ""en"", ""hi"")"),"475")</f>
        <v>475</v>
      </c>
      <c r="G476" s="5" t="str">
        <f>IFERROR(__xludf.DUMMYFUNCTION("GOOGLETRANSLATE(B476, ""en"", ""hi"")"),"वर्ष 2000 में आयोजित खो-खो राष्ट्रीय चैम्पियनशिप में अग्रणी स्कोरर कौन था?")</f>
        <v>वर्ष 2000 में आयोजित खो-खो राष्ट्रीय चैम्पियनशिप में अग्रणी स्कोरर कौन था?</v>
      </c>
      <c r="H476" s="5" t="str">
        <f>IFERROR(__xludf.DUMMYFUNCTION("GOOGLETRANSLATE(C476, ""en"", ""hi"")"),"A) एस.पी. सिंह, B) एम.के. शर्मा, C) एच.पी. सिंह, D) आर.एस. कुमार")</f>
        <v>A) एस.पी. सिंह, B) एम.के. शर्मा, C) एच.पी. सिंह, D) आर.एस. कुमार</v>
      </c>
      <c r="I476" s="5" t="str">
        <f>IFERROR(__xludf.DUMMYFUNCTION("GOOGLETRANSLATE(D476, ""en"", ""hi"")"),"ए) एस.पी. सिंह")</f>
        <v>ए) एस.पी. सिंह</v>
      </c>
    </row>
    <row r="477" ht="22.5" customHeight="1">
      <c r="A477" s="7">
        <v>476.0</v>
      </c>
      <c r="B477" s="4" t="s">
        <v>2505</v>
      </c>
      <c r="C477" s="4" t="s">
        <v>2506</v>
      </c>
      <c r="D477" s="4" t="s">
        <v>543</v>
      </c>
      <c r="F477" s="5" t="str">
        <f>IFERROR(__xludf.DUMMYFUNCTION("GOOGLETRANSLATE(A477, ""en"", ""hi"")"),"476")</f>
        <v>476</v>
      </c>
      <c r="G477" s="5" t="str">
        <f>IFERROR(__xludf.DUMMYFUNCTION("GOOGLETRANSLATE(B477, ""en"", ""hi"")"),"2001 में खो-खो विश्व कप की मेजबानी किस भारतीय शहर ने की थी?")</f>
        <v>2001 में खो-खो विश्व कप की मेजबानी किस भारतीय शहर ने की थी?</v>
      </c>
      <c r="H477" s="5" t="str">
        <f>IFERROR(__xludf.DUMMYFUNCTION("GOOGLETRANSLATE(C477, ""en"", ""hi"")"),"A) दिल्ली, B) बैंगलोर, C) चेन्नई, D) मुंबई")</f>
        <v>A) दिल्ली, B) बैंगलोर, C) चेन्नई, D) मुंबई</v>
      </c>
      <c r="I477" s="5" t="str">
        <f>IFERROR(__xludf.DUMMYFUNCTION("GOOGLETRANSLATE(D477, ""en"", ""hi"")"),"ए) दिल्ली")</f>
        <v>ए) दिल्ली</v>
      </c>
    </row>
    <row r="478" ht="22.5" customHeight="1">
      <c r="A478" s="7">
        <v>477.0</v>
      </c>
      <c r="B478" s="4" t="s">
        <v>2507</v>
      </c>
      <c r="C478" s="4" t="s">
        <v>2508</v>
      </c>
      <c r="D478" s="4" t="s">
        <v>2012</v>
      </c>
      <c r="F478" s="5" t="str">
        <f>IFERROR(__xludf.DUMMYFUNCTION("GOOGLETRANSLATE(A478, ""en"", ""hi"")"),"477")</f>
        <v>477</v>
      </c>
      <c r="G478" s="5" t="str">
        <f>IFERROR(__xludf.DUMMYFUNCTION("GOOGLETRANSLATE(B478, ""en"", ""hi"")"),"2012 में आयोजित खो-खो राष्ट्रीय चैम्पियनशिप के मुख्य रेफरी कौन थे?")</f>
        <v>2012 में आयोजित खो-खो राष्ट्रीय चैम्पियनशिप के मुख्य रेफरी कौन थे?</v>
      </c>
      <c r="H478" s="5" t="str">
        <f>IFERROR(__xludf.DUMMYFUNCTION("GOOGLETRANSLATE(C478, ""en"", ""hi"")"),"A) एच.पी. सिंह, B) आर.एस. कुमार, C) वी.के. जोशी, D) एम.के. शर्मा")</f>
        <v>A) एच.पी. सिंह, B) आर.एस. कुमार, C) वी.के. जोशी, D) एम.के. शर्मा</v>
      </c>
      <c r="I478" s="5" t="str">
        <f>IFERROR(__xludf.DUMMYFUNCTION("GOOGLETRANSLATE(D478, ""en"", ""hi"")"),"C) वी.के. जोशी")</f>
        <v>C) वी.के. जोशी</v>
      </c>
    </row>
    <row r="479" ht="22.5" customHeight="1">
      <c r="A479" s="7">
        <v>478.0</v>
      </c>
      <c r="B479" s="4" t="s">
        <v>2509</v>
      </c>
      <c r="C479" s="4" t="s">
        <v>2510</v>
      </c>
      <c r="D479" s="4" t="s">
        <v>13</v>
      </c>
      <c r="F479" s="5" t="str">
        <f>IFERROR(__xludf.DUMMYFUNCTION("GOOGLETRANSLATE(A479, ""en"", ""hi"")"),"478")</f>
        <v>478</v>
      </c>
      <c r="G479" s="5" t="str">
        <f>IFERROR(__xludf.DUMMYFUNCTION("GOOGLETRANSLATE(B479, ""en"", ""hi"")"),"कौन सा भारतीय राज्य 1998 में खो-खो विश्व कप की मेजबानी के लिए जाना जाता था?")</f>
        <v>कौन सा भारतीय राज्य 1998 में खो-खो विश्व कप की मेजबानी के लिए जाना जाता था?</v>
      </c>
      <c r="H479" s="5" t="str">
        <f>IFERROR(__xludf.DUMMYFUNCTION("GOOGLETRANSLATE(C479, ""en"", ""hi"")"),"A) दिल्ली, B) हरियाणा, C) पंजाब, D) महाराष्ट्र")</f>
        <v>A) दिल्ली, B) हरियाणा, C) पंजाब, D) महाराष्ट्र</v>
      </c>
      <c r="I479" s="5" t="str">
        <f>IFERROR(__xludf.DUMMYFUNCTION("GOOGLETRANSLATE(D479, ""en"", ""hi"")"),"D) महाराष्ट्र")</f>
        <v>D) महाराष्ट्र</v>
      </c>
    </row>
    <row r="480" ht="22.5" customHeight="1">
      <c r="A480" s="7">
        <v>479.0</v>
      </c>
      <c r="B480" s="4" t="s">
        <v>2511</v>
      </c>
      <c r="C480" s="4" t="s">
        <v>1931</v>
      </c>
      <c r="D480" s="4" t="s">
        <v>2124</v>
      </c>
      <c r="F480" s="5" t="str">
        <f>IFERROR(__xludf.DUMMYFUNCTION("GOOGLETRANSLATE(A480, ""en"", ""hi"")"),"479")</f>
        <v>479</v>
      </c>
      <c r="G480" s="5" t="str">
        <f>IFERROR(__xludf.DUMMYFUNCTION("GOOGLETRANSLATE(B480, ""en"", ""hi"")"),"2005 में आयोजित खो-खो राष्ट्रीय चैम्पियनशिप में शीर्ष स्कोरर कौन था?")</f>
        <v>2005 में आयोजित खो-खो राष्ट्रीय चैम्पियनशिप में शीर्ष स्कोरर कौन था?</v>
      </c>
      <c r="H480" s="5" t="str">
        <f>IFERROR(__xludf.DUMMYFUNCTION("GOOGLETRANSLATE(C480, ""en"", ""hi"")"),"A) आर.एस. कुमार, B) एम.के. शर्मा, C) एस.पी. सिंह, D) एच.पी. सिंह")</f>
        <v>A) आर.एस. कुमार, B) एम.के. शर्मा, C) एस.पी. सिंह, D) एच.पी. सिंह</v>
      </c>
      <c r="I480" s="5" t="str">
        <f>IFERROR(__xludf.DUMMYFUNCTION("GOOGLETRANSLATE(D480, ""en"", ""hi"")"),"बी) एम.के. शर्मा")</f>
        <v>बी) एम.के. शर्मा</v>
      </c>
    </row>
    <row r="481" ht="22.5" customHeight="1">
      <c r="A481" s="7">
        <v>480.0</v>
      </c>
      <c r="B481" s="4" t="s">
        <v>2512</v>
      </c>
      <c r="C481" s="4" t="s">
        <v>2352</v>
      </c>
      <c r="D481" s="4" t="s">
        <v>766</v>
      </c>
      <c r="F481" s="5" t="str">
        <f>IFERROR(__xludf.DUMMYFUNCTION("GOOGLETRANSLATE(A481, ""en"", ""hi"")"),"480")</f>
        <v>480</v>
      </c>
      <c r="G481" s="5" t="str">
        <f>IFERROR(__xludf.DUMMYFUNCTION("GOOGLETRANSLATE(B481, ""en"", ""hi"")"),"2014 में खो-खो विश्व कप की मेजबानी किस भारतीय शहर ने की थी?")</f>
        <v>2014 में खो-खो विश्व कप की मेजबानी किस भारतीय शहर ने की थी?</v>
      </c>
      <c r="H481" s="5" t="str">
        <f>IFERROR(__xludf.DUMMYFUNCTION("GOOGLETRANSLATE(C481, ""en"", ""hi"")"),"A) मुंबई, B) बैंगलोर, C) दिल्ली, D) चेन्नई")</f>
        <v>A) मुंबई, B) बैंगलोर, C) दिल्ली, D) चेन्नई</v>
      </c>
      <c r="I481" s="5" t="str">
        <f>IFERROR(__xludf.DUMMYFUNCTION("GOOGLETRANSLATE(D481, ""en"", ""hi"")"),"C) दिल्ली")</f>
        <v>C) दिल्ली</v>
      </c>
    </row>
    <row r="482" ht="22.5" customHeight="1">
      <c r="A482" s="7">
        <v>481.0</v>
      </c>
      <c r="B482" s="4" t="s">
        <v>2321</v>
      </c>
      <c r="C482" s="4" t="s">
        <v>2513</v>
      </c>
      <c r="D482" s="4" t="s">
        <v>2229</v>
      </c>
      <c r="F482" s="5" t="str">
        <f>IFERROR(__xludf.DUMMYFUNCTION("GOOGLETRANSLATE(A482, ""en"", ""hi"")"),"481")</f>
        <v>481</v>
      </c>
      <c r="G482" s="5" t="str">
        <f>IFERROR(__xludf.DUMMYFUNCTION("GOOGLETRANSLATE(B482, ""en"", ""hi"")"),"2008 में आयोजित खो-खो विश्व कप का मुख्य आयोजक कौन था?")</f>
        <v>2008 में आयोजित खो-खो विश्व कप का मुख्य आयोजक कौन था?</v>
      </c>
      <c r="H482" s="5" t="str">
        <f>IFERROR(__xludf.DUMMYFUNCTION("GOOGLETRANSLATE(C482, ""en"", ""hi"")"),"A) आर.एस. कुमार, B) वी.के. जोशी, C) एच.पी. सिंह, D) एम.के. शर्मा")</f>
        <v>A) आर.एस. कुमार, B) वी.के. जोशी, C) एच.पी. सिंह, D) एम.के. शर्मा</v>
      </c>
      <c r="I482" s="5" t="str">
        <f>IFERROR(__xludf.DUMMYFUNCTION("GOOGLETRANSLATE(D482, ""en"", ""hi"")"),"D) एम.के. शर्मा")</f>
        <v>D) एम.के. शर्मा</v>
      </c>
    </row>
    <row r="483" ht="22.5" customHeight="1">
      <c r="A483" s="7">
        <v>482.0</v>
      </c>
      <c r="B483" s="4" t="s">
        <v>2514</v>
      </c>
      <c r="C483" s="4" t="s">
        <v>2515</v>
      </c>
      <c r="D483" s="4" t="s">
        <v>2516</v>
      </c>
      <c r="F483" s="5" t="str">
        <f>IFERROR(__xludf.DUMMYFUNCTION("GOOGLETRANSLATE(A483, ""en"", ""hi"")"),"482")</f>
        <v>482</v>
      </c>
      <c r="G483" s="5" t="str">
        <f>IFERROR(__xludf.DUMMYFUNCTION("GOOGLETRANSLATE(B483, ""en"", ""hi"")"),"2000 के दशक के प्रारंभ में खो-खो में कौन सा प्रमुख नियम परिवर्तन किया गया?")</f>
        <v>2000 के दशक के प्रारंभ में खो-खो में कौन सा प्रमुख नियम परिवर्तन किया गया?</v>
      </c>
      <c r="H483" s="5" t="str">
        <f>IFERROR(__xludf.DUMMYFUNCTION("GOOGLETRANSLATE(C483, ""en"", ""hi"")"),"ए) इलेक्ट्रॉनिक स्कोरिंग की शुरूआत, बी) फील्ड लेआउट में संशोधन, सी) अंतर्राष्ट्रीय टीमों का विस्तार, डी) वीडियो समीक्षा की शुरूआत")</f>
        <v>ए) इलेक्ट्रॉनिक स्कोरिंग की शुरूआत, बी) फील्ड लेआउट में संशोधन, सी) अंतर्राष्ट्रीय टीमों का विस्तार, डी) वीडियो समीक्षा की शुरूआत</v>
      </c>
      <c r="I483" s="5" t="str">
        <f>IFERROR(__xludf.DUMMYFUNCTION("GOOGLETRANSLATE(D483, ""en"", ""hi"")"),"बी) क्षेत्र लेआउट में संशोधन")</f>
        <v>बी) क्षेत्र लेआउट में संशोधन</v>
      </c>
    </row>
    <row r="484" ht="22.5" customHeight="1">
      <c r="A484" s="7">
        <v>483.0</v>
      </c>
      <c r="B484" s="4" t="s">
        <v>2372</v>
      </c>
      <c r="C484" s="4" t="s">
        <v>1984</v>
      </c>
      <c r="D484" s="4" t="s">
        <v>1915</v>
      </c>
      <c r="F484" s="5" t="str">
        <f>IFERROR(__xludf.DUMMYFUNCTION("GOOGLETRANSLATE(A484, ""en"", ""hi"")"),"483")</f>
        <v>483</v>
      </c>
      <c r="G484" s="5" t="str">
        <f>IFERROR(__xludf.DUMMYFUNCTION("GOOGLETRANSLATE(B484, ""en"", ""hi"")"),"2018 में आयोजित खो-खो विश्व कप में अग्रणी स्कोरर कौन था?")</f>
        <v>2018 में आयोजित खो-खो विश्व कप में अग्रणी स्कोरर कौन था?</v>
      </c>
      <c r="H484" s="5" t="str">
        <f>IFERROR(__xludf.DUMMYFUNCTION("GOOGLETRANSLATE(C484, ""en"", ""hi"")"),"A) एच.पी. सिंह, B) एम.के. शर्मा, C) आर.एस. कुमार, D) एस.पी. सिंह")</f>
        <v>A) एच.पी. सिंह, B) एम.के. शर्मा, C) आर.एस. कुमार, D) एस.पी. सिंह</v>
      </c>
      <c r="I484" s="5" t="str">
        <f>IFERROR(__xludf.DUMMYFUNCTION("GOOGLETRANSLATE(D484, ""en"", ""hi"")"),"ए) एच.पी. सिंह")</f>
        <v>ए) एच.पी. सिंह</v>
      </c>
    </row>
    <row r="485" ht="22.5" customHeight="1">
      <c r="A485" s="7">
        <v>484.0</v>
      </c>
      <c r="B485" s="4" t="s">
        <v>2517</v>
      </c>
      <c r="C485" s="4" t="s">
        <v>2518</v>
      </c>
      <c r="D485" s="4" t="s">
        <v>77</v>
      </c>
      <c r="F485" s="5" t="str">
        <f>IFERROR(__xludf.DUMMYFUNCTION("GOOGLETRANSLATE(A485, ""en"", ""hi"")"),"484")</f>
        <v>484</v>
      </c>
      <c r="G485" s="5" t="str">
        <f>IFERROR(__xludf.DUMMYFUNCTION("GOOGLETRANSLATE(B485, ""en"", ""hi"")"),"1999 में खो-खो राष्ट्रीय चैम्पियनशिप की मेजबानी किस भारतीय शहर ने की थी?")</f>
        <v>1999 में खो-खो राष्ट्रीय चैम्पियनशिप की मेजबानी किस भारतीय शहर ने की थी?</v>
      </c>
      <c r="H485" s="5" t="str">
        <f>IFERROR(__xludf.DUMMYFUNCTION("GOOGLETRANSLATE(C485, ""en"", ""hi"")"),"A) चेन्नई, B) मुंबई, C) दिल्ली, D) बैंगलोर")</f>
        <v>A) चेन्नई, B) मुंबई, C) दिल्ली, D) बैंगलोर</v>
      </c>
      <c r="I485" s="5" t="str">
        <f>IFERROR(__xludf.DUMMYFUNCTION("GOOGLETRANSLATE(D485, ""en"", ""hi"")"),"बी) मुंबई")</f>
        <v>बी) मुंबई</v>
      </c>
    </row>
    <row r="486" ht="22.5" customHeight="1">
      <c r="A486" s="7">
        <v>485.0</v>
      </c>
      <c r="B486" s="4" t="s">
        <v>2419</v>
      </c>
      <c r="C486" s="4" t="s">
        <v>2519</v>
      </c>
      <c r="D486" s="4" t="s">
        <v>2426</v>
      </c>
      <c r="F486" s="5" t="str">
        <f>IFERROR(__xludf.DUMMYFUNCTION("GOOGLETRANSLATE(A486, ""en"", ""hi"")"),"485")</f>
        <v>485</v>
      </c>
      <c r="G486" s="5" t="str">
        <f>IFERROR(__xludf.DUMMYFUNCTION("GOOGLETRANSLATE(B486, ""en"", ""hi"")"),"2002 में आयोजित खो-खो विश्व कप के मुख्य रेफरी कौन थे?")</f>
        <v>2002 में आयोजित खो-खो विश्व कप के मुख्य रेफरी कौन थे?</v>
      </c>
      <c r="H486" s="5" t="str">
        <f>IFERROR(__xludf.DUMMYFUNCTION("GOOGLETRANSLATE(C486, ""en"", ""hi"")"),"A) एम.के. शर्मा, B) आर.एस. कुमार, C) एच.पी. सिंह, D) वी.के. जोशी")</f>
        <v>A) एम.के. शर्मा, B) आर.एस. कुमार, C) एच.पी. सिंह, D) वी.के. जोशी</v>
      </c>
      <c r="I486" s="5" t="str">
        <f>IFERROR(__xludf.DUMMYFUNCTION("GOOGLETRANSLATE(D486, ""en"", ""hi"")"),"C) एच.पी. सिंह")</f>
        <v>C) एच.पी. सिंह</v>
      </c>
    </row>
    <row r="487" ht="22.5" customHeight="1">
      <c r="A487" s="7">
        <v>486.0</v>
      </c>
      <c r="B487" s="4" t="s">
        <v>2520</v>
      </c>
      <c r="C487" s="4" t="s">
        <v>2410</v>
      </c>
      <c r="D487" s="4" t="s">
        <v>13</v>
      </c>
      <c r="F487" s="5" t="str">
        <f>IFERROR(__xludf.DUMMYFUNCTION("GOOGLETRANSLATE(A487, ""en"", ""hi"")"),"486")</f>
        <v>486</v>
      </c>
      <c r="G487" s="5" t="str">
        <f>IFERROR(__xludf.DUMMYFUNCTION("GOOGLETRANSLATE(B487, ""en"", ""hi"")"),"1990 के दशक में कौन सा भारतीय राज्य अपनी प्रमुख खो-खो टीम के लिए जाना जाता था?")</f>
        <v>1990 के दशक में कौन सा भारतीय राज्य अपनी प्रमुख खो-खो टीम के लिए जाना जाता था?</v>
      </c>
      <c r="H487" s="5" t="str">
        <f>IFERROR(__xludf.DUMMYFUNCTION("GOOGLETRANSLATE(C487, ""en"", ""hi"")"),"A) पंजाब, B) हरियाणा, C) दिल्ली, D) महाराष्ट्र")</f>
        <v>A) पंजाब, B) हरियाणा, C) दिल्ली, D) महाराष्ट्र</v>
      </c>
      <c r="I487" s="5" t="str">
        <f>IFERROR(__xludf.DUMMYFUNCTION("GOOGLETRANSLATE(D487, ""en"", ""hi"")"),"D) महाराष्ट्र")</f>
        <v>D) महाराष्ट्र</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7.5"/>
    <col customWidth="1" min="7" max="8" width="37.63"/>
    <col customWidth="1" min="9" max="9" width="23.0"/>
  </cols>
  <sheetData>
    <row r="1" ht="22.5" customHeight="1">
      <c r="A1" s="6" t="s">
        <v>0</v>
      </c>
      <c r="B1" s="6" t="s">
        <v>1</v>
      </c>
      <c r="C1" s="6" t="s">
        <v>2</v>
      </c>
      <c r="D1" s="6" t="s">
        <v>3</v>
      </c>
      <c r="F1" s="2" t="s">
        <v>4</v>
      </c>
      <c r="G1" s="2" t="s">
        <v>5</v>
      </c>
      <c r="H1" s="2" t="s">
        <v>6</v>
      </c>
      <c r="I1" s="2" t="s">
        <v>7</v>
      </c>
    </row>
    <row r="2" ht="22.5" customHeight="1">
      <c r="A2" s="7">
        <v>1.0</v>
      </c>
      <c r="B2" s="8" t="s">
        <v>2521</v>
      </c>
      <c r="C2" s="8" t="s">
        <v>2522</v>
      </c>
      <c r="D2" s="8" t="s">
        <v>2523</v>
      </c>
      <c r="F2" s="5" t="str">
        <f>IFERROR(__xludf.DUMMYFUNCTION("GOOGLETRANSLATE(A2, ""en"", ""hi"")"),"1")</f>
        <v>1</v>
      </c>
      <c r="G2" s="5" t="str">
        <f>IFERROR(__xludf.DUMMYFUNCTION("GOOGLETRANSLATE(B2, ""en"", ""hi"")"),"मुष्टि युद्ध की शुरुआत किस प्राचीन भारतीय शहर में हुई जो अपनी योद्धा परंपराओं के लिए जाना जाता है?")</f>
        <v>मुष्टि युद्ध की शुरुआत किस प्राचीन भारतीय शहर में हुई जो अपनी योद्धा परंपराओं के लिए जाना जाता है?</v>
      </c>
      <c r="H2" s="5" t="str">
        <f>IFERROR(__xludf.DUMMYFUNCTION("GOOGLETRANSLATE(C2, ""en"", ""hi"")"),"ए) वाराणसी, बी) काशी, सी) प्रयागराज, डी) अयोध्या")</f>
        <v>ए) वाराणसी, बी) काशी, सी) प्रयागराज, डी) अयोध्या</v>
      </c>
      <c r="I2" s="5" t="str">
        <f>IFERROR(__xludf.DUMMYFUNCTION("GOOGLETRANSLATE(D2, ""en"", ""hi"")"),"A) वाराणसी")</f>
        <v>A) वाराणसी</v>
      </c>
    </row>
    <row r="3" ht="22.5" customHeight="1">
      <c r="A3" s="7">
        <v>2.0</v>
      </c>
      <c r="B3" s="8" t="s">
        <v>2524</v>
      </c>
      <c r="C3" s="8" t="s">
        <v>2525</v>
      </c>
      <c r="D3" s="8" t="s">
        <v>2526</v>
      </c>
      <c r="F3" s="5" t="str">
        <f>IFERROR(__xludf.DUMMYFUNCTION("GOOGLETRANSLATE(A3, ""en"", ""hi"")"),"2")</f>
        <v>2</v>
      </c>
      <c r="G3" s="5" t="str">
        <f>IFERROR(__xludf.DUMMYFUNCTION("GOOGLETRANSLATE(B3, ""en"", ""hi"")"),"किस प्राचीन भारतीय ग्रंथ में पहली बार मुष्टि युद्ध का उल्लेख युद्ध के रूप में किया गया है?")</f>
        <v>किस प्राचीन भारतीय ग्रंथ में पहली बार मुष्टि युद्ध का उल्लेख युद्ध के रूप में किया गया है?</v>
      </c>
      <c r="H3" s="5" t="str">
        <f>IFERROR(__xludf.DUMMYFUNCTION("GOOGLETRANSLATE(C3, ""en"", ""hi"")"),"ए) ऋग्वेद, बी) अर्थशास्त्र, सी) महाभारत, डी) रामायण")</f>
        <v>ए) ऋग्वेद, बी) अर्थशास्त्र, सी) महाभारत, डी) रामायण</v>
      </c>
      <c r="I3" s="5" t="str">
        <f>IFERROR(__xludf.DUMMYFUNCTION("GOOGLETRANSLATE(D3, ""en"", ""hi"")"),"C) महाभारत")</f>
        <v>C) महाभारत</v>
      </c>
    </row>
    <row r="4" ht="22.5" customHeight="1">
      <c r="A4" s="7">
        <v>3.0</v>
      </c>
      <c r="B4" s="8" t="s">
        <v>2527</v>
      </c>
      <c r="C4" s="8" t="s">
        <v>2528</v>
      </c>
      <c r="D4" s="8" t="s">
        <v>2529</v>
      </c>
      <c r="F4" s="5" t="str">
        <f>IFERROR(__xludf.DUMMYFUNCTION("GOOGLETRANSLATE(A4, ""en"", ""hi"")"),"3")</f>
        <v>3</v>
      </c>
      <c r="G4" s="5" t="str">
        <f>IFERROR(__xludf.DUMMYFUNCTION("GOOGLETRANSLATE(B4, ""en"", ""hi"")"),"मुष्टि युद्ध मुख्य रूप से निम्नलिखित में से किस शरीर के अंग का उपयोग करके लड़ाई का एक रूप है?")</f>
        <v>मुष्टि युद्ध मुख्य रूप से निम्नलिखित में से किस शरीर के अंग का उपयोग करके लड़ाई का एक रूप है?</v>
      </c>
      <c r="H4" s="5" t="str">
        <f>IFERROR(__xludf.DUMMYFUNCTION("GOOGLETRANSLATE(C4, ""en"", ""hi"")"),"A) पैर, B) मुट्ठियाँ, C) कोहनियाँ, D) घुटने")</f>
        <v>A) पैर, B) मुट्ठियाँ, C) कोहनियाँ, D) घुटने</v>
      </c>
      <c r="I4" s="5" t="str">
        <f>IFERROR(__xludf.DUMMYFUNCTION("GOOGLETRANSLATE(D4, ""en"", ""hi"")"),"बी) मुट्ठियाँ")</f>
        <v>बी) मुट्ठियाँ</v>
      </c>
    </row>
    <row r="5" ht="22.5" customHeight="1">
      <c r="A5" s="7">
        <v>4.0</v>
      </c>
      <c r="B5" s="8" t="s">
        <v>2530</v>
      </c>
      <c r="C5" s="8" t="s">
        <v>2531</v>
      </c>
      <c r="D5" s="8" t="s">
        <v>2532</v>
      </c>
      <c r="F5" s="5" t="str">
        <f>IFERROR(__xludf.DUMMYFUNCTION("GOOGLETRANSLATE(A5, ""en"", ""hi"")"),"4")</f>
        <v>4</v>
      </c>
      <c r="G5" s="5" t="str">
        <f>IFERROR(__xludf.DUMMYFUNCTION("GOOGLETRANSLATE(B5, ""en"", ""hi"")"),"उत्तरी भारत में मुष्टि युद्ध को किस शताब्दी में प्रमुखता मिली?")</f>
        <v>उत्तरी भारत में मुष्टि युद्ध को किस शताब्दी में प्रमुखता मिली?</v>
      </c>
      <c r="H5" s="5" t="str">
        <f>IFERROR(__xludf.DUMMYFUNCTION("GOOGLETRANSLATE(C5, ""en"", ""hi"")"),"A) पहली शताब्दी, B) चौथी शताब्दी, C) छठी शताब्दी, D) आठवीं शताब्दी")</f>
        <v>A) पहली शताब्दी, B) चौथी शताब्दी, C) छठी शताब्दी, D) आठवीं शताब्दी</v>
      </c>
      <c r="I5" s="5" t="str">
        <f>IFERROR(__xludf.DUMMYFUNCTION("GOOGLETRANSLATE(D5, ""en"", ""hi"")"),"डी) 8वीं शताब्दी")</f>
        <v>डी) 8वीं शताब्दी</v>
      </c>
    </row>
    <row r="6" ht="22.5" customHeight="1">
      <c r="A6" s="7">
        <v>5.0</v>
      </c>
      <c r="B6" s="8" t="s">
        <v>2533</v>
      </c>
      <c r="C6" s="8" t="s">
        <v>2534</v>
      </c>
      <c r="D6" s="8" t="s">
        <v>2535</v>
      </c>
      <c r="F6" s="5" t="str">
        <f>IFERROR(__xludf.DUMMYFUNCTION("GOOGLETRANSLATE(A6, ""en"", ""hi"")"),"5")</f>
        <v>5</v>
      </c>
      <c r="G6" s="5" t="str">
        <f>IFERROR(__xludf.DUMMYFUNCTION("GOOGLETRANSLATE(B6, ""en"", ""hi"")"),"मुष्टि युद्ध पारंपरिक रूप से किस भारतीय सामाजिक वर्ग द्वारा प्रचलित था?")</f>
        <v>मुष्टि युद्ध पारंपरिक रूप से किस भारतीय सामाजिक वर्ग द्वारा प्रचलित था?</v>
      </c>
      <c r="H6" s="5" t="str">
        <f>IFERROR(__xludf.DUMMYFUNCTION("GOOGLETRANSLATE(C6, ""en"", ""hi"")"),"ए) ब्राह्मण, बी) क्षत्रिय, सी) वैश्य, डी) शूद्र")</f>
        <v>ए) ब्राह्मण, बी) क्षत्रिय, सी) वैश्य, डी) शूद्र</v>
      </c>
      <c r="I6" s="5" t="str">
        <f>IFERROR(__xludf.DUMMYFUNCTION("GOOGLETRANSLATE(D6, ""en"", ""hi"")"),"बी) क्षत्रिय")</f>
        <v>बी) क्षत्रिय</v>
      </c>
    </row>
    <row r="7" ht="22.5" customHeight="1">
      <c r="A7" s="7">
        <v>6.0</v>
      </c>
      <c r="B7" s="8" t="s">
        <v>2536</v>
      </c>
      <c r="C7" s="8" t="s">
        <v>2537</v>
      </c>
      <c r="D7" s="8" t="s">
        <v>2538</v>
      </c>
      <c r="F7" s="5" t="str">
        <f>IFERROR(__xludf.DUMMYFUNCTION("GOOGLETRANSLATE(A7, ""en"", ""hi"")"),"6")</f>
        <v>6</v>
      </c>
      <c r="G7" s="5" t="str">
        <f>IFERROR(__xludf.DUMMYFUNCTION("GOOGLETRANSLATE(B7, ""en"", ""hi"")"),"मुष्टि युद्ध का कौन सा रूप प्रतिद्वंद्वी के महत्वपूर्ण बिंदुओं पर हमला करने पर केंद्रित है?")</f>
        <v>मुष्टि युद्ध का कौन सा रूप प्रतिद्वंद्वी के महत्वपूर्ण बिंदुओं पर हमला करने पर केंद्रित है?</v>
      </c>
      <c r="H7" s="5" t="str">
        <f>IFERROR(__xludf.DUMMYFUNCTION("GOOGLETRANSLATE(C7, ""en"", ""hi"")"),"ए) असुर, बी) वरजा, सी) देव, डी) राजा")</f>
        <v>ए) असुर, बी) वरजा, सी) देव, डी) राजा</v>
      </c>
      <c r="I7" s="5" t="str">
        <f>IFERROR(__xludf.DUMMYFUNCTION("GOOGLETRANSLATE(D7, ""en"", ""hi"")"),"A) असुर")</f>
        <v>A) असुर</v>
      </c>
    </row>
    <row r="8" ht="22.5" customHeight="1">
      <c r="A8" s="7">
        <v>7.0</v>
      </c>
      <c r="B8" s="8" t="s">
        <v>2539</v>
      </c>
      <c r="C8" s="8" t="s">
        <v>2540</v>
      </c>
      <c r="D8" s="8" t="s">
        <v>2541</v>
      </c>
      <c r="F8" s="5" t="str">
        <f>IFERROR(__xludf.DUMMYFUNCTION("GOOGLETRANSLATE(A8, ""en"", ""hi"")"),"7")</f>
        <v>7</v>
      </c>
      <c r="G8" s="5" t="str">
        <f>IFERROR(__xludf.DUMMYFUNCTION("GOOGLETRANSLATE(B8, ""en"", ""hi"")"),"मुष्टि युद्ध का मुख्य लक्ष्य क्या है?")</f>
        <v>मुष्टि युद्ध का मुख्य लक्ष्य क्या है?</v>
      </c>
      <c r="H8" s="5" t="str">
        <f>IFERROR(__xludf.DUMMYFUNCTION("GOOGLETRANSLATE(C8, ""en"", ""hi"")"),"A) प्रतिद्वंद्वी को नॉकआउट करना, B) प्रतिद्वंद्वी को रिंग से बाहर धकेलना, C) प्रतिद्वंद्वी को बांधना, D) हमलों से बचना")</f>
        <v>A) प्रतिद्वंद्वी को नॉकआउट करना, B) प्रतिद्वंद्वी को रिंग से बाहर धकेलना, C) प्रतिद्वंद्वी को बांधना, D) हमलों से बचना</v>
      </c>
      <c r="I8" s="5" t="str">
        <f>IFERROR(__xludf.DUMMYFUNCTION("GOOGLETRANSLATE(D8, ""en"", ""hi"")"),"A) प्रतिद्वंद्वी को नॉकआउट करना")</f>
        <v>A) प्रतिद्वंद्वी को नॉकआउट करना</v>
      </c>
    </row>
    <row r="9" ht="22.5" customHeight="1">
      <c r="A9" s="7">
        <v>8.0</v>
      </c>
      <c r="B9" s="8" t="s">
        <v>2542</v>
      </c>
      <c r="C9" s="8" t="s">
        <v>2543</v>
      </c>
      <c r="D9" s="8" t="s">
        <v>2544</v>
      </c>
      <c r="F9" s="5" t="str">
        <f>IFERROR(__xludf.DUMMYFUNCTION("GOOGLETRANSLATE(A9, ""en"", ""hi"")"),"8")</f>
        <v>8</v>
      </c>
      <c r="G9" s="5" t="str">
        <f>IFERROR(__xludf.DUMMYFUNCTION("GOOGLETRANSLATE(B9, ""en"", ""hi"")"),"किस प्रसिद्ध भारतीय महाकाव्य में मुष्टि युद्ध में निपुण पात्र है?")</f>
        <v>किस प्रसिद्ध भारतीय महाकाव्य में मुष्टि युद्ध में निपुण पात्र है?</v>
      </c>
      <c r="H9" s="5" t="str">
        <f>IFERROR(__xludf.DUMMYFUNCTION("GOOGLETRANSLATE(C9, ""en"", ""hi"")"),"ए) रामायण, बी) महाभारत, सी) भगवद गीता, डी) पंचतंत्र")</f>
        <v>ए) रामायण, बी) महाभारत, सी) भगवद गीता, डी) पंचतंत्र</v>
      </c>
      <c r="I9" s="5" t="str">
        <f>IFERROR(__xludf.DUMMYFUNCTION("GOOGLETRANSLATE(D9, ""en"", ""hi"")"),"बी) महाभारत")</f>
        <v>बी) महाभारत</v>
      </c>
    </row>
    <row r="10" ht="22.5" customHeight="1">
      <c r="A10" s="7">
        <v>9.0</v>
      </c>
      <c r="B10" s="8" t="s">
        <v>2545</v>
      </c>
      <c r="C10" s="8" t="s">
        <v>2546</v>
      </c>
      <c r="D10" s="8" t="s">
        <v>2547</v>
      </c>
      <c r="F10" s="5" t="str">
        <f>IFERROR(__xludf.DUMMYFUNCTION("GOOGLETRANSLATE(A10, ""en"", ""hi"")"),"9")</f>
        <v>9</v>
      </c>
      <c r="G10" s="5" t="str">
        <f>IFERROR(__xludf.DUMMYFUNCTION("GOOGLETRANSLATE(B10, ""en"", ""hi"")"),"महाभारत में कौन सा पात्र अपनी मुष्टि युद्ध कौशल के लिए प्रसिद्ध है?")</f>
        <v>महाभारत में कौन सा पात्र अपनी मुष्टि युद्ध कौशल के लिए प्रसिद्ध है?</v>
      </c>
      <c r="H10" s="5" t="str">
        <f>IFERROR(__xludf.DUMMYFUNCTION("GOOGLETRANSLATE(C10, ""en"", ""hi"")"),"ए) भीम, बी) अर्जुन, सी) दुर्योधन, डी) कर्ण")</f>
        <v>ए) भीम, बी) अर्जुन, सी) दुर्योधन, डी) कर्ण</v>
      </c>
      <c r="I10" s="5" t="str">
        <f>IFERROR(__xludf.DUMMYFUNCTION("GOOGLETRANSLATE(D10, ""en"", ""hi"")"),"A) भीम")</f>
        <v>A) भीम</v>
      </c>
    </row>
    <row r="11" ht="22.5" customHeight="1">
      <c r="A11" s="7">
        <v>10.0</v>
      </c>
      <c r="B11" s="8" t="s">
        <v>2548</v>
      </c>
      <c r="C11" s="8" t="s">
        <v>2549</v>
      </c>
      <c r="D11" s="8" t="s">
        <v>2550</v>
      </c>
      <c r="F11" s="5" t="str">
        <f>IFERROR(__xludf.DUMMYFUNCTION("GOOGLETRANSLATE(A11, ""en"", ""hi"")"),"10")</f>
        <v>10</v>
      </c>
      <c r="G11" s="5" t="str">
        <f>IFERROR(__xludf.DUMMYFUNCTION("GOOGLETRANSLATE(B11, ""en"", ""hi"")"),"मुष्टि युद्ध अभ्यासियों का मानना ​​है कि लड़ाई में शरीर का यह हिस्सा सबसे महत्वपूर्ण होता है:")</f>
        <v>मुष्टि युद्ध अभ्यासियों का मानना ​​है कि लड़ाई में शरीर का यह हिस्सा सबसे महत्वपूर्ण होता है:</v>
      </c>
      <c r="H11" s="5" t="str">
        <f>IFERROR(__xludf.DUMMYFUNCTION("GOOGLETRANSLATE(C11, ""en"", ""hi"")"),"A) पैर, B) हाथ, C) छाती, D) सिर")</f>
        <v>A) पैर, B) हाथ, C) छाती, D) सिर</v>
      </c>
      <c r="I11" s="5" t="str">
        <f>IFERROR(__xludf.DUMMYFUNCTION("GOOGLETRANSLATE(D11, ""en"", ""hi"")"),"बी) हाथ")</f>
        <v>बी) हाथ</v>
      </c>
    </row>
    <row r="12" ht="22.5" customHeight="1">
      <c r="A12" s="7">
        <v>11.0</v>
      </c>
      <c r="B12" s="8" t="s">
        <v>2551</v>
      </c>
      <c r="C12" s="8" t="s">
        <v>2552</v>
      </c>
      <c r="D12" s="8" t="s">
        <v>2553</v>
      </c>
      <c r="F12" s="5" t="str">
        <f>IFERROR(__xludf.DUMMYFUNCTION("GOOGLETRANSLATE(A12, ""en"", ""hi"")"),"11")</f>
        <v>11</v>
      </c>
      <c r="G12" s="5" t="str">
        <f>IFERROR(__xludf.DUMMYFUNCTION("GOOGLETRANSLATE(B12, ""en"", ""hi"")"),"मुष्टि युद्ध में किस चाल में छाती क्षेत्र पर शक्तिशाली प्रहार शामिल है?")</f>
        <v>मुष्टि युद्ध में किस चाल में छाती क्षेत्र पर शक्तिशाली प्रहार शामिल है?</v>
      </c>
      <c r="H12" s="5" t="str">
        <f>IFERROR(__xludf.DUMMYFUNCTION("GOOGLETRANSLATE(C12, ""en"", ""hi"")"),"ए) पाना गति, बी) मुर्चित, सी) कपिध्वज, डी) पद्मवन")</f>
        <v>ए) पाना गति, बी) मुर्चित, सी) कपिध्वज, डी) पद्मवन</v>
      </c>
      <c r="I12" s="5" t="str">
        <f>IFERROR(__xludf.DUMMYFUNCTION("GOOGLETRANSLATE(D12, ""en"", ""hi"")"),"बी) मर्चिट")</f>
        <v>बी) मर्चिट</v>
      </c>
    </row>
    <row r="13" ht="22.5" customHeight="1">
      <c r="A13" s="7">
        <v>12.0</v>
      </c>
      <c r="B13" s="8" t="s">
        <v>2554</v>
      </c>
      <c r="C13" s="8" t="s">
        <v>2555</v>
      </c>
      <c r="D13" s="8" t="s">
        <v>2556</v>
      </c>
      <c r="F13" s="5" t="str">
        <f>IFERROR(__xludf.DUMMYFUNCTION("GOOGLETRANSLATE(A13, ""en"", ""hi"")"),"12")</f>
        <v>12</v>
      </c>
      <c r="G13" s="5" t="str">
        <f>IFERROR(__xludf.DUMMYFUNCTION("GOOGLETRANSLATE(B13, ""en"", ""hi"")"),"ऐसा कहा जाता है कि किस मुगल सम्राट ने अपने सैनिकों में मुष्टि युद्ध को प्रोत्साहित किया था?")</f>
        <v>ऐसा कहा जाता है कि किस मुगल सम्राट ने अपने सैनिकों में मुष्टि युद्ध को प्रोत्साहित किया था?</v>
      </c>
      <c r="H13" s="5" t="str">
        <f>IFERROR(__xludf.DUMMYFUNCTION("GOOGLETRANSLATE(C13, ""en"", ""hi"")"),"A) अकबर, B) औरंगजेब, C) शाहजहाँ, D) बाबर")</f>
        <v>A) अकबर, B) औरंगजेब, C) शाहजहाँ, D) बाबर</v>
      </c>
      <c r="I13" s="5" t="str">
        <f>IFERROR(__xludf.DUMMYFUNCTION("GOOGLETRANSLATE(D13, ""en"", ""hi"")"),"A) अकबर")</f>
        <v>A) अकबर</v>
      </c>
    </row>
    <row r="14" ht="22.5" customHeight="1">
      <c r="A14" s="7">
        <v>13.0</v>
      </c>
      <c r="B14" s="8" t="s">
        <v>2557</v>
      </c>
      <c r="C14" s="8" t="s">
        <v>2558</v>
      </c>
      <c r="D14" s="8" t="s">
        <v>2559</v>
      </c>
      <c r="F14" s="5" t="str">
        <f>IFERROR(__xludf.DUMMYFUNCTION("GOOGLETRANSLATE(A14, ""en"", ""hi"")"),"13")</f>
        <v>13</v>
      </c>
      <c r="G14" s="5" t="str">
        <f>IFERROR(__xludf.DUMMYFUNCTION("GOOGLETRANSLATE(B14, ""en"", ""hi"")"),"मुष्टि युद्ध में प्रायः किस अतिरिक्त हथियार का प्रयोग किया जाता है?")</f>
        <v>मुष्टि युद्ध में प्रायः किस अतिरिक्त हथियार का प्रयोग किया जाता है?</v>
      </c>
      <c r="H14" s="5" t="str">
        <f>IFERROR(__xludf.DUMMYFUNCTION("GOOGLETRANSLATE(C14, ""en"", ""hi"")"),"A) तलवार, B) खंजर, C) लाठी, D) कोई नहीं")</f>
        <v>A) तलवार, B) खंजर, C) लाठी, D) कोई नहीं</v>
      </c>
      <c r="I14" s="5" t="str">
        <f>IFERROR(__xludf.DUMMYFUNCTION("GOOGLETRANSLATE(D14, ""en"", ""hi"")"),"डी) कोई नहीं")</f>
        <v>डी) कोई नहीं</v>
      </c>
    </row>
    <row r="15" ht="22.5" customHeight="1">
      <c r="A15" s="7">
        <v>14.0</v>
      </c>
      <c r="B15" s="8" t="s">
        <v>2560</v>
      </c>
      <c r="C15" s="8" t="s">
        <v>2561</v>
      </c>
      <c r="D15" s="8" t="s">
        <v>2562</v>
      </c>
      <c r="F15" s="5" t="str">
        <f>IFERROR(__xludf.DUMMYFUNCTION("GOOGLETRANSLATE(A15, ""en"", ""hi"")"),"14")</f>
        <v>14</v>
      </c>
      <c r="G15" s="5" t="str">
        <f>IFERROR(__xludf.DUMMYFUNCTION("GOOGLETRANSLATE(B15, ""en"", ""hi"")"),"वह प्रसिद्ध मुष्टि युद्ध अभ्यासी कौन था जिसने मुगल सम्राट बाबर के कुश्ती प्रशिक्षक के रूप में कार्य किया था?")</f>
        <v>वह प्रसिद्ध मुष्टि युद्ध अभ्यासी कौन था जिसने मुगल सम्राट बाबर के कुश्ती प्रशिक्षक के रूप में कार्य किया था?</v>
      </c>
      <c r="H15" s="5" t="str">
        <f>IFERROR(__xludf.DUMMYFUNCTION("GOOGLETRANSLATE(C15, ""en"", ""hi"")"),"ए) अब्दुल रहीम खान, बी) महावीर प्रसाद, सी) बाकर, डी) लोदी राजपूत")</f>
        <v>ए) अब्दुल रहीम खान, बी) महावीर प्रसाद, सी) बाकर, डी) लोदी राजपूत</v>
      </c>
      <c r="I15" s="5" t="str">
        <f>IFERROR(__xludf.DUMMYFUNCTION("GOOGLETRANSLATE(D15, ""en"", ""hi"")"),"C) बकर")</f>
        <v>C) बकर</v>
      </c>
    </row>
    <row r="16" ht="22.5" customHeight="1">
      <c r="A16" s="7">
        <v>15.0</v>
      </c>
      <c r="B16" s="8" t="s">
        <v>2563</v>
      </c>
      <c r="C16" s="8" t="s">
        <v>2564</v>
      </c>
      <c r="D16" s="8" t="s">
        <v>2565</v>
      </c>
      <c r="F16" s="5" t="str">
        <f>IFERROR(__xludf.DUMMYFUNCTION("GOOGLETRANSLATE(A16, ""en"", ""hi"")"),"15")</f>
        <v>15</v>
      </c>
      <c r="G16" s="5" t="str">
        <f>IFERROR(__xludf.DUMMYFUNCTION("GOOGLETRANSLATE(B16, ""en"", ""hi"")"),"मुष्टि युद्ध में 'कपिध्वज' तकनीक का प्राथमिक उद्देश्य क्या है?")</f>
        <v>मुष्टि युद्ध में 'कपिध्वज' तकनीक का प्राथमिक उद्देश्य क्या है?</v>
      </c>
      <c r="H16" s="5" t="str">
        <f>IFERROR(__xludf.DUMMYFUNCTION("GOOGLETRANSLATE(C16, ""en"", ""hi"")"),"A) पैर के प्रहारों से बचाव करना, B) तेज घूंसे से दबा देना, C) प्रतिद्वंद्वी को निहत्था कर देना, D) गला घोंटना")</f>
        <v>A) पैर के प्रहारों से बचाव करना, B) तेज घूंसे से दबा देना, C) प्रतिद्वंद्वी को निहत्था कर देना, D) गला घोंटना</v>
      </c>
      <c r="I16" s="5" t="str">
        <f>IFERROR(__xludf.DUMMYFUNCTION("GOOGLETRANSLATE(D16, ""en"", ""hi"")"),"बी) तेज घूंसे से अभिभूत करना")</f>
        <v>बी) तेज घूंसे से अभिभूत करना</v>
      </c>
    </row>
    <row r="17" ht="22.5" customHeight="1">
      <c r="A17" s="7">
        <v>16.0</v>
      </c>
      <c r="B17" s="8" t="s">
        <v>2566</v>
      </c>
      <c r="C17" s="8" t="s">
        <v>2567</v>
      </c>
      <c r="D17" s="8" t="s">
        <v>2568</v>
      </c>
      <c r="F17" s="5" t="str">
        <f>IFERROR(__xludf.DUMMYFUNCTION("GOOGLETRANSLATE(A17, ""en"", ""hi"")"),"16")</f>
        <v>16</v>
      </c>
      <c r="G17" s="5" t="str">
        <f>IFERROR(__xludf.DUMMYFUNCTION("GOOGLETRANSLATE(B17, ""en"", ""hi"")"),"मुष्टि युद्ध किस अन्य प्राचीन भारतीय मार्शल आर्ट से निकटता से संबंधित है?")</f>
        <v>मुष्टि युद्ध किस अन्य प्राचीन भारतीय मार्शल आर्ट से निकटता से संबंधित है?</v>
      </c>
      <c r="H17" s="5" t="str">
        <f>IFERROR(__xludf.DUMMYFUNCTION("GOOGLETRANSLATE(C17, ""en"", ""hi"")"),"ए) कलारीपयट्टु, बी) मल्ल-युद्ध, सी) सिलंबम, डी) गतका")</f>
        <v>ए) कलारीपयट्टु, बी) मल्ल-युद्ध, सी) सिलंबम, डी) गतका</v>
      </c>
      <c r="I17" s="5" t="str">
        <f>IFERROR(__xludf.DUMMYFUNCTION("GOOGLETRANSLATE(D17, ""en"", ""hi"")"),"B) मल्ल-युद्ध")</f>
        <v>B) मल्ल-युद्ध</v>
      </c>
    </row>
    <row r="18" ht="22.5" customHeight="1">
      <c r="A18" s="7">
        <v>17.0</v>
      </c>
      <c r="B18" s="8" t="s">
        <v>2569</v>
      </c>
      <c r="C18" s="8" t="s">
        <v>2570</v>
      </c>
      <c r="D18" s="8" t="s">
        <v>2571</v>
      </c>
      <c r="F18" s="5" t="str">
        <f>IFERROR(__xludf.DUMMYFUNCTION("GOOGLETRANSLATE(A18, ""en"", ""hi"")"),"17")</f>
        <v>17</v>
      </c>
      <c r="G18" s="5" t="str">
        <f>IFERROR(__xludf.DUMMYFUNCTION("GOOGLETRANSLATE(B18, ""en"", ""hi"")"),"मुष्टि युद्ध में 'मुष्टि' शब्द का अर्थ है:")</f>
        <v>मुष्टि युद्ध में 'मुष्टि' शब्द का अर्थ है:</v>
      </c>
      <c r="H18" s="5" t="str">
        <f>IFERROR(__xludf.DUMMYFUNCTION("GOOGLETRANSLATE(C18, ""en"", ""hi"")"),"A) पैर, B) दिमाग, C) मुट्ठी, D) कोहनी")</f>
        <v>A) पैर, B) दिमाग, C) मुट्ठी, D) कोहनी</v>
      </c>
      <c r="I18" s="5" t="str">
        <f>IFERROR(__xludf.DUMMYFUNCTION("GOOGLETRANSLATE(D18, ""en"", ""hi"")"),"सी) मुट्ठी")</f>
        <v>सी) मुट्ठी</v>
      </c>
    </row>
    <row r="19" ht="22.5" customHeight="1">
      <c r="A19" s="7">
        <v>18.0</v>
      </c>
      <c r="B19" s="8" t="s">
        <v>2572</v>
      </c>
      <c r="C19" s="8" t="s">
        <v>2573</v>
      </c>
      <c r="D19" s="8" t="s">
        <v>2574</v>
      </c>
      <c r="F19" s="5" t="str">
        <f>IFERROR(__xludf.DUMMYFUNCTION("GOOGLETRANSLATE(A19, ""en"", ""hi"")"),"18")</f>
        <v>18</v>
      </c>
      <c r="G19" s="5" t="str">
        <f>IFERROR(__xludf.DUMMYFUNCTION("GOOGLETRANSLATE(B19, ""en"", ""hi"")"),"कौन सा भारतीय राज्य अपनी पारंपरिक मुष्टि युद्ध प्रथाओं के लिए जाना जाता है?")</f>
        <v>कौन सा भारतीय राज्य अपनी पारंपरिक मुष्टि युद्ध प्रथाओं के लिए जाना जाता है?</v>
      </c>
      <c r="H19" s="5" t="str">
        <f>IFERROR(__xludf.DUMMYFUNCTION("GOOGLETRANSLATE(C19, ""en"", ""hi"")"),"ए) पंजाब, बी) महाराष्ट्र, सी) उत्तर प्रदेश, डी) बिहार")</f>
        <v>ए) पंजाब, बी) महाराष्ट्र, सी) उत्तर प्रदेश, डी) बिहार</v>
      </c>
      <c r="I19" s="5" t="str">
        <f>IFERROR(__xludf.DUMMYFUNCTION("GOOGLETRANSLATE(D19, ""en"", ""hi"")"),"C) उत्तर प्रदेश")</f>
        <v>C) उत्तर प्रदेश</v>
      </c>
    </row>
    <row r="20" ht="22.5" customHeight="1">
      <c r="A20" s="7">
        <v>19.0</v>
      </c>
      <c r="B20" s="8" t="s">
        <v>2575</v>
      </c>
      <c r="C20" s="8" t="s">
        <v>2576</v>
      </c>
      <c r="D20" s="8" t="s">
        <v>2577</v>
      </c>
      <c r="F20" s="5" t="str">
        <f>IFERROR(__xludf.DUMMYFUNCTION("GOOGLETRANSLATE(A20, ""en"", ""hi"")"),"19")</f>
        <v>19</v>
      </c>
      <c r="G20" s="5" t="str">
        <f>IFERROR(__xludf.DUMMYFUNCTION("GOOGLETRANSLATE(B20, ""en"", ""hi"")"),"निम्नलिखित में से कौन मुष्टि युद्ध का मान्यता प्राप्त रूप नहीं है?")</f>
        <v>निम्नलिखित में से कौन मुष्टि युद्ध का मान्यता प्राप्त रूप नहीं है?</v>
      </c>
      <c r="H20" s="5" t="str">
        <f>IFERROR(__xludf.DUMMYFUNCTION("GOOGLETRANSLATE(C20, ""en"", ""hi"")"),"A) असुर, B) वरजा, C) भीम, D) देव")</f>
        <v>A) असुर, B) वरजा, C) भीम, D) देव</v>
      </c>
      <c r="I20" s="5" t="str">
        <f>IFERROR(__xludf.DUMMYFUNCTION("GOOGLETRANSLATE(D20, ""en"", ""hi"")"),"C) भीम")</f>
        <v>C) भीम</v>
      </c>
    </row>
    <row r="21" ht="22.5" customHeight="1">
      <c r="A21" s="7">
        <v>20.0</v>
      </c>
      <c r="B21" s="8" t="s">
        <v>2578</v>
      </c>
      <c r="C21" s="8" t="s">
        <v>2579</v>
      </c>
      <c r="D21" s="8" t="s">
        <v>2580</v>
      </c>
      <c r="F21" s="5" t="str">
        <f>IFERROR(__xludf.DUMMYFUNCTION("GOOGLETRANSLATE(A21, ""en"", ""hi"")"),"20")</f>
        <v>20</v>
      </c>
      <c r="G21" s="5" t="str">
        <f>IFERROR(__xludf.DUMMYFUNCTION("GOOGLETRANSLATE(B21, ""en"", ""hi"")"),"पारंपरिक मुष्टि युद्ध में किस पहलू पर अत्यधिक जोर दिया जाता है?")</f>
        <v>पारंपरिक मुष्टि युद्ध में किस पहलू पर अत्यधिक जोर दिया जाता है?</v>
      </c>
      <c r="H21" s="5" t="str">
        <f>IFERROR(__xludf.DUMMYFUNCTION("GOOGLETRANSLATE(C21, ""en"", ""hi"")"),"A) गति, B) शक्ति, C) धीरज, D) रणनीति")</f>
        <v>A) गति, B) शक्ति, C) धीरज, D) रणनीति</v>
      </c>
      <c r="I21" s="5" t="str">
        <f>IFERROR(__xludf.DUMMYFUNCTION("GOOGLETRANSLATE(D21, ""en"", ""hi"")"),"डी) रणनीति")</f>
        <v>डी) रणनीति</v>
      </c>
    </row>
    <row r="22" ht="22.5" customHeight="1">
      <c r="A22" s="7">
        <v>21.0</v>
      </c>
      <c r="B22" s="8" t="s">
        <v>2581</v>
      </c>
      <c r="C22" s="8" t="s">
        <v>2582</v>
      </c>
      <c r="D22" s="8" t="s">
        <v>2583</v>
      </c>
      <c r="F22" s="5" t="str">
        <f>IFERROR(__xludf.DUMMYFUNCTION("GOOGLETRANSLATE(A22, ""en"", ""hi"")"),"21")</f>
        <v>21</v>
      </c>
      <c r="G22" s="5" t="str">
        <f>IFERROR(__xludf.DUMMYFUNCTION("GOOGLETRANSLATE(B22, ""en"", ""hi"")"),"मुष्टि युद्ध को दर्शाती मूर्तियों के लिए प्रसिद्ध मंदिर कौन सा है?")</f>
        <v>मुष्टि युद्ध को दर्शाती मूर्तियों के लिए प्रसिद्ध मंदिर कौन सा है?</v>
      </c>
      <c r="H22" s="5" t="str">
        <f>IFERROR(__xludf.DUMMYFUNCTION("GOOGLETRANSLATE(C22, ""en"", ""hi"")"),"ए) सूर्य मंदिर, कोणार्क, बी) बृहदेश्वर मंदिर, तंजावुर, सी) खजुराहो मंदिर, मध्य प्रदेश, डी) सोमनाथ मंदिर, गुजरात")</f>
        <v>ए) सूर्य मंदिर, कोणार्क, बी) बृहदेश्वर मंदिर, तंजावुर, सी) खजुराहो मंदिर, मध्य प्रदेश, डी) सोमनाथ मंदिर, गुजरात</v>
      </c>
      <c r="I22" s="5" t="str">
        <f>IFERROR(__xludf.DUMMYFUNCTION("GOOGLETRANSLATE(D22, ""en"", ""hi"")"),"C) खजुराहो मंदिर, मध्य प्रदेश")</f>
        <v>C) खजुराहो मंदिर, मध्य प्रदेश</v>
      </c>
    </row>
    <row r="23" ht="22.5" customHeight="1">
      <c r="A23" s="7">
        <v>22.0</v>
      </c>
      <c r="B23" s="8" t="s">
        <v>2584</v>
      </c>
      <c r="C23" s="8" t="s">
        <v>2585</v>
      </c>
      <c r="D23" s="8" t="s">
        <v>2586</v>
      </c>
      <c r="F23" s="5" t="str">
        <f>IFERROR(__xludf.DUMMYFUNCTION("GOOGLETRANSLATE(A23, ""en"", ""hi"")"),"22")</f>
        <v>22</v>
      </c>
      <c r="G23" s="5" t="str">
        <f>IFERROR(__xludf.DUMMYFUNCTION("GOOGLETRANSLATE(B23, ""en"", ""hi"")"),"मुष्टि युद्ध मुख्य रूप से किस प्रकार के युद्ध पर केंद्रित है?")</f>
        <v>मुष्टि युद्ध मुख्य रूप से किस प्रकार के युद्ध पर केंद्रित है?</v>
      </c>
      <c r="H23" s="5" t="str">
        <f>IFERROR(__xludf.DUMMYFUNCTION("GOOGLETRANSLATE(C23, ""en"", ""hi"")"),"A) खड़े होकर लड़ना, B) ज़मीन पर लड़ना, C) हथियार-आधारित युद्ध, D) तीरंदाज़ी")</f>
        <v>A) खड़े होकर लड़ना, B) ज़मीन पर लड़ना, C) हथियार-आधारित युद्ध, D) तीरंदाज़ी</v>
      </c>
      <c r="I23" s="5" t="str">
        <f>IFERROR(__xludf.DUMMYFUNCTION("GOOGLETRANSLATE(D23, ""en"", ""hi"")"),"A) खड़े होकर लड़ाई")</f>
        <v>A) खड़े होकर लड़ाई</v>
      </c>
    </row>
    <row r="24" ht="22.5" customHeight="1">
      <c r="A24" s="7">
        <v>23.0</v>
      </c>
      <c r="B24" s="8" t="s">
        <v>2587</v>
      </c>
      <c r="C24" s="8" t="s">
        <v>2588</v>
      </c>
      <c r="D24" s="8" t="s">
        <v>2589</v>
      </c>
      <c r="F24" s="5" t="str">
        <f>IFERROR(__xludf.DUMMYFUNCTION("GOOGLETRANSLATE(A24, ""en"", ""hi"")"),"23")</f>
        <v>23</v>
      </c>
      <c r="G24" s="5" t="str">
        <f>IFERROR(__xludf.DUMMYFUNCTION("GOOGLETRANSLATE(B24, ""en"", ""hi"")"),"किस मुगल सम्राट के शासनकाल में शाही दरबारों में मुष्टि युद्ध प्रतियोगिताएं लोकप्रिय हुईं?")</f>
        <v>किस मुगल सम्राट के शासनकाल में शाही दरबारों में मुष्टि युद्ध प्रतियोगिताएं लोकप्रिय हुईं?</v>
      </c>
      <c r="H24" s="5" t="str">
        <f>IFERROR(__xludf.DUMMYFUNCTION("GOOGLETRANSLATE(C24, ""en"", ""hi"")"),"A) अकबर, B) जहाँगीर, C) शाहजहाँ, D) औरंगज़ेब")</f>
        <v>A) अकबर, B) जहाँगीर, C) शाहजहाँ, D) औरंगज़ेब</v>
      </c>
      <c r="I24" s="5" t="str">
        <f>IFERROR(__xludf.DUMMYFUNCTION("GOOGLETRANSLATE(D24, ""en"", ""hi"")"),"बी) जहांगीर")</f>
        <v>बी) जहांगीर</v>
      </c>
    </row>
    <row r="25" ht="22.5" customHeight="1">
      <c r="A25" s="7">
        <v>24.0</v>
      </c>
      <c r="B25" s="8" t="s">
        <v>2590</v>
      </c>
      <c r="C25" s="8" t="s">
        <v>2591</v>
      </c>
      <c r="D25" s="8" t="s">
        <v>2592</v>
      </c>
      <c r="F25" s="5" t="str">
        <f>IFERROR(__xludf.DUMMYFUNCTION("GOOGLETRANSLATE(A25, ""en"", ""hi"")"),"24")</f>
        <v>24</v>
      </c>
      <c r="G25" s="5" t="str">
        <f>IFERROR(__xludf.DUMMYFUNCTION("GOOGLETRANSLATE(B25, ""en"", ""hi"")"),"मुष्टि युद्ध अभ्यासी अक्सर निम्नलिखित में से किस पर ध्यान केंद्रित करते हैं?")</f>
        <v>मुष्टि युद्ध अभ्यासी अक्सर निम्नलिखित में से किस पर ध्यान केंद्रित करते हैं?</v>
      </c>
      <c r="H25" s="5" t="str">
        <f>IFERROR(__xludf.DUMMYFUNCTION("GOOGLETRANSLATE(C25, ""en"", ""hi"")"),"A) जोड़, B) महत्वपूर्ण बिंदु, C) अंग, D) धड़")</f>
        <v>A) जोड़, B) महत्वपूर्ण बिंदु, C) अंग, D) धड़</v>
      </c>
      <c r="I25" s="5" t="str">
        <f>IFERROR(__xludf.DUMMYFUNCTION("GOOGLETRANSLATE(D25, ""en"", ""hi"")"),"बी) महत्वपूर्ण बिंदु")</f>
        <v>बी) महत्वपूर्ण बिंदु</v>
      </c>
    </row>
    <row r="26" ht="22.5" customHeight="1">
      <c r="A26" s="7">
        <v>25.0</v>
      </c>
      <c r="B26" s="8" t="s">
        <v>2593</v>
      </c>
      <c r="C26" s="8" t="s">
        <v>2594</v>
      </c>
      <c r="D26" s="8" t="s">
        <v>2595</v>
      </c>
      <c r="F26" s="5" t="str">
        <f>IFERROR(__xludf.DUMMYFUNCTION("GOOGLETRANSLATE(A26, ""en"", ""hi"")"),"25")</f>
        <v>25</v>
      </c>
      <c r="G26" s="5" t="str">
        <f>IFERROR(__xludf.DUMMYFUNCTION("GOOGLETRANSLATE(B26, ""en"", ""hi"")"),"कौन सा प्रसिद्ध भारतीय योद्धा राजा मुष्टि युद्ध का अभ्यास करने के लिए जाना जाता था?")</f>
        <v>कौन सा प्रसिद्ध भारतीय योद्धा राजा मुष्टि युद्ध का अभ्यास करने के लिए जाना जाता था?</v>
      </c>
      <c r="H26" s="5" t="str">
        <f>IFERROR(__xludf.DUMMYFUNCTION("GOOGLETRANSLATE(C26, ""en"", ""hi"")"),"ए) अशोक, बी) शिवाजी, सी) महाराणा प्रताप, डी) टीपू सुल्तान")</f>
        <v>ए) अशोक, बी) शिवाजी, सी) महाराणा प्रताप, डी) टीपू सुल्तान</v>
      </c>
      <c r="I26" s="5" t="str">
        <f>IFERROR(__xludf.DUMMYFUNCTION("GOOGLETRANSLATE(D26, ""en"", ""hi"")"),"C) महाराणा प्रताप")</f>
        <v>C) महाराणा प्रताप</v>
      </c>
    </row>
    <row r="27" ht="22.5" customHeight="1">
      <c r="A27" s="7">
        <v>26.0</v>
      </c>
      <c r="B27" s="8" t="s">
        <v>2596</v>
      </c>
      <c r="C27" s="8" t="s">
        <v>2597</v>
      </c>
      <c r="D27" s="8" t="s">
        <v>2598</v>
      </c>
      <c r="F27" s="5" t="str">
        <f>IFERROR(__xludf.DUMMYFUNCTION("GOOGLETRANSLATE(A27, ""en"", ""hi"")"),"26")</f>
        <v>26</v>
      </c>
      <c r="G27" s="5" t="str">
        <f>IFERROR(__xludf.DUMMYFUNCTION("GOOGLETRANSLATE(B27, ""en"", ""hi"")"),"मुष्टि युद्ध प्रतियोगिताएं आमतौर पर किस प्रकार के भारतीय त्योहार के दौरान आयोजित की जाती थीं?")</f>
        <v>मुष्टि युद्ध प्रतियोगिताएं आमतौर पर किस प्रकार के भारतीय त्योहार के दौरान आयोजित की जाती थीं?</v>
      </c>
      <c r="H27" s="5" t="str">
        <f>IFERROR(__xludf.DUMMYFUNCTION("GOOGLETRANSLATE(C27, ""en"", ""hi"")"),"A) फसल उत्सव, B) मानसून उत्सव, C) धार्मिक उत्सव, D) वसंत उत्सव")</f>
        <v>A) फसल उत्सव, B) मानसून उत्सव, C) धार्मिक उत्सव, D) वसंत उत्सव</v>
      </c>
      <c r="I27" s="5" t="str">
        <f>IFERROR(__xludf.DUMMYFUNCTION("GOOGLETRANSLATE(D27, ""en"", ""hi"")"),"A) फसल उत्सव")</f>
        <v>A) फसल उत्सव</v>
      </c>
    </row>
    <row r="28" ht="22.5" customHeight="1">
      <c r="A28" s="7">
        <v>27.0</v>
      </c>
      <c r="B28" s="8" t="s">
        <v>2599</v>
      </c>
      <c r="C28" s="8" t="s">
        <v>2600</v>
      </c>
      <c r="D28" s="8" t="s">
        <v>2601</v>
      </c>
      <c r="F28" s="5" t="str">
        <f>IFERROR(__xludf.DUMMYFUNCTION("GOOGLETRANSLATE(A28, ""en"", ""hi"")"),"27")</f>
        <v>27</v>
      </c>
      <c r="G28" s="5" t="str">
        <f>IFERROR(__xludf.DUMMYFUNCTION("GOOGLETRANSLATE(B28, ""en"", ""hi"")"),"किस भारतीय क्षेत्र की पारंपरिक मार्शल प्रथाओं ने मुष्टि युद्ध की तकनीकों को प्रभावित किया?")</f>
        <v>किस भारतीय क्षेत्र की पारंपरिक मार्शल प्रथाओं ने मुष्टि युद्ध की तकनीकों को प्रभावित किया?</v>
      </c>
      <c r="H28" s="5" t="str">
        <f>IFERROR(__xludf.DUMMYFUNCTION("GOOGLETRANSLATE(C28, ""en"", ""hi"")"),"A) दक्षिण भारत, B) उत्तर भारत, C) पूर्वोत्तर भारत, D) पश्चिम भारत")</f>
        <v>A) दक्षिण भारत, B) उत्तर भारत, C) पूर्वोत्तर भारत, D) पश्चिम भारत</v>
      </c>
      <c r="I28" s="5" t="str">
        <f>IFERROR(__xludf.DUMMYFUNCTION("GOOGLETRANSLATE(D28, ""en"", ""hi"")"),"बी) उत्तर भारत")</f>
        <v>बी) उत्तर भारत</v>
      </c>
    </row>
    <row r="29" ht="22.5" customHeight="1">
      <c r="A29" s="7">
        <v>28.0</v>
      </c>
      <c r="B29" s="8" t="s">
        <v>2602</v>
      </c>
      <c r="C29" s="8" t="s">
        <v>2603</v>
      </c>
      <c r="D29" s="8" t="s">
        <v>2604</v>
      </c>
      <c r="F29" s="5" t="str">
        <f>IFERROR(__xludf.DUMMYFUNCTION("GOOGLETRANSLATE(A29, ""en"", ""hi"")"),"28")</f>
        <v>28</v>
      </c>
      <c r="G29" s="5" t="str">
        <f>IFERROR(__xludf.DUMMYFUNCTION("GOOGLETRANSLATE(B29, ""en"", ""hi"")"),"मुष्टि युद्ध में 'वरजा' शब्द का क्या अर्थ है?")</f>
        <v>मुष्टि युद्ध में 'वरजा' शब्द का क्या अर्थ है?</v>
      </c>
      <c r="H29" s="5" t="str">
        <f>IFERROR(__xludf.DUMMYFUNCTION("GOOGLETRANSLATE(C29, ""en"", ""hi"")"),"A) रक्षात्मक रुख, B) बिजली की गति, C) कुचलने वाली शक्ति, D) दैवीय शक्ति")</f>
        <v>A) रक्षात्मक रुख, B) बिजली की गति, C) कुचलने वाली शक्ति, D) दैवीय शक्ति</v>
      </c>
      <c r="I29" s="5" t="str">
        <f>IFERROR(__xludf.DUMMYFUNCTION("GOOGLETRANSLATE(D29, ""en"", ""hi"")"),"C) कुचल बल")</f>
        <v>C) कुचल बल</v>
      </c>
    </row>
    <row r="30" ht="22.5" customHeight="1">
      <c r="A30" s="7">
        <v>29.0</v>
      </c>
      <c r="B30" s="8" t="s">
        <v>2605</v>
      </c>
      <c r="C30" s="8" t="s">
        <v>2606</v>
      </c>
      <c r="D30" s="8" t="s">
        <v>2607</v>
      </c>
      <c r="F30" s="5" t="str">
        <f>IFERROR(__xludf.DUMMYFUNCTION("GOOGLETRANSLATE(A30, ""en"", ""hi"")"),"29")</f>
        <v>29</v>
      </c>
      <c r="G30" s="5" t="str">
        <f>IFERROR(__xludf.DUMMYFUNCTION("GOOGLETRANSLATE(B30, ""en"", ""hi"")"),"कौन सा लोकप्रिय मुष्टि युद्ध अभ्यासी एक शाही प्रतियोगिता में कई मुगल पहलवानों को हराने के लिए जाना जाता था?")</f>
        <v>कौन सा लोकप्रिय मुष्टि युद्ध अभ्यासी एक शाही प्रतियोगिता में कई मुगल पहलवानों को हराने के लिए जाना जाता था?</v>
      </c>
      <c r="H30" s="5" t="str">
        <f>IFERROR(__xludf.DUMMYFUNCTION("GOOGLETRANSLATE(C30, ""en"", ""hi"")"),"ए) सदाशिव, बी) गामा पहलवान, सी) बलराम, डी) राजा मान सिंह")</f>
        <v>ए) सदाशिव, बी) गामा पहलवान, सी) बलराम, डी) राजा मान सिंह</v>
      </c>
      <c r="I30" s="5" t="str">
        <f>IFERROR(__xludf.DUMMYFUNCTION("GOOGLETRANSLATE(D30, ""en"", ""hi"")"),"B) गामा पहलवान")</f>
        <v>B) गामा पहलवान</v>
      </c>
    </row>
    <row r="31" ht="22.5" customHeight="1">
      <c r="A31" s="7">
        <v>30.0</v>
      </c>
      <c r="B31" s="8" t="s">
        <v>2608</v>
      </c>
      <c r="C31" s="8" t="s">
        <v>2609</v>
      </c>
      <c r="D31" s="8" t="s">
        <v>2610</v>
      </c>
      <c r="F31" s="5" t="str">
        <f>IFERROR(__xludf.DUMMYFUNCTION("GOOGLETRANSLATE(A31, ""en"", ""hi"")"),"30")</f>
        <v>30</v>
      </c>
      <c r="G31" s="5" t="str">
        <f>IFERROR(__xludf.DUMMYFUNCTION("GOOGLETRANSLATE(B31, ""en"", ""hi"")"),"मुष्टि युद्ध को ऐतिहासिक रूप से निम्नलिखित में से किसकी तैयारी के रूप में माना जाता था?")</f>
        <v>मुष्टि युद्ध को ऐतिहासिक रूप से निम्नलिखित में से किसकी तैयारी के रूप में माना जाता था?</v>
      </c>
      <c r="H31" s="5" t="str">
        <f>IFERROR(__xludf.DUMMYFUNCTION("GOOGLETRANSLATE(C31, ""en"", ""hi"")"),"A) युद्ध, B) धार्मिक समारोह, C) शिकार, D) खेती")</f>
        <v>A) युद्ध, B) धार्मिक समारोह, C) शिकार, D) खेती</v>
      </c>
      <c r="I31" s="5" t="str">
        <f>IFERROR(__xludf.DUMMYFUNCTION("GOOGLETRANSLATE(D31, ""en"", ""hi"")"),"ए) युद्ध")</f>
        <v>ए) युद्ध</v>
      </c>
    </row>
    <row r="32" ht="22.5" customHeight="1">
      <c r="A32" s="7">
        <v>31.0</v>
      </c>
      <c r="B32" s="8" t="s">
        <v>2611</v>
      </c>
      <c r="C32" s="8" t="s">
        <v>2612</v>
      </c>
      <c r="D32" s="8" t="s">
        <v>2613</v>
      </c>
      <c r="F32" s="5" t="str">
        <f>IFERROR(__xludf.DUMMYFUNCTION("GOOGLETRANSLATE(A32, ""en"", ""hi"")"),"31")</f>
        <v>31</v>
      </c>
      <c r="G32" s="5" t="str">
        <f>IFERROR(__xludf.DUMMYFUNCTION("GOOGLETRANSLATE(B32, ""en"", ""hi"")"),"मुष्टि युद्ध में, शक्तिशाली मुक्का मारने के लिए आमतौर पर किस मुद्रा का उपयोग किया जाता है?")</f>
        <v>मुष्टि युद्ध में, शक्तिशाली मुक्का मारने के लिए आमतौर पर किस मुद्रा का उपयोग किया जाता है?</v>
      </c>
      <c r="H32" s="5" t="str">
        <f>IFERROR(__xludf.DUMMYFUNCTION("GOOGLETRANSLATE(C32, ""en"", ""hi"")"),"A) आसन मुद्रा, B) मुद्रा मुद्रा, C) स्तंभ मुद्रा, D) वीर मुद्रा")</f>
        <v>A) आसन मुद्रा, B) मुद्रा मुद्रा, C) स्तंभ मुद्रा, D) वीर मुद्रा</v>
      </c>
      <c r="I32" s="5" t="str">
        <f>IFERROR(__xludf.DUMMYFUNCTION("GOOGLETRANSLATE(D32, ""en"", ""hi"")"),"D) वीरा रुख")</f>
        <v>D) वीरा रुख</v>
      </c>
    </row>
    <row r="33" ht="22.5" customHeight="1">
      <c r="A33" s="7">
        <v>32.0</v>
      </c>
      <c r="B33" s="8" t="s">
        <v>2614</v>
      </c>
      <c r="C33" s="8" t="s">
        <v>2615</v>
      </c>
      <c r="D33" s="8" t="s">
        <v>2616</v>
      </c>
      <c r="F33" s="5" t="str">
        <f>IFERROR(__xludf.DUMMYFUNCTION("GOOGLETRANSLATE(A33, ""en"", ""hi"")"),"32")</f>
        <v>32</v>
      </c>
      <c r="G33" s="5" t="str">
        <f>IFERROR(__xludf.DUMMYFUNCTION("GOOGLETRANSLATE(B33, ""en"", ""hi"")"),"मुष्टि युद्ध के नियम युद्ध और लड़ाई पर किस प्राचीन भारतीय ग्रंथ से प्रभावित थे?")</f>
        <v>मुष्टि युद्ध के नियम युद्ध और लड़ाई पर किस प्राचीन भारतीय ग्रंथ से प्रभावित थे?</v>
      </c>
      <c r="H33" s="5" t="str">
        <f>IFERROR(__xludf.DUMMYFUNCTION("GOOGLETRANSLATE(C33, ""en"", ""hi"")"),"ए) अर्थशास्त्र, बी) सुश्रुत संहिता, सी) नाट्य शास्त्र, डी) कामसूत्र")</f>
        <v>ए) अर्थशास्त्र, बी) सुश्रुत संहिता, सी) नाट्य शास्त्र, डी) कामसूत्र</v>
      </c>
      <c r="I33" s="5" t="str">
        <f>IFERROR(__xludf.DUMMYFUNCTION("GOOGLETRANSLATE(D33, ""en"", ""hi"")"),"A) अर्थशास्त्र")</f>
        <v>A) अर्थशास्त्र</v>
      </c>
    </row>
    <row r="34" ht="22.5" customHeight="1">
      <c r="A34" s="7">
        <v>33.0</v>
      </c>
      <c r="B34" s="8" t="s">
        <v>2617</v>
      </c>
      <c r="C34" s="8" t="s">
        <v>2618</v>
      </c>
      <c r="D34" s="8" t="s">
        <v>2619</v>
      </c>
      <c r="F34" s="5" t="str">
        <f>IFERROR(__xludf.DUMMYFUNCTION("GOOGLETRANSLATE(A34, ""en"", ""hi"")"),"33")</f>
        <v>33</v>
      </c>
      <c r="G34" s="5" t="str">
        <f>IFERROR(__xludf.DUMMYFUNCTION("GOOGLETRANSLATE(B34, ""en"", ""hi"")"),"मुष्टि युद्ध में शक्ति विकास के लिए प्राथमिक प्रशिक्षण उपकरण क्या था?")</f>
        <v>मुष्टि युद्ध में शक्ति विकास के लिए प्राथमिक प्रशिक्षण उपकरण क्या था?</v>
      </c>
      <c r="H34" s="5" t="str">
        <f>IFERROR(__xludf.DUMMYFUNCTION("GOOGLETRANSLATE(C34, ""en"", ""hi"")"),"A) डम्बल, B) गदा, C) केटलबेल, D) इलास्टिक बैंड")</f>
        <v>A) डम्बल, B) गदा, C) केटलबेल, D) इलास्टिक बैंड</v>
      </c>
      <c r="I34" s="5" t="str">
        <f>IFERROR(__xludf.DUMMYFUNCTION("GOOGLETRANSLATE(D34, ""en"", ""hi"")"),"बी) गदा (गदा)")</f>
        <v>बी) गदा (गदा)</v>
      </c>
    </row>
    <row r="35" ht="22.5" customHeight="1">
      <c r="A35" s="7">
        <v>34.0</v>
      </c>
      <c r="B35" s="8" t="s">
        <v>2620</v>
      </c>
      <c r="C35" s="8" t="s">
        <v>2621</v>
      </c>
      <c r="D35" s="8" t="s">
        <v>2622</v>
      </c>
      <c r="F35" s="5" t="str">
        <f>IFERROR(__xludf.DUMMYFUNCTION("GOOGLETRANSLATE(A35, ""en"", ""hi"")"),"34")</f>
        <v>34</v>
      </c>
      <c r="G35" s="5" t="str">
        <f>IFERROR(__xludf.DUMMYFUNCTION("GOOGLETRANSLATE(B35, ""en"", ""hi"")"),"किस प्रसिद्ध मुगल कुश्ती चैंपियन ने ऐतिहासिक मुकाबले में मुश्ती युद्ध योद्धा का सामना किया था?")</f>
        <v>किस प्रसिद्ध मुगल कुश्ती चैंपियन ने ऐतिहासिक मुकाबले में मुश्ती युद्ध योद्धा का सामना किया था?</v>
      </c>
      <c r="H35" s="5" t="str">
        <f>IFERROR(__xludf.DUMMYFUNCTION("GOOGLETRANSLATE(C35, ""en"", ""hi"")"),"ए) रुस्तम-ए-हिंद, बी) भोलू पहलवान, सी) बाकर अली, डी) गुलाम मोहम्मद")</f>
        <v>ए) रुस्तम-ए-हिंद, बी) भोलू पहलवान, सी) बाकर अली, डी) गुलाम मोहम्मद</v>
      </c>
      <c r="I35" s="5" t="str">
        <f>IFERROR(__xludf.DUMMYFUNCTION("GOOGLETRANSLATE(D35, ""en"", ""hi"")"),"C) बाकर अली")</f>
        <v>C) बाकर अली</v>
      </c>
    </row>
    <row r="36" ht="22.5" customHeight="1">
      <c r="A36" s="7">
        <v>35.0</v>
      </c>
      <c r="B36" s="8" t="s">
        <v>2623</v>
      </c>
      <c r="C36" s="8" t="s">
        <v>2624</v>
      </c>
      <c r="D36" s="8" t="s">
        <v>2625</v>
      </c>
      <c r="F36" s="5" t="str">
        <f>IFERROR(__xludf.DUMMYFUNCTION("GOOGLETRANSLATE(A36, ""en"", ""hi"")"),"35")</f>
        <v>35</v>
      </c>
      <c r="G36" s="5" t="str">
        <f>IFERROR(__xludf.DUMMYFUNCTION("GOOGLETRANSLATE(B36, ""en"", ""hi"")"),"मुष्टि युद्ध में उस चाल का नाम क्या है जो बाघ द्वारा अपने शिकार पर हमला करने की क्रिया की नकल करती है?")</f>
        <v>मुष्टि युद्ध में उस चाल का नाम क्या है जो बाघ द्वारा अपने शिकार पर हमला करने की क्रिया की नकल करती है?</v>
      </c>
      <c r="H36" s="5" t="str">
        <f>IFERROR(__xludf.DUMMYFUNCTION("GOOGLETRANSLATE(C36, ""en"", ""hi"")"),"ए) सिम्हाक्रीडा, बी) गरुड़पत, सी) मयूरासन, डी) वृश्चिक")</f>
        <v>ए) सिम्हाक्रीडा, बी) गरुड़पत, सी) मयूरासन, डी) वृश्चिक</v>
      </c>
      <c r="I36" s="5" t="str">
        <f>IFERROR(__xludf.DUMMYFUNCTION("GOOGLETRANSLATE(D36, ""en"", ""hi"")"),"A) सिंहक्रीड़ा")</f>
        <v>A) सिंहक्रीड़ा</v>
      </c>
    </row>
    <row r="37" ht="22.5" customHeight="1">
      <c r="A37" s="7">
        <v>36.0</v>
      </c>
      <c r="B37" s="8" t="s">
        <v>2626</v>
      </c>
      <c r="C37" s="8" t="s">
        <v>2627</v>
      </c>
      <c r="D37" s="8" t="s">
        <v>2628</v>
      </c>
      <c r="F37" s="5" t="str">
        <f>IFERROR(__xludf.DUMMYFUNCTION("GOOGLETRANSLATE(A37, ""en"", ""hi"")"),"36")</f>
        <v>36</v>
      </c>
      <c r="G37" s="5" t="str">
        <f>IFERROR(__xludf.DUMMYFUNCTION("GOOGLETRANSLATE(B37, ""en"", ""hi"")"),"मुष्टि युद्ध में शक्ति और विजय के लिए प्रायः किस वैदिक देवता का आह्वान किया जाता है?")</f>
        <v>मुष्टि युद्ध में शक्ति और विजय के लिए प्रायः किस वैदिक देवता का आह्वान किया जाता है?</v>
      </c>
      <c r="H37" s="5" t="str">
        <f>IFERROR(__xludf.DUMMYFUNCTION("GOOGLETRANSLATE(C37, ""en"", ""hi"")"),"ए) इंद्र, बी) अग्नि, सी) वायु, डी) वरुण")</f>
        <v>ए) इंद्र, बी) अग्नि, सी) वायु, डी) वरुण</v>
      </c>
      <c r="I37" s="5" t="str">
        <f>IFERROR(__xludf.DUMMYFUNCTION("GOOGLETRANSLATE(D37, ""en"", ""hi"")"),"A) इंद्र")</f>
        <v>A) इंद्र</v>
      </c>
    </row>
    <row r="38" ht="22.5" customHeight="1">
      <c r="A38" s="7">
        <v>37.0</v>
      </c>
      <c r="B38" s="8" t="s">
        <v>2629</v>
      </c>
      <c r="C38" s="8" t="s">
        <v>2630</v>
      </c>
      <c r="D38" s="8" t="s">
        <v>2631</v>
      </c>
      <c r="F38" s="5" t="str">
        <f>IFERROR(__xludf.DUMMYFUNCTION("GOOGLETRANSLATE(A38, ""en"", ""hi"")"),"37")</f>
        <v>37</v>
      </c>
      <c r="G38" s="5" t="str">
        <f>IFERROR(__xludf.DUMMYFUNCTION("GOOGLETRANSLATE(B38, ""en"", ""hi"")"),"मुष्टि युद्ध में, एक मुकाबला आमतौर पर तब समाप्त होता है जब:")</f>
        <v>मुष्टि युद्ध में, एक मुकाबला आमतौर पर तब समाप्त होता है जब:</v>
      </c>
      <c r="H38" s="5" t="str">
        <f>IFERROR(__xludf.DUMMYFUNCTION("GOOGLETRANSLATE(C38, ""en"", ""hi"")"),"A) समय समाप्त हो जाता है, B) एक फाइटर नॉकआउट हो जाता है, C) रेफरी मुकाबला रोक देता है, D) फाइटर आत्मसमर्पण कर देता है")</f>
        <v>A) समय समाप्त हो जाता है, B) एक फाइटर नॉकआउट हो जाता है, C) रेफरी मुकाबला रोक देता है, D) फाइटर आत्मसमर्पण कर देता है</v>
      </c>
      <c r="I38" s="5" t="str">
        <f>IFERROR(__xludf.DUMMYFUNCTION("GOOGLETRANSLATE(D38, ""en"", ""hi"")"),"B) एक फाइटर नॉकआउट हो गया है")</f>
        <v>B) एक फाइटर नॉकआउट हो गया है</v>
      </c>
    </row>
    <row r="39" ht="22.5" customHeight="1">
      <c r="A39" s="7">
        <v>38.0</v>
      </c>
      <c r="B39" s="8" t="s">
        <v>2632</v>
      </c>
      <c r="C39" s="8" t="s">
        <v>2633</v>
      </c>
      <c r="D39" s="8" t="s">
        <v>2634</v>
      </c>
      <c r="F39" s="5" t="str">
        <f>IFERROR(__xludf.DUMMYFUNCTION("GOOGLETRANSLATE(A39, ""en"", ""hi"")"),"38")</f>
        <v>38</v>
      </c>
      <c r="G39" s="5" t="str">
        <f>IFERROR(__xludf.DUMMYFUNCTION("GOOGLETRANSLATE(B39, ""en"", ""hi"")"),"मुष्टि युद्ध में किस चाल में प्रतिद्वंद्वी की ठोड़ी पर तेज, ऊपर की ओर मुक्का मारा जाता है?")</f>
        <v>मुष्टि युद्ध में किस चाल में प्रतिद्वंद्वी की ठोड़ी पर तेज, ऊपर की ओर मुक्का मारा जाता है?</v>
      </c>
      <c r="H39" s="5" t="str">
        <f>IFERROR(__xludf.DUMMYFUNCTION("GOOGLETRANSLATE(C39, ""en"", ""hi"")"),"ए) पद्मवन, बी) उर्ध्व मुष्टि, सी) अधोमुख, डी) पशुपति")</f>
        <v>ए) पद्मवन, बी) उर्ध्व मुष्टि, सी) अधोमुख, डी) पशुपति</v>
      </c>
      <c r="I39" s="5" t="str">
        <f>IFERROR(__xludf.DUMMYFUNCTION("GOOGLETRANSLATE(D39, ""en"", ""hi"")"),"बी) उर्ध्व मुष्टि")</f>
        <v>बी) उर्ध्व मुष्टि</v>
      </c>
    </row>
    <row r="40" ht="22.5" customHeight="1">
      <c r="A40" s="7">
        <v>39.0</v>
      </c>
      <c r="B40" s="8" t="s">
        <v>2635</v>
      </c>
      <c r="C40" s="8" t="s">
        <v>2636</v>
      </c>
      <c r="D40" s="8" t="s">
        <v>2637</v>
      </c>
      <c r="F40" s="5" t="str">
        <f>IFERROR(__xludf.DUMMYFUNCTION("GOOGLETRANSLATE(A40, ""en"", ""hi"")"),"39")</f>
        <v>39</v>
      </c>
      <c r="G40" s="5" t="str">
        <f>IFERROR(__xludf.DUMMYFUNCTION("GOOGLETRANSLATE(B40, ""en"", ""hi"")"),"मुष्टि युद्ध का प्रयोग ऐतिहासिक रूप से किन समूहों के बीच विवादों को निपटाने के लिए किया जाता था?")</f>
        <v>मुष्टि युद्ध का प्रयोग ऐतिहासिक रूप से किन समूहों के बीच विवादों को निपटाने के लिए किया जाता था?</v>
      </c>
      <c r="H40" s="5" t="str">
        <f>IFERROR(__xludf.DUMMYFUNCTION("GOOGLETRANSLATE(C40, ""en"", ""hi"")"),"A) किसान, B) राजपरिवार, C) व्यापारी, D) पादरी")</f>
        <v>A) किसान, B) राजपरिवार, C) व्यापारी, D) पादरी</v>
      </c>
      <c r="I40" s="5" t="str">
        <f>IFERROR(__xludf.DUMMYFUNCTION("GOOGLETRANSLATE(D40, ""en"", ""hi"")"),"बी) रॉयल्स")</f>
        <v>बी) रॉयल्स</v>
      </c>
    </row>
    <row r="41" ht="22.5" customHeight="1">
      <c r="A41" s="7">
        <v>40.0</v>
      </c>
      <c r="B41" s="8" t="s">
        <v>2638</v>
      </c>
      <c r="C41" s="8" t="s">
        <v>2639</v>
      </c>
      <c r="D41" s="8" t="s">
        <v>2640</v>
      </c>
      <c r="F41" s="5" t="str">
        <f>IFERROR(__xludf.DUMMYFUNCTION("GOOGLETRANSLATE(A41, ""en"", ""hi"")"),"40")</f>
        <v>40</v>
      </c>
      <c r="G41" s="5" t="str">
        <f>IFERROR(__xludf.DUMMYFUNCTION("GOOGLETRANSLATE(B41, ""en"", ""hi"")"),"किस ग्रंथ में उन शारीरिक व्यायामों का उल्लेख है जो मुष्टि युद्ध अभ्यासियों के लिए लाभदायक हैं?")</f>
        <v>किस ग्रंथ में उन शारीरिक व्यायामों का उल्लेख है जो मुष्टि युद्ध अभ्यासियों के लिए लाभदायक हैं?</v>
      </c>
      <c r="H41" s="5" t="str">
        <f>IFERROR(__xludf.DUMMYFUNCTION("GOOGLETRANSLATE(C41, ""en"", ""hi"")"),"ए) हठ योग प्रदीपिका, बी) चरक संहिता, सी) पतंजलि योग सूत्र, डी) सुश्रुत संहिता")</f>
        <v>ए) हठ योग प्रदीपिका, बी) चरक संहिता, सी) पतंजलि योग सूत्र, डी) सुश्रुत संहिता</v>
      </c>
      <c r="I41" s="5" t="str">
        <f>IFERROR(__xludf.DUMMYFUNCTION("GOOGLETRANSLATE(D41, ""en"", ""hi"")"),"A) हठ योग प्रदीपिका")</f>
        <v>A) हठ योग प्रदीपिका</v>
      </c>
    </row>
    <row r="42" ht="22.5" customHeight="1">
      <c r="A42" s="7">
        <v>41.0</v>
      </c>
      <c r="B42" s="8" t="s">
        <v>2641</v>
      </c>
      <c r="C42" s="8" t="s">
        <v>2642</v>
      </c>
      <c r="D42" s="8" t="s">
        <v>2643</v>
      </c>
      <c r="F42" s="5" t="str">
        <f>IFERROR(__xludf.DUMMYFUNCTION("GOOGLETRANSLATE(A42, ""en"", ""hi"")"),"41")</f>
        <v>41</v>
      </c>
      <c r="G42" s="5" t="str">
        <f>IFERROR(__xludf.DUMMYFUNCTION("GOOGLETRANSLATE(B42, ""en"", ""hi"")"),"ताकत बढ़ाने के लिए वजन उठाने से संबंधित एक सामान्य मुष्टि युद्ध प्रशिक्षण अभ्यास क्या है?")</f>
        <v>ताकत बढ़ाने के लिए वजन उठाने से संबंधित एक सामान्य मुष्टि युद्ध प्रशिक्षण अभ्यास क्या है?</v>
      </c>
      <c r="H42" s="5" t="str">
        <f>IFERROR(__xludf.DUMMYFUNCTION("GOOGLETRANSLATE(C42, ""en"", ""hi"")"),"ए) भरम, बी) गदा, सी) दंड, डी) बैठक")</f>
        <v>ए) भरम, बी) गदा, सी) दंड, डी) बैठक</v>
      </c>
      <c r="I42" s="5" t="str">
        <f>IFERROR(__xludf.DUMMYFUNCTION("GOOGLETRANSLATE(D42, ""en"", ""hi"")"),"बी) गदा")</f>
        <v>बी) गदा</v>
      </c>
    </row>
    <row r="43" ht="22.5" customHeight="1">
      <c r="A43" s="7">
        <v>42.0</v>
      </c>
      <c r="B43" s="8" t="s">
        <v>2644</v>
      </c>
      <c r="C43" s="8" t="s">
        <v>2645</v>
      </c>
      <c r="D43" s="8" t="s">
        <v>2646</v>
      </c>
      <c r="F43" s="5" t="str">
        <f>IFERROR(__xludf.DUMMYFUNCTION("GOOGLETRANSLATE(A43, ""en"", ""hi"")"),"42")</f>
        <v>42</v>
      </c>
      <c r="G43" s="5" t="str">
        <f>IFERROR(__xludf.DUMMYFUNCTION("GOOGLETRANSLATE(B43, ""en"", ""hi"")"),"कौन सा भारतीय त्यौहार अक्सर मुष्टि युद्ध प्रदर्शनों और प्रतियोगिताओं से जुड़ा हुआ है?")</f>
        <v>कौन सा भारतीय त्यौहार अक्सर मुष्टि युद्ध प्रदर्शनों और प्रतियोगिताओं से जुड़ा हुआ है?</v>
      </c>
      <c r="H43" s="5" t="str">
        <f>IFERROR(__xludf.DUMMYFUNCTION("GOOGLETRANSLATE(C43, ""en"", ""hi"")"),"ए) होली, बी) दिवाली, सी) मकर संक्रांति, डी) दशहरा")</f>
        <v>ए) होली, बी) दिवाली, सी) मकर संक्रांति, डी) दशहरा</v>
      </c>
      <c r="I43" s="5" t="str">
        <f>IFERROR(__xludf.DUMMYFUNCTION("GOOGLETRANSLATE(D43, ""en"", ""hi"")"),"C) मकर संक्रांति")</f>
        <v>C) मकर संक्रांति</v>
      </c>
    </row>
    <row r="44" ht="22.5" customHeight="1">
      <c r="A44" s="7">
        <v>43.0</v>
      </c>
      <c r="B44" s="8" t="s">
        <v>2647</v>
      </c>
      <c r="C44" s="8" t="s">
        <v>2648</v>
      </c>
      <c r="D44" s="8" t="s">
        <v>2649</v>
      </c>
      <c r="F44" s="5" t="str">
        <f>IFERROR(__xludf.DUMMYFUNCTION("GOOGLETRANSLATE(A44, ""en"", ""hi"")"),"43")</f>
        <v>43</v>
      </c>
      <c r="G44" s="5" t="str">
        <f>IFERROR(__xludf.DUMMYFUNCTION("GOOGLETRANSLATE(B44, ""en"", ""hi"")"),"कौन सा पारंपरिक भारतीय खेल कुश्ती तकनीक के संदर्भ में मुष्टि युद्ध के साथ समानताएं साझा करता है?")</f>
        <v>कौन सा पारंपरिक भारतीय खेल कुश्ती तकनीक के संदर्भ में मुष्टि युद्ध के साथ समानताएं साझा करता है?</v>
      </c>
      <c r="H44" s="5" t="str">
        <f>IFERROR(__xludf.DUMMYFUNCTION("GOOGLETRANSLATE(C44, ""en"", ""hi"")"),"ए) कबड्डी, बी) कुश्ती, सी) मल्लखंब, डी) खो-खो")</f>
        <v>ए) कबड्डी, बी) कुश्ती, सी) मल्लखंब, डी) खो-खो</v>
      </c>
      <c r="I44" s="5" t="str">
        <f>IFERROR(__xludf.DUMMYFUNCTION("GOOGLETRANSLATE(D44, ""en"", ""hi"")"),"बी) कुश्ती")</f>
        <v>बी) कुश्ती</v>
      </c>
    </row>
    <row r="45" ht="22.5" customHeight="1">
      <c r="A45" s="7">
        <v>44.0</v>
      </c>
      <c r="B45" s="8" t="s">
        <v>2650</v>
      </c>
      <c r="C45" s="8" t="s">
        <v>2651</v>
      </c>
      <c r="D45" s="8" t="s">
        <v>2559</v>
      </c>
      <c r="F45" s="5" t="str">
        <f>IFERROR(__xludf.DUMMYFUNCTION("GOOGLETRANSLATE(A45, ""en"", ""hi"")"),"44")</f>
        <v>44</v>
      </c>
      <c r="G45" s="5" t="str">
        <f>IFERROR(__xludf.DUMMYFUNCTION("GOOGLETRANSLATE(B45, ""en"", ""hi"")"),"मुष्टि युद्ध में पारंपरिक रूप से किस प्रकार के सुरक्षात्मक उपकरण का उपयोग किया जाता है?")</f>
        <v>मुष्टि युद्ध में पारंपरिक रूप से किस प्रकार के सुरक्षात्मक उपकरण का उपयोग किया जाता है?</v>
      </c>
      <c r="H45" s="5" t="str">
        <f>IFERROR(__xludf.DUMMYFUNCTION("GOOGLETRANSLATE(C45, ""en"", ""hi"")"),"A) हेलमेट, B) दस्ताने, C) आर्म गार्ड, D) कोई नहीं")</f>
        <v>A) हेलमेट, B) दस्ताने, C) आर्म गार्ड, D) कोई नहीं</v>
      </c>
      <c r="I45" s="5" t="str">
        <f>IFERROR(__xludf.DUMMYFUNCTION("GOOGLETRANSLATE(D45, ""en"", ""hi"")"),"डी) कोई नहीं")</f>
        <v>डी) कोई नहीं</v>
      </c>
    </row>
    <row r="46" ht="22.5" customHeight="1">
      <c r="A46" s="7">
        <v>45.0</v>
      </c>
      <c r="B46" s="8" t="s">
        <v>2652</v>
      </c>
      <c r="C46" s="8" t="s">
        <v>2653</v>
      </c>
      <c r="D46" s="8" t="s">
        <v>2654</v>
      </c>
      <c r="F46" s="5" t="str">
        <f>IFERROR(__xludf.DUMMYFUNCTION("GOOGLETRANSLATE(A46, ""en"", ""hi"")"),"45")</f>
        <v>45</v>
      </c>
      <c r="G46" s="5" t="str">
        <f>IFERROR(__xludf.DUMMYFUNCTION("GOOGLETRANSLATE(B46, ""en"", ""hi"")"),"मुश्ती युद्ध मुकाबले अक्सर किस प्रकार की सेटिंग में आयोजित किए जाते हैं?")</f>
        <v>मुश्ती युद्ध मुकाबले अक्सर किस प्रकार की सेटिंग में आयोजित किए जाते हैं?</v>
      </c>
      <c r="H46" s="5" t="str">
        <f>IFERROR(__xludf.DUMMYFUNCTION("GOOGLETRANSLATE(C46, ""en"", ""hi"")"),"A) खुला मैदान, B) स्टेडियम, C) अखाड़ा, D) रेत का गड्ढा")</f>
        <v>A) खुला मैदान, B) स्टेडियम, C) अखाड़ा, D) रेत का गड्ढा</v>
      </c>
      <c r="I46" s="5" t="str">
        <f>IFERROR(__xludf.DUMMYFUNCTION("GOOGLETRANSLATE(D46, ""en"", ""hi"")"),"D) रेत का गड्ढा")</f>
        <v>D) रेत का गड्ढा</v>
      </c>
    </row>
    <row r="47" ht="22.5" customHeight="1">
      <c r="A47" s="7">
        <v>46.0</v>
      </c>
      <c r="B47" s="8" t="s">
        <v>2655</v>
      </c>
      <c r="C47" s="8" t="s">
        <v>2656</v>
      </c>
      <c r="D47" s="8" t="s">
        <v>2657</v>
      </c>
      <c r="F47" s="5" t="str">
        <f>IFERROR(__xludf.DUMMYFUNCTION("GOOGLETRANSLATE(A47, ""en"", ""hi"")"),"46")</f>
        <v>46</v>
      </c>
      <c r="G47" s="5" t="str">
        <f>IFERROR(__xludf.DUMMYFUNCTION("GOOGLETRANSLATE(B47, ""en"", ""hi"")"),"ऐसा कहा जाता है कि किस ऐतिहासिक युद्ध में सैनिकों को मुष्टि युद्ध तकनीक में प्रशिक्षित किया गया था?")</f>
        <v>ऐसा कहा जाता है कि किस ऐतिहासिक युद्ध में सैनिकों को मुष्टि युद्ध तकनीक में प्रशिक्षित किया गया था?</v>
      </c>
      <c r="H47" s="5" t="str">
        <f>IFERROR(__xludf.DUMMYFUNCTION("GOOGLETRANSLATE(C47, ""en"", ""hi"")"),"A) पानीपत का युद्ध, B) हल्दीघाटी का युद्ध, C) प्लासी का युद्ध, D) तालीकोटा का युद्ध")</f>
        <v>A) पानीपत का युद्ध, B) हल्दीघाटी का युद्ध, C) प्लासी का युद्ध, D) तालीकोटा का युद्ध</v>
      </c>
      <c r="I47" s="5" t="str">
        <f>IFERROR(__xludf.DUMMYFUNCTION("GOOGLETRANSLATE(D47, ""en"", ""hi"")"),"B) हल्दीघाटी का युद्ध")</f>
        <v>B) हल्दीघाटी का युद्ध</v>
      </c>
    </row>
    <row r="48" ht="22.5" customHeight="1">
      <c r="A48" s="7">
        <v>47.0</v>
      </c>
      <c r="B48" s="8" t="s">
        <v>2658</v>
      </c>
      <c r="C48" s="8" t="s">
        <v>2659</v>
      </c>
      <c r="D48" s="8" t="s">
        <v>2660</v>
      </c>
      <c r="F48" s="5" t="str">
        <f>IFERROR(__xludf.DUMMYFUNCTION("GOOGLETRANSLATE(A48, ""en"", ""hi"")"),"47")</f>
        <v>47</v>
      </c>
      <c r="G48" s="5" t="str">
        <f>IFERROR(__xludf.DUMMYFUNCTION("GOOGLETRANSLATE(B48, ""en"", ""hi"")"),"मुष्टि युद्ध योद्धा प्रायः एक प्रकार के योग का अभ्यास करते हैं जिसे इस प्रकार जाना जाता है:")</f>
        <v>मुष्टि युद्ध योद्धा प्रायः एक प्रकार के योग का अभ्यास करते हैं जिसे इस प्रकार जाना जाता है:</v>
      </c>
      <c r="H48" s="5" t="str">
        <f>IFERROR(__xludf.DUMMYFUNCTION("GOOGLETRANSLATE(C48, ""en"", ""hi"")"),"ए) भक्ति योग, बी) राज योग, सी) कर्म योग, डी) हठ योग")</f>
        <v>ए) भक्ति योग, बी) राज योग, सी) कर्म योग, डी) हठ योग</v>
      </c>
      <c r="I48" s="5" t="str">
        <f>IFERROR(__xludf.DUMMYFUNCTION("GOOGLETRANSLATE(D48, ""en"", ""hi"")"),"D) हठ योग")</f>
        <v>D) हठ योग</v>
      </c>
    </row>
    <row r="49" ht="22.5" customHeight="1">
      <c r="A49" s="7">
        <v>48.0</v>
      </c>
      <c r="B49" s="8" t="s">
        <v>2661</v>
      </c>
      <c r="C49" s="8" t="s">
        <v>2662</v>
      </c>
      <c r="D49" s="8" t="s">
        <v>2663</v>
      </c>
      <c r="F49" s="5" t="str">
        <f>IFERROR(__xludf.DUMMYFUNCTION("GOOGLETRANSLATE(A49, ""en"", ""hi"")"),"48")</f>
        <v>48</v>
      </c>
      <c r="G49" s="5" t="str">
        <f>IFERROR(__xludf.DUMMYFUNCTION("GOOGLETRANSLATE(B49, ""en"", ""hi"")"),"मुष्टि युद्ध में 'युद्ध' शब्द का अनुवाद इस प्रकार है:")</f>
        <v>मुष्टि युद्ध में 'युद्ध' शब्द का अनुवाद इस प्रकार है:</v>
      </c>
      <c r="H49" s="5" t="str">
        <f>IFERROR(__xludf.DUMMYFUNCTION("GOOGLETRANSLATE(C49, ""en"", ""hi"")"),"A) नृत्य, B) ध्यान, C) युद्ध, D) शक्ति")</f>
        <v>A) नृत्य, B) ध्यान, C) युद्ध, D) शक्ति</v>
      </c>
      <c r="I49" s="5" t="str">
        <f>IFERROR(__xludf.DUMMYFUNCTION("GOOGLETRANSLATE(D49, ""en"", ""hi"")"),"सी) युद्ध")</f>
        <v>सी) युद्ध</v>
      </c>
    </row>
    <row r="50" ht="22.5" customHeight="1">
      <c r="A50" s="7">
        <v>49.0</v>
      </c>
      <c r="B50" s="8" t="s">
        <v>2664</v>
      </c>
      <c r="C50" s="8" t="s">
        <v>2665</v>
      </c>
      <c r="D50" s="8" t="s">
        <v>2666</v>
      </c>
      <c r="F50" s="5" t="str">
        <f>IFERROR(__xludf.DUMMYFUNCTION("GOOGLETRANSLATE(A50, ""en"", ""hi"")"),"49")</f>
        <v>49</v>
      </c>
      <c r="G50" s="5" t="str">
        <f>IFERROR(__xludf.DUMMYFUNCTION("GOOGLETRANSLATE(B50, ""en"", ""hi"")"),"मुष्टि युद्ध के दौरान एक मुष्टि युद्ध अभ्यासी की सामान्य पोशाक क्या होती है?")</f>
        <v>मुष्टि युद्ध के दौरान एक मुष्टि युद्ध अभ्यासी की सामान्य पोशाक क्या होती है?</v>
      </c>
      <c r="H50" s="5" t="str">
        <f>IFERROR(__xludf.DUMMYFUNCTION("GOOGLETRANSLATE(C50, ""en"", ""hi"")"),"A) पूर्ण कवच, B) पारंपरिक धोती, C) कुर्ता, D) शर्ट और पैंट")</f>
        <v>A) पूर्ण कवच, B) पारंपरिक धोती, C) कुर्ता, D) शर्ट और पैंट</v>
      </c>
      <c r="I50" s="5" t="str">
        <f>IFERROR(__xludf.DUMMYFUNCTION("GOOGLETRANSLATE(D50, ""en"", ""hi"")"),"बी) पारंपरिक धोती")</f>
        <v>बी) पारंपरिक धोती</v>
      </c>
    </row>
    <row r="51" ht="22.5" customHeight="1">
      <c r="A51" s="7">
        <v>50.0</v>
      </c>
      <c r="B51" s="8" t="s">
        <v>2667</v>
      </c>
      <c r="C51" s="8" t="s">
        <v>2668</v>
      </c>
      <c r="D51" s="8" t="s">
        <v>2669</v>
      </c>
      <c r="F51" s="5" t="str">
        <f>IFERROR(__xludf.DUMMYFUNCTION("GOOGLETRANSLATE(A51, ""en"", ""hi"")"),"50")</f>
        <v>50</v>
      </c>
      <c r="G51" s="5" t="str">
        <f>IFERROR(__xludf.DUMMYFUNCTION("GOOGLETRANSLATE(B51, ""en"", ""hi"")"),"ऐसा माना जाता है कि कौन सा प्राचीन भारतीय राजा मुष्टि युद्ध का संरक्षक था?")</f>
        <v>ऐसा माना जाता है कि कौन सा प्राचीन भारतीय राजा मुष्टि युद्ध का संरक्षक था?</v>
      </c>
      <c r="H51" s="5" t="str">
        <f>IFERROR(__xludf.DUMMYFUNCTION("GOOGLETRANSLATE(C51, ""en"", ""hi"")"),"ए) चंद्रगुप्त मौर्य, बी) हर्षवर्द्धन, सी) अशोक, डी) चोल राजेंद्र")</f>
        <v>ए) चंद्रगुप्त मौर्य, बी) हर्षवर्द्धन, सी) अशोक, डी) चोल राजेंद्र</v>
      </c>
      <c r="I51" s="5" t="str">
        <f>IFERROR(__xludf.DUMMYFUNCTION("GOOGLETRANSLATE(D51, ""en"", ""hi"")"),"B) हर्षवर्धन")</f>
        <v>B) हर्षवर्धन</v>
      </c>
    </row>
    <row r="52" ht="22.5" customHeight="1">
      <c r="A52" s="7">
        <v>51.0</v>
      </c>
      <c r="B52" s="8" t="s">
        <v>2670</v>
      </c>
      <c r="C52" s="8" t="s">
        <v>2671</v>
      </c>
      <c r="D52" s="8" t="s">
        <v>2672</v>
      </c>
      <c r="F52" s="5" t="str">
        <f>IFERROR(__xludf.DUMMYFUNCTION("GOOGLETRANSLATE(A52, ""en"", ""hi"")"),"51")</f>
        <v>51</v>
      </c>
      <c r="G52" s="5" t="str">
        <f>IFERROR(__xludf.DUMMYFUNCTION("GOOGLETRANSLATE(B52, ""en"", ""hi"")"),"मुष्टि युद्ध में किस तकनीक में प्रतिद्वंद्वी के कंधे पर नीचे की ओर हथौड़ा प्रहार किया जाता है?")</f>
        <v>मुष्टि युद्ध में किस तकनीक में प्रतिद्वंद्वी के कंधे पर नीचे की ओर हथौड़ा प्रहार किया जाता है?</v>
      </c>
      <c r="H52" s="5" t="str">
        <f>IFERROR(__xludf.DUMMYFUNCTION("GOOGLETRANSLATE(C52, ""en"", ""hi"")"),"ए) भुज मुष्टी, बी) तालध्वज, सी) गजकुंभ, डी) सिरोभेदा")</f>
        <v>ए) भुज मुष्टी, बी) तालध्वज, सी) गजकुंभ, डी) सिरोभेदा</v>
      </c>
      <c r="I52" s="5" t="str">
        <f>IFERROR(__xludf.DUMMYFUNCTION("GOOGLETRANSLATE(D52, ""en"", ""hi"")"),"A) भुजा मुष्टी")</f>
        <v>A) भुजा मुष्टी</v>
      </c>
    </row>
    <row r="53" ht="22.5" customHeight="1">
      <c r="A53" s="7">
        <v>52.0</v>
      </c>
      <c r="B53" s="8" t="s">
        <v>2673</v>
      </c>
      <c r="C53" s="8" t="s">
        <v>2674</v>
      </c>
      <c r="D53" s="8" t="s">
        <v>2675</v>
      </c>
      <c r="F53" s="5" t="str">
        <f>IFERROR(__xludf.DUMMYFUNCTION("GOOGLETRANSLATE(A53, ""en"", ""hi"")"),"52")</f>
        <v>52</v>
      </c>
      <c r="G53" s="5" t="str">
        <f>IFERROR(__xludf.DUMMYFUNCTION("GOOGLETRANSLATE(B53, ""en"", ""hi"")"),"किस मुगल सम्राट के सेनापति को एक प्रसिद्ध द्वंद्वयुद्ध में मुष्टि युद्ध अभ्यासी ने पराजित किया था?")</f>
        <v>किस मुगल सम्राट के सेनापति को एक प्रसिद्ध द्वंद्वयुद्ध में मुष्टि युद्ध अभ्यासी ने पराजित किया था?</v>
      </c>
      <c r="H53" s="5" t="str">
        <f>IFERROR(__xludf.DUMMYFUNCTION("GOOGLETRANSLATE(C53, ""en"", ""hi"")"),"A) अकबर का सेनापति, B) औरंगजेब का सेनापति, C) हुमायूँ का सेनापति, D) बाबर का सेनापति")</f>
        <v>A) अकबर का सेनापति, B) औरंगजेब का सेनापति, C) हुमायूँ का सेनापति, D) बाबर का सेनापति</v>
      </c>
      <c r="I53" s="5" t="str">
        <f>IFERROR(__xludf.DUMMYFUNCTION("GOOGLETRANSLATE(D53, ""en"", ""hi"")"),"B) औरंगजेब का सेनापति")</f>
        <v>B) औरंगजेब का सेनापति</v>
      </c>
    </row>
    <row r="54" ht="22.5" customHeight="1">
      <c r="A54" s="7">
        <v>53.0</v>
      </c>
      <c r="B54" s="8" t="s">
        <v>2676</v>
      </c>
      <c r="C54" s="8" t="s">
        <v>2677</v>
      </c>
      <c r="D54" s="8" t="s">
        <v>2678</v>
      </c>
      <c r="F54" s="5" t="str">
        <f>IFERROR(__xludf.DUMMYFUNCTION("GOOGLETRANSLATE(A54, ""en"", ""hi"")"),"53")</f>
        <v>53</v>
      </c>
      <c r="G54" s="5" t="str">
        <f>IFERROR(__xludf.DUMMYFUNCTION("GOOGLETRANSLATE(B54, ""en"", ""hi"")"),"मुष्टि युद्ध के लिए पारंपरिक प्रशिक्षण मैदान को इस नाम से जाना जाता है:")</f>
        <v>मुष्टि युद्ध के लिए पारंपरिक प्रशिक्षण मैदान को इस नाम से जाना जाता है:</v>
      </c>
      <c r="H54" s="5" t="str">
        <f>IFERROR(__xludf.DUMMYFUNCTION("GOOGLETRANSLATE(C54, ""en"", ""hi"")"),"ए) अखाड़ा, बी) डोजो, सी) व्यायामशाला, डी) अखाड़ा")</f>
        <v>ए) अखाड़ा, बी) डोजो, सी) व्यायामशाला, डी) अखाड़ा</v>
      </c>
      <c r="I54" s="5" t="str">
        <f>IFERROR(__xludf.DUMMYFUNCTION("GOOGLETRANSLATE(D54, ""en"", ""hi"")"),"अ) अखाड़ा")</f>
        <v>अ) अखाड़ा</v>
      </c>
    </row>
    <row r="55" ht="22.5" customHeight="1">
      <c r="A55" s="7">
        <v>54.0</v>
      </c>
      <c r="B55" s="8" t="s">
        <v>2679</v>
      </c>
      <c r="C55" s="8" t="s">
        <v>2680</v>
      </c>
      <c r="D55" s="8" t="s">
        <v>2681</v>
      </c>
      <c r="F55" s="5" t="str">
        <f>IFERROR(__xludf.DUMMYFUNCTION("GOOGLETRANSLATE(A55, ""en"", ""hi"")"),"54")</f>
        <v>54</v>
      </c>
      <c r="G55" s="5" t="str">
        <f>IFERROR(__xludf.DUMMYFUNCTION("GOOGLETRANSLATE(B55, ""en"", ""hi"")"),"मुष्टि युद्ध में पैर की ताकत बढ़ाने के लिए अक्सर कौन सा पारंपरिक व्यायाम किया जाता है?")</f>
        <v>मुष्टि युद्ध में पैर की ताकत बढ़ाने के लिए अक्सर कौन सा पारंपरिक व्यायाम किया जाता है?</v>
      </c>
      <c r="H55" s="5" t="str">
        <f>IFERROR(__xludf.DUMMYFUNCTION("GOOGLETRANSLATE(C55, ""en"", ""hi"")"),"A) पुल-अप्स, B) दंड, C) बैठक, D) सिट-अप्स")</f>
        <v>A) पुल-अप्स, B) दंड, C) बैठक, D) सिट-अप्स</v>
      </c>
      <c r="I55" s="5" t="str">
        <f>IFERROR(__xludf.DUMMYFUNCTION("GOOGLETRANSLATE(D55, ""en"", ""hi"")"),"C) बैठक")</f>
        <v>C) बैठक</v>
      </c>
    </row>
    <row r="56" ht="22.5" customHeight="1">
      <c r="A56" s="7">
        <v>55.0</v>
      </c>
      <c r="B56" s="8" t="s">
        <v>2682</v>
      </c>
      <c r="C56" s="8" t="s">
        <v>2683</v>
      </c>
      <c r="D56" s="8" t="s">
        <v>2684</v>
      </c>
      <c r="F56" s="5" t="str">
        <f>IFERROR(__xludf.DUMMYFUNCTION("GOOGLETRANSLATE(A56, ""en"", ""hi"")"),"55")</f>
        <v>55</v>
      </c>
      <c r="G56" s="5" t="str">
        <f>IFERROR(__xludf.DUMMYFUNCTION("GOOGLETRANSLATE(B56, ""en"", ""hi"")"),"घोड़े की नकल करने वाली पारंपरिक मुष्टि युद्ध मुद्रा का नाम क्या है?")</f>
        <v>घोड़े की नकल करने वाली पारंपरिक मुष्टि युद्ध मुद्रा का नाम क्या है?</v>
      </c>
      <c r="H56" s="5" t="str">
        <f>IFERROR(__xludf.DUMMYFUNCTION("GOOGLETRANSLATE(C56, ""en"", ""hi"")"),"ए) अश्व स्तम्भ, बी) गज स्तम्भ, सी) हंस स्तम्भ, डी) गरुड़ स्तम्भ")</f>
        <v>ए) अश्व स्तम्भ, बी) गज स्तम्भ, सी) हंस स्तम्भ, डी) गरुड़ स्तम्भ</v>
      </c>
      <c r="I56" s="5" t="str">
        <f>IFERROR(__xludf.DUMMYFUNCTION("GOOGLETRANSLATE(D56, ""en"", ""hi"")"),"A) अश्व स्तम्भ")</f>
        <v>A) अश्व स्तम्भ</v>
      </c>
    </row>
    <row r="57" ht="22.5" customHeight="1">
      <c r="A57" s="7">
        <v>56.0</v>
      </c>
      <c r="B57" s="8" t="s">
        <v>2685</v>
      </c>
      <c r="C57" s="8" t="s">
        <v>2686</v>
      </c>
      <c r="D57" s="8" t="s">
        <v>2687</v>
      </c>
      <c r="F57" s="5" t="str">
        <f>IFERROR(__xludf.DUMMYFUNCTION("GOOGLETRANSLATE(A57, ""en"", ""hi"")"),"56")</f>
        <v>56</v>
      </c>
      <c r="G57" s="5" t="str">
        <f>IFERROR(__xludf.DUMMYFUNCTION("GOOGLETRANSLATE(B57, ""en"", ""hi"")"),"वाराणसी का कौन सा प्रसिद्ध पहलवान मुष्टि युद्ध में अपने कौशल के लिए जाना जाता था?")</f>
        <v>वाराणसी का कौन सा प्रसिद्ध पहलवान मुष्टि युद्ध में अपने कौशल के लिए जाना जाता था?</v>
      </c>
      <c r="H57" s="5" t="str">
        <f>IFERROR(__xludf.DUMMYFUNCTION("GOOGLETRANSLATE(C57, ""en"", ""hi"")"),"ए) गामा पहलवान, बी) कृष्ण गोपाल, सी) अमर सिंह, डी) कुँवर सिंह")</f>
        <v>ए) गामा पहलवान, बी) कृष्ण गोपाल, सी) अमर सिंह, डी) कुँवर सिंह</v>
      </c>
      <c r="I57" s="5" t="str">
        <f>IFERROR(__xludf.DUMMYFUNCTION("GOOGLETRANSLATE(D57, ""en"", ""hi"")"),"बी) कृष्ण गोपाल")</f>
        <v>बी) कृष्ण गोपाल</v>
      </c>
    </row>
    <row r="58" ht="22.5" customHeight="1">
      <c r="A58" s="7">
        <v>57.0</v>
      </c>
      <c r="B58" s="8" t="s">
        <v>2688</v>
      </c>
      <c r="C58" s="8" t="s">
        <v>2689</v>
      </c>
      <c r="D58" s="8" t="s">
        <v>2690</v>
      </c>
      <c r="F58" s="5" t="str">
        <f>IFERROR(__xludf.DUMMYFUNCTION("GOOGLETRANSLATE(A58, ""en"", ""hi"")"),"57")</f>
        <v>57</v>
      </c>
      <c r="G58" s="5" t="str">
        <f>IFERROR(__xludf.DUMMYFUNCTION("GOOGLETRANSLATE(B58, ""en"", ""hi"")"),"मुष्टि युद्ध को अक्सर निम्नलिखित युद्ध के रूप में वर्णित किया जाता है:")</f>
        <v>मुष्टि युद्ध को अक्सर निम्नलिखित युद्ध के रूप में वर्णित किया जाता है:</v>
      </c>
      <c r="H58" s="5" t="str">
        <f>IFERROR(__xludf.DUMMYFUNCTION("GOOGLETRANSLATE(C58, ""en"", ""hi"")"),"A) बुद्धि, B) शक्ति, C) सहनशक्ति, D) इच्छाशक्ति")</f>
        <v>A) बुद्धि, B) शक्ति, C) सहनशक्ति, D) इच्छाशक्ति</v>
      </c>
      <c r="I58" s="5" t="str">
        <f>IFERROR(__xludf.DUMMYFUNCTION("GOOGLETRANSLATE(D58, ""en"", ""hi"")"),"D) इच्छाशक्ति")</f>
        <v>D) इच्छाशक्ति</v>
      </c>
    </row>
    <row r="59" ht="22.5" customHeight="1">
      <c r="A59" s="7">
        <v>58.0</v>
      </c>
      <c r="B59" s="8" t="s">
        <v>2691</v>
      </c>
      <c r="C59" s="8" t="s">
        <v>2692</v>
      </c>
      <c r="D59" s="8" t="s">
        <v>2693</v>
      </c>
      <c r="F59" s="5" t="str">
        <f>IFERROR(__xludf.DUMMYFUNCTION("GOOGLETRANSLATE(A59, ""en"", ""hi"")"),"58")</f>
        <v>58</v>
      </c>
      <c r="G59" s="5" t="str">
        <f>IFERROR(__xludf.DUMMYFUNCTION("GOOGLETRANSLATE(B59, ""en"", ""hi"")"),"ऐसा माना जाता है कि किस प्राचीन संस्कृत ग्रंथ में मुष्टि युद्ध के नियमों का उल्लेख है?")</f>
        <v>ऐसा माना जाता है कि किस प्राचीन संस्कृत ग्रंथ में मुष्टि युद्ध के नियमों का उल्लेख है?</v>
      </c>
      <c r="H59" s="5" t="str">
        <f>IFERROR(__xludf.DUMMYFUNCTION("GOOGLETRANSLATE(C59, ""en"", ""hi"")"),"ए) नाट्य शास्त्र, बी) अर्थशास्त्र, सी) मनुस्मृति, डी) धनुर्वेद")</f>
        <v>ए) नाट्य शास्त्र, बी) अर्थशास्त्र, सी) मनुस्मृति, डी) धनुर्वेद</v>
      </c>
      <c r="I59" s="5" t="str">
        <f>IFERROR(__xludf.DUMMYFUNCTION("GOOGLETRANSLATE(D59, ""en"", ""hi"")"),"D) धनुर्वेद")</f>
        <v>D) धनुर्वेद</v>
      </c>
    </row>
    <row r="60" ht="22.5" customHeight="1">
      <c r="A60" s="7">
        <v>59.0</v>
      </c>
      <c r="B60" s="8" t="s">
        <v>2694</v>
      </c>
      <c r="C60" s="8" t="s">
        <v>2695</v>
      </c>
      <c r="D60" s="8" t="s">
        <v>2696</v>
      </c>
      <c r="F60" s="5" t="str">
        <f>IFERROR(__xludf.DUMMYFUNCTION("GOOGLETRANSLATE(A60, ""en"", ""hi"")"),"59")</f>
        <v>59</v>
      </c>
      <c r="G60" s="5" t="str">
        <f>IFERROR(__xludf.DUMMYFUNCTION("GOOGLETRANSLATE(B60, ""en"", ""hi"")"),"मुष्टि युद्ध प्रशिक्षण में किस मांसपेशी समूह पर सबसे अधिक जोर दिया जाता है?")</f>
        <v>मुष्टि युद्ध प्रशिक्षण में किस मांसपेशी समूह पर सबसे अधिक जोर दिया जाता है?</v>
      </c>
      <c r="H60" s="5" t="str">
        <f>IFERROR(__xludf.DUMMYFUNCTION("GOOGLETRANSLATE(C60, ""en"", ""hi"")"),"A) छाती, B) पैर, C) कोर, D) कंधे")</f>
        <v>A) छाती, B) पैर, C) कोर, D) कंधे</v>
      </c>
      <c r="I60" s="5" t="str">
        <f>IFERROR(__xludf.DUMMYFUNCTION("GOOGLETRANSLATE(D60, ""en"", ""hi"")"),"सी) कोर")</f>
        <v>सी) कोर</v>
      </c>
    </row>
    <row r="61" ht="22.5" customHeight="1">
      <c r="A61" s="7">
        <v>60.0</v>
      </c>
      <c r="B61" s="8" t="s">
        <v>2697</v>
      </c>
      <c r="C61" s="8" t="s">
        <v>2698</v>
      </c>
      <c r="D61" s="8" t="s">
        <v>2699</v>
      </c>
      <c r="F61" s="5" t="str">
        <f>IFERROR(__xludf.DUMMYFUNCTION("GOOGLETRANSLATE(A61, ""en"", ""hi"")"),"60")</f>
        <v>60</v>
      </c>
      <c r="G61" s="5" t="str">
        <f>IFERROR(__xludf.DUMMYFUNCTION("GOOGLETRANSLATE(B61, ""en"", ""hi"")"),"मुश्ती युद्ध के पहले मुश्ती युद्ध सेनानियों के बीच अभिवादन का पारंपरिक तरीका क्या है?")</f>
        <v>मुश्ती युद्ध के पहले मुश्ती युद्ध सेनानियों के बीच अभिवादन का पारंपरिक तरीका क्या है?</v>
      </c>
      <c r="H61" s="5" t="str">
        <f>IFERROR(__xludf.DUMMYFUNCTION("GOOGLETRANSLATE(C61, ""en"", ""hi"")"),"A) नमस्ते, B) झुकना, C) पैर छूना, D) जोड़-तोड़")</f>
        <v>A) नमस्ते, B) झुकना, C) पैर छूना, D) जोड़-तोड़</v>
      </c>
      <c r="I61" s="5" t="str">
        <f>IFERROR(__xludf.DUMMYFUNCTION("GOOGLETRANSLATE(D61, ""en"", ""hi"")"),"D) जोड़-तोड़")</f>
        <v>D) जोड़-तोड़</v>
      </c>
    </row>
    <row r="62" ht="22.5" customHeight="1">
      <c r="A62" s="7">
        <v>61.0</v>
      </c>
      <c r="B62" s="8" t="s">
        <v>2700</v>
      </c>
      <c r="C62" s="8" t="s">
        <v>2701</v>
      </c>
      <c r="D62" s="8" t="s">
        <v>2702</v>
      </c>
      <c r="F62" s="5" t="str">
        <f>IFERROR(__xludf.DUMMYFUNCTION("GOOGLETRANSLATE(A62, ""en"", ""hi"")"),"61")</f>
        <v>61</v>
      </c>
      <c r="G62" s="5" t="str">
        <f>IFERROR(__xludf.DUMMYFUNCTION("GOOGLETRANSLATE(B62, ""en"", ""hi"")"),"मुष्टि युद्ध सेनानियों को किस प्रकार की दृष्टि विकसित करने के लिए प्रशिक्षित किया जाता है?")</f>
        <v>मुष्टि युद्ध सेनानियों को किस प्रकार की दृष्टि विकसित करने के लिए प्रशिक्षित किया जाता है?</v>
      </c>
      <c r="H62" s="5" t="str">
        <f>IFERROR(__xludf.DUMMYFUNCTION("GOOGLETRANSLATE(C62, ""en"", ""hi"")"),"A) सुरंग दृष्टि, B) परिधीय दृष्टि, C) रात्रि दृष्टि, D) दोहरी दृष्टि")</f>
        <v>A) सुरंग दृष्टि, B) परिधीय दृष्टि, C) रात्रि दृष्टि, D) दोहरी दृष्टि</v>
      </c>
      <c r="I62" s="5" t="str">
        <f>IFERROR(__xludf.DUMMYFUNCTION("GOOGLETRANSLATE(D62, ""en"", ""hi"")"),"बी) परिधीय दृष्टि")</f>
        <v>बी) परिधीय दृष्टि</v>
      </c>
    </row>
    <row r="63" ht="22.5" customHeight="1">
      <c r="A63" s="7">
        <v>62.0</v>
      </c>
      <c r="B63" s="8" t="s">
        <v>2703</v>
      </c>
      <c r="C63" s="8" t="s">
        <v>2704</v>
      </c>
      <c r="D63" s="8" t="s">
        <v>2705</v>
      </c>
      <c r="F63" s="5" t="str">
        <f>IFERROR(__xludf.DUMMYFUNCTION("GOOGLETRANSLATE(A63, ""en"", ""hi"")"),"62")</f>
        <v>62</v>
      </c>
      <c r="G63" s="5" t="str">
        <f>IFERROR(__xludf.DUMMYFUNCTION("GOOGLETRANSLATE(B63, ""en"", ""hi"")"),"ऐसा माना जाता है कि किस भारतीय राजवंश ने मुष्टि युद्ध के प्रसार में योगदान दिया?")</f>
        <v>ऐसा माना जाता है कि किस भारतीय राजवंश ने मुष्टि युद्ध के प्रसार में योगदान दिया?</v>
      </c>
      <c r="H63" s="5" t="str">
        <f>IFERROR(__xludf.DUMMYFUNCTION("GOOGLETRANSLATE(C63, ""en"", ""hi"")"),"ए) मौर्य, बी) गुप्त, सी) चोल, डी) पाल")</f>
        <v>ए) मौर्य, बी) गुप्त, सी) चोल, डी) पाल</v>
      </c>
      <c r="I63" s="5" t="str">
        <f>IFERROR(__xludf.DUMMYFUNCTION("GOOGLETRANSLATE(D63, ""en"", ""hi"")"),"बी) गुप्ता")</f>
        <v>बी) गुप्ता</v>
      </c>
    </row>
    <row r="64" ht="22.5" customHeight="1">
      <c r="A64" s="7">
        <v>63.0</v>
      </c>
      <c r="B64" s="8" t="s">
        <v>2706</v>
      </c>
      <c r="C64" s="8" t="s">
        <v>2707</v>
      </c>
      <c r="D64" s="8" t="s">
        <v>2708</v>
      </c>
      <c r="F64" s="5" t="str">
        <f>IFERROR(__xludf.DUMMYFUNCTION("GOOGLETRANSLATE(A64, ""en"", ""hi"")"),"63")</f>
        <v>63</v>
      </c>
      <c r="G64" s="5" t="str">
        <f>IFERROR(__xludf.DUMMYFUNCTION("GOOGLETRANSLATE(B64, ""en"", ""hi"")"),"मुष्टि युद्ध में चपलता विकसित करने के लिए किस पशु की गति का अनुकरण किया जाता है?")</f>
        <v>मुष्टि युद्ध में चपलता विकसित करने के लिए किस पशु की गति का अनुकरण किया जाता है?</v>
      </c>
      <c r="H64" s="5" t="str">
        <f>IFERROR(__xludf.DUMMYFUNCTION("GOOGLETRANSLATE(C64, ""en"", ""hi"")"),"A) साँप, B) बाघ, C) बंदर, D) बाज")</f>
        <v>A) साँप, B) बाघ, C) बंदर, D) बाज</v>
      </c>
      <c r="I64" s="5" t="str">
        <f>IFERROR(__xludf.DUMMYFUNCTION("GOOGLETRANSLATE(D64, ""en"", ""hi"")"),"C) बंदर")</f>
        <v>C) बंदर</v>
      </c>
    </row>
    <row r="65" ht="22.5" customHeight="1">
      <c r="A65" s="7">
        <v>64.0</v>
      </c>
      <c r="B65" s="8" t="s">
        <v>2709</v>
      </c>
      <c r="C65" s="8" t="s">
        <v>2710</v>
      </c>
      <c r="D65" s="8" t="s">
        <v>2711</v>
      </c>
      <c r="F65" s="5" t="str">
        <f>IFERROR(__xludf.DUMMYFUNCTION("GOOGLETRANSLATE(A65, ""en"", ""hi"")"),"64")</f>
        <v>64</v>
      </c>
      <c r="G65" s="5" t="str">
        <f>IFERROR(__xludf.DUMMYFUNCTION("GOOGLETRANSLATE(B65, ""en"", ""hi"")"),"मुष्टि युद्ध प्रशिक्षण में 'गदा' अभ्यास का उद्देश्य क्या है?")</f>
        <v>मुष्टि युद्ध प्रशिक्षण में 'गदा' अभ्यास का उद्देश्य क्या है?</v>
      </c>
      <c r="H65" s="5" t="str">
        <f>IFERROR(__xludf.DUMMYFUNCTION("GOOGLETRANSLATE(C65, ""en"", ""hi"")"),"A) गति में सुधार, B) सहनशक्ति में वृद्धि, C) पकड़ की ताकत का विकास, D) लचीलापन बढ़ाना")</f>
        <v>A) गति में सुधार, B) सहनशक्ति में वृद्धि, C) पकड़ की ताकत का विकास, D) लचीलापन बढ़ाना</v>
      </c>
      <c r="I65" s="5" t="str">
        <f>IFERROR(__xludf.DUMMYFUNCTION("GOOGLETRANSLATE(D65, ""en"", ""hi"")"),"C) पकड़ की ताकत विकसित करें")</f>
        <v>C) पकड़ की ताकत विकसित करें</v>
      </c>
    </row>
    <row r="66" ht="22.5" customHeight="1">
      <c r="A66" s="7">
        <v>65.0</v>
      </c>
      <c r="B66" s="8" t="s">
        <v>2712</v>
      </c>
      <c r="C66" s="8" t="s">
        <v>2713</v>
      </c>
      <c r="D66" s="8" t="s">
        <v>2714</v>
      </c>
      <c r="F66" s="5" t="str">
        <f>IFERROR(__xludf.DUMMYFUNCTION("GOOGLETRANSLATE(A66, ""en"", ""hi"")"),"65")</f>
        <v>65</v>
      </c>
      <c r="G66" s="5" t="str">
        <f>IFERROR(__xludf.DUMMYFUNCTION("GOOGLETRANSLATE(B66, ""en"", ""hi"")"),"मुष्टि युद्ध मैचों के दौरान किस विशिष्ट श्वास तकनीक पर जोर दिया जाता है?")</f>
        <v>मुष्टि युद्ध मैचों के दौरान किस विशिष्ट श्वास तकनीक पर जोर दिया जाता है?</v>
      </c>
      <c r="H66" s="5" t="str">
        <f>IFERROR(__xludf.DUMMYFUNCTION("GOOGLETRANSLATE(C66, ""en"", ""hi"")"),"ए) भस्त्रिका, बी) कपालभाति, सी) अनुलोम विलोम, डी) सूर्य भेद")</f>
        <v>ए) भस्त्रिका, बी) कपालभाति, सी) अनुलोम विलोम, डी) सूर्य भेद</v>
      </c>
      <c r="I66" s="5" t="str">
        <f>IFERROR(__xludf.DUMMYFUNCTION("GOOGLETRANSLATE(D66, ""en"", ""hi"")"),"A) भस्त्रिका")</f>
        <v>A) भस्त्रिका</v>
      </c>
    </row>
    <row r="67" ht="22.5" customHeight="1">
      <c r="A67" s="7">
        <v>66.0</v>
      </c>
      <c r="B67" s="8" t="s">
        <v>2715</v>
      </c>
      <c r="C67" s="8" t="s">
        <v>2716</v>
      </c>
      <c r="D67" s="8" t="s">
        <v>2717</v>
      </c>
      <c r="F67" s="5" t="str">
        <f>IFERROR(__xludf.DUMMYFUNCTION("GOOGLETRANSLATE(A67, ""en"", ""hi"")"),"66")</f>
        <v>66</v>
      </c>
      <c r="G67" s="5" t="str">
        <f>IFERROR(__xludf.DUMMYFUNCTION("GOOGLETRANSLATE(B67, ""en"", ""hi"")"),"19वीं शताब्दी में मुष्टि युद्ध का पहला विजेता कौन था?")</f>
        <v>19वीं शताब्दी में मुष्टि युद्ध का पहला विजेता कौन था?</v>
      </c>
      <c r="H67" s="5" t="str">
        <f>IFERROR(__xludf.DUMMYFUNCTION("GOOGLETRANSLATE(C67, ""en"", ""hi"")"),"ए) बेनी सिंह, बी) गामा पहलवान, सी) कृष्ण गोपाल, डी) अभिजीत वर्मा")</f>
        <v>ए) बेनी सिंह, बी) गामा पहलवान, सी) कृष्ण गोपाल, डी) अभिजीत वर्मा</v>
      </c>
      <c r="I67" s="5" t="str">
        <f>IFERROR(__xludf.DUMMYFUNCTION("GOOGLETRANSLATE(D67, ""en"", ""hi"")"),"A) बेनी सिंह")</f>
        <v>A) बेनी सिंह</v>
      </c>
    </row>
    <row r="68" ht="22.5" customHeight="1">
      <c r="A68" s="7">
        <v>67.0</v>
      </c>
      <c r="B68" s="8" t="s">
        <v>2718</v>
      </c>
      <c r="C68" s="8" t="s">
        <v>2719</v>
      </c>
      <c r="D68" s="8" t="s">
        <v>2720</v>
      </c>
      <c r="F68" s="5" t="str">
        <f>IFERROR(__xludf.DUMMYFUNCTION("GOOGLETRANSLATE(A68, ""en"", ""hi"")"),"67")</f>
        <v>67</v>
      </c>
      <c r="G68" s="5" t="str">
        <f>IFERROR(__xludf.DUMMYFUNCTION("GOOGLETRANSLATE(B68, ""en"", ""hi"")"),"प्राचीन भारत में, मुष्टि युद्ध अक्सर शक्ति प्रदर्शन के रूप में निम्नलिखित के सामने किया जाता था:")</f>
        <v>प्राचीन भारत में, मुष्टि युद्ध अक्सर शक्ति प्रदर्शन के रूप में निम्नलिखित के सामने किया जाता था:</v>
      </c>
      <c r="H68" s="5" t="str">
        <f>IFERROR(__xludf.DUMMYFUNCTION("GOOGLETRANSLATE(C68, ""en"", ""hi"")"),"A) आम लोग, B) शाही दरबार, C) विदेशी व्यापारी, D) धार्मिक नेता")</f>
        <v>A) आम लोग, B) शाही दरबार, C) विदेशी व्यापारी, D) धार्मिक नेता</v>
      </c>
      <c r="I68" s="5" t="str">
        <f>IFERROR(__xludf.DUMMYFUNCTION("GOOGLETRANSLATE(D68, ""en"", ""hi"")"),"बी) शाही दरबार")</f>
        <v>बी) शाही दरबार</v>
      </c>
    </row>
    <row r="69" ht="22.5" customHeight="1">
      <c r="A69" s="7">
        <v>68.0</v>
      </c>
      <c r="B69" s="8" t="s">
        <v>2721</v>
      </c>
      <c r="C69" s="8" t="s">
        <v>2722</v>
      </c>
      <c r="D69" s="8" t="s">
        <v>2723</v>
      </c>
      <c r="F69" s="5" t="str">
        <f>IFERROR(__xludf.DUMMYFUNCTION("GOOGLETRANSLATE(A69, ""en"", ""hi"")"),"68")</f>
        <v>68</v>
      </c>
      <c r="G69" s="5" t="str">
        <f>IFERROR(__xludf.DUMMYFUNCTION("GOOGLETRANSLATE(B69, ""en"", ""hi"")"),"मुष्टि युद्ध में 'मुष्टि' शब्द का अर्थ है:")</f>
        <v>मुष्टि युद्ध में 'मुष्टि' शब्द का अर्थ है:</v>
      </c>
      <c r="H69" s="5" t="str">
        <f>IFERROR(__xludf.DUMMYFUNCTION("GOOGLETRANSLATE(C69, ""en"", ""hi"")"),"A) मुट्ठी, B) सिर, C) पैर, D) घुटना")</f>
        <v>A) मुट्ठी, B) सिर, C) पैर, D) घुटना</v>
      </c>
      <c r="I69" s="5" t="str">
        <f>IFERROR(__xludf.DUMMYFUNCTION("GOOGLETRANSLATE(D69, ""en"", ""hi"")"),"एक मुट्ठी")</f>
        <v>एक मुट्ठी</v>
      </c>
    </row>
    <row r="70" ht="22.5" customHeight="1">
      <c r="A70" s="7">
        <v>69.0</v>
      </c>
      <c r="B70" s="8" t="s">
        <v>2724</v>
      </c>
      <c r="C70" s="8" t="s">
        <v>2725</v>
      </c>
      <c r="D70" s="8" t="s">
        <v>2726</v>
      </c>
      <c r="F70" s="5" t="str">
        <f>IFERROR(__xludf.DUMMYFUNCTION("GOOGLETRANSLATE(A70, ""en"", ""hi"")"),"69")</f>
        <v>69</v>
      </c>
      <c r="G70" s="5" t="str">
        <f>IFERROR(__xludf.DUMMYFUNCTION("GOOGLETRANSLATE(B70, ""en"", ""hi"")"),"किस प्रसिद्ध भारतीय स्वतंत्रता सेनानी को मुष्टि युद्ध में प्रशिक्षित किया गया था?")</f>
        <v>किस प्रसिद्ध भारतीय स्वतंत्रता सेनानी को मुष्टि युद्ध में प्रशिक्षित किया गया था?</v>
      </c>
      <c r="H70" s="5" t="str">
        <f>IFERROR(__xludf.DUMMYFUNCTION("GOOGLETRANSLATE(C70, ""en"", ""hi"")"),"A) सुभाष चंद्र बोस, B) भगत सिंह, C) चंद्रशेखर आज़ाद, D) सरदार पटेल")</f>
        <v>A) सुभाष चंद्र बोस, B) भगत सिंह, C) चंद्रशेखर आज़ाद, D) सरदार पटेल</v>
      </c>
      <c r="I70" s="5" t="str">
        <f>IFERROR(__xludf.DUMMYFUNCTION("GOOGLETRANSLATE(D70, ""en"", ""hi"")"),"C) चंद्रशेखर आज़ाद")</f>
        <v>C) चंद्रशेखर आज़ाद</v>
      </c>
    </row>
    <row r="71" ht="22.5" customHeight="1">
      <c r="A71" s="7">
        <v>70.0</v>
      </c>
      <c r="B71" s="8" t="s">
        <v>2727</v>
      </c>
      <c r="C71" s="8" t="s">
        <v>2728</v>
      </c>
      <c r="D71" s="8" t="s">
        <v>2729</v>
      </c>
      <c r="F71" s="5" t="str">
        <f>IFERROR(__xludf.DUMMYFUNCTION("GOOGLETRANSLATE(A71, ""en"", ""hi"")"),"70")</f>
        <v>70</v>
      </c>
      <c r="G71" s="5" t="str">
        <f>IFERROR(__xludf.DUMMYFUNCTION("GOOGLETRANSLATE(B71, ""en"", ""hi"")"),"मुष्टि युद्ध के लड़ाके आमतौर पर लचीलापन बढ़ाने के लिए किस प्राकृतिक तत्व का प्रशिक्षण लेते हैं?")</f>
        <v>मुष्टि युद्ध के लड़ाके आमतौर पर लचीलापन बढ़ाने के लिए किस प्राकृतिक तत्व का प्रशिक्षण लेते हैं?</v>
      </c>
      <c r="H71" s="5" t="str">
        <f>IFERROR(__xludf.DUMMYFUNCTION("GOOGLETRANSLATE(C71, ""en"", ""hi"")"),"A) जल, B) रेत, C) वन, D) पर्वत")</f>
        <v>A) जल, B) रेत, C) वन, D) पर्वत</v>
      </c>
      <c r="I71" s="5" t="str">
        <f>IFERROR(__xludf.DUMMYFUNCTION("GOOGLETRANSLATE(D71, ""en"", ""hi"")"),"बी) रेत")</f>
        <v>बी) रेत</v>
      </c>
    </row>
    <row r="72" ht="22.5" customHeight="1">
      <c r="A72" s="7">
        <v>71.0</v>
      </c>
      <c r="B72" s="8" t="s">
        <v>2730</v>
      </c>
      <c r="C72" s="8" t="s">
        <v>2731</v>
      </c>
      <c r="D72" s="8" t="s">
        <v>2732</v>
      </c>
      <c r="F72" s="5" t="str">
        <f>IFERROR(__xludf.DUMMYFUNCTION("GOOGLETRANSLATE(A72, ""en"", ""hi"")"),"71")</f>
        <v>71</v>
      </c>
      <c r="G72" s="5" t="str">
        <f>IFERROR(__xludf.DUMMYFUNCTION("GOOGLETRANSLATE(B72, ""en"", ""hi"")"),"कौन सी भारतीय मार्शल आर्ट मुष्टि युद्ध के साथ साझी विरासत साझा करती है?")</f>
        <v>कौन सी भारतीय मार्शल आर्ट मुष्टि युद्ध के साथ साझी विरासत साझा करती है?</v>
      </c>
      <c r="H72" s="5" t="str">
        <f>IFERROR(__xludf.DUMMYFUNCTION("GOOGLETRANSLATE(C72, ""en"", ""hi"")"),"ए) कलारीपयट्टु, बी) थांग ता, सी) सिलंबम, डी) गतका")</f>
        <v>ए) कलारीपयट्टु, बी) थांग ता, सी) सिलंबम, डी) गतका</v>
      </c>
      <c r="I72" s="5" t="str">
        <f>IFERROR(__xludf.DUMMYFUNCTION("GOOGLETRANSLATE(D72, ""en"", ""hi"")"),"A) कलारीपयट्टू")</f>
        <v>A) कलारीपयट्टू</v>
      </c>
    </row>
    <row r="73" ht="22.5" customHeight="1">
      <c r="A73" s="7">
        <v>72.0</v>
      </c>
      <c r="B73" s="8" t="s">
        <v>2733</v>
      </c>
      <c r="C73" s="8" t="s">
        <v>2734</v>
      </c>
      <c r="D73" s="8" t="s">
        <v>2735</v>
      </c>
      <c r="F73" s="5" t="str">
        <f>IFERROR(__xludf.DUMMYFUNCTION("GOOGLETRANSLATE(A73, ""en"", ""hi"")"),"72")</f>
        <v>72</v>
      </c>
      <c r="G73" s="5" t="str">
        <f>IFERROR(__xludf.DUMMYFUNCTION("GOOGLETRANSLATE(B73, ""en"", ""hi"")"),"मुष्टि युद्ध अभ्यासी अक्सर सख्त आहार का पालन करते हैं जिसमें शामिल नहीं हैं:")</f>
        <v>मुष्टि युद्ध अभ्यासी अक्सर सख्त आहार का पालन करते हैं जिसमें शामिल नहीं हैं:</v>
      </c>
      <c r="H73" s="5" t="str">
        <f>IFERROR(__xludf.DUMMYFUNCTION("GOOGLETRANSLATE(C73, ""en"", ""hi"")"),"A) मांस, B) डेयरी, C) सब्जियां, D) अनाज")</f>
        <v>A) मांस, B) डेयरी, C) सब्जियां, D) अनाज</v>
      </c>
      <c r="I73" s="5" t="str">
        <f>IFERROR(__xludf.DUMMYFUNCTION("GOOGLETRANSLATE(D73, ""en"", ""hi"")"),"ए) मांस")</f>
        <v>ए) मांस</v>
      </c>
    </row>
    <row r="74" ht="22.5" customHeight="1">
      <c r="A74" s="7">
        <v>73.0</v>
      </c>
      <c r="B74" s="8" t="s">
        <v>2736</v>
      </c>
      <c r="C74" s="8" t="s">
        <v>2737</v>
      </c>
      <c r="D74" s="8" t="s">
        <v>2738</v>
      </c>
      <c r="F74" s="5" t="str">
        <f>IFERROR(__xludf.DUMMYFUNCTION("GOOGLETRANSLATE(A74, ""en"", ""hi"")"),"73")</f>
        <v>73</v>
      </c>
      <c r="G74" s="5" t="str">
        <f>IFERROR(__xludf.DUMMYFUNCTION("GOOGLETRANSLATE(B74, ""en"", ""hi"")"),"किस मुगल सम्राट ने कथित हिंसा के कारण मुष्टि युद्ध पर प्रतिबंध लगा दिया था?")</f>
        <v>किस मुगल सम्राट ने कथित हिंसा के कारण मुष्टि युद्ध पर प्रतिबंध लगा दिया था?</v>
      </c>
      <c r="H74" s="5" t="str">
        <f>IFERROR(__xludf.DUMMYFUNCTION("GOOGLETRANSLATE(C74, ""en"", ""hi"")"),"A) अकबर, B) औरंगजेब, C) जहांगीर, D) शाहजहाँ")</f>
        <v>A) अकबर, B) औरंगजेब, C) जहांगीर, D) शाहजहाँ</v>
      </c>
      <c r="I74" s="5" t="str">
        <f>IFERROR(__xludf.DUMMYFUNCTION("GOOGLETRANSLATE(D74, ""en"", ""hi"")"),"बी) औरंगजेब")</f>
        <v>बी) औरंगजेब</v>
      </c>
    </row>
    <row r="75" ht="22.5" customHeight="1">
      <c r="A75" s="7">
        <v>74.0</v>
      </c>
      <c r="B75" s="8" t="s">
        <v>2739</v>
      </c>
      <c r="C75" s="8" t="s">
        <v>2740</v>
      </c>
      <c r="D75" s="8" t="s">
        <v>222</v>
      </c>
      <c r="F75" s="5" t="str">
        <f>IFERROR(__xludf.DUMMYFUNCTION("GOOGLETRANSLATE(A75, ""en"", ""hi"")"),"74")</f>
        <v>74</v>
      </c>
      <c r="G75" s="5" t="str">
        <f>IFERROR(__xludf.DUMMYFUNCTION("GOOGLETRANSLATE(B75, ""en"", ""hi"")"),"किस भारतीय महाकाव्य में युद्ध दृश्य में मुष्टि युद्ध का वर्णन है?")</f>
        <v>किस भारतीय महाकाव्य में युद्ध दृश्य में मुष्टि युद्ध का वर्णन है?</v>
      </c>
      <c r="H75" s="5" t="str">
        <f>IFERROR(__xludf.DUMMYFUNCTION("GOOGLETRANSLATE(C75, ""en"", ""hi"")"),"ए) महाभारत, बी) रामायण, सी) भगवद गीता, डी) पुराण")</f>
        <v>ए) महाभारत, बी) रामायण, सी) भगवद गीता, डी) पुराण</v>
      </c>
      <c r="I75" s="5" t="str">
        <f>IFERROR(__xludf.DUMMYFUNCTION("GOOGLETRANSLATE(D75, ""en"", ""hi"")"),"A) महाभारत")</f>
        <v>A) महाभारत</v>
      </c>
    </row>
    <row r="76" ht="22.5" customHeight="1">
      <c r="A76" s="7">
        <v>75.0</v>
      </c>
      <c r="B76" s="8" t="s">
        <v>2741</v>
      </c>
      <c r="C76" s="8" t="s">
        <v>2742</v>
      </c>
      <c r="D76" s="8" t="s">
        <v>2743</v>
      </c>
      <c r="F76" s="5" t="str">
        <f>IFERROR(__xludf.DUMMYFUNCTION("GOOGLETRANSLATE(A76, ""en"", ""hi"")"),"75")</f>
        <v>75</v>
      </c>
      <c r="G76" s="5" t="str">
        <f>IFERROR(__xludf.DUMMYFUNCTION("GOOGLETRANSLATE(B76, ""en"", ""hi"")"),"रुस्तम-ए-हिंद और बेनी सिंह के बीच प्रसिद्ध मुश्ती युद्ध मैच का परिणाम क्या था?")</f>
        <v>रुस्तम-ए-हिंद और बेनी सिंह के बीच प्रसिद्ध मुश्ती युद्ध मैच का परिणाम क्या था?</v>
      </c>
      <c r="H76" s="5" t="str">
        <f>IFERROR(__xludf.DUMMYFUNCTION("GOOGLETRANSLATE(C76, ""en"", ""hi"")"),"A) ड्रॉ, B) रुस्तम-ए-हिंद जीता, C) बेनी सिंह जीता, D) मैच रद्द")</f>
        <v>A) ड्रॉ, B) रुस्तम-ए-हिंद जीता, C) बेनी सिंह जीता, D) मैच रद्द</v>
      </c>
      <c r="I76" s="5" t="str">
        <f>IFERROR(__xludf.DUMMYFUNCTION("GOOGLETRANSLATE(D76, ""en"", ""hi"")"),"C) बेनी सिंह जीते")</f>
        <v>C) बेनी सिंह जीते</v>
      </c>
    </row>
    <row r="77" ht="22.5" customHeight="1">
      <c r="A77" s="7">
        <v>76.0</v>
      </c>
      <c r="B77" s="8" t="s">
        <v>2744</v>
      </c>
      <c r="C77" s="8" t="s">
        <v>2745</v>
      </c>
      <c r="D77" s="8" t="s">
        <v>2746</v>
      </c>
      <c r="F77" s="5" t="str">
        <f>IFERROR(__xludf.DUMMYFUNCTION("GOOGLETRANSLATE(A77, ""en"", ""hi"")"),"76")</f>
        <v>76</v>
      </c>
      <c r="G77" s="5" t="str">
        <f>IFERROR(__xludf.DUMMYFUNCTION("GOOGLETRANSLATE(B77, ""en"", ""hi"")"),"मुष्टि युद्ध में 'कुंभक' अभ्यास सुधार पर केंद्रित है:")</f>
        <v>मुष्टि युद्ध में 'कुंभक' अभ्यास सुधार पर केंद्रित है:</v>
      </c>
      <c r="H77" s="5" t="str">
        <f>IFERROR(__xludf.DUMMYFUNCTION("GOOGLETRANSLATE(C77, ""en"", ""hi"")"),"A) लचीलापन, B) सहनशक्ति, C) गति, D) श्वास नियंत्रण")</f>
        <v>A) लचीलापन, B) सहनशक्ति, C) गति, D) श्वास नियंत्रण</v>
      </c>
      <c r="I77" s="5" t="str">
        <f>IFERROR(__xludf.DUMMYFUNCTION("GOOGLETRANSLATE(D77, ""en"", ""hi"")"),"D) श्वास नियंत्रण")</f>
        <v>D) श्वास नियंत्रण</v>
      </c>
    </row>
    <row r="78" ht="22.5" customHeight="1">
      <c r="A78" s="7">
        <v>77.0</v>
      </c>
      <c r="B78" s="8" t="s">
        <v>2747</v>
      </c>
      <c r="C78" s="8" t="s">
        <v>2748</v>
      </c>
      <c r="D78" s="8" t="s">
        <v>2749</v>
      </c>
      <c r="F78" s="5" t="str">
        <f>IFERROR(__xludf.DUMMYFUNCTION("GOOGLETRANSLATE(A78, ""en"", ""hi"")"),"77")</f>
        <v>77</v>
      </c>
      <c r="G78" s="5" t="str">
        <f>IFERROR(__xludf.DUMMYFUNCTION("GOOGLETRANSLATE(B78, ""en"", ""hi"")"),"ऐसा माना जाता है कि किस प्राचीन भारतीय ऋषि ने मुष्टि युद्ध तकनीकों का दस्तावेजीकरण किया था?")</f>
        <v>ऐसा माना जाता है कि किस प्राचीन भारतीय ऋषि ने मुष्टि युद्ध तकनीकों का दस्तावेजीकरण किया था?</v>
      </c>
      <c r="H78" s="5" t="str">
        <f>IFERROR(__xludf.DUMMYFUNCTION("GOOGLETRANSLATE(C78, ""en"", ""hi"")"),"ए) व्यास, बी) वशिष्ठ, सी) अगस्त्य, डी) भारद्वाज")</f>
        <v>ए) व्यास, बी) वशिष्ठ, सी) अगस्त्य, डी) भारद्वाज</v>
      </c>
      <c r="I78" s="5" t="str">
        <f>IFERROR(__xludf.DUMMYFUNCTION("GOOGLETRANSLATE(D78, ""en"", ""hi"")"),"D) भारद्वाज")</f>
        <v>D) भारद्वाज</v>
      </c>
    </row>
    <row r="79" ht="22.5" customHeight="1">
      <c r="A79" s="7">
        <v>78.0</v>
      </c>
      <c r="B79" s="8" t="s">
        <v>2750</v>
      </c>
      <c r="C79" s="8" t="s">
        <v>2751</v>
      </c>
      <c r="D79" s="8" t="s">
        <v>2729</v>
      </c>
      <c r="F79" s="5" t="str">
        <f>IFERROR(__xludf.DUMMYFUNCTION("GOOGLETRANSLATE(A79, ""en"", ""hi"")"),"78")</f>
        <v>78</v>
      </c>
      <c r="G79" s="5" t="str">
        <f>IFERROR(__xludf.DUMMYFUNCTION("GOOGLETRANSLATE(B79, ""en"", ""hi"")"),"मुष्टि युद्ध के लड़ाके अक्सर अपनी पकड़ शक्ति को प्रशिक्षित करने के लिए किस प्राकृतिक संसाधन का उपयोग करते हैं?")</f>
        <v>मुष्टि युद्ध के लड़ाके अक्सर अपनी पकड़ शक्ति को प्रशिक्षित करने के लिए किस प्राकृतिक संसाधन का उपयोग करते हैं?</v>
      </c>
      <c r="H79" s="5" t="str">
        <f>IFERROR(__xludf.DUMMYFUNCTION("GOOGLETRANSLATE(C79, ""en"", ""hi"")"),"A) पानी, B) रेत, C) तेल, D) लकड़ी")</f>
        <v>A) पानी, B) रेत, C) तेल, D) लकड़ी</v>
      </c>
      <c r="I79" s="5" t="str">
        <f>IFERROR(__xludf.DUMMYFUNCTION("GOOGLETRANSLATE(D79, ""en"", ""hi"")"),"बी) रेत")</f>
        <v>बी) रेत</v>
      </c>
    </row>
    <row r="80" ht="22.5" customHeight="1">
      <c r="A80" s="7">
        <v>79.0</v>
      </c>
      <c r="B80" s="8" t="s">
        <v>2752</v>
      </c>
      <c r="C80" s="8" t="s">
        <v>2753</v>
      </c>
      <c r="D80" s="8" t="s">
        <v>2607</v>
      </c>
      <c r="F80" s="5" t="str">
        <f>IFERROR(__xludf.DUMMYFUNCTION("GOOGLETRANSLATE(A80, ""en"", ""hi"")"),"79")</f>
        <v>79</v>
      </c>
      <c r="G80" s="5" t="str">
        <f>IFERROR(__xludf.DUMMYFUNCTION("GOOGLETRANSLATE(B80, ""en"", ""hi"")"),"किस महान भारतीय पहलवान को मुष्टि युद्ध के महानतम खिलाड़ियों में से एक माना जाता है?")</f>
        <v>किस महान भारतीय पहलवान को मुष्टि युद्ध के महानतम खिलाड़ियों में से एक माना जाता है?</v>
      </c>
      <c r="H80" s="5" t="str">
        <f>IFERROR(__xludf.DUMMYFUNCTION("GOOGLETRANSLATE(C80, ""en"", ""hi"")"),"ए) दारा सिंह, बी) गामा पहलवान, सी) हनुमान अखाड़ा, डी) भीम सिंह")</f>
        <v>ए) दारा सिंह, बी) गामा पहलवान, सी) हनुमान अखाड़ा, डी) भीम सिंह</v>
      </c>
      <c r="I80" s="5" t="str">
        <f>IFERROR(__xludf.DUMMYFUNCTION("GOOGLETRANSLATE(D80, ""en"", ""hi"")"),"B) गामा पहलवान")</f>
        <v>B) गामा पहलवान</v>
      </c>
    </row>
    <row r="81" ht="22.5" customHeight="1">
      <c r="A81" s="7">
        <v>80.0</v>
      </c>
      <c r="B81" s="8" t="s">
        <v>2754</v>
      </c>
      <c r="C81" s="8" t="s">
        <v>2755</v>
      </c>
      <c r="D81" s="8" t="s">
        <v>2756</v>
      </c>
      <c r="F81" s="5" t="str">
        <f>IFERROR(__xludf.DUMMYFUNCTION("GOOGLETRANSLATE(A81, ""en"", ""hi"")"),"80")</f>
        <v>80</v>
      </c>
      <c r="G81" s="5" t="str">
        <f>IFERROR(__xludf.DUMMYFUNCTION("GOOGLETRANSLATE(B81, ""en"", ""hi"")"),"उन्नत मुष्टि युद्ध प्रशिक्षण में कभी-कभी किस प्राचीन हथियार का उपयोग किया जाता है?")</f>
        <v>उन्नत मुष्टि युद्ध प्रशिक्षण में कभी-कभी किस प्राचीन हथियार का उपयोग किया जाता है?</v>
      </c>
      <c r="H81" s="5" t="str">
        <f>IFERROR(__xludf.DUMMYFUNCTION("GOOGLETRANSLATE(C81, ""en"", ""hi"")"),"A) तलवार, B) खंजर, C) धनुष, D) भाला")</f>
        <v>A) तलवार, B) खंजर, C) धनुष, D) भाला</v>
      </c>
      <c r="I81" s="5" t="str">
        <f>IFERROR(__xludf.DUMMYFUNCTION("GOOGLETRANSLATE(D81, ""en"", ""hi"")"),"बी) खंजर")</f>
        <v>बी) खंजर</v>
      </c>
    </row>
    <row r="82" ht="22.5" customHeight="1">
      <c r="A82" s="7">
        <v>81.0</v>
      </c>
      <c r="B82" s="8" t="s">
        <v>2757</v>
      </c>
      <c r="C82" s="8" t="s">
        <v>2758</v>
      </c>
      <c r="D82" s="8" t="s">
        <v>2759</v>
      </c>
      <c r="F82" s="5" t="str">
        <f>IFERROR(__xludf.DUMMYFUNCTION("GOOGLETRANSLATE(A82, ""en"", ""hi"")"),"81")</f>
        <v>81</v>
      </c>
      <c r="G82" s="5" t="str">
        <f>IFERROR(__xludf.DUMMYFUNCTION("GOOGLETRANSLATE(B82, ""en"", ""hi"")"),"मुष्टि युद्ध प्रशिक्षण को बढ़ाने के लिए इस्तेमाल की जाने वाली मालिश का पारंपरिक रूप क्या है?")</f>
        <v>मुष्टि युद्ध प्रशिक्षण को बढ़ाने के लिए इस्तेमाल की जाने वाली मालिश का पारंपरिक रूप क्या है?</v>
      </c>
      <c r="H82" s="5" t="str">
        <f>IFERROR(__xludf.DUMMYFUNCTION("GOOGLETRANSLATE(C82, ""en"", ""hi"")"),"A) आयुर्वेदिक, B) शियात्सू, C) स्वीडिश, D) थाई")</f>
        <v>A) आयुर्वेदिक, B) शियात्सू, C) स्वीडिश, D) थाई</v>
      </c>
      <c r="I82" s="5" t="str">
        <f>IFERROR(__xludf.DUMMYFUNCTION("GOOGLETRANSLATE(D82, ""en"", ""hi"")"),"ए) आयुर्वेदिक")</f>
        <v>ए) आयुर्वेदिक</v>
      </c>
    </row>
    <row r="83" ht="22.5" customHeight="1">
      <c r="A83" s="7">
        <v>82.0</v>
      </c>
      <c r="B83" s="8" t="s">
        <v>2760</v>
      </c>
      <c r="C83" s="8" t="s">
        <v>2761</v>
      </c>
      <c r="D83" s="8" t="s">
        <v>2762</v>
      </c>
      <c r="F83" s="5" t="str">
        <f>IFERROR(__xludf.DUMMYFUNCTION("GOOGLETRANSLATE(A83, ""en"", ""hi"")"),"82")</f>
        <v>82</v>
      </c>
      <c r="G83" s="5" t="str">
        <f>IFERROR(__xludf.DUMMYFUNCTION("GOOGLETRANSLATE(B83, ""en"", ""hi"")"),"प्रकृति के किस तत्व को मुष्टि युद्ध की लड़ाकू भावना का अवतार माना जाता है?")</f>
        <v>प्रकृति के किस तत्व को मुष्टि युद्ध की लड़ाकू भावना का अवतार माना जाता है?</v>
      </c>
      <c r="H83" s="5" t="str">
        <f>IFERROR(__xludf.DUMMYFUNCTION("GOOGLETRANSLATE(C83, ""en"", ""hi"")"),"A) अग्नि, B) जल, C) पृथ्वी, D) वायु")</f>
        <v>A) अग्नि, B) जल, C) पृथ्वी, D) वायु</v>
      </c>
      <c r="I83" s="5" t="str">
        <f>IFERROR(__xludf.DUMMYFUNCTION("GOOGLETRANSLATE(D83, ""en"", ""hi"")"),"एक आग")</f>
        <v>एक आग</v>
      </c>
    </row>
    <row r="84" ht="22.5" customHeight="1">
      <c r="A84" s="7">
        <v>83.0</v>
      </c>
      <c r="B84" s="8" t="s">
        <v>2763</v>
      </c>
      <c r="C84" s="8" t="s">
        <v>2764</v>
      </c>
      <c r="D84" s="8" t="s">
        <v>2765</v>
      </c>
      <c r="F84" s="5" t="str">
        <f>IFERROR(__xludf.DUMMYFUNCTION("GOOGLETRANSLATE(A84, ""en"", ""hi"")"),"83")</f>
        <v>83</v>
      </c>
      <c r="G84" s="5" t="str">
        <f>IFERROR(__xludf.DUMMYFUNCTION("GOOGLETRANSLATE(B84, ""en"", ""hi"")"),"प्राचीन काल में मुष्टि युद्ध का मुख्य उद्देश्य क्या था?")</f>
        <v>प्राचीन काल में मुष्टि युद्ध का मुख्य उद्देश्य क्या था?</v>
      </c>
      <c r="H84" s="5" t="str">
        <f>IFERROR(__xludf.DUMMYFUNCTION("GOOGLETRANSLATE(C84, ""en"", ""hi"")"),"A) मनोरंजन, B) आध्यात्मिक विकास, C) सैन्य प्रशिक्षण, D) धार्मिक अभ्यास")</f>
        <v>A) मनोरंजन, B) आध्यात्मिक विकास, C) सैन्य प्रशिक्षण, D) धार्मिक अभ्यास</v>
      </c>
      <c r="I84" s="5" t="str">
        <f>IFERROR(__xludf.DUMMYFUNCTION("GOOGLETRANSLATE(D84, ""en"", ""hi"")"),"C) सैन्य प्रशिक्षण")</f>
        <v>C) सैन्य प्रशिक्षण</v>
      </c>
    </row>
    <row r="85" ht="22.5" customHeight="1">
      <c r="A85" s="7">
        <v>84.0</v>
      </c>
      <c r="B85" s="8" t="s">
        <v>2766</v>
      </c>
      <c r="C85" s="8" t="s">
        <v>2767</v>
      </c>
      <c r="D85" s="8" t="s">
        <v>2768</v>
      </c>
      <c r="F85" s="5" t="str">
        <f>IFERROR(__xludf.DUMMYFUNCTION("GOOGLETRANSLATE(A85, ""en"", ""hi"")"),"84")</f>
        <v>84</v>
      </c>
      <c r="G85" s="5" t="str">
        <f>IFERROR(__xludf.DUMMYFUNCTION("GOOGLETRANSLATE(B85, ""en"", ""hi"")"),"खेल को पुनर्जीवित करने के प्रयासों के लिए किसे 'आधुनिक कुश्ती युद्ध का जनक' माना जाता है?")</f>
        <v>खेल को पुनर्जीवित करने के प्रयासों के लिए किसे 'आधुनिक कुश्ती युद्ध का जनक' माना जाता है?</v>
      </c>
      <c r="H85" s="5" t="str">
        <f>IFERROR(__xludf.DUMMYFUNCTION("GOOGLETRANSLATE(C85, ""en"", ""hi"")"),"ए) बेनी प्रसाद, बी) कृष्ण गोपाल, सी) गुरु हनुमान, डी) अभिजीत वर्मा")</f>
        <v>ए) बेनी प्रसाद, बी) कृष्ण गोपाल, सी) गुरु हनुमान, डी) अभिजीत वर्मा</v>
      </c>
      <c r="I85" s="5" t="str">
        <f>IFERROR(__xludf.DUMMYFUNCTION("GOOGLETRANSLATE(D85, ""en"", ""hi"")"),"C) गुरु हनुमान")</f>
        <v>C) गुरु हनुमान</v>
      </c>
    </row>
    <row r="86" ht="22.5" customHeight="1">
      <c r="A86" s="7">
        <v>85.0</v>
      </c>
      <c r="B86" s="8" t="s">
        <v>2769</v>
      </c>
      <c r="C86" s="8" t="s">
        <v>2770</v>
      </c>
      <c r="D86" s="8" t="s">
        <v>2771</v>
      </c>
      <c r="F86" s="5" t="str">
        <f>IFERROR(__xludf.DUMMYFUNCTION("GOOGLETRANSLATE(A86, ""en"", ""hi"")"),"85")</f>
        <v>85</v>
      </c>
      <c r="G86" s="5" t="str">
        <f>IFERROR(__xludf.DUMMYFUNCTION("GOOGLETRANSLATE(B86, ""en"", ""hi"")"),"मुष्टि युद्ध में कौन सी चाल प्रतिद्वंद्वी के कंधे को उखाड़ने के लिए बनाई गई है?")</f>
        <v>मुष्टि युद्ध में कौन सी चाल प्रतिद्वंद्वी के कंधे को उखाड़ने के लिए बनाई गई है?</v>
      </c>
      <c r="H86" s="5" t="str">
        <f>IFERROR(__xludf.DUMMYFUNCTION("GOOGLETRANSLATE(C86, ""en"", ""hi"")"),"ए) बहुबंध, बी) कुदुकासन, सी) भुज मुष्टि, डी) स्कंदभेद")</f>
        <v>ए) बहुबंध, बी) कुदुकासन, सी) भुज मुष्टि, डी) स्कंदभेद</v>
      </c>
      <c r="I86" s="5" t="str">
        <f>IFERROR(__xludf.DUMMYFUNCTION("GOOGLETRANSLATE(D86, ""en"", ""hi"")"),"D) स्कंदभेद")</f>
        <v>D) स्कंदभेद</v>
      </c>
    </row>
    <row r="87" ht="22.5" customHeight="1">
      <c r="A87" s="7">
        <v>86.0</v>
      </c>
      <c r="B87" s="8" t="s">
        <v>2772</v>
      </c>
      <c r="C87" s="8" t="s">
        <v>2773</v>
      </c>
      <c r="D87" s="8" t="s">
        <v>644</v>
      </c>
      <c r="F87" s="5" t="str">
        <f>IFERROR(__xludf.DUMMYFUNCTION("GOOGLETRANSLATE(A87, ""en"", ""hi"")"),"86")</f>
        <v>86</v>
      </c>
      <c r="G87" s="5" t="str">
        <f>IFERROR(__xludf.DUMMYFUNCTION("GOOGLETRANSLATE(B87, ""en"", ""hi"")"),"मुष्टि युद्ध के अभ्यासकर्ताओं का मानना ​​है कि इस खेल में सच्ची निपुणता के लिए निम्नलिखित का एकीकरण आवश्यक है:")</f>
        <v>मुष्टि युद्ध के अभ्यासकर्ताओं का मानना ​​है कि इस खेल में सच्ची निपुणता के लिए निम्नलिखित का एकीकरण आवश्यक है:</v>
      </c>
      <c r="H87" s="5" t="str">
        <f>IFERROR(__xludf.DUMMYFUNCTION("GOOGLETRANSLATE(C87, ""en"", ""hi"")"),"A) मन और शरीर, B) शक्ति और गति, C) शक्ति और तकनीक, D) उपरोक्त सभी")</f>
        <v>A) मन और शरीर, B) शक्ति और गति, C) शक्ति और तकनीक, D) उपरोक्त सभी</v>
      </c>
      <c r="I87" s="5" t="str">
        <f>IFERROR(__xludf.DUMMYFUNCTION("GOOGLETRANSLATE(D87, ""en"", ""hi"")"),"D। उपरोक्त सभी")</f>
        <v>D। उपरोक्त सभी</v>
      </c>
    </row>
    <row r="88" ht="22.5" customHeight="1">
      <c r="A88" s="7">
        <v>87.0</v>
      </c>
      <c r="B88" s="8" t="s">
        <v>2774</v>
      </c>
      <c r="C88" s="8" t="s">
        <v>2775</v>
      </c>
      <c r="D88" s="8" t="s">
        <v>2776</v>
      </c>
      <c r="F88" s="5" t="str">
        <f>IFERROR(__xludf.DUMMYFUNCTION("GOOGLETRANSLATE(A88, ""en"", ""hi"")"),"87")</f>
        <v>87</v>
      </c>
      <c r="G88" s="5" t="str">
        <f>IFERROR(__xludf.DUMMYFUNCTION("GOOGLETRANSLATE(B88, ""en"", ""hi"")"),"प्राचीन भारतीय दरबारों में मुष्टि युद्ध को अक्सर किस कला के साथ प्रदर्शित किया जाता था?")</f>
        <v>प्राचीन भारतीय दरबारों में मुष्टि युद्ध को अक्सर किस कला के साथ प्रदर्शित किया जाता था?</v>
      </c>
      <c r="H88" s="5" t="str">
        <f>IFERROR(__xludf.DUMMYFUNCTION("GOOGLETRANSLATE(C88, ""en"", ""hi"")"),"A) नृत्य, B) संगीत, C) चित्रकला, D) कविता")</f>
        <v>A) नृत्य, B) संगीत, C) चित्रकला, D) कविता</v>
      </c>
      <c r="I88" s="5" t="str">
        <f>IFERROR(__xludf.DUMMYFUNCTION("GOOGLETRANSLATE(D88, ""en"", ""hi"")"),"नृत्य")</f>
        <v>नृत्य</v>
      </c>
    </row>
    <row r="89" ht="22.5" customHeight="1">
      <c r="A89" s="7">
        <v>88.0</v>
      </c>
      <c r="B89" s="8" t="s">
        <v>2777</v>
      </c>
      <c r="C89" s="8" t="s">
        <v>2778</v>
      </c>
      <c r="D89" s="8" t="s">
        <v>2779</v>
      </c>
      <c r="F89" s="5" t="str">
        <f>IFERROR(__xludf.DUMMYFUNCTION("GOOGLETRANSLATE(A89, ""en"", ""hi"")"),"88")</f>
        <v>88</v>
      </c>
      <c r="G89" s="5" t="str">
        <f>IFERROR(__xludf.DUMMYFUNCTION("GOOGLETRANSLATE(B89, ""en"", ""hi"")"),"किस महान योद्धा राजा को मुष्टि युद्ध का अभ्यास करने के लिए जाना जाता था?")</f>
        <v>किस महान योद्धा राजा को मुष्टि युद्ध का अभ्यास करने के लिए जाना जाता था?</v>
      </c>
      <c r="H89" s="5" t="str">
        <f>IFERROR(__xludf.DUMMYFUNCTION("GOOGLETRANSLATE(C89, ""en"", ""hi"")"),"ए) शिवाजी महाराज, बी) महाराणा प्रताप, सी) अशोक, डी) बिन्दुसार")</f>
        <v>ए) शिवाजी महाराज, बी) महाराणा प्रताप, सी) अशोक, डी) बिन्दुसार</v>
      </c>
      <c r="I89" s="5" t="str">
        <f>IFERROR(__xludf.DUMMYFUNCTION("GOOGLETRANSLATE(D89, ""en"", ""hi"")"),"B) महाराणा प्रताप")</f>
        <v>B) महाराणा प्रताप</v>
      </c>
    </row>
    <row r="90" ht="22.5" customHeight="1">
      <c r="A90" s="7">
        <v>89.0</v>
      </c>
      <c r="B90" s="8" t="s">
        <v>2780</v>
      </c>
      <c r="C90" s="8" t="s">
        <v>2781</v>
      </c>
      <c r="D90" s="8" t="s">
        <v>2782</v>
      </c>
      <c r="F90" s="5" t="str">
        <f>IFERROR(__xludf.DUMMYFUNCTION("GOOGLETRANSLATE(A90, ""en"", ""hi"")"),"89")</f>
        <v>89</v>
      </c>
      <c r="G90" s="5" t="str">
        <f>IFERROR(__xludf.DUMMYFUNCTION("GOOGLETRANSLATE(B90, ""en"", ""hi"")"),"मुष्टि युद्ध प्रशिक्षण में 'नाड़ी शोधन' अभ्यास का प्राथमिक फोकस क्या है?")</f>
        <v>मुष्टि युद्ध प्रशिक्षण में 'नाड़ी शोधन' अभ्यास का प्राथमिक फोकस क्या है?</v>
      </c>
      <c r="H90" s="5" t="str">
        <f>IFERROR(__xludf.DUMMYFUNCTION("GOOGLETRANSLATE(C90, ""en"", ""hi"")"),"A) लचीलापन, B) मानसिक स्पष्टता, C) सहनशक्ति, D) शक्ति")</f>
        <v>A) लचीलापन, B) मानसिक स्पष्टता, C) सहनशक्ति, D) शक्ति</v>
      </c>
      <c r="I90" s="5" t="str">
        <f>IFERROR(__xludf.DUMMYFUNCTION("GOOGLETRANSLATE(D90, ""en"", ""hi"")"),"बी) मानसिक स्पष्टता")</f>
        <v>बी) मानसिक स्पष्टता</v>
      </c>
    </row>
    <row r="91" ht="22.5" customHeight="1">
      <c r="A91" s="7">
        <v>90.0</v>
      </c>
      <c r="B91" s="8" t="s">
        <v>2783</v>
      </c>
      <c r="C91" s="8" t="s">
        <v>2784</v>
      </c>
      <c r="D91" s="8" t="s">
        <v>2785</v>
      </c>
      <c r="F91" s="5" t="str">
        <f>IFERROR(__xludf.DUMMYFUNCTION("GOOGLETRANSLATE(A91, ""en"", ""hi"")"),"90")</f>
        <v>90</v>
      </c>
      <c r="G91" s="5" t="str">
        <f>IFERROR(__xludf.DUMMYFUNCTION("GOOGLETRANSLATE(B91, ""en"", ""hi"")"),"20वीं सदी की किस प्रसिद्ध भारतीय फिल्म की कहानी में मुष्टि युद्ध को दर्शाया गया है?")</f>
        <v>20वीं सदी की किस प्रसिद्ध भारतीय फिल्म की कहानी में मुष्टि युद्ध को दर्शाया गया है?</v>
      </c>
      <c r="H91" s="5" t="str">
        <f>IFERROR(__xludf.DUMMYFUNCTION("GOOGLETRANSLATE(C91, ""en"", ""hi"")"),"ए) मुगल-ए-आजम, बी) बाहुबली, सी) महाभारत, डी) राजा हरिश्चंद्र")</f>
        <v>ए) मुगल-ए-आजम, बी) बाहुबली, सी) महाभारत, डी) राजा हरिश्चंद्र</v>
      </c>
      <c r="I91" s="5" t="str">
        <f>IFERROR(__xludf.DUMMYFUNCTION("GOOGLETRANSLATE(D91, ""en"", ""hi"")"),"A) मुगल-ए-आज़म")</f>
        <v>A) मुगल-ए-आज़म</v>
      </c>
    </row>
    <row r="92" ht="22.5" customHeight="1">
      <c r="A92" s="7">
        <v>91.0</v>
      </c>
      <c r="B92" s="8" t="s">
        <v>2786</v>
      </c>
      <c r="C92" s="8" t="s">
        <v>2787</v>
      </c>
      <c r="D92" s="8" t="s">
        <v>2788</v>
      </c>
      <c r="F92" s="5" t="str">
        <f>IFERROR(__xludf.DUMMYFUNCTION("GOOGLETRANSLATE(A92, ""en"", ""hi"")"),"91")</f>
        <v>91</v>
      </c>
      <c r="G92" s="5" t="str">
        <f>IFERROR(__xludf.DUMMYFUNCTION("GOOGLETRANSLATE(B92, ""en"", ""hi"")"),"मुष्टि युद्ध की उत्पत्ति किस धार्मिक परम्परा से जुड़ी हुई है?")</f>
        <v>मुष्टि युद्ध की उत्पत्ति किस धार्मिक परम्परा से जुड़ी हुई है?</v>
      </c>
      <c r="H92" s="5" t="str">
        <f>IFERROR(__xludf.DUMMYFUNCTION("GOOGLETRANSLATE(C92, ""en"", ""hi"")"),"A) जैन धर्म और सिख धर्म, B) हिंदू धर्म और बौद्ध धर्म, C) इस्लाम और ईसाई धर्म, D) पारसी धर्म और यहूदी धर्म")</f>
        <v>A) जैन धर्म और सिख धर्म, B) हिंदू धर्म और बौद्ध धर्म, C) इस्लाम और ईसाई धर्म, D) पारसी धर्म और यहूदी धर्म</v>
      </c>
      <c r="I92" s="5" t="str">
        <f>IFERROR(__xludf.DUMMYFUNCTION("GOOGLETRANSLATE(D92, ""en"", ""hi"")"),"बी) हिंदू धर्म और बौद्ध धर्म")</f>
        <v>बी) हिंदू धर्म और बौद्ध धर्म</v>
      </c>
    </row>
    <row r="93" ht="22.5" customHeight="1">
      <c r="A93" s="7">
        <v>92.0</v>
      </c>
      <c r="B93" s="8" t="s">
        <v>2789</v>
      </c>
      <c r="C93" s="8" t="s">
        <v>2790</v>
      </c>
      <c r="D93" s="8" t="s">
        <v>2574</v>
      </c>
      <c r="F93" s="5" t="str">
        <f>IFERROR(__xludf.DUMMYFUNCTION("GOOGLETRANSLATE(A93, ""en"", ""hi"")"),"92")</f>
        <v>92</v>
      </c>
      <c r="G93" s="5" t="str">
        <f>IFERROR(__xludf.DUMMYFUNCTION("GOOGLETRANSLATE(B93, ""en"", ""hi"")"),"'मुष्टि युद्ध' वाक्यांश भारत के किस क्षेत्र से सबसे अधिक जुड़ा हुआ है?")</f>
        <v>'मुष्टि युद्ध' वाक्यांश भारत के किस क्षेत्र से सबसे अधिक जुड़ा हुआ है?</v>
      </c>
      <c r="H93" s="5" t="str">
        <f>IFERROR(__xludf.DUMMYFUNCTION("GOOGLETRANSLATE(C93, ""en"", ""hi"")"),"ए) पंजाब, बी) राजस्थान, सी) उत्तर प्रदेश, डी) तमिलनाडु")</f>
        <v>ए) पंजाब, बी) राजस्थान, सी) उत्तर प्रदेश, डी) तमिलनाडु</v>
      </c>
      <c r="I93" s="5" t="str">
        <f>IFERROR(__xludf.DUMMYFUNCTION("GOOGLETRANSLATE(D93, ""en"", ""hi"")"),"C) उत्तर प्रदेश")</f>
        <v>C) उत्तर प्रदेश</v>
      </c>
    </row>
    <row r="94" ht="22.5" customHeight="1">
      <c r="A94" s="7">
        <v>93.0</v>
      </c>
      <c r="B94" s="8" t="s">
        <v>2791</v>
      </c>
      <c r="C94" s="8" t="s">
        <v>2792</v>
      </c>
      <c r="D94" s="8" t="s">
        <v>2793</v>
      </c>
      <c r="F94" s="5" t="str">
        <f>IFERROR(__xludf.DUMMYFUNCTION("GOOGLETRANSLATE(A94, ""en"", ""hi"")"),"93")</f>
        <v>93</v>
      </c>
      <c r="G94" s="5" t="str">
        <f>IFERROR(__xludf.DUMMYFUNCTION("GOOGLETRANSLATE(B94, ""en"", ""hi"")"),"ऐसा माना जाता है कि किस प्राचीन भारतीय विद्वान ने अपनी रचनाओं में मुष्टि युद्ध के बारे में लिखा है?")</f>
        <v>ऐसा माना जाता है कि किस प्राचीन भारतीय विद्वान ने अपनी रचनाओं में मुष्टि युद्ध के बारे में लिखा है?</v>
      </c>
      <c r="H94" s="5" t="str">
        <f>IFERROR(__xludf.DUMMYFUNCTION("GOOGLETRANSLATE(C94, ""en"", ""hi"")"),"ए) पतंजलि, बी) कालिदास, सी) वात्स्यायन, डी) चाणक्य")</f>
        <v>ए) पतंजलि, बी) कालिदास, सी) वात्स्यायन, डी) चाणक्य</v>
      </c>
      <c r="I94" s="5" t="str">
        <f>IFERROR(__xludf.DUMMYFUNCTION("GOOGLETRANSLATE(D94, ""en"", ""hi"")"),"A) पतंजलि")</f>
        <v>A) पतंजलि</v>
      </c>
    </row>
    <row r="95" ht="22.5" customHeight="1">
      <c r="A95" s="7">
        <v>94.0</v>
      </c>
      <c r="B95" s="8" t="s">
        <v>2794</v>
      </c>
      <c r="C95" s="8" t="s">
        <v>2795</v>
      </c>
      <c r="D95" s="8" t="s">
        <v>2796</v>
      </c>
      <c r="F95" s="5" t="str">
        <f>IFERROR(__xludf.DUMMYFUNCTION("GOOGLETRANSLATE(A95, ""en"", ""hi"")"),"94")</f>
        <v>94</v>
      </c>
      <c r="G95" s="5" t="str">
        <f>IFERROR(__xludf.DUMMYFUNCTION("GOOGLETRANSLATE(B95, ""en"", ""hi"")"),"मुष्टि युद्ध में प्रतिद्वंद्वी के हमले से बचने के लिए कौन सी मुद्रा अपनाई जाती है?")</f>
        <v>मुष्टि युद्ध में प्रतिद्वंद्वी के हमले से बचने के लिए कौन सी मुद्रा अपनाई जाती है?</v>
      </c>
      <c r="H95" s="5" t="str">
        <f>IFERROR(__xludf.DUMMYFUNCTION("GOOGLETRANSLATE(C95, ""en"", ""hi"")"),"ए) वज्रासन, बी) भद्रासन, सी) उत्तानासन, डी) पर्वतासन")</f>
        <v>ए) वज्रासन, बी) भद्रासन, सी) उत्तानासन, डी) पर्वतासन</v>
      </c>
      <c r="I95" s="5" t="str">
        <f>IFERROR(__xludf.DUMMYFUNCTION("GOOGLETRANSLATE(D95, ""en"", ""hi"")"),"बी) भद्रासन")</f>
        <v>बी) भद्रासन</v>
      </c>
    </row>
    <row r="96" ht="22.5" customHeight="1">
      <c r="A96" s="7">
        <v>95.0</v>
      </c>
      <c r="B96" s="8" t="s">
        <v>2797</v>
      </c>
      <c r="C96" s="8" t="s">
        <v>2798</v>
      </c>
      <c r="D96" s="8" t="s">
        <v>2799</v>
      </c>
      <c r="F96" s="5" t="str">
        <f>IFERROR(__xludf.DUMMYFUNCTION("GOOGLETRANSLATE(A96, ""en"", ""hi"")"),"95")</f>
        <v>95</v>
      </c>
      <c r="G96" s="5" t="str">
        <f>IFERROR(__xludf.DUMMYFUNCTION("GOOGLETRANSLATE(B96, ""en"", ""hi"")"),"मुष्टि युद्ध सेनानियों द्वारा हाथों की ताकत बढ़ाने के लिए पारंपरिक रूप से किस फल का उपयोग किया जाता है?")</f>
        <v>मुष्टि युद्ध सेनानियों द्वारा हाथों की ताकत बढ़ाने के लिए पारंपरिक रूप से किस फल का उपयोग किया जाता है?</v>
      </c>
      <c r="H96" s="5" t="str">
        <f>IFERROR(__xludf.DUMMYFUNCTION("GOOGLETRANSLATE(C96, ""en"", ""hi"")"),"A) नारियल, B) आम, C) केला, D) अमरूद")</f>
        <v>A) नारियल, B) आम, C) केला, D) अमरूद</v>
      </c>
      <c r="I96" s="5" t="str">
        <f>IFERROR(__xludf.DUMMYFUNCTION("GOOGLETRANSLATE(D96, ""en"", ""hi"")"),"A) नारियल")</f>
        <v>A) नारियल</v>
      </c>
    </row>
    <row r="97" ht="22.5" customHeight="1">
      <c r="A97" s="7">
        <v>96.0</v>
      </c>
      <c r="B97" s="8" t="s">
        <v>2800</v>
      </c>
      <c r="C97" s="8" t="s">
        <v>2801</v>
      </c>
      <c r="D97" s="8" t="s">
        <v>2802</v>
      </c>
      <c r="F97" s="5" t="str">
        <f>IFERROR(__xludf.DUMMYFUNCTION("GOOGLETRANSLATE(A97, ""en"", ""hi"")"),"96")</f>
        <v>96</v>
      </c>
      <c r="G97" s="5" t="str">
        <f>IFERROR(__xludf.DUMMYFUNCTION("GOOGLETRANSLATE(B97, ""en"", ""hi"")"),"मुष्टि युद्ध प्रशिक्षण में प्रायः किस प्रकार का योग शामिल होता है?")</f>
        <v>मुष्टि युद्ध प्रशिक्षण में प्रायः किस प्रकार का योग शामिल होता है?</v>
      </c>
      <c r="H97" s="5" t="str">
        <f>IFERROR(__xludf.DUMMYFUNCTION("GOOGLETRANSLATE(C97, ""en"", ""hi"")"),"A) हठ योग, B) अष्टांग योग, C) कुंडलिनी योग, D) अयंगर योग")</f>
        <v>A) हठ योग, B) अष्टांग योग, C) कुंडलिनी योग, D) अयंगर योग</v>
      </c>
      <c r="I97" s="5" t="str">
        <f>IFERROR(__xludf.DUMMYFUNCTION("GOOGLETRANSLATE(D97, ""en"", ""hi"")"),"A) हठ योग")</f>
        <v>A) हठ योग</v>
      </c>
    </row>
    <row r="98" ht="22.5" customHeight="1">
      <c r="A98" s="7">
        <v>97.0</v>
      </c>
      <c r="B98" s="8" t="s">
        <v>2803</v>
      </c>
      <c r="C98" s="8" t="s">
        <v>2804</v>
      </c>
      <c r="D98" s="8" t="s">
        <v>2805</v>
      </c>
      <c r="F98" s="5" t="str">
        <f>IFERROR(__xludf.DUMMYFUNCTION("GOOGLETRANSLATE(A98, ""en"", ""hi"")"),"97")</f>
        <v>97</v>
      </c>
      <c r="G98" s="5" t="str">
        <f>IFERROR(__xludf.DUMMYFUNCTION("GOOGLETRANSLATE(B98, ""en"", ""hi"")"),"आयुर्वेद के अनुसार मुष्टि युद्ध सेनानियों के लिए किस तत्व को संतुलित करना महत्वपूर्ण माना जाता है?")</f>
        <v>आयुर्वेद के अनुसार मुष्टि युद्ध सेनानियों के लिए किस तत्व को संतुलित करना महत्वपूर्ण माना जाता है?</v>
      </c>
      <c r="H98" s="5" t="str">
        <f>IFERROR(__xludf.DUMMYFUNCTION("GOOGLETRANSLATE(C98, ""en"", ""hi"")"),"A) वायु, B) अग्नि, C) पृथ्वी, D) जल")</f>
        <v>A) वायु, B) अग्नि, C) पृथ्वी, D) जल</v>
      </c>
      <c r="I98" s="5" t="str">
        <f>IFERROR(__xludf.DUMMYFUNCTION("GOOGLETRANSLATE(D98, ""en"", ""hi"")"),"बी) आग")</f>
        <v>बी) आग</v>
      </c>
    </row>
    <row r="99" ht="22.5" customHeight="1">
      <c r="A99" s="7">
        <v>98.0</v>
      </c>
      <c r="B99" s="8" t="s">
        <v>2806</v>
      </c>
      <c r="C99" s="8" t="s">
        <v>2807</v>
      </c>
      <c r="D99" s="8" t="s">
        <v>2808</v>
      </c>
      <c r="F99" s="5" t="str">
        <f>IFERROR(__xludf.DUMMYFUNCTION("GOOGLETRANSLATE(A99, ""en"", ""hi"")"),"98")</f>
        <v>98</v>
      </c>
      <c r="G99" s="5" t="str">
        <f>IFERROR(__xludf.DUMMYFUNCTION("GOOGLETRANSLATE(B99, ""en"", ""hi"")"),"मुष्टि युद्ध तकनीक अक्सर शरीर के किन महत्वपूर्ण बिंदुओं पर प्रहार करने पर केंद्रित होती है?")</f>
        <v>मुष्टि युद्ध तकनीक अक्सर शरीर के किन महत्वपूर्ण बिंदुओं पर प्रहार करने पर केंद्रित होती है?</v>
      </c>
      <c r="H99" s="5" t="str">
        <f>IFERROR(__xludf.DUMMYFUNCTION("GOOGLETRANSLATE(C99, ""en"", ""hi"")"),"A) मर्म बिंदु, B) चक्र बिंदु, C) एक्यूपंक्चर बिंदु, D) प्रतिवर्त बिंदु")</f>
        <v>A) मर्म बिंदु, B) चक्र बिंदु, C) एक्यूपंक्चर बिंदु, D) प्रतिवर्त बिंदु</v>
      </c>
      <c r="I99" s="5" t="str">
        <f>IFERROR(__xludf.DUMMYFUNCTION("GOOGLETRANSLATE(D99, ""en"", ""hi"")"),"A) मर्म बिंदु")</f>
        <v>A) मर्म बिंदु</v>
      </c>
    </row>
    <row r="100" ht="22.5" customHeight="1">
      <c r="A100" s="7">
        <v>99.0</v>
      </c>
      <c r="B100" s="8" t="s">
        <v>2809</v>
      </c>
      <c r="C100" s="8" t="s">
        <v>2810</v>
      </c>
      <c r="D100" s="8" t="s">
        <v>2811</v>
      </c>
      <c r="F100" s="5" t="str">
        <f>IFERROR(__xludf.DUMMYFUNCTION("GOOGLETRANSLATE(A100, ""en"", ""hi"")"),"99")</f>
        <v>99</v>
      </c>
      <c r="G100" s="5" t="str">
        <f>IFERROR(__xludf.DUMMYFUNCTION("GOOGLETRANSLATE(B100, ""en"", ""hi"")"),"प्राचीन भारतीय समाज में मुष्टि युद्ध का प्राथमिक उद्देश्य क्या था?")</f>
        <v>प्राचीन भारतीय समाज में मुष्टि युद्ध का प्राथमिक उद्देश्य क्या था?</v>
      </c>
      <c r="H100" s="5" t="str">
        <f>IFERROR(__xludf.DUMMYFUNCTION("GOOGLETRANSLATE(C100, ""en"", ""hi"")"),"A) आत्मरक्षा, B) सैन्य प्रशिक्षण, C) धार्मिक अनुष्ठान, D) मनोरंजन")</f>
        <v>A) आत्मरक्षा, B) सैन्य प्रशिक्षण, C) धार्मिक अनुष्ठान, D) मनोरंजन</v>
      </c>
      <c r="I100" s="5" t="str">
        <f>IFERROR(__xludf.DUMMYFUNCTION("GOOGLETRANSLATE(D100, ""en"", ""hi"")"),"बी) सैन्य प्रशिक्षण")</f>
        <v>बी) सैन्य प्रशिक्षण</v>
      </c>
    </row>
    <row r="101" ht="22.5" customHeight="1">
      <c r="A101" s="7">
        <v>100.0</v>
      </c>
      <c r="B101" s="8" t="s">
        <v>2812</v>
      </c>
      <c r="C101" s="8" t="s">
        <v>2813</v>
      </c>
      <c r="D101" s="8" t="s">
        <v>2814</v>
      </c>
      <c r="F101" s="5" t="str">
        <f>IFERROR(__xludf.DUMMYFUNCTION("GOOGLETRANSLATE(A101, ""en"", ""hi"")"),"100")</f>
        <v>100</v>
      </c>
      <c r="G101" s="5" t="str">
        <f>IFERROR(__xludf.DUMMYFUNCTION("GOOGLETRANSLATE(B101, ""en"", ""hi"")"),"मुष्टि युद्ध मैच से पहले आशीर्वाद के लिए अक्सर किस देवता का आह्वान किया जाता है?")</f>
        <v>मुष्टि युद्ध मैच से पहले आशीर्वाद के लिए अक्सर किस देवता का आह्वान किया जाता है?</v>
      </c>
      <c r="H101" s="5" t="str">
        <f>IFERROR(__xludf.DUMMYFUNCTION("GOOGLETRANSLATE(C101, ""en"", ""hi"")"),"A) शिव, B) विष्णु, C) काली, D) हनुमान")</f>
        <v>A) शिव, B) विष्णु, C) काली, D) हनुमान</v>
      </c>
      <c r="I101" s="5" t="str">
        <f>IFERROR(__xludf.DUMMYFUNCTION("GOOGLETRANSLATE(D101, ""en"", ""hi"")"),"D) हनुमान")</f>
        <v>D) हनुमान</v>
      </c>
    </row>
    <row r="102" ht="22.5" customHeight="1">
      <c r="A102" s="7">
        <v>101.0</v>
      </c>
      <c r="B102" s="8" t="s">
        <v>2815</v>
      </c>
      <c r="C102" s="8" t="s">
        <v>2816</v>
      </c>
      <c r="D102" s="8" t="s">
        <v>2817</v>
      </c>
      <c r="F102" s="5" t="str">
        <f>IFERROR(__xludf.DUMMYFUNCTION("GOOGLETRANSLATE(A102, ""en"", ""hi"")"),"101")</f>
        <v>101</v>
      </c>
      <c r="G102" s="5" t="str">
        <f>IFERROR(__xludf.DUMMYFUNCTION("GOOGLETRANSLATE(B102, ""en"", ""hi"")"),"कौन सी प्रसिद्ध मुष्टि युद्ध चाल प्रतिद्वंद्वी की पसलियों को निशाना बनाने के लिए जानी जाती है?")</f>
        <v>कौन सी प्रसिद्ध मुष्टि युद्ध चाल प्रतिद्वंद्वी की पसलियों को निशाना बनाने के लिए जानी जाती है?</v>
      </c>
      <c r="H102" s="5" t="str">
        <f>IFERROR(__xludf.DUMMYFUNCTION("GOOGLETRANSLATE(C102, ""en"", ""hi"")"),"ए) वज्र प्रधान, बी) दृध मुष्टी, सी) चुरीकी, डी) शंका हस्त")</f>
        <v>ए) वज्र प्रधान, बी) दृध मुष्टी, सी) चुरीकी, डी) शंका हस्त</v>
      </c>
      <c r="I102" s="5" t="str">
        <f>IFERROR(__xludf.DUMMYFUNCTION("GOOGLETRANSLATE(D102, ""en"", ""hi"")"),"सी) चुरिकी")</f>
        <v>सी) चुरिकी</v>
      </c>
    </row>
    <row r="103" ht="22.5" customHeight="1">
      <c r="A103" s="7">
        <v>102.0</v>
      </c>
      <c r="B103" s="8" t="s">
        <v>2818</v>
      </c>
      <c r="C103" s="8" t="s">
        <v>2819</v>
      </c>
      <c r="D103" s="8" t="s">
        <v>2820</v>
      </c>
      <c r="F103" s="5" t="str">
        <f>IFERROR(__xludf.DUMMYFUNCTION("GOOGLETRANSLATE(A103, ""en"", ""hi"")"),"102")</f>
        <v>102</v>
      </c>
      <c r="G103" s="5" t="str">
        <f>IFERROR(__xludf.DUMMYFUNCTION("GOOGLETRANSLATE(B103, ""en"", ""hi"")"),"मुष्टि युद्ध में 'मृगासन' मुद्रा का उपयोग करने का प्राथमिक उद्देश्य क्या है?")</f>
        <v>मुष्टि युद्ध में 'मृगासन' मुद्रा का उपयोग करने का प्राथमिक उद्देश्य क्या है?</v>
      </c>
      <c r="H103" s="5" t="str">
        <f>IFERROR(__xludf.DUMMYFUNCTION("GOOGLETRANSLATE(C103, ""en"", ""hi"")"),"A) रक्षा, B) आक्रामकता, C) गति, D) संतुलन")</f>
        <v>A) रक्षा, B) आक्रामकता, C) गति, D) संतुलन</v>
      </c>
      <c r="I103" s="5" t="str">
        <f>IFERROR(__xludf.DUMMYFUNCTION("GOOGLETRANSLATE(D103, ""en"", ""hi"")"),"डी) संतुलन")</f>
        <v>डी) संतुलन</v>
      </c>
    </row>
    <row r="104" ht="22.5" customHeight="1">
      <c r="A104" s="7">
        <v>103.0</v>
      </c>
      <c r="B104" s="8" t="s">
        <v>2821</v>
      </c>
      <c r="C104" s="8" t="s">
        <v>2822</v>
      </c>
      <c r="D104" s="8" t="s">
        <v>2823</v>
      </c>
      <c r="F104" s="5" t="str">
        <f>IFERROR(__xludf.DUMMYFUNCTION("GOOGLETRANSLATE(A104, ""en"", ""hi"")"),"103")</f>
        <v>103</v>
      </c>
      <c r="G104" s="5" t="str">
        <f>IFERROR(__xludf.DUMMYFUNCTION("GOOGLETRANSLATE(B104, ""en"", ""hi"")"),"कौन सी मुष्टि युद्ध तकनीक कोहनी के प्रहार पर केंद्रित है?")</f>
        <v>कौन सी मुष्टि युद्ध तकनीक कोहनी के प्रहार पर केंद्रित है?</v>
      </c>
      <c r="H104" s="5" t="str">
        <f>IFERROR(__xludf.DUMMYFUNCTION("GOOGLETRANSLATE(C104, ""en"", ""hi"")"),"ए) त्रिकोण हस्त, बी) पद प्रधान, सी) कटि बंध, डी) बहु भेद")</f>
        <v>ए) त्रिकोण हस्त, बी) पद प्रधान, सी) कटि बंध, डी) बहु भेद</v>
      </c>
      <c r="I104" s="5" t="str">
        <f>IFERROR(__xludf.DUMMYFUNCTION("GOOGLETRANSLATE(D104, ""en"", ""hi"")"),"D) बहू भेदा")</f>
        <v>D) बहू भेदा</v>
      </c>
    </row>
    <row r="105" ht="22.5" customHeight="1">
      <c r="A105" s="7">
        <v>104.0</v>
      </c>
      <c r="B105" s="8" t="s">
        <v>2824</v>
      </c>
      <c r="C105" s="8" t="s">
        <v>2825</v>
      </c>
      <c r="D105" s="8" t="s">
        <v>2826</v>
      </c>
      <c r="F105" s="5" t="str">
        <f>IFERROR(__xludf.DUMMYFUNCTION("GOOGLETRANSLATE(A105, ""en"", ""hi"")"),"104")</f>
        <v>104</v>
      </c>
      <c r="G105" s="5" t="str">
        <f>IFERROR(__xludf.DUMMYFUNCTION("GOOGLETRANSLATE(B105, ""en"", ""hi"")"),"भारत में मध्यकालीन काल के दौरान एक प्रसिद्ध मुष्टि युद्ध प्रशिक्षक कौन थे?")</f>
        <v>भारत में मध्यकालीन काल के दौरान एक प्रसिद्ध मुष्टि युद्ध प्रशिक्षक कौन थे?</v>
      </c>
      <c r="H105" s="5" t="str">
        <f>IFERROR(__xludf.DUMMYFUNCTION("GOOGLETRANSLATE(C105, ""en"", ""hi"")"),"ए) रामचन्द्र, बी) गोविंदाचार्य, सी) महीपति, डी) भैरव")</f>
        <v>ए) रामचन्द्र, बी) गोविंदाचार्य, सी) महीपति, डी) भैरव</v>
      </c>
      <c r="I105" s="5" t="str">
        <f>IFERROR(__xludf.DUMMYFUNCTION("GOOGLETRANSLATE(D105, ""en"", ""hi"")"),"बी) गोविंदाचार्य")</f>
        <v>बी) गोविंदाचार्य</v>
      </c>
    </row>
    <row r="106" ht="22.5" customHeight="1">
      <c r="A106" s="7">
        <v>105.0</v>
      </c>
      <c r="B106" s="8" t="s">
        <v>2827</v>
      </c>
      <c r="C106" s="8" t="s">
        <v>2828</v>
      </c>
      <c r="D106" s="8" t="s">
        <v>2829</v>
      </c>
      <c r="F106" s="5" t="str">
        <f>IFERROR(__xludf.DUMMYFUNCTION("GOOGLETRANSLATE(A106, ""en"", ""hi"")"),"105")</f>
        <v>105</v>
      </c>
      <c r="G106" s="5" t="str">
        <f>IFERROR(__xludf.DUMMYFUNCTION("GOOGLETRANSLATE(B106, ""en"", ""hi"")"),"मुष्टि युद्ध में कौन सी चाल प्रतिद्वंद्वी की गर्दन को निशाना बनाने के लिए जानी जाती है?")</f>
        <v>मुष्टि युद्ध में कौन सी चाल प्रतिद्वंद्वी की गर्दन को निशाना बनाने के लिए जानी जाती है?</v>
      </c>
      <c r="H106" s="5" t="str">
        <f>IFERROR(__xludf.DUMMYFUNCTION("GOOGLETRANSLATE(C106, ""en"", ""hi"")"),"ए) ग्रीवा मुष्टि, बी) स्कंध विधि, सी) भुज दंड, डी) हस्त भेद")</f>
        <v>ए) ग्रीवा मुष्टि, बी) स्कंध विधि, सी) भुज दंड, डी) हस्त भेद</v>
      </c>
      <c r="I106" s="5" t="str">
        <f>IFERROR(__xludf.DUMMYFUNCTION("GOOGLETRANSLATE(D106, ""en"", ""hi"")"),"A) ग्रीवा मुष्टि")</f>
        <v>A) ग्रीवा मुष्टि</v>
      </c>
    </row>
    <row r="107" ht="22.5" customHeight="1">
      <c r="A107" s="7">
        <v>106.0</v>
      </c>
      <c r="B107" s="8" t="s">
        <v>2830</v>
      </c>
      <c r="C107" s="8" t="s">
        <v>2831</v>
      </c>
      <c r="D107" s="8" t="s">
        <v>2616</v>
      </c>
      <c r="F107" s="5" t="str">
        <f>IFERROR(__xludf.DUMMYFUNCTION("GOOGLETRANSLATE(A107, ""en"", ""hi"")"),"106")</f>
        <v>106</v>
      </c>
      <c r="G107" s="5" t="str">
        <f>IFERROR(__xludf.DUMMYFUNCTION("GOOGLETRANSLATE(B107, ""en"", ""hi"")"),"कौन सा प्राचीन भारतीय ग्रंथ मुष्टि युद्ध के सिद्धांतों का वर्णन करता है?")</f>
        <v>कौन सा प्राचीन भारतीय ग्रंथ मुष्टि युद्ध के सिद्धांतों का वर्णन करता है?</v>
      </c>
      <c r="H107" s="5" t="str">
        <f>IFERROR(__xludf.DUMMYFUNCTION("GOOGLETRANSLATE(C107, ""en"", ""hi"")"),"ए) अर्थशास्त्र, बी) महाभारत, सी) मनुस्मृति, डी) योगसूत्र")</f>
        <v>ए) अर्थशास्त्र, बी) महाभारत, सी) मनुस्मृति, डी) योगसूत्र</v>
      </c>
      <c r="I107" s="5" t="str">
        <f>IFERROR(__xludf.DUMMYFUNCTION("GOOGLETRANSLATE(D107, ""en"", ""hi"")"),"A) अर्थशास्त्र")</f>
        <v>A) अर्थशास्त्र</v>
      </c>
    </row>
    <row r="108" ht="22.5" customHeight="1">
      <c r="A108" s="7">
        <v>107.0</v>
      </c>
      <c r="B108" s="8" t="s">
        <v>2832</v>
      </c>
      <c r="C108" s="8" t="s">
        <v>2833</v>
      </c>
      <c r="D108" s="8" t="s">
        <v>2834</v>
      </c>
      <c r="F108" s="5" t="str">
        <f>IFERROR(__xludf.DUMMYFUNCTION("GOOGLETRANSLATE(A108, ""en"", ""hi"")"),"107")</f>
        <v>107</v>
      </c>
      <c r="G108" s="5" t="str">
        <f>IFERROR(__xludf.DUMMYFUNCTION("GOOGLETRANSLATE(B108, ""en"", ""hi"")"),"मुष्टि युद्ध में कौन सा शब्द सौर जाल पर लक्षित मुक्का को संदर्भित करता है?")</f>
        <v>मुष्टि युद्ध में कौन सा शब्द सौर जाल पर लक्षित मुक्का को संदर्भित करता है?</v>
      </c>
      <c r="H108" s="5" t="str">
        <f>IFERROR(__xludf.DUMMYFUNCTION("GOOGLETRANSLATE(C108, ""en"", ""hi"")"),"ए) नाभि दर्शन, बी) सूर्य हस्त, सी) आदित्य प्रधान, डी) नाभि भेद")</f>
        <v>ए) नाभि दर्शन, बी) सूर्य हस्त, सी) आदित्य प्रधान, डी) नाभि भेद</v>
      </c>
      <c r="I108" s="5" t="str">
        <f>IFERROR(__xludf.DUMMYFUNCTION("GOOGLETRANSLATE(D108, ""en"", ""hi"")"),"D) नाभि भेद")</f>
        <v>D) नाभि भेद</v>
      </c>
    </row>
    <row r="109" ht="22.5" customHeight="1">
      <c r="A109" s="7">
        <v>108.0</v>
      </c>
      <c r="B109" s="8" t="s">
        <v>2835</v>
      </c>
      <c r="C109" s="8" t="s">
        <v>2836</v>
      </c>
      <c r="D109" s="8" t="s">
        <v>2837</v>
      </c>
      <c r="F109" s="5" t="str">
        <f>IFERROR(__xludf.DUMMYFUNCTION("GOOGLETRANSLATE(A109, ""en"", ""hi"")"),"108")</f>
        <v>108</v>
      </c>
      <c r="G109" s="5" t="str">
        <f>IFERROR(__xludf.DUMMYFUNCTION("GOOGLETRANSLATE(B109, ""en"", ""hi"")"),"मुष्टि युद्ध में 'वज्र हस्त' तकनीक का लक्ष्य क्या है?")</f>
        <v>मुष्टि युद्ध में 'वज्र हस्त' तकनीक का लक्ष्य क्या है?</v>
      </c>
      <c r="H109" s="5" t="str">
        <f>IFERROR(__xludf.DUMMYFUNCTION("GOOGLETRANSLATE(C109, ""en"", ""hi"")"),"A) नॉकआउट, B) निरस्त्रीकरण, C) ध्यान भटकाना, D) ग्रैपल")</f>
        <v>A) नॉकआउट, B) निरस्त्रीकरण, C) ध्यान भटकाना, D) ग्रैपल</v>
      </c>
      <c r="I109" s="5" t="str">
        <f>IFERROR(__xludf.DUMMYFUNCTION("GOOGLETRANSLATE(D109, ""en"", ""hi"")"),"ए) नॉकआउट")</f>
        <v>ए) नॉकआउट</v>
      </c>
    </row>
    <row r="110" ht="22.5" customHeight="1">
      <c r="A110" s="7">
        <v>109.0</v>
      </c>
      <c r="B110" s="8" t="s">
        <v>2838</v>
      </c>
      <c r="C110" s="8" t="s">
        <v>2839</v>
      </c>
      <c r="D110" s="8" t="s">
        <v>2840</v>
      </c>
      <c r="F110" s="5" t="str">
        <f>IFERROR(__xludf.DUMMYFUNCTION("GOOGLETRANSLATE(A110, ""en"", ""hi"")"),"109")</f>
        <v>109</v>
      </c>
      <c r="G110" s="5" t="str">
        <f>IFERROR(__xludf.DUMMYFUNCTION("GOOGLETRANSLATE(B110, ""en"", ""hi"")"),"मुष्टि युद्ध में कौन सी मुद्रा शेर की मुद्रा की नकल करती है?")</f>
        <v>मुष्टि युद्ध में कौन सी मुद्रा शेर की मुद्रा की नकल करती है?</v>
      </c>
      <c r="H110" s="5" t="str">
        <f>IFERROR(__xludf.DUMMYFUNCTION("GOOGLETRANSLATE(C110, ""en"", ""hi"")"),"ए) सिंहासन, बी) व्याघ्रासन, सी) गजासन, डी) गरुड़ासन")</f>
        <v>ए) सिंहासन, बी) व्याघ्रासन, सी) गजासन, डी) गरुड़ासन</v>
      </c>
      <c r="I110" s="5" t="str">
        <f>IFERROR(__xludf.DUMMYFUNCTION("GOOGLETRANSLATE(D110, ""en"", ""hi"")"),"A) सिंहासन")</f>
        <v>A) सिंहासन</v>
      </c>
    </row>
    <row r="111" ht="22.5" customHeight="1">
      <c r="A111" s="7">
        <v>110.0</v>
      </c>
      <c r="B111" s="8" t="s">
        <v>2841</v>
      </c>
      <c r="C111" s="8" t="s">
        <v>2842</v>
      </c>
      <c r="D111" s="8" t="s">
        <v>2843</v>
      </c>
      <c r="F111" s="5" t="str">
        <f>IFERROR(__xludf.DUMMYFUNCTION("GOOGLETRANSLATE(A111, ""en"", ""hi"")"),"110")</f>
        <v>110</v>
      </c>
      <c r="G111" s="5" t="str">
        <f>IFERROR(__xludf.DUMMYFUNCTION("GOOGLETRANSLATE(B111, ""en"", ""hi"")"),"मुष्टि युद्ध की 'पाद हस्त' तकनीक में मुख्य रूप से शरीर के किस अंग का उपयोग किया जाता है?")</f>
        <v>मुष्टि युद्ध की 'पाद हस्त' तकनीक में मुख्य रूप से शरीर के किस अंग का उपयोग किया जाता है?</v>
      </c>
      <c r="H111" s="5" t="str">
        <f>IFERROR(__xludf.DUMMYFUNCTION("GOOGLETRANSLATE(C111, ""en"", ""hi"")"),"A) हाथ, B) पैर, C) घुटने, D) कोहनियाँ")</f>
        <v>A) हाथ, B) पैर, C) घुटने, D) कोहनियाँ</v>
      </c>
      <c r="I111" s="5" t="str">
        <f>IFERROR(__xludf.DUMMYFUNCTION("GOOGLETRANSLATE(D111, ""en"", ""hi"")"),"बी) पैर")</f>
        <v>बी) पैर</v>
      </c>
    </row>
    <row r="112" ht="22.5" customHeight="1">
      <c r="A112" s="7">
        <v>111.0</v>
      </c>
      <c r="B112" s="8" t="s">
        <v>2844</v>
      </c>
      <c r="C112" s="8" t="s">
        <v>2845</v>
      </c>
      <c r="D112" s="8" t="s">
        <v>2846</v>
      </c>
      <c r="F112" s="5" t="str">
        <f>IFERROR(__xludf.DUMMYFUNCTION("GOOGLETRANSLATE(A112, ""en"", ""hi"")"),"111")</f>
        <v>111</v>
      </c>
      <c r="G112" s="5" t="str">
        <f>IFERROR(__xludf.DUMMYFUNCTION("GOOGLETRANSLATE(B112, ""en"", ""hi"")"),"कौन सी मुष्टि युद्ध चाल प्रतिद्वंद्वी की पकड़ तोड़ने के लिए बनाई गई है?")</f>
        <v>कौन सी मुष्टि युद्ध चाल प्रतिद्वंद्वी की पकड़ तोड़ने के लिए बनाई गई है?</v>
      </c>
      <c r="H112" s="5" t="str">
        <f>IFERROR(__xludf.DUMMYFUNCTION("GOOGLETRANSLATE(C112, ""en"", ""hi"")"),"ए) हस्त प्रेक्षा, बी) भुजंग विधि, सी) गरुड़ हस्त, डी) वज्र भेद")</f>
        <v>ए) हस्त प्रेक्षा, बी) भुजंग विधि, सी) गरुड़ हस्त, डी) वज्र भेद</v>
      </c>
      <c r="I112" s="5" t="str">
        <f>IFERROR(__xludf.DUMMYFUNCTION("GOOGLETRANSLATE(D112, ""en"", ""hi"")"),"A) हस्त प्रेक्षा")</f>
        <v>A) हस्त प्रेक्षा</v>
      </c>
    </row>
    <row r="113" ht="22.5" customHeight="1">
      <c r="A113" s="7">
        <v>112.0</v>
      </c>
      <c r="B113" s="8" t="s">
        <v>2847</v>
      </c>
      <c r="C113" s="8" t="s">
        <v>2848</v>
      </c>
      <c r="D113" s="8" t="s">
        <v>2849</v>
      </c>
      <c r="F113" s="5" t="str">
        <f>IFERROR(__xludf.DUMMYFUNCTION("GOOGLETRANSLATE(A113, ""en"", ""hi"")"),"112")</f>
        <v>112</v>
      </c>
      <c r="G113" s="5" t="str">
        <f>IFERROR(__xludf.DUMMYFUNCTION("GOOGLETRANSLATE(B113, ""en"", ""hi"")"),"फुटवर्क सुधारने के लिए मुष्टि युद्ध में किस प्रकार के प्रशिक्षण पर जोर दिया जाता है?")</f>
        <v>फुटवर्क सुधारने के लिए मुष्टि युद्ध में किस प्रकार के प्रशिक्षण पर जोर दिया जाता है?</v>
      </c>
      <c r="H113" s="5" t="str">
        <f>IFERROR(__xludf.DUMMYFUNCTION("GOOGLETRANSLATE(C113, ""en"", ""hi"")"),"A) नृत्य, B) कूदना, C) शैडोबॉक्सिंग, D) चपलता अभ्यास")</f>
        <v>A) नृत्य, B) कूदना, C) शैडोबॉक्सिंग, D) चपलता अभ्यास</v>
      </c>
      <c r="I113" s="5" t="str">
        <f>IFERROR(__xludf.DUMMYFUNCTION("GOOGLETRANSLATE(D113, ""en"", ""hi"")"),"डी) चपलता अभ्यास")</f>
        <v>डी) चपलता अभ्यास</v>
      </c>
    </row>
    <row r="114" ht="22.5" customHeight="1">
      <c r="A114" s="7">
        <v>113.0</v>
      </c>
      <c r="B114" s="8" t="s">
        <v>2850</v>
      </c>
      <c r="C114" s="8" t="s">
        <v>2851</v>
      </c>
      <c r="D114" s="8" t="s">
        <v>2852</v>
      </c>
      <c r="F114" s="5" t="str">
        <f>IFERROR(__xludf.DUMMYFUNCTION("GOOGLETRANSLATE(A114, ""en"", ""hi"")"),"113")</f>
        <v>113</v>
      </c>
      <c r="G114" s="5" t="str">
        <f>IFERROR(__xludf.DUMMYFUNCTION("GOOGLETRANSLATE(B114, ""en"", ""hi"")"),"कौन सा ऐतिहासिक शासक अपने राज्य में मुष्टि युद्ध मैचों को प्रायोजित करने के लिए जाना जाता है?")</f>
        <v>कौन सा ऐतिहासिक शासक अपने राज्य में मुष्टि युद्ध मैचों को प्रायोजित करने के लिए जाना जाता है?</v>
      </c>
      <c r="H114" s="5" t="str">
        <f>IFERROR(__xludf.DUMMYFUNCTION("GOOGLETRANSLATE(C114, ""en"", ""hi"")"),"ए) राजा भोज, बी) विक्रमादित्य, सी) अशोक, डी) हर्ष")</f>
        <v>ए) राजा भोज, बी) विक्रमादित्य, सी) अशोक, डी) हर्ष</v>
      </c>
      <c r="I114" s="5" t="str">
        <f>IFERROR(__xludf.DUMMYFUNCTION("GOOGLETRANSLATE(D114, ""en"", ""hi"")"),"बी) विक्रमादित्य")</f>
        <v>बी) विक्रमादित्य</v>
      </c>
    </row>
    <row r="115" ht="22.5" customHeight="1">
      <c r="A115" s="7">
        <v>114.0</v>
      </c>
      <c r="B115" s="8" t="s">
        <v>2853</v>
      </c>
      <c r="C115" s="8" t="s">
        <v>2854</v>
      </c>
      <c r="D115" s="8" t="s">
        <v>2855</v>
      </c>
      <c r="F115" s="5" t="str">
        <f>IFERROR(__xludf.DUMMYFUNCTION("GOOGLETRANSLATE(A115, ""en"", ""hi"")"),"114")</f>
        <v>114</v>
      </c>
      <c r="G115" s="5" t="str">
        <f>IFERROR(__xludf.DUMMYFUNCTION("GOOGLETRANSLATE(B115, ""en"", ""hi"")"),"मुष्टि युद्ध से पहले आमतौर पर कौन सी श्वास तकनीक का अभ्यास किया जाता है?")</f>
        <v>मुष्टि युद्ध से पहले आमतौर पर कौन सी श्वास तकनीक का अभ्यास किया जाता है?</v>
      </c>
      <c r="H115" s="5" t="str">
        <f>IFERROR(__xludf.DUMMYFUNCTION("GOOGLETRANSLATE(C115, ""en"", ""hi"")"),"ए) प्राणायाम, बी) भ्रामरी, सी) सीताली, डी) उज्जायी")</f>
        <v>ए) प्राणायाम, बी) भ्रामरी, सी) सीताली, डी) उज्जायी</v>
      </c>
      <c r="I115" s="5" t="str">
        <f>IFERROR(__xludf.DUMMYFUNCTION("GOOGLETRANSLATE(D115, ""en"", ""hi"")"),"A) प्राणायाम")</f>
        <v>A) प्राणायाम</v>
      </c>
    </row>
    <row r="116" ht="22.5" customHeight="1">
      <c r="A116" s="7">
        <v>115.0</v>
      </c>
      <c r="B116" s="8" t="s">
        <v>2856</v>
      </c>
      <c r="C116" s="8" t="s">
        <v>2857</v>
      </c>
      <c r="D116" s="8" t="s">
        <v>2858</v>
      </c>
      <c r="F116" s="5" t="str">
        <f>IFERROR(__xludf.DUMMYFUNCTION("GOOGLETRANSLATE(A116, ""en"", ""hi"")"),"115")</f>
        <v>115</v>
      </c>
      <c r="G116" s="5" t="str">
        <f>IFERROR(__xludf.DUMMYFUNCTION("GOOGLETRANSLATE(B116, ""en"", ""hi"")"),"भारतीय संस्कृति के किस तत्व का मुष्टि युद्ध पर महत्वपूर्ण प्रभाव है?")</f>
        <v>भारतीय संस्कृति के किस तत्व का मुष्टि युद्ध पर महत्वपूर्ण प्रभाव है?</v>
      </c>
      <c r="H116" s="5" t="str">
        <f>IFERROR(__xludf.DUMMYFUNCTION("GOOGLETRANSLATE(C116, ""en"", ""hi"")"),"A) साहित्य, B) संगीत, C) नृत्य, D) योग")</f>
        <v>A) साहित्य, B) संगीत, C) नृत्य, D) योग</v>
      </c>
      <c r="I116" s="5" t="str">
        <f>IFERROR(__xludf.DUMMYFUNCTION("GOOGLETRANSLATE(D116, ""en"", ""hi"")"),"D) योग")</f>
        <v>D) योग</v>
      </c>
    </row>
    <row r="117" ht="22.5" customHeight="1">
      <c r="A117" s="7">
        <v>116.0</v>
      </c>
      <c r="B117" s="8" t="s">
        <v>2859</v>
      </c>
      <c r="C117" s="8" t="s">
        <v>2860</v>
      </c>
      <c r="D117" s="8" t="s">
        <v>2861</v>
      </c>
      <c r="F117" s="5" t="str">
        <f>IFERROR(__xludf.DUMMYFUNCTION("GOOGLETRANSLATE(A117, ""en"", ""hi"")"),"116")</f>
        <v>116</v>
      </c>
      <c r="G117" s="5" t="str">
        <f>IFERROR(__xludf.DUMMYFUNCTION("GOOGLETRANSLATE(B117, ""en"", ""hi"")"),"मुष्टि युद्ध में 'सूर्य हस्त' का क्या महत्व है?")</f>
        <v>मुष्टि युद्ध में 'सूर्य हस्त' का क्या महत्व है?</v>
      </c>
      <c r="H117" s="5" t="str">
        <f>IFERROR(__xludf.DUMMYFUNCTION("GOOGLETRANSLATE(C117, ""en"", ""hi"")"),"A) प्रतिद्वंद्वी के सिर पर निशाना साधकर किया गया मुक्का, B) रक्षात्मक अवरोध, C) छलपूर्ण चाल, D) पकड़ने की तकनीक")</f>
        <v>A) प्रतिद्वंद्वी के सिर पर निशाना साधकर किया गया मुक्का, B) रक्षात्मक अवरोध, C) छलपूर्ण चाल, D) पकड़ने की तकनीक</v>
      </c>
      <c r="I117" s="5" t="str">
        <f>IFERROR(__xludf.DUMMYFUNCTION("GOOGLETRANSLATE(D117, ""en"", ""hi"")"),"A) प्रतिद्वंद्वी के सिर पर निशाना साधकर किया गया मुक्का")</f>
        <v>A) प्रतिद्वंद्वी के सिर पर निशाना साधकर किया गया मुक्का</v>
      </c>
    </row>
    <row r="118" ht="22.5" customHeight="1">
      <c r="A118" s="7">
        <v>117.0</v>
      </c>
      <c r="B118" s="8" t="s">
        <v>2862</v>
      </c>
      <c r="C118" s="8" t="s">
        <v>2863</v>
      </c>
      <c r="D118" s="8" t="s">
        <v>2864</v>
      </c>
      <c r="F118" s="5" t="str">
        <f>IFERROR(__xludf.DUMMYFUNCTION("GOOGLETRANSLATE(A118, ""en"", ""hi"")"),"117")</f>
        <v>117</v>
      </c>
      <c r="G118" s="5" t="str">
        <f>IFERROR(__xludf.DUMMYFUNCTION("GOOGLETRANSLATE(B118, ""en"", ""hi"")"),"मुष्टि युद्ध प्रशिक्षण में अक्सर उन्नत अभ्यासकर्ताओं के लिए किस प्रकार का हथियार शामिल होता है?")</f>
        <v>मुष्टि युद्ध प्रशिक्षण में अक्सर उन्नत अभ्यासकर्ताओं के लिए किस प्रकार का हथियार शामिल होता है?</v>
      </c>
      <c r="H118" s="5" t="str">
        <f>IFERROR(__xludf.DUMMYFUNCTION("GOOGLETRANSLATE(C118, ""en"", ""hi"")"),"A) गदा, B) धनुष, C) तलवार, D) लाठी")</f>
        <v>A) गदा, B) धनुष, C) तलवार, D) लाठी</v>
      </c>
      <c r="I118" s="5" t="str">
        <f>IFERROR(__xludf.DUMMYFUNCTION("GOOGLETRANSLATE(D118, ""en"", ""hi"")"),"ए) गदा")</f>
        <v>ए) गदा</v>
      </c>
    </row>
    <row r="119" ht="22.5" customHeight="1">
      <c r="A119" s="7">
        <v>118.0</v>
      </c>
      <c r="B119" s="8" t="s">
        <v>2865</v>
      </c>
      <c r="C119" s="8" t="s">
        <v>2866</v>
      </c>
      <c r="D119" s="8" t="s">
        <v>2867</v>
      </c>
      <c r="F119" s="5" t="str">
        <f>IFERROR(__xludf.DUMMYFUNCTION("GOOGLETRANSLATE(A119, ""en"", ""hi"")"),"118")</f>
        <v>118</v>
      </c>
      <c r="G119" s="5" t="str">
        <f>IFERROR(__xludf.DUMMYFUNCTION("GOOGLETRANSLATE(B119, ""en"", ""hi"")"),"कौन सा प्राचीन भारतीय राजा मुष्टि युद्ध का संरक्षक माना जाता था?")</f>
        <v>कौन सा प्राचीन भारतीय राजा मुष्टि युद्ध का संरक्षक माना जाता था?</v>
      </c>
      <c r="H119" s="5" t="str">
        <f>IFERROR(__xludf.DUMMYFUNCTION("GOOGLETRANSLATE(C119, ""en"", ""hi"")"),"ए) चंद्रगुप्त मौर्य, बी) अशोक, सी) हर्षवर्द्धन, डी) कृष्णदेवराय")</f>
        <v>ए) चंद्रगुप्त मौर्य, बी) अशोक, सी) हर्षवर्द्धन, डी) कृष्णदेवराय</v>
      </c>
      <c r="I119" s="5" t="str">
        <f>IFERROR(__xludf.DUMMYFUNCTION("GOOGLETRANSLATE(D119, ""en"", ""hi"")"),"D) कृष्णदेवराय")</f>
        <v>D) कृष्णदेवराय</v>
      </c>
    </row>
    <row r="120" ht="22.5" customHeight="1">
      <c r="A120" s="7">
        <v>119.0</v>
      </c>
      <c r="B120" s="8" t="s">
        <v>2868</v>
      </c>
      <c r="C120" s="8" t="s">
        <v>2869</v>
      </c>
      <c r="D120" s="8" t="s">
        <v>2870</v>
      </c>
      <c r="F120" s="5" t="str">
        <f>IFERROR(__xludf.DUMMYFUNCTION("GOOGLETRANSLATE(A120, ""en"", ""hi"")"),"119")</f>
        <v>119</v>
      </c>
      <c r="G120" s="5" t="str">
        <f>IFERROR(__xludf.DUMMYFUNCTION("GOOGLETRANSLATE(B120, ""en"", ""hi"")"),"मुष्टि युद्ध में 'चक्र विधि' का प्राथमिक फोकस क्या है?")</f>
        <v>मुष्टि युद्ध में 'चक्र विधि' का प्राथमिक फोकस क्या है?</v>
      </c>
      <c r="H120" s="5" t="str">
        <f>IFERROR(__xludf.DUMMYFUNCTION("GOOGLETRANSLATE(C120, ""en"", ""hi"")"),"A) गति, B) परिशुद्धता, C) लचीलापन, D) रक्षा")</f>
        <v>A) गति, B) परिशुद्धता, C) लचीलापन, D) रक्षा</v>
      </c>
      <c r="I120" s="5" t="str">
        <f>IFERROR(__xludf.DUMMYFUNCTION("GOOGLETRANSLATE(D120, ""en"", ""hi"")"),"बी) परिशुद्धता")</f>
        <v>बी) परिशुद्धता</v>
      </c>
    </row>
    <row r="121" ht="22.5" customHeight="1">
      <c r="A121" s="7">
        <v>120.0</v>
      </c>
      <c r="B121" s="8" t="s">
        <v>2871</v>
      </c>
      <c r="C121" s="8" t="s">
        <v>2872</v>
      </c>
      <c r="D121" s="8" t="s">
        <v>2607</v>
      </c>
      <c r="F121" s="5" t="str">
        <f>IFERROR(__xludf.DUMMYFUNCTION("GOOGLETRANSLATE(A121, ""en"", ""hi"")"),"120")</f>
        <v>120</v>
      </c>
      <c r="G121" s="5" t="str">
        <f>IFERROR(__xludf.DUMMYFUNCTION("GOOGLETRANSLATE(B121, ""en"", ""hi"")"),"कौन से प्रसिद्ध मुष्टि युद्ध अभ्यासी 20वीं सदी में नई तकनीकों को प्रस्तुत करने के लिए जाने जाते हैं?")</f>
        <v>कौन से प्रसिद्ध मुष्टि युद्ध अभ्यासी 20वीं सदी में नई तकनीकों को प्रस्तुत करने के लिए जाने जाते हैं?</v>
      </c>
      <c r="H121" s="5" t="str">
        <f>IFERROR(__xludf.DUMMYFUNCTION("GOOGLETRANSLATE(C121, ""en"", ""hi"")"),"ए) गुरु हनुमान, बी) गामा पहलवान, सी) दारा सिंह, डी) बलराम")</f>
        <v>ए) गुरु हनुमान, बी) गामा पहलवान, सी) दारा सिंह, डी) बलराम</v>
      </c>
      <c r="I121" s="5" t="str">
        <f>IFERROR(__xludf.DUMMYFUNCTION("GOOGLETRANSLATE(D121, ""en"", ""hi"")"),"B) गामा पहलवान")</f>
        <v>B) गामा पहलवान</v>
      </c>
    </row>
    <row r="122" ht="22.5" customHeight="1">
      <c r="A122" s="7">
        <v>121.0</v>
      </c>
      <c r="B122" s="8" t="s">
        <v>2873</v>
      </c>
      <c r="C122" s="8" t="s">
        <v>2874</v>
      </c>
      <c r="D122" s="8" t="s">
        <v>2875</v>
      </c>
      <c r="F122" s="5" t="str">
        <f>IFERROR(__xludf.DUMMYFUNCTION("GOOGLETRANSLATE(A122, ""en"", ""hi"")"),"121")</f>
        <v>121</v>
      </c>
      <c r="G122" s="5" t="str">
        <f>IFERROR(__xludf.DUMMYFUNCTION("GOOGLETRANSLATE(B122, ""en"", ""hi"")"),"मुष्टि युद्ध का कौन सा पहलू मानसिक दृढ़ता विकसित करने पर केंद्रित है?")</f>
        <v>मुष्टि युद्ध का कौन सा पहलू मानसिक दृढ़ता विकसित करने पर केंद्रित है?</v>
      </c>
      <c r="H122" s="5" t="str">
        <f>IFERROR(__xludf.DUMMYFUNCTION("GOOGLETRANSLATE(C122, ""en"", ""hi"")"),"A) शारीरिक सहनशक्ति, B) सामरिक प्रशिक्षण, C) ध्यान, D) आहार नियंत्रण")</f>
        <v>A) शारीरिक सहनशक्ति, B) सामरिक प्रशिक्षण, C) ध्यान, D) आहार नियंत्रण</v>
      </c>
      <c r="I122" s="5" t="str">
        <f>IFERROR(__xludf.DUMMYFUNCTION("GOOGLETRANSLATE(D122, ""en"", ""hi"")"),"सी) ध्यान")</f>
        <v>सी) ध्यान</v>
      </c>
    </row>
    <row r="123" ht="22.5" customHeight="1">
      <c r="A123" s="7">
        <v>122.0</v>
      </c>
      <c r="B123" s="8" t="s">
        <v>2876</v>
      </c>
      <c r="C123" s="8" t="s">
        <v>2877</v>
      </c>
      <c r="D123" s="8" t="s">
        <v>2878</v>
      </c>
      <c r="F123" s="5" t="str">
        <f>IFERROR(__xludf.DUMMYFUNCTION("GOOGLETRANSLATE(A123, ""en"", ""hi"")"),"122")</f>
        <v>122</v>
      </c>
      <c r="G123" s="5" t="str">
        <f>IFERROR(__xludf.DUMMYFUNCTION("GOOGLETRANSLATE(B123, ""en"", ""hi"")"),"मुष्टि युद्ध प्रतियोगिताएं पारंपरिक रूप से किस वातावरण में आयोजित की जाती हैं?")</f>
        <v>मुष्टि युद्ध प्रतियोगिताएं पारंपरिक रूप से किस वातावरण में आयोजित की जाती हैं?</v>
      </c>
      <c r="H123" s="5" t="str">
        <f>IFERROR(__xludf.DUMMYFUNCTION("GOOGLETRANSLATE(C123, ""en"", ""hi"")"),"A) इनडोर स्टेडियम, B) खुले मैदान, C) आंगन, D) मंदिर")</f>
        <v>A) इनडोर स्टेडियम, B) खुले मैदान, C) आंगन, D) मंदिर</v>
      </c>
      <c r="I123" s="5" t="str">
        <f>IFERROR(__xludf.DUMMYFUNCTION("GOOGLETRANSLATE(D123, ""en"", ""hi"")"),"सी) आंगन")</f>
        <v>सी) आंगन</v>
      </c>
    </row>
    <row r="124" ht="22.5" customHeight="1">
      <c r="A124" s="7">
        <v>123.0</v>
      </c>
      <c r="B124" s="8" t="s">
        <v>2879</v>
      </c>
      <c r="C124" s="8" t="s">
        <v>2880</v>
      </c>
      <c r="D124" s="8" t="s">
        <v>2881</v>
      </c>
      <c r="F124" s="5" t="str">
        <f>IFERROR(__xludf.DUMMYFUNCTION("GOOGLETRANSLATE(A124, ""en"", ""hi"")"),"123")</f>
        <v>123</v>
      </c>
      <c r="G124" s="5" t="str">
        <f>IFERROR(__xludf.DUMMYFUNCTION("GOOGLETRANSLATE(B124, ""en"", ""hi"")"),"मुष्टि युद्ध में कौन सी चाल मुख्य रूप से रक्षात्मक है और प्रहार से बचने पर केंद्रित है?")</f>
        <v>मुष्टि युद्ध में कौन सी चाल मुख्य रूप से रक्षात्मक है और प्रहार से बचने पर केंद्रित है?</v>
      </c>
      <c r="H124" s="5" t="str">
        <f>IFERROR(__xludf.DUMMYFUNCTION("GOOGLETRANSLATE(C124, ""en"", ""hi"")"),"ए) गति प्रकाश, बी) चलन गति, सी) संचलन, डी) ग्रीवा रक्षा")</f>
        <v>ए) गति प्रकाश, बी) चलन गति, सी) संचलन, डी) ग्रीवा रक्षा</v>
      </c>
      <c r="I124" s="5" t="str">
        <f>IFERROR(__xludf.DUMMYFUNCTION("GOOGLETRANSLATE(D124, ""en"", ""hi"")"),"D) ग्रीवा रक्षा")</f>
        <v>D) ग्रीवा रक्षा</v>
      </c>
    </row>
    <row r="125" ht="22.5" customHeight="1">
      <c r="A125" s="7">
        <v>124.0</v>
      </c>
      <c r="B125" s="8" t="s">
        <v>2882</v>
      </c>
      <c r="C125" s="8" t="s">
        <v>2883</v>
      </c>
      <c r="D125" s="8" t="s">
        <v>2884</v>
      </c>
      <c r="F125" s="5" t="str">
        <f>IFERROR(__xludf.DUMMYFUNCTION("GOOGLETRANSLATE(A125, ""en"", ""hi"")"),"124")</f>
        <v>124</v>
      </c>
      <c r="G125" s="5" t="str">
        <f>IFERROR(__xludf.DUMMYFUNCTION("GOOGLETRANSLATE(B125, ""en"", ""hi"")"),"मुष्टि युद्ध में 'पाद दर्शन' तकनीक का उद्देश्य क्या है?")</f>
        <v>मुष्टि युद्ध में 'पाद दर्शन' तकनीक का उद्देश्य क्या है?</v>
      </c>
      <c r="H125" s="5" t="str">
        <f>IFERROR(__xludf.DUMMYFUNCTION("GOOGLETRANSLATE(C125, ""en"", ""hi"")"),"A) पैरों से हमला करना, B) प्रतिद्वंद्वी का ध्यान भटकाना, C) चपलता प्रदर्शित करना, D) रक्षात्मक रुख अपनाना")</f>
        <v>A) पैरों से हमला करना, B) प्रतिद्वंद्वी का ध्यान भटकाना, C) चपलता प्रदर्शित करना, D) रक्षात्मक रुख अपनाना</v>
      </c>
      <c r="I125" s="5" t="str">
        <f>IFERROR(__xludf.DUMMYFUNCTION("GOOGLETRANSLATE(D125, ""en"", ""hi"")"),"A) पैरों से हमला")</f>
        <v>A) पैरों से हमला</v>
      </c>
    </row>
    <row r="126" ht="22.5" customHeight="1">
      <c r="A126" s="7">
        <v>125.0</v>
      </c>
      <c r="B126" s="8" t="s">
        <v>2885</v>
      </c>
      <c r="C126" s="8" t="s">
        <v>2886</v>
      </c>
      <c r="D126" s="8" t="s">
        <v>2887</v>
      </c>
      <c r="F126" s="5" t="str">
        <f>IFERROR(__xludf.DUMMYFUNCTION("GOOGLETRANSLATE(A126, ""en"", ""hi"")"),"125")</f>
        <v>125</v>
      </c>
      <c r="G126" s="5" t="str">
        <f>IFERROR(__xludf.DUMMYFUNCTION("GOOGLETRANSLATE(B126, ""en"", ""hi"")"),"कौन सा प्राकृतिक तत्व प्रायः मुष्टि युद्ध के दर्शन से जुड़ा हुआ है?")</f>
        <v>कौन सा प्राकृतिक तत्व प्रायः मुष्टि युद्ध के दर्शन से जुड़ा हुआ है?</v>
      </c>
      <c r="H126" s="5" t="str">
        <f>IFERROR(__xludf.DUMMYFUNCTION("GOOGLETRANSLATE(C126, ""en"", ""hi"")"),"A) जल, B) अग्नि, C) पृथ्वी, D) वायु")</f>
        <v>A) जल, B) अग्नि, C) पृथ्वी, D) वायु</v>
      </c>
      <c r="I126" s="5" t="str">
        <f>IFERROR(__xludf.DUMMYFUNCTION("GOOGLETRANSLATE(D126, ""en"", ""hi"")"),"C) पृथ्वी")</f>
        <v>C) पृथ्वी</v>
      </c>
    </row>
    <row r="127" ht="22.5" customHeight="1">
      <c r="A127" s="7">
        <v>126.0</v>
      </c>
      <c r="B127" s="8" t="s">
        <v>2888</v>
      </c>
      <c r="C127" s="8" t="s">
        <v>2889</v>
      </c>
      <c r="D127" s="8" t="s">
        <v>2890</v>
      </c>
      <c r="F127" s="5" t="str">
        <f>IFERROR(__xludf.DUMMYFUNCTION("GOOGLETRANSLATE(A127, ""en"", ""hi"")"),"126")</f>
        <v>126</v>
      </c>
      <c r="G127" s="5" t="str">
        <f>IFERROR(__xludf.DUMMYFUNCTION("GOOGLETRANSLATE(B127, ""en"", ""hi"")"),"भारतीय पौराणिक कथाओं में मुष्टि युद्ध का महान संस्थापक किसे माना जाता है?")</f>
        <v>भारतीय पौराणिक कथाओं में मुष्टि युद्ध का महान संस्थापक किसे माना जाता है?</v>
      </c>
      <c r="H127" s="5" t="str">
        <f>IFERROR(__xludf.DUMMYFUNCTION("GOOGLETRANSLATE(C127, ""en"", ""hi"")"),"ए)परशुराम, बी)भीष्म,सी)हनुमान,डी)अर्जुन")</f>
        <v>ए)परशुराम, बी)भीष्म,सी)हनुमान,डी)अर्जुन</v>
      </c>
      <c r="I127" s="5" t="str">
        <f>IFERROR(__xludf.DUMMYFUNCTION("GOOGLETRANSLATE(D127, ""en"", ""hi"")"),"C) हनुमान")</f>
        <v>C) हनुमान</v>
      </c>
    </row>
    <row r="128" ht="22.5" customHeight="1">
      <c r="A128" s="7">
        <v>127.0</v>
      </c>
      <c r="B128" s="8" t="s">
        <v>2891</v>
      </c>
      <c r="C128" s="8" t="s">
        <v>2892</v>
      </c>
      <c r="D128" s="8" t="s">
        <v>2893</v>
      </c>
      <c r="F128" s="5" t="str">
        <f>IFERROR(__xludf.DUMMYFUNCTION("GOOGLETRANSLATE(A128, ""en"", ""hi"")"),"127")</f>
        <v>127</v>
      </c>
      <c r="G128" s="5" t="str">
        <f>IFERROR(__xludf.DUMMYFUNCTION("GOOGLETRANSLATE(B128, ""en"", ""hi"")"),"किस भारतीय त्यौहार में अक्सर मुष्टि युद्ध की प्रदर्शनी लगाई जाती है?")</f>
        <v>किस भारतीय त्यौहार में अक्सर मुष्टि युद्ध की प्रदर्शनी लगाई जाती है?</v>
      </c>
      <c r="H128" s="5" t="str">
        <f>IFERROR(__xludf.DUMMYFUNCTION("GOOGLETRANSLATE(C128, ""en"", ""hi"")"),"ए) दिवाली, बी) होली, सी) दशहरा, डी) मकर संक्रांति")</f>
        <v>ए) दिवाली, बी) होली, सी) दशहरा, डी) मकर संक्रांति</v>
      </c>
      <c r="I128" s="5" t="str">
        <f>IFERROR(__xludf.DUMMYFUNCTION("GOOGLETRANSLATE(D128, ""en"", ""hi"")"),"D) मकर संक्रांति")</f>
        <v>D) मकर संक्रांति</v>
      </c>
    </row>
    <row r="129" ht="22.5" customHeight="1">
      <c r="A129" s="7">
        <v>128.0</v>
      </c>
      <c r="B129" s="8" t="s">
        <v>2894</v>
      </c>
      <c r="C129" s="8" t="s">
        <v>2895</v>
      </c>
      <c r="D129" s="8" t="s">
        <v>2896</v>
      </c>
      <c r="F129" s="5" t="str">
        <f>IFERROR(__xludf.DUMMYFUNCTION("GOOGLETRANSLATE(A129, ""en"", ""hi"")"),"128")</f>
        <v>128</v>
      </c>
      <c r="G129" s="5" t="str">
        <f>IFERROR(__xludf.DUMMYFUNCTION("GOOGLETRANSLATE(B129, ""en"", ""hi"")"),"मुष्टि युद्ध में 'वज्र प्रकाश' कदम का उद्देश्य क्या है?")</f>
        <v>मुष्टि युद्ध में 'वज्र प्रकाश' कदम का उद्देश्य क्या है?</v>
      </c>
      <c r="H129" s="5" t="str">
        <f>IFERROR(__xludf.DUMMYFUNCTION("GOOGLETRANSLATE(C129, ""en"", ""hi"")"),"A) आक्रमण का दिखावा करना, B) बलपूर्वक प्रहार करना, C) प्रहार को रोकना, D) प्रतिद्वंद्वी का रुख तोड़ना")</f>
        <v>A) आक्रमण का दिखावा करना, B) बलपूर्वक प्रहार करना, C) प्रहार को रोकना, D) प्रतिद्वंद्वी का रुख तोड़ना</v>
      </c>
      <c r="I129" s="5" t="str">
        <f>IFERROR(__xludf.DUMMYFUNCTION("GOOGLETRANSLATE(D129, ""en"", ""hi"")"),"बी) बलपूर्वक प्रहार करें")</f>
        <v>बी) बलपूर्वक प्रहार करें</v>
      </c>
    </row>
    <row r="130" ht="22.5" customHeight="1">
      <c r="A130" s="7">
        <v>129.0</v>
      </c>
      <c r="B130" s="8" t="s">
        <v>2897</v>
      </c>
      <c r="C130" s="8" t="s">
        <v>2898</v>
      </c>
      <c r="D130" s="8" t="s">
        <v>2820</v>
      </c>
      <c r="F130" s="5" t="str">
        <f>IFERROR(__xludf.DUMMYFUNCTION("GOOGLETRANSLATE(A130, ""en"", ""hi"")"),"129")</f>
        <v>129</v>
      </c>
      <c r="G130" s="5" t="str">
        <f>IFERROR(__xludf.DUMMYFUNCTION("GOOGLETRANSLATE(B130, ""en"", ""hi"")"),"मुष्टि युद्ध में कौन सा शारीरिक गुण सबसे महत्वपूर्ण माना जाता है?")</f>
        <v>मुष्टि युद्ध में कौन सा शारीरिक गुण सबसे महत्वपूर्ण माना जाता है?</v>
      </c>
      <c r="H130" s="5" t="str">
        <f>IFERROR(__xludf.DUMMYFUNCTION("GOOGLETRANSLATE(C130, ""en"", ""hi"")"),"A) शक्ति, B) चपलता, C) धीरज, D) संतुलन")</f>
        <v>A) शक्ति, B) चपलता, C) धीरज, D) संतुलन</v>
      </c>
      <c r="I130" s="5" t="str">
        <f>IFERROR(__xludf.DUMMYFUNCTION("GOOGLETRANSLATE(D130, ""en"", ""hi"")"),"डी) संतुलन")</f>
        <v>डी) संतुलन</v>
      </c>
    </row>
    <row r="131" ht="22.5" customHeight="1">
      <c r="A131" s="7">
        <v>130.0</v>
      </c>
      <c r="B131" s="8" t="s">
        <v>2899</v>
      </c>
      <c r="C131" s="8" t="s">
        <v>2900</v>
      </c>
      <c r="D131" s="8" t="s">
        <v>2901</v>
      </c>
      <c r="F131" s="5" t="str">
        <f>IFERROR(__xludf.DUMMYFUNCTION("GOOGLETRANSLATE(A131, ""en"", ""hi"")"),"130")</f>
        <v>130</v>
      </c>
      <c r="G131" s="5" t="str">
        <f>IFERROR(__xludf.DUMMYFUNCTION("GOOGLETRANSLATE(B131, ""en"", ""hi"")"),"मुष्टियुद्ध में, 'त्रिकोणासन' आसन का मुख्य रूप से उपयोग किया जाता है:")</f>
        <v>मुष्टियुद्ध में, 'त्रिकोणासन' आसन का मुख्य रूप से उपयोग किया जाता है:</v>
      </c>
      <c r="H131" s="5" t="str">
        <f>IFERROR(__xludf.DUMMYFUNCTION("GOOGLETRANSLATE(C131, ""en"", ""hi"")"),"A) रक्षा, B) आक्रमण, C) संतुलन, D) चपलता")</f>
        <v>A) रक्षा, B) आक्रमण, C) संतुलन, D) चपलता</v>
      </c>
      <c r="I131" s="5" t="str">
        <f>IFERROR(__xludf.DUMMYFUNCTION("GOOGLETRANSLATE(D131, ""en"", ""hi"")"),"सी) संतुलन")</f>
        <v>सी) संतुलन</v>
      </c>
    </row>
    <row r="132" ht="22.5" customHeight="1">
      <c r="A132" s="7">
        <v>131.0</v>
      </c>
      <c r="B132" s="8" t="s">
        <v>2902</v>
      </c>
      <c r="C132" s="8" t="s">
        <v>2903</v>
      </c>
      <c r="D132" s="8" t="s">
        <v>2607</v>
      </c>
      <c r="F132" s="5" t="str">
        <f>IFERROR(__xludf.DUMMYFUNCTION("GOOGLETRANSLATE(A132, ""en"", ""hi"")"),"131")</f>
        <v>131</v>
      </c>
      <c r="G132" s="5" t="str">
        <f>IFERROR(__xludf.DUMMYFUNCTION("GOOGLETRANSLATE(B132, ""en"", ""hi"")"),"कौन से प्रसिद्ध मुष्टि युद्ध अभ्यासी अपनी अपराजित लय के लिए जाने जाते थे?")</f>
        <v>कौन से प्रसिद्ध मुष्टि युद्ध अभ्यासी अपनी अपराजित लय के लिए जाने जाते थे?</v>
      </c>
      <c r="H132" s="5" t="str">
        <f>IFERROR(__xludf.DUMMYFUNCTION("GOOGLETRANSLATE(C132, ""en"", ""hi"")"),"ए) भीम सिंह, बी) गामा पहलवान, सी) अभिजीत वर्मा, डी) काशी नाथ")</f>
        <v>ए) भीम सिंह, बी) गामा पहलवान, सी) अभिजीत वर्मा, डी) काशी नाथ</v>
      </c>
      <c r="I132" s="5" t="str">
        <f>IFERROR(__xludf.DUMMYFUNCTION("GOOGLETRANSLATE(D132, ""en"", ""hi"")"),"B) गामा पहलवान")</f>
        <v>B) गामा पहलवान</v>
      </c>
    </row>
    <row r="133" ht="22.5" customHeight="1">
      <c r="A133" s="7">
        <v>132.0</v>
      </c>
      <c r="B133" s="8" t="s">
        <v>2904</v>
      </c>
      <c r="C133" s="8" t="s">
        <v>2905</v>
      </c>
      <c r="D133" s="8" t="s">
        <v>2906</v>
      </c>
      <c r="F133" s="5" t="str">
        <f>IFERROR(__xludf.DUMMYFUNCTION("GOOGLETRANSLATE(A133, ""en"", ""hi"")"),"132")</f>
        <v>132</v>
      </c>
      <c r="G133" s="5" t="str">
        <f>IFERROR(__xludf.DUMMYFUNCTION("GOOGLETRANSLATE(B133, ""en"", ""hi"")"),"मुष्टि युद्ध में 'हस्त मुद्रा' का मुख्य उद्देश्य क्या है?")</f>
        <v>मुष्टि युद्ध में 'हस्त मुद्रा' का मुख्य उद्देश्य क्या है?</v>
      </c>
      <c r="H133" s="5" t="str">
        <f>IFERROR(__xludf.DUMMYFUNCTION("GOOGLETRANSLATE(C133, ""en"", ""hi"")"),"A) आक्रमण, B) बचाव, C) ध्यान, D) ध्यान भटकाना")</f>
        <v>A) आक्रमण, B) बचाव, C) ध्यान, D) ध्यान भटकाना</v>
      </c>
      <c r="I133" s="5" t="str">
        <f>IFERROR(__xludf.DUMMYFUNCTION("GOOGLETRANSLATE(D133, ""en"", ""hi"")"),"बी) रक्षा")</f>
        <v>बी) रक्षा</v>
      </c>
    </row>
    <row r="134" ht="22.5" customHeight="1">
      <c r="A134" s="7">
        <v>133.0</v>
      </c>
      <c r="B134" s="8" t="s">
        <v>2907</v>
      </c>
      <c r="C134" s="8" t="s">
        <v>2908</v>
      </c>
      <c r="D134" s="8" t="s">
        <v>2909</v>
      </c>
      <c r="F134" s="5" t="str">
        <f>IFERROR(__xludf.DUMMYFUNCTION("GOOGLETRANSLATE(A134, ""en"", ""hi"")"),"133")</f>
        <v>133</v>
      </c>
      <c r="G134" s="5" t="str">
        <f>IFERROR(__xludf.DUMMYFUNCTION("GOOGLETRANSLATE(B134, ""en"", ""hi"")"),"मुष्टि युद्ध अभ्यासियों के लिए कौन सा विशिष्ट आहार अनुशंसित है?")</f>
        <v>मुष्टि युद्ध अभ्यासियों के लिए कौन सा विशिष्ट आहार अनुशंसित है?</v>
      </c>
      <c r="H134" s="5" t="str">
        <f>IFERROR(__xludf.DUMMYFUNCTION("GOOGLETRANSLATE(C134, ""en"", ""hi"")"),"A) शाकाहारी आहार, B) उच्च प्रोटीन आहार, C) कम कार्बोहाइड्रेट आहार, D) भूमध्यसागरीय आहार")</f>
        <v>A) शाकाहारी आहार, B) उच्च प्रोटीन आहार, C) कम कार्बोहाइड्रेट आहार, D) भूमध्यसागरीय आहार</v>
      </c>
      <c r="I134" s="5" t="str">
        <f>IFERROR(__xludf.DUMMYFUNCTION("GOOGLETRANSLATE(D134, ""en"", ""hi"")"),"बी) उच्च प्रोटीन आहार")</f>
        <v>बी) उच्च प्रोटीन आहार</v>
      </c>
    </row>
    <row r="135" ht="22.5" customHeight="1">
      <c r="A135" s="7">
        <v>134.0</v>
      </c>
      <c r="B135" s="8" t="s">
        <v>2910</v>
      </c>
      <c r="C135" s="8" t="s">
        <v>2911</v>
      </c>
      <c r="D135" s="8" t="s">
        <v>2901</v>
      </c>
      <c r="F135" s="5" t="str">
        <f>IFERROR(__xludf.DUMMYFUNCTION("GOOGLETRANSLATE(A135, ""en"", ""hi"")"),"134")</f>
        <v>134</v>
      </c>
      <c r="G135" s="5" t="str">
        <f>IFERROR(__xludf.DUMMYFUNCTION("GOOGLETRANSLATE(B135, ""en"", ""hi"")"),"मुष्टि युद्ध में 'संचालन' का प्राथमिक लक्ष्य क्या है?")</f>
        <v>मुष्टि युद्ध में 'संचालन' का प्राथमिक लक्ष्य क्या है?</v>
      </c>
      <c r="H135" s="5" t="str">
        <f>IFERROR(__xludf.DUMMYFUNCTION("GOOGLETRANSLATE(C135, ""en"", ""hi"")"),"A) आक्रमण, B) रक्षा, C) संतुलन, D) छल")</f>
        <v>A) आक्रमण, B) रक्षा, C) संतुलन, D) छल</v>
      </c>
      <c r="I135" s="5" t="str">
        <f>IFERROR(__xludf.DUMMYFUNCTION("GOOGLETRANSLATE(D135, ""en"", ""hi"")"),"सी) संतुलन")</f>
        <v>सी) संतुलन</v>
      </c>
    </row>
    <row r="136" ht="22.5" customHeight="1">
      <c r="A136" s="7">
        <v>135.0</v>
      </c>
      <c r="B136" s="8" t="s">
        <v>2912</v>
      </c>
      <c r="C136" s="8" t="s">
        <v>2913</v>
      </c>
      <c r="D136" s="8" t="s">
        <v>2914</v>
      </c>
      <c r="F136" s="5" t="str">
        <f>IFERROR(__xludf.DUMMYFUNCTION("GOOGLETRANSLATE(A136, ""en"", ""hi"")"),"135")</f>
        <v>135</v>
      </c>
      <c r="G136" s="5" t="str">
        <f>IFERROR(__xludf.DUMMYFUNCTION("GOOGLETRANSLATE(B136, ""en"", ""hi"")"),"किस प्राचीन ग्रंथ में मुष्टि युद्ध के समान मार्शल आर्ट प्रथाओं का वर्णन किया गया है?")</f>
        <v>किस प्राचीन ग्रंथ में मुष्टि युद्ध के समान मार्शल आर्ट प्रथाओं का वर्णन किया गया है?</v>
      </c>
      <c r="H136" s="5" t="str">
        <f>IFERROR(__xludf.DUMMYFUNCTION("GOOGLETRANSLATE(C136, ""en"", ""hi"")"),"ए) कामसूत्र, बी) नाट्य शास्त्र, सी) धनुर्वेद, डी) वेद")</f>
        <v>ए) कामसूत्र, बी) नाट्य शास्त्र, सी) धनुर्वेद, डी) वेद</v>
      </c>
      <c r="I136" s="5" t="str">
        <f>IFERROR(__xludf.DUMMYFUNCTION("GOOGLETRANSLATE(D136, ""en"", ""hi"")"),"C) धनुर्वेद")</f>
        <v>C) धनुर्वेद</v>
      </c>
    </row>
    <row r="137" ht="22.5" customHeight="1">
      <c r="A137" s="7">
        <v>136.0</v>
      </c>
      <c r="B137" s="8" t="s">
        <v>2915</v>
      </c>
      <c r="C137" s="8" t="s">
        <v>2916</v>
      </c>
      <c r="D137" s="8" t="s">
        <v>2917</v>
      </c>
      <c r="F137" s="5" t="str">
        <f>IFERROR(__xludf.DUMMYFUNCTION("GOOGLETRANSLATE(A137, ""en"", ""hi"")"),"136")</f>
        <v>136</v>
      </c>
      <c r="G137" s="5" t="str">
        <f>IFERROR(__xludf.DUMMYFUNCTION("GOOGLETRANSLATE(B137, ""en"", ""hi"")"),"मुष्टि युद्ध में ध्यान बढ़ाने के लिए विशेष रूप से कौन सी श्वास तकनीक का उपयोग किया जाता है?")</f>
        <v>मुष्टि युद्ध में ध्यान बढ़ाने के लिए विशेष रूप से कौन सी श्वास तकनीक का उपयोग किया जाता है?</v>
      </c>
      <c r="H137" s="5" t="str">
        <f>IFERROR(__xludf.DUMMYFUNCTION("GOOGLETRANSLATE(C137, ""en"", ""hi"")"),"ए) कपालभाति, बी) अनुलोम-विलोम, सी) भस्त्रिका, डी) उज्जायी")</f>
        <v>ए) कपालभाति, बी) अनुलोम-विलोम, सी) भस्त्रिका, डी) उज्जायी</v>
      </c>
      <c r="I137" s="5" t="str">
        <f>IFERROR(__xludf.DUMMYFUNCTION("GOOGLETRANSLATE(D137, ""en"", ""hi"")"),"D) उज्जयी")</f>
        <v>D) उज्जयी</v>
      </c>
    </row>
    <row r="138" ht="22.5" customHeight="1">
      <c r="A138" s="7">
        <v>137.0</v>
      </c>
      <c r="B138" s="8" t="s">
        <v>2918</v>
      </c>
      <c r="C138" s="8" t="s">
        <v>2919</v>
      </c>
      <c r="D138" s="8" t="s">
        <v>2920</v>
      </c>
      <c r="F138" s="5" t="str">
        <f>IFERROR(__xludf.DUMMYFUNCTION("GOOGLETRANSLATE(A138, ""en"", ""hi"")"),"137")</f>
        <v>137</v>
      </c>
      <c r="G138" s="5" t="str">
        <f>IFERROR(__xludf.DUMMYFUNCTION("GOOGLETRANSLATE(B138, ""en"", ""hi"")"),"मुष्टि युद्ध में 'व्याघ्रासन' मुद्रा में किस जानवर की मुद्रा की नकल की जाती है?")</f>
        <v>मुष्टि युद्ध में 'व्याघ्रासन' मुद्रा में किस जानवर की मुद्रा की नकल की जाती है?</v>
      </c>
      <c r="H138" s="5" t="str">
        <f>IFERROR(__xludf.DUMMYFUNCTION("GOOGLETRANSLATE(C138, ""en"", ""hi"")"),"A) हाथी, B) शेर, C) बाघ, D) बाज")</f>
        <v>A) हाथी, B) शेर, C) बाघ, D) बाज</v>
      </c>
      <c r="I138" s="5" t="str">
        <f>IFERROR(__xludf.DUMMYFUNCTION("GOOGLETRANSLATE(D138, ""en"", ""hi"")"),"C) बाघ")</f>
        <v>C) बाघ</v>
      </c>
    </row>
    <row r="139" ht="22.5" customHeight="1">
      <c r="A139" s="7">
        <v>138.0</v>
      </c>
      <c r="B139" s="8" t="s">
        <v>2921</v>
      </c>
      <c r="C139" s="8" t="s">
        <v>2922</v>
      </c>
      <c r="D139" s="8" t="s">
        <v>98</v>
      </c>
      <c r="F139" s="5" t="str">
        <f>IFERROR(__xludf.DUMMYFUNCTION("GOOGLETRANSLATE(A139, ""en"", ""hi"")"),"138")</f>
        <v>138</v>
      </c>
      <c r="G139" s="5" t="str">
        <f>IFERROR(__xludf.DUMMYFUNCTION("GOOGLETRANSLATE(B139, ""en"", ""hi"")"),"कौन सा भारतीय राज्य पारंपरिक रूप से अपने मुष्टि युद्ध अभ्यासियों के लिए जाना जाता है?")</f>
        <v>कौन सा भारतीय राज्य पारंपरिक रूप से अपने मुष्टि युद्ध अभ्यासियों के लिए जाना जाता है?</v>
      </c>
      <c r="H139" s="5" t="str">
        <f>IFERROR(__xludf.DUMMYFUNCTION("GOOGLETRANSLATE(C139, ""en"", ""hi"")"),"ए) पंजाब, बी) महाराष्ट्र, सी) केरल, डी) कर्नाटक")</f>
        <v>ए) पंजाब, बी) महाराष्ट्र, सी) केरल, डी) कर्नाटक</v>
      </c>
      <c r="I139" s="5" t="str">
        <f>IFERROR(__xludf.DUMMYFUNCTION("GOOGLETRANSLATE(D139, ""en"", ""hi"")"),"बी) महाराष्ट्र")</f>
        <v>बी) महाराष्ट्र</v>
      </c>
    </row>
    <row r="140" ht="22.5" customHeight="1">
      <c r="A140" s="7">
        <v>139.0</v>
      </c>
      <c r="B140" s="8" t="s">
        <v>2923</v>
      </c>
      <c r="C140" s="8" t="s">
        <v>2924</v>
      </c>
      <c r="D140" s="8" t="s">
        <v>2925</v>
      </c>
      <c r="F140" s="5" t="str">
        <f>IFERROR(__xludf.DUMMYFUNCTION("GOOGLETRANSLATE(A140, ""en"", ""hi"")"),"139")</f>
        <v>139</v>
      </c>
      <c r="G140" s="5" t="str">
        <f>IFERROR(__xludf.DUMMYFUNCTION("GOOGLETRANSLATE(B140, ""en"", ""hi"")"),"दक्षिण भारत में युद्ध का कौन सा रूप मुष्टि युद्ध से निकटता से संबंधित है?")</f>
        <v>दक्षिण भारत में युद्ध का कौन सा रूप मुष्टि युद्ध से निकटता से संबंधित है?</v>
      </c>
      <c r="H140" s="5" t="str">
        <f>IFERROR(__xludf.DUMMYFUNCTION("GOOGLETRANSLATE(C140, ""en"", ""hi"")"),"ए) सिलंबम, बी) कलारीपयट्टू, सी) थांग-ता, डी) मर्दानी खेल")</f>
        <v>ए) सिलंबम, बी) कलारीपयट्टू, सी) थांग-ता, डी) मर्दानी खेल</v>
      </c>
      <c r="I140" s="5" t="str">
        <f>IFERROR(__xludf.DUMMYFUNCTION("GOOGLETRANSLATE(D140, ""en"", ""hi"")"),"बी) कलारीपयट्टू")</f>
        <v>बी) कलारीपयट्टू</v>
      </c>
    </row>
    <row r="141" ht="22.5" customHeight="1">
      <c r="A141" s="7">
        <v>140.0</v>
      </c>
      <c r="B141" s="8" t="s">
        <v>2926</v>
      </c>
      <c r="C141" s="8" t="s">
        <v>2927</v>
      </c>
      <c r="D141" s="8" t="s">
        <v>2928</v>
      </c>
      <c r="F141" s="5" t="str">
        <f>IFERROR(__xludf.DUMMYFUNCTION("GOOGLETRANSLATE(A141, ""en"", ""hi"")"),"140")</f>
        <v>140</v>
      </c>
      <c r="G141" s="5" t="str">
        <f>IFERROR(__xludf.DUMMYFUNCTION("GOOGLETRANSLATE(B141, ""en"", ""hi"")"),"मर्दानी खेल के संदर्भ में मर्दानी का क्या अर्थ है, जो मुष्टि युद्ध से संबंधित है?")</f>
        <v>मर्दानी खेल के संदर्भ में मर्दानी का क्या अर्थ है, जो मुष्टि युद्ध से संबंधित है?</v>
      </c>
      <c r="H141" s="5" t="str">
        <f>IFERROR(__xludf.DUMMYFUNCTION("GOOGLETRANSLATE(C141, ""en"", ""hi"")"),"A) योद्धा, B) रक्षा, C) आक्रामकता, D) शक्ति")</f>
        <v>A) योद्धा, B) रक्षा, C) आक्रामकता, D) शक्ति</v>
      </c>
      <c r="I141" s="5" t="str">
        <f>IFERROR(__xludf.DUMMYFUNCTION("GOOGLETRANSLATE(D141, ""en"", ""hi"")"),"ए) योद्धा")</f>
        <v>ए) योद्धा</v>
      </c>
    </row>
    <row r="142" ht="22.5" customHeight="1">
      <c r="A142" s="7">
        <v>141.0</v>
      </c>
      <c r="B142" s="8" t="s">
        <v>2929</v>
      </c>
      <c r="C142" s="8" t="s">
        <v>2930</v>
      </c>
      <c r="D142" s="8" t="s">
        <v>2931</v>
      </c>
      <c r="F142" s="5" t="str">
        <f>IFERROR(__xludf.DUMMYFUNCTION("GOOGLETRANSLATE(A142, ""en"", ""hi"")"),"141")</f>
        <v>141</v>
      </c>
      <c r="G142" s="5" t="str">
        <f>IFERROR(__xludf.DUMMYFUNCTION("GOOGLETRANSLATE(B142, ""en"", ""hi"")"),"मुष्टियुद्ध में 'प्रदर्शन' का क्या अर्थ है?")</f>
        <v>मुष्टियुद्ध में 'प्रदर्शन' का क्या अर्थ है?</v>
      </c>
      <c r="H142" s="5" t="str">
        <f>IFERROR(__xludf.DUMMYFUNCTION("GOOGLETRANSLATE(C142, ""en"", ""hi"")"),"A) आक्रमण प्रदर्शन, B) रक्षात्मक रुख, C) चपलता प्रदर्शन, D) शक्ति प्रदर्शन")</f>
        <v>A) आक्रमण प्रदर्शन, B) रक्षात्मक रुख, C) चपलता प्रदर्शन, D) शक्ति प्रदर्शन</v>
      </c>
      <c r="I142" s="5" t="str">
        <f>IFERROR(__xludf.DUMMYFUNCTION("GOOGLETRANSLATE(D142, ""en"", ""hi"")"),"ए) हमले का प्रदर्शन")</f>
        <v>ए) हमले का प्रदर्शन</v>
      </c>
    </row>
    <row r="143" ht="22.5" customHeight="1">
      <c r="A143" s="7">
        <v>142.0</v>
      </c>
      <c r="B143" s="8" t="s">
        <v>2932</v>
      </c>
      <c r="C143" s="8" t="s">
        <v>2933</v>
      </c>
      <c r="D143" s="8" t="s">
        <v>2934</v>
      </c>
      <c r="F143" s="5" t="str">
        <f>IFERROR(__xludf.DUMMYFUNCTION("GOOGLETRANSLATE(A143, ""en"", ""hi"")"),"142")</f>
        <v>142</v>
      </c>
      <c r="G143" s="5" t="str">
        <f>IFERROR(__xludf.DUMMYFUNCTION("GOOGLETRANSLATE(B143, ""en"", ""hi"")"),"मुष्टि युद्ध प्रशिक्षण में 'प्राणायाम' की क्या भूमिका है?")</f>
        <v>मुष्टि युद्ध प्रशिक्षण में 'प्राणायाम' की क्या भूमिका है?</v>
      </c>
      <c r="H143" s="5" t="str">
        <f>IFERROR(__xludf.DUMMYFUNCTION("GOOGLETRANSLATE(C143, ""en"", ""hi"")"),"A) गति बढ़ाना, B) ताकत बढ़ाना, C) फोकस में सुधार करना, D) लचीलापन विकसित करना")</f>
        <v>A) गति बढ़ाना, B) ताकत बढ़ाना, C) फोकस में सुधार करना, D) लचीलापन विकसित करना</v>
      </c>
      <c r="I143" s="5" t="str">
        <f>IFERROR(__xludf.DUMMYFUNCTION("GOOGLETRANSLATE(D143, ""en"", ""hi"")"),"C) फोकस में सुधार")</f>
        <v>C) फोकस में सुधार</v>
      </c>
    </row>
    <row r="144" ht="22.5" customHeight="1">
      <c r="A144" s="7">
        <v>143.0</v>
      </c>
      <c r="B144" s="8" t="s">
        <v>2935</v>
      </c>
      <c r="C144" s="8" t="s">
        <v>2936</v>
      </c>
      <c r="D144" s="8" t="s">
        <v>2937</v>
      </c>
      <c r="F144" s="5" t="str">
        <f>IFERROR(__xludf.DUMMYFUNCTION("GOOGLETRANSLATE(A144, ""en"", ""hi"")"),"143")</f>
        <v>143</v>
      </c>
      <c r="G144" s="5" t="str">
        <f>IFERROR(__xludf.DUMMYFUNCTION("GOOGLETRANSLATE(B144, ""en"", ""hi"")"),"ऐसा माना जाता है कि किस प्राचीन योद्धा ने मुष्टि युद्ध किया था?")</f>
        <v>ऐसा माना जाता है कि किस प्राचीन योद्धा ने मुष्टि युद्ध किया था?</v>
      </c>
      <c r="H144" s="5" t="str">
        <f>IFERROR(__xludf.DUMMYFUNCTION("GOOGLETRANSLATE(C144, ""en"", ""hi"")"),"ए) कर्ण, बी) भीम, सी) अर्जुन, डी) अश्वत्थामा")</f>
        <v>ए) कर्ण, बी) भीम, सी) अर्जुन, डी) अश्वत्थामा</v>
      </c>
      <c r="I144" s="5" t="str">
        <f>IFERROR(__xludf.DUMMYFUNCTION("GOOGLETRANSLATE(D144, ""en"", ""hi"")"),"बी) भीम")</f>
        <v>बी) भीम</v>
      </c>
    </row>
    <row r="145" ht="22.5" customHeight="1">
      <c r="A145" s="7">
        <v>144.0</v>
      </c>
      <c r="B145" s="8" t="s">
        <v>2938</v>
      </c>
      <c r="C145" s="8" t="s">
        <v>2939</v>
      </c>
      <c r="D145" s="8" t="s">
        <v>2940</v>
      </c>
      <c r="F145" s="5" t="str">
        <f>IFERROR(__xludf.DUMMYFUNCTION("GOOGLETRANSLATE(A145, ""en"", ""hi"")"),"144")</f>
        <v>144</v>
      </c>
      <c r="G145" s="5" t="str">
        <f>IFERROR(__xludf.DUMMYFUNCTION("GOOGLETRANSLATE(B145, ""en"", ""hi"")"),"किस मार्शल आर्ट को मुष्टि युद्ध का उत्तरी समकक्ष माना जाता है?")</f>
        <v>किस मार्शल आर्ट को मुष्टि युद्ध का उत्तरी समकक्ष माना जाता है?</v>
      </c>
      <c r="H145" s="5" t="str">
        <f>IFERROR(__xludf.DUMMYFUNCTION("GOOGLETRANSLATE(C145, ""en"", ""hi"")"),"ए) गतका, बी) कुश्ती, सी) थांग-ता, डी) पहलवानी")</f>
        <v>ए) गतका, बी) कुश्ती, सी) थांग-ता, डी) पहलवानी</v>
      </c>
      <c r="I145" s="5" t="str">
        <f>IFERROR(__xludf.DUMMYFUNCTION("GOOGLETRANSLATE(D145, ""en"", ""hi"")"),"D) पहलवानी")</f>
        <v>D) पहलवानी</v>
      </c>
    </row>
    <row r="146" ht="22.5" customHeight="1">
      <c r="A146" s="7">
        <v>145.0</v>
      </c>
      <c r="B146" s="8" t="s">
        <v>2941</v>
      </c>
      <c r="C146" s="8" t="s">
        <v>2942</v>
      </c>
      <c r="D146" s="8" t="s">
        <v>2943</v>
      </c>
      <c r="F146" s="5" t="str">
        <f>IFERROR(__xludf.DUMMYFUNCTION("GOOGLETRANSLATE(A146, ""en"", ""hi"")"),"145")</f>
        <v>145</v>
      </c>
      <c r="G146" s="5" t="str">
        <f>IFERROR(__xludf.DUMMYFUNCTION("GOOGLETRANSLATE(B146, ""en"", ""hi"")"),"भारत में कौन सी लोकप्रिय मार्शल आर्ट मुष्टि युद्ध से प्रभावित थी?")</f>
        <v>भारत में कौन सी लोकप्रिय मार्शल आर्ट मुष्टि युद्ध से प्रभावित थी?</v>
      </c>
      <c r="H146" s="5" t="str">
        <f>IFERROR(__xludf.DUMMYFUNCTION("GOOGLETRANSLATE(C146, ""en"", ""hi"")"),"A) मुक्केबाजी, B) कुश्ती, C) जूडो, D) कराटे")</f>
        <v>A) मुक्केबाजी, B) कुश्ती, C) जूडो, D) कराटे</v>
      </c>
      <c r="I146" s="5" t="str">
        <f>IFERROR(__xludf.DUMMYFUNCTION("GOOGLETRANSLATE(D146, ""en"", ""hi"")"),"बी) कुश्ती")</f>
        <v>बी) कुश्ती</v>
      </c>
    </row>
    <row r="147" ht="22.5" customHeight="1">
      <c r="A147" s="7">
        <v>146.0</v>
      </c>
      <c r="B147" s="8" t="s">
        <v>2944</v>
      </c>
      <c r="C147" s="8" t="s">
        <v>2945</v>
      </c>
      <c r="D147" s="8" t="s">
        <v>2946</v>
      </c>
      <c r="F147" s="5" t="str">
        <f>IFERROR(__xludf.DUMMYFUNCTION("GOOGLETRANSLATE(A147, ""en"", ""hi"")"),"146")</f>
        <v>146</v>
      </c>
      <c r="G147" s="5" t="str">
        <f>IFERROR(__xludf.DUMMYFUNCTION("GOOGLETRANSLATE(B147, ""en"", ""hi"")"),"मुष्टि युद्ध में 'भुजंगा विधि' चाल क्या करने के लिए डिज़ाइन की गई है?")</f>
        <v>मुष्टि युद्ध में 'भुजंगा विधि' चाल क्या करने के लिए डिज़ाइन की गई है?</v>
      </c>
      <c r="H147" s="5" t="str">
        <f>IFERROR(__xludf.DUMMYFUNCTION("GOOGLETRANSLATE(C147, ""en"", ""hi"")"),"A) प्रतिद्वंद्वी को स्थिर करना, B) त्वरित प्रहार करना, C) निःशस्त्र करना, D) ध्यान भटकाना")</f>
        <v>A) प्रतिद्वंद्वी को स्थिर करना, B) त्वरित प्रहार करना, C) निःशस्त्र करना, D) ध्यान भटकाना</v>
      </c>
      <c r="I147" s="5" t="str">
        <f>IFERROR(__xludf.DUMMYFUNCTION("GOOGLETRANSLATE(D147, ""en"", ""hi"")"),"A) प्रतिद्वंद्वी को स्थिर करना")</f>
        <v>A) प्रतिद्वंद्वी को स्थिर करना</v>
      </c>
    </row>
    <row r="148" ht="22.5" customHeight="1">
      <c r="A148" s="7">
        <v>147.0</v>
      </c>
      <c r="B148" s="8" t="s">
        <v>2947</v>
      </c>
      <c r="C148" s="8" t="s">
        <v>2948</v>
      </c>
      <c r="D148" s="8" t="s">
        <v>2544</v>
      </c>
      <c r="F148" s="5" t="str">
        <f>IFERROR(__xludf.DUMMYFUNCTION("GOOGLETRANSLATE(A148, ""en"", ""hi"")"),"147")</f>
        <v>147</v>
      </c>
      <c r="G148" s="5" t="str">
        <f>IFERROR(__xludf.DUMMYFUNCTION("GOOGLETRANSLATE(B148, ""en"", ""hi"")"),"किस प्रसिद्ध भारतीय महाकाव्य में मुष्टि युद्ध का चित्रण है?")</f>
        <v>किस प्रसिद्ध भारतीय महाकाव्य में मुष्टि युद्ध का चित्रण है?</v>
      </c>
      <c r="H148" s="5" t="str">
        <f>IFERROR(__xludf.DUMMYFUNCTION("GOOGLETRANSLATE(C148, ""en"", ""hi"")"),"ए) रामायण, बी) महाभारत, सी) भगवद गीता, डी) उपनिषद")</f>
        <v>ए) रामायण, बी) महाभारत, सी) भगवद गीता, डी) उपनिषद</v>
      </c>
      <c r="I148" s="5" t="str">
        <f>IFERROR(__xludf.DUMMYFUNCTION("GOOGLETRANSLATE(D148, ""en"", ""hi"")"),"बी) महाभारत")</f>
        <v>बी) महाभारत</v>
      </c>
    </row>
    <row r="149" ht="22.5" customHeight="1">
      <c r="A149" s="7">
        <v>148.0</v>
      </c>
      <c r="B149" s="8" t="s">
        <v>2949</v>
      </c>
      <c r="C149" s="8" t="s">
        <v>2950</v>
      </c>
      <c r="D149" s="8" t="s">
        <v>2951</v>
      </c>
      <c r="F149" s="5" t="str">
        <f>IFERROR(__xludf.DUMMYFUNCTION("GOOGLETRANSLATE(A149, ""en"", ""hi"")"),"148")</f>
        <v>148</v>
      </c>
      <c r="G149" s="5" t="str">
        <f>IFERROR(__xludf.DUMMYFUNCTION("GOOGLETRANSLATE(B149, ""en"", ""hi"")"),"मुष्टि युद्ध में किस प्रकार की शारीरिक कंडीशनिंग पर जोर दिया जाता है?")</f>
        <v>मुष्टि युद्ध में किस प्रकार की शारीरिक कंडीशनिंग पर जोर दिया जाता है?</v>
      </c>
      <c r="H149" s="5" t="str">
        <f>IFERROR(__xludf.DUMMYFUNCTION("GOOGLETRANSLATE(C149, ""en"", ""hi"")"),"ए) कार्डियोवैस्कुलर सहनशक्ति, बी) मांसपेशी अतिवृद्धि, सी) लचीलापन, डी) अस्थि घनत्व")</f>
        <v>ए) कार्डियोवैस्कुलर सहनशक्ति, बी) मांसपेशी अतिवृद्धि, सी) लचीलापन, डी) अस्थि घनत्व</v>
      </c>
      <c r="I149" s="5" t="str">
        <f>IFERROR(__xludf.DUMMYFUNCTION("GOOGLETRANSLATE(D149, ""en"", ""hi"")"),"D) अस्थि घनत्व")</f>
        <v>D) अस्थि घनत्व</v>
      </c>
    </row>
    <row r="150" ht="22.5" customHeight="1">
      <c r="A150" s="7">
        <v>149.0</v>
      </c>
      <c r="B150" s="8" t="s">
        <v>2952</v>
      </c>
      <c r="C150" s="8" t="s">
        <v>2953</v>
      </c>
      <c r="D150" s="8" t="s">
        <v>2954</v>
      </c>
      <c r="F150" s="5" t="str">
        <f>IFERROR(__xludf.DUMMYFUNCTION("GOOGLETRANSLATE(A150, ""en"", ""hi"")"),"149")</f>
        <v>149</v>
      </c>
      <c r="G150" s="5" t="str">
        <f>IFERROR(__xludf.DUMMYFUNCTION("GOOGLETRANSLATE(B150, ""en"", ""hi"")"),"मुष्टि युद्ध में कौन सी मुद्रा सर्वोत्तम रक्षात्मक मुद्रा मानी जाती है?")</f>
        <v>मुष्टि युद्ध में कौन सी मुद्रा सर्वोत्तम रक्षात्मक मुद्रा मानी जाती है?</v>
      </c>
      <c r="H150" s="5" t="str">
        <f>IFERROR(__xludf.DUMMYFUNCTION("GOOGLETRANSLATE(C150, ""en"", ""hi"")"),"ए) भद्रासन, बी) वज्रासन, सी) गरुड़ासन, डी) धनुरासन")</f>
        <v>ए) भद्रासन, बी) वज्रासन, सी) गरुड़ासन, डी) धनुरासन</v>
      </c>
      <c r="I150" s="5" t="str">
        <f>IFERROR(__xludf.DUMMYFUNCTION("GOOGLETRANSLATE(D150, ""en"", ""hi"")"),"A) भद्रासन")</f>
        <v>A) भद्रासन</v>
      </c>
    </row>
    <row r="151" ht="22.5" customHeight="1">
      <c r="A151" s="7">
        <v>150.0</v>
      </c>
      <c r="B151" s="8" t="s">
        <v>2955</v>
      </c>
      <c r="C151" s="8" t="s">
        <v>2956</v>
      </c>
      <c r="D151" s="8" t="s">
        <v>2957</v>
      </c>
      <c r="F151" s="5" t="str">
        <f>IFERROR(__xludf.DUMMYFUNCTION("GOOGLETRANSLATE(A151, ""en"", ""hi"")"),"150")</f>
        <v>150</v>
      </c>
      <c r="G151" s="5" t="str">
        <f>IFERROR(__xludf.DUMMYFUNCTION("GOOGLETRANSLATE(B151, ""en"", ""hi"")"),"'हस्त प्रेक्षा' तकनीक किस पर केंद्रित है?")</f>
        <v>'हस्त प्रेक्षा' तकनीक किस पर केंद्रित है?</v>
      </c>
      <c r="H151" s="5" t="str">
        <f>IFERROR(__xludf.DUMMYFUNCTION("GOOGLETRANSLATE(C151, ""en"", ""hi"")"),"A) हाथ की पकड़, B) बांह की ताकत, C) पैर का लचीलापन, D) सिर की गति")</f>
        <v>A) हाथ की पकड़, B) बांह की ताकत, C) पैर का लचीलापन, D) सिर की गति</v>
      </c>
      <c r="I151" s="5" t="str">
        <f>IFERROR(__xludf.DUMMYFUNCTION("GOOGLETRANSLATE(D151, ""en"", ""hi"")"),"A) हाथ की पकड़")</f>
        <v>A) हाथ की पकड़</v>
      </c>
    </row>
    <row r="152" ht="22.5" customHeight="1">
      <c r="A152" s="7">
        <v>151.0</v>
      </c>
      <c r="B152" s="8" t="s">
        <v>2958</v>
      </c>
      <c r="C152" s="8" t="s">
        <v>2959</v>
      </c>
      <c r="D152" s="8" t="s">
        <v>2960</v>
      </c>
      <c r="F152" s="5" t="str">
        <f>IFERROR(__xludf.DUMMYFUNCTION("GOOGLETRANSLATE(A152, ""en"", ""hi"")"),"151")</f>
        <v>151</v>
      </c>
      <c r="G152" s="5" t="str">
        <f>IFERROR(__xludf.DUMMYFUNCTION("GOOGLETRANSLATE(B152, ""en"", ""hi"")"),"प्रशिक्षण के दौरान मुष्टि युद्ध के किस पहलू पर मुख्य रूप से ध्यान केंद्रित किया जाता है?")</f>
        <v>प्रशिक्षण के दौरान मुष्टि युद्ध के किस पहलू पर मुख्य रूप से ध्यान केंद्रित किया जाता है?</v>
      </c>
      <c r="H152" s="5" t="str">
        <f>IFERROR(__xludf.DUMMYFUNCTION("GOOGLETRANSLATE(C152, ""en"", ""hi"")"),"A) माइंडफुलनेस, B) आक्रामकता, C) लचीलापन, D) सहनशीलता")</f>
        <v>A) माइंडफुलनेस, B) आक्रामकता, C) लचीलापन, D) सहनशीलता</v>
      </c>
      <c r="I152" s="5" t="str">
        <f>IFERROR(__xludf.DUMMYFUNCTION("GOOGLETRANSLATE(D152, ""en"", ""hi"")"),"डी) धीरज")</f>
        <v>डी) धीरज</v>
      </c>
    </row>
    <row r="153" ht="22.5" customHeight="1">
      <c r="A153" s="7">
        <v>152.0</v>
      </c>
      <c r="B153" s="8" t="s">
        <v>2961</v>
      </c>
      <c r="C153" s="8" t="s">
        <v>2962</v>
      </c>
      <c r="D153" s="8" t="s">
        <v>2963</v>
      </c>
      <c r="F153" s="5" t="str">
        <f>IFERROR(__xludf.DUMMYFUNCTION("GOOGLETRANSLATE(A153, ""en"", ""hi"")"),"152")</f>
        <v>152</v>
      </c>
      <c r="G153" s="5" t="str">
        <f>IFERROR(__xludf.DUMMYFUNCTION("GOOGLETRANSLATE(B153, ""en"", ""hi"")"),"मुष्टि युद्ध में कौन सी चाल प्रतिद्वंद्वी के सिर पर लक्षित होती है?")</f>
        <v>मुष्टि युद्ध में कौन सी चाल प्रतिद्वंद्वी के सिर पर लक्षित होती है?</v>
      </c>
      <c r="H153" s="5" t="str">
        <f>IFERROR(__xludf.DUMMYFUNCTION("GOOGLETRANSLATE(C153, ""en"", ""hi"")"),"ए) मस्तक दर्शन, बी) शीर्ष विधि, सी) कपाल हस्त, डी) मुख प्रधान")</f>
        <v>ए) मस्तक दर्शन, बी) शीर्ष विधि, सी) कपाल हस्त, डी) मुख प्रधान</v>
      </c>
      <c r="I153" s="5" t="str">
        <f>IFERROR(__xludf.DUMMYFUNCTION("GOOGLETRANSLATE(D153, ""en"", ""hi"")"),"C) कपाल हस्त")</f>
        <v>C) कपाल हस्त</v>
      </c>
    </row>
    <row r="154" ht="22.5" customHeight="1">
      <c r="A154" s="7">
        <v>153.0</v>
      </c>
      <c r="B154" s="8" t="s">
        <v>2964</v>
      </c>
      <c r="C154" s="8" t="s">
        <v>2965</v>
      </c>
      <c r="D154" s="8" t="s">
        <v>2966</v>
      </c>
      <c r="F154" s="5" t="str">
        <f>IFERROR(__xludf.DUMMYFUNCTION("GOOGLETRANSLATE(A154, ""en"", ""hi"")"),"153")</f>
        <v>153</v>
      </c>
      <c r="G154" s="5" t="str">
        <f>IFERROR(__xludf.DUMMYFUNCTION("GOOGLETRANSLATE(B154, ""en"", ""hi"")"),"मुष्टि युद्ध में नियंत्रण प्रदर्शित करने के लिए किस आसन का उपयोग किया जाता है?")</f>
        <v>मुष्टि युद्ध में नियंत्रण प्रदर्शित करने के लिए किस आसन का उपयोग किया जाता है?</v>
      </c>
      <c r="H154" s="5" t="str">
        <f>IFERROR(__xludf.DUMMYFUNCTION("GOOGLETRANSLATE(C154, ""en"", ""hi"")"),"ए) ताड़ासन, बी) सिद्धासन, सी) सुखासन, डी) पद्मासन")</f>
        <v>ए) ताड़ासन, बी) सिद्धासन, सी) सुखासन, डी) पद्मासन</v>
      </c>
      <c r="I154" s="5" t="str">
        <f>IFERROR(__xludf.DUMMYFUNCTION("GOOGLETRANSLATE(D154, ""en"", ""hi"")"),"बी) सिद्धासन")</f>
        <v>बी) सिद्धासन</v>
      </c>
    </row>
    <row r="155" ht="22.5" customHeight="1">
      <c r="A155" s="7">
        <v>154.0</v>
      </c>
      <c r="B155" s="8" t="s">
        <v>2967</v>
      </c>
      <c r="C155" s="8" t="s">
        <v>2968</v>
      </c>
      <c r="D155" s="8" t="s">
        <v>2969</v>
      </c>
      <c r="F155" s="5" t="str">
        <f>IFERROR(__xludf.DUMMYFUNCTION("GOOGLETRANSLATE(A155, ""en"", ""hi"")"),"154")</f>
        <v>154</v>
      </c>
      <c r="G155" s="5" t="str">
        <f>IFERROR(__xludf.DUMMYFUNCTION("GOOGLETRANSLATE(B155, ""en"", ""hi"")"),"मुष्टियुद्ध में किस सिद्धांत को मूलभूत माना जाता है?")</f>
        <v>मुष्टियुद्ध में किस सिद्धांत को मूलभूत माना जाता है?</v>
      </c>
      <c r="H155" s="5" t="str">
        <f>IFERROR(__xludf.DUMMYFUNCTION("GOOGLETRANSLATE(C155, ""en"", ""hi"")"),"A) ताकत पर गति, B) शक्ति पर संतुलन, C) बल पर लचीलापन, D) गति पर धीरज")</f>
        <v>A) ताकत पर गति, B) शक्ति पर संतुलन, C) बल पर लचीलापन, D) गति पर धीरज</v>
      </c>
      <c r="I155" s="5" t="str">
        <f>IFERROR(__xludf.DUMMYFUNCTION("GOOGLETRANSLATE(D155, ""en"", ""hi"")"),"बी) शक्ति पर संतुलन")</f>
        <v>बी) शक्ति पर संतुलन</v>
      </c>
    </row>
    <row r="156" ht="22.5" customHeight="1">
      <c r="A156" s="7">
        <v>155.0</v>
      </c>
      <c r="B156" s="8" t="s">
        <v>2970</v>
      </c>
      <c r="C156" s="8" t="s">
        <v>2971</v>
      </c>
      <c r="D156" s="8" t="s">
        <v>2972</v>
      </c>
      <c r="F156" s="5" t="str">
        <f>IFERROR(__xludf.DUMMYFUNCTION("GOOGLETRANSLATE(A156, ""en"", ""hi"")"),"155")</f>
        <v>155</v>
      </c>
      <c r="G156" s="5" t="str">
        <f>IFERROR(__xludf.DUMMYFUNCTION("GOOGLETRANSLATE(B156, ""en"", ""hi"")"),"मुष्टियुद्ध में 'संचालन' तकनीक का मुख्य फोकस क्या है?")</f>
        <v>मुष्टियुद्ध में 'संचालन' तकनीक का मुख्य फोकस क्या है?</v>
      </c>
      <c r="H156" s="5" t="str">
        <f>IFERROR(__xludf.DUMMYFUNCTION("GOOGLETRANSLATE(C156, ""en"", ""hi"")"),"A) ताकत, B) गति, C) चपलता, D) रक्षा")</f>
        <v>A) ताकत, B) गति, C) चपलता, D) रक्षा</v>
      </c>
      <c r="I156" s="5" t="str">
        <f>IFERROR(__xludf.DUMMYFUNCTION("GOOGLETRANSLATE(D156, ""en"", ""hi"")"),"सी) चपलता")</f>
        <v>सी) चपलता</v>
      </c>
    </row>
    <row r="157" ht="22.5" customHeight="1">
      <c r="A157" s="7">
        <v>156.0</v>
      </c>
      <c r="B157" s="8" t="s">
        <v>2973</v>
      </c>
      <c r="C157" s="8" t="s">
        <v>2974</v>
      </c>
      <c r="D157" s="8" t="s">
        <v>2756</v>
      </c>
      <c r="F157" s="5" t="str">
        <f>IFERROR(__xludf.DUMMYFUNCTION("GOOGLETRANSLATE(A157, ""en"", ""hi"")"),"156")</f>
        <v>156</v>
      </c>
      <c r="G157" s="5" t="str">
        <f>IFERROR(__xludf.DUMMYFUNCTION("GOOGLETRANSLATE(B157, ""en"", ""hi"")"),"उन्नत मुष्टि युद्ध प्रशिक्षण में कभी-कभी किस पारंपरिक हथियार का उपयोग किया जाता है?")</f>
        <v>उन्नत मुष्टि युद्ध प्रशिक्षण में कभी-कभी किस पारंपरिक हथियार का उपयोग किया जाता है?</v>
      </c>
      <c r="H157" s="5" t="str">
        <f>IFERROR(__xludf.DUMMYFUNCTION("GOOGLETRANSLATE(C157, ""en"", ""hi"")"),"A) भाला, B) खंजर, C) ढाल, D) तलवार")</f>
        <v>A) भाला, B) खंजर, C) ढाल, D) तलवार</v>
      </c>
      <c r="I157" s="5" t="str">
        <f>IFERROR(__xludf.DUMMYFUNCTION("GOOGLETRANSLATE(D157, ""en"", ""hi"")"),"बी) खंजर")</f>
        <v>बी) खंजर</v>
      </c>
    </row>
    <row r="158" ht="22.5" customHeight="1">
      <c r="A158" s="7">
        <v>157.0</v>
      </c>
      <c r="B158" s="8" t="s">
        <v>2975</v>
      </c>
      <c r="C158" s="8" t="s">
        <v>2976</v>
      </c>
      <c r="D158" s="8" t="s">
        <v>2977</v>
      </c>
      <c r="F158" s="5" t="str">
        <f>IFERROR(__xludf.DUMMYFUNCTION("GOOGLETRANSLATE(A158, ""en"", ""hi"")"),"157")</f>
        <v>157</v>
      </c>
      <c r="G158" s="5" t="str">
        <f>IFERROR(__xludf.DUMMYFUNCTION("GOOGLETRANSLATE(B158, ""en"", ""hi"")"),"कौन सी प्रसिद्ध मुष्टि युद्ध चाल अपनी तीव्रता और चपलता के लिए जानी जाती है?")</f>
        <v>कौन सी प्रसिद्ध मुष्टि युद्ध चाल अपनी तीव्रता और चपलता के लिए जानी जाती है?</v>
      </c>
      <c r="H158" s="5" t="str">
        <f>IFERROR(__xludf.DUMMYFUNCTION("GOOGLETRANSLATE(C158, ""en"", ""hi"")"),"ए) चुरीकी, बी) वज्र हस्त, सी) व्याघ्रासन, डी) गति दर्शन")</f>
        <v>ए) चुरीकी, बी) वज्र हस्त, सी) व्याघ्रासन, डी) गति दर्शन</v>
      </c>
      <c r="I158" s="5" t="str">
        <f>IFERROR(__xludf.DUMMYFUNCTION("GOOGLETRANSLATE(D158, ""en"", ""hi"")"),"D) गति प्रदर्शन")</f>
        <v>D) गति प्रदर्शन</v>
      </c>
    </row>
    <row r="159" ht="22.5" customHeight="1">
      <c r="A159" s="7">
        <v>158.0</v>
      </c>
      <c r="B159" s="8" t="s">
        <v>2978</v>
      </c>
      <c r="C159" s="8" t="s">
        <v>2979</v>
      </c>
      <c r="D159" s="8" t="s">
        <v>2980</v>
      </c>
      <c r="F159" s="5" t="str">
        <f>IFERROR(__xludf.DUMMYFUNCTION("GOOGLETRANSLATE(A159, ""en"", ""hi"")"),"158")</f>
        <v>158</v>
      </c>
      <c r="G159" s="5" t="str">
        <f>IFERROR(__xludf.DUMMYFUNCTION("GOOGLETRANSLATE(B159, ""en"", ""hi"")"),"मुष्टि युद्ध में, 'दृढ़ मुष्टि' तकनीक का उद्देश्य क्या है?")</f>
        <v>मुष्टि युद्ध में, 'दृढ़ मुष्टि' तकनीक का उद्देश्य क्या है?</v>
      </c>
      <c r="H159" s="5" t="str">
        <f>IFERROR(__xludf.DUMMYFUNCTION("GOOGLETRANSLATE(C159, ""en"", ""hi"")"),"A) पकड़ मजबूत करना, B) त्वरित प्रहार, C) रक्षात्मक युद्धाभ्यास, D) छल")</f>
        <v>A) पकड़ मजबूत करना, B) त्वरित प्रहार, C) रक्षात्मक युद्धाभ्यास, D) छल</v>
      </c>
      <c r="I159" s="5" t="str">
        <f>IFERROR(__xludf.DUMMYFUNCTION("GOOGLETRANSLATE(D159, ""en"", ""hi"")"),"A) पकड़ मजबूत करना")</f>
        <v>A) पकड़ मजबूत करना</v>
      </c>
    </row>
    <row r="160" ht="22.5" customHeight="1">
      <c r="A160" s="7">
        <v>159.0</v>
      </c>
      <c r="B160" s="8" t="s">
        <v>2981</v>
      </c>
      <c r="C160" s="8" t="s">
        <v>2982</v>
      </c>
      <c r="D160" s="8" t="s">
        <v>2983</v>
      </c>
      <c r="F160" s="5" t="str">
        <f>IFERROR(__xludf.DUMMYFUNCTION("GOOGLETRANSLATE(A160, ""en"", ""hi"")"),"159")</f>
        <v>159</v>
      </c>
      <c r="G160" s="5" t="str">
        <f>IFERROR(__xludf.DUMMYFUNCTION("GOOGLETRANSLATE(B160, ""en"", ""hi"")"),"मुष्टि युद्ध अभ्यासियों के लिए किस आहार पद्धति पर जोर दिया जाता है?")</f>
        <v>मुष्टि युद्ध अभ्यासियों के लिए किस आहार पद्धति पर जोर दिया जाता है?</v>
      </c>
      <c r="H160" s="5" t="str">
        <f>IFERROR(__xludf.DUMMYFUNCTION("GOOGLETRANSLATE(C160, ""en"", ""hi"")"),"A) आंतरायिक उपवास, B) उच्च कार्बोहाइड्रेट आहार, C) कीटो आहार, D) प्रोटीन युक्त आहार")</f>
        <v>A) आंतरायिक उपवास, B) उच्च कार्बोहाइड्रेट आहार, C) कीटो आहार, D) प्रोटीन युक्त आहार</v>
      </c>
      <c r="I160" s="5" t="str">
        <f>IFERROR(__xludf.DUMMYFUNCTION("GOOGLETRANSLATE(D160, ""en"", ""hi"")"),"डी) प्रोटीन युक्त आहार")</f>
        <v>डी) प्रोटीन युक्त आहार</v>
      </c>
    </row>
    <row r="161" ht="22.5" customHeight="1">
      <c r="A161" s="7">
        <v>160.0</v>
      </c>
      <c r="B161" s="8" t="s">
        <v>2984</v>
      </c>
      <c r="C161" s="8" t="s">
        <v>2985</v>
      </c>
      <c r="D161" s="8" t="s">
        <v>2986</v>
      </c>
      <c r="F161" s="5" t="str">
        <f>IFERROR(__xludf.DUMMYFUNCTION("GOOGLETRANSLATE(A161, ""en"", ""hi"")"),"160")</f>
        <v>160</v>
      </c>
      <c r="G161" s="5" t="str">
        <f>IFERROR(__xludf.DUMMYFUNCTION("GOOGLETRANSLATE(B161, ""en"", ""hi"")"),"मुष्टि युद्ध से पहले पारंपरिक रूप से कौन सा मंत्र बोला जाता है?")</f>
        <v>मुष्टि युद्ध से पहले पारंपरिक रूप से कौन सा मंत्र बोला जाता है?</v>
      </c>
      <c r="H161" s="5" t="str">
        <f>IFERROR(__xludf.DUMMYFUNCTION("GOOGLETRANSLATE(C161, ""en"", ""hi"")"),"ए) गायत्री मंत्र, बी) हनुमान चालीसा, सी) महामृत्युंजय मंत्र, डी) दुर्गा सप्तशती")</f>
        <v>ए) गायत्री मंत्र, बी) हनुमान चालीसा, सी) महामृत्युंजय मंत्र, डी) दुर्गा सप्तशती</v>
      </c>
      <c r="I161" s="5" t="str">
        <f>IFERROR(__xludf.DUMMYFUNCTION("GOOGLETRANSLATE(D161, ""en"", ""hi"")"),"बी) हनुमान चालीसा")</f>
        <v>बी) हनुमान चालीसा</v>
      </c>
    </row>
    <row r="162" ht="22.5" customHeight="1">
      <c r="A162" s="7">
        <v>161.0</v>
      </c>
      <c r="B162" s="8" t="s">
        <v>2987</v>
      </c>
      <c r="C162" s="8" t="s">
        <v>2988</v>
      </c>
      <c r="D162" s="8" t="s">
        <v>2989</v>
      </c>
      <c r="F162" s="5" t="str">
        <f>IFERROR(__xludf.DUMMYFUNCTION("GOOGLETRANSLATE(A162, ""en"", ""hi"")"),"161")</f>
        <v>161</v>
      </c>
      <c r="G162" s="5" t="str">
        <f>IFERROR(__xludf.DUMMYFUNCTION("GOOGLETRANSLATE(B162, ""en"", ""hi"")"),"मुष्टि युद्ध में 'त्रिकोण हस्त' का फोकस क्या है?")</f>
        <v>मुष्टि युद्ध में 'त्रिकोण हस्त' का फोकस क्या है?</v>
      </c>
      <c r="H162" s="5" t="str">
        <f>IFERROR(__xludf.DUMMYFUNCTION("GOOGLETRANSLATE(C162, ""en"", ""hi"")"),"A) संतुलन, B) लचीलापन, C) शक्ति, D) परिशुद्धता")</f>
        <v>A) संतुलन, B) लचीलापन, C) शक्ति, D) परिशुद्धता</v>
      </c>
      <c r="I162" s="5" t="str">
        <f>IFERROR(__xludf.DUMMYFUNCTION("GOOGLETRANSLATE(D162, ""en"", ""hi"")"),"डी) परिशुद्धता")</f>
        <v>डी) परिशुद्धता</v>
      </c>
    </row>
    <row r="163" ht="22.5" customHeight="1">
      <c r="A163" s="7">
        <v>162.0</v>
      </c>
      <c r="B163" s="8" t="s">
        <v>2990</v>
      </c>
      <c r="C163" s="8" t="s">
        <v>2991</v>
      </c>
      <c r="D163" s="8" t="s">
        <v>2616</v>
      </c>
      <c r="F163" s="5" t="str">
        <f>IFERROR(__xludf.DUMMYFUNCTION("GOOGLETRANSLATE(A163, ""en"", ""hi"")"),"162")</f>
        <v>162</v>
      </c>
      <c r="G163" s="5" t="str">
        <f>IFERROR(__xludf.DUMMYFUNCTION("GOOGLETRANSLATE(B163, ""en"", ""hi"")"),"कौन सा प्राचीन भारतीय ग्रंथ मुष्टि युद्ध जैसी रणनीतियों पर चर्चा करता है?")</f>
        <v>कौन सा प्राचीन भारतीय ग्रंथ मुष्टि युद्ध जैसी रणनीतियों पर चर्चा करता है?</v>
      </c>
      <c r="H163" s="5" t="str">
        <f>IFERROR(__xludf.DUMMYFUNCTION("GOOGLETRANSLATE(C163, ""en"", ""hi"")"),"ए) अर्थशास्त्र, बी) मनुस्मृति, सी) भगवद गीता, डी) वेद")</f>
        <v>ए) अर्थशास्त्र, बी) मनुस्मृति, सी) भगवद गीता, डी) वेद</v>
      </c>
      <c r="I163" s="5" t="str">
        <f>IFERROR(__xludf.DUMMYFUNCTION("GOOGLETRANSLATE(D163, ""en"", ""hi"")"),"A) अर्थशास्त्र")</f>
        <v>A) अर्थशास्त्र</v>
      </c>
    </row>
    <row r="164" ht="22.5" customHeight="1">
      <c r="A164" s="7">
        <v>163.0</v>
      </c>
      <c r="B164" s="8" t="s">
        <v>2992</v>
      </c>
      <c r="C164" s="8" t="s">
        <v>2993</v>
      </c>
      <c r="D164" s="8" t="s">
        <v>2994</v>
      </c>
      <c r="F164" s="5" t="str">
        <f>IFERROR(__xludf.DUMMYFUNCTION("GOOGLETRANSLATE(A164, ""en"", ""hi"")"),"163")</f>
        <v>163</v>
      </c>
      <c r="G164" s="5" t="str">
        <f>IFERROR(__xludf.DUMMYFUNCTION("GOOGLETRANSLATE(B164, ""en"", ""hi"")"),"कौन सा आधुनिक युद्ध खेल मुष्टि युद्ध से सबसे अधिक संबंधित है?")</f>
        <v>कौन सा आधुनिक युद्ध खेल मुष्टि युद्ध से सबसे अधिक संबंधित है?</v>
      </c>
      <c r="H164" s="5" t="str">
        <f>IFERROR(__xludf.DUMMYFUNCTION("GOOGLETRANSLATE(C164, ""en"", ""hi"")"),"A) एमएमए, B) मुक्केबाजी, C) ताइक्वांडो, D) मय थाई")</f>
        <v>A) एमएमए, B) मुक्केबाजी, C) ताइक्वांडो, D) मय थाई</v>
      </c>
      <c r="I164" s="5" t="str">
        <f>IFERROR(__xludf.DUMMYFUNCTION("GOOGLETRANSLATE(D164, ""en"", ""hi"")"),"बी) मुक्केबाजी")</f>
        <v>बी) मुक्केबाजी</v>
      </c>
    </row>
    <row r="165" ht="22.5" customHeight="1">
      <c r="A165" s="7">
        <v>164.0</v>
      </c>
      <c r="B165" s="8" t="s">
        <v>2995</v>
      </c>
      <c r="C165" s="8" t="s">
        <v>2996</v>
      </c>
      <c r="D165" s="8" t="s">
        <v>2997</v>
      </c>
      <c r="F165" s="5" t="str">
        <f>IFERROR(__xludf.DUMMYFUNCTION("GOOGLETRANSLATE(A165, ""en"", ""hi"")"),"164")</f>
        <v>164</v>
      </c>
      <c r="G165" s="5" t="str">
        <f>IFERROR(__xludf.DUMMYFUNCTION("GOOGLETRANSLATE(B165, ""en"", ""hi"")"),"मुष्टि युद्ध में 'गति प्रदर्शन' का प्राथमिक लक्ष्य क्या है?")</f>
        <v>मुष्टि युद्ध में 'गति प्रदर्शन' का प्राथमिक लक्ष्य क्या है?</v>
      </c>
      <c r="H165" s="5" t="str">
        <f>IFERROR(__xludf.DUMMYFUNCTION("GOOGLETRANSLATE(C165, ""en"", ""hi"")"),"A) गति दिखाने के लिए, B) शक्ति प्रदर्शित करने के लिए, C) संतुलन दिखाने के लिए, D) तकनीक प्रदर्शित करने के लिए")</f>
        <v>A) गति दिखाने के लिए, B) शक्ति प्रदर्शित करने के लिए, C) संतुलन दिखाने के लिए, D) तकनीक प्रदर्शित करने के लिए</v>
      </c>
      <c r="I165" s="5" t="str">
        <f>IFERROR(__xludf.DUMMYFUNCTION("GOOGLETRANSLATE(D165, ""en"", ""hi"")"),"A) गति दिखाने के लिए")</f>
        <v>A) गति दिखाने के लिए</v>
      </c>
    </row>
    <row r="166" ht="22.5" customHeight="1">
      <c r="A166" s="7">
        <v>165.0</v>
      </c>
      <c r="B166" s="8" t="s">
        <v>2998</v>
      </c>
      <c r="C166" s="8" t="s">
        <v>2999</v>
      </c>
      <c r="D166" s="8" t="s">
        <v>3000</v>
      </c>
      <c r="F166" s="5" t="str">
        <f>IFERROR(__xludf.DUMMYFUNCTION("GOOGLETRANSLATE(A166, ""en"", ""hi"")"),"165")</f>
        <v>165</v>
      </c>
      <c r="G166" s="5" t="str">
        <f>IFERROR(__xludf.DUMMYFUNCTION("GOOGLETRANSLATE(B166, ""en"", ""hi"")"),"कौन सी मुष्टि युद्ध तकनीक श्वास और सहनशक्ति में सुधार करने के लिए डिज़ाइन की गई है?")</f>
        <v>कौन सी मुष्टि युद्ध तकनीक श्वास और सहनशक्ति में सुधार करने के लिए डिज़ाइन की गई है?</v>
      </c>
      <c r="H166" s="5" t="str">
        <f>IFERROR(__xludf.DUMMYFUNCTION("GOOGLETRANSLATE(C166, ""en"", ""hi"")"),"ए) उज्जायी प्राणायाम, बी) सूर्य नमस्कार, सी) कपालभाति, डी) अनुलोम विलोम")</f>
        <v>ए) उज्जायी प्राणायाम, बी) सूर्य नमस्कार, सी) कपालभाति, डी) अनुलोम विलोम</v>
      </c>
      <c r="I166" s="5" t="str">
        <f>IFERROR(__xludf.DUMMYFUNCTION("GOOGLETRANSLATE(D166, ""en"", ""hi"")"),"A) उज्जायी प्राणायाम")</f>
        <v>A) उज्जायी प्राणायाम</v>
      </c>
    </row>
    <row r="167" ht="22.5" customHeight="1">
      <c r="A167" s="7">
        <v>166.0</v>
      </c>
      <c r="B167" s="8" t="s">
        <v>3001</v>
      </c>
      <c r="C167" s="8" t="s">
        <v>3002</v>
      </c>
      <c r="D167" s="8" t="s">
        <v>3003</v>
      </c>
      <c r="F167" s="5" t="str">
        <f>IFERROR(__xludf.DUMMYFUNCTION("GOOGLETRANSLATE(A167, ""en"", ""hi"")"),"166")</f>
        <v>166</v>
      </c>
      <c r="G167" s="5" t="str">
        <f>IFERROR(__xludf.DUMMYFUNCTION("GOOGLETRANSLATE(B167, ""en"", ""hi"")"),"भारत का कौन सा क्षेत्र अपने पारंपरिक मुष्टि युद्ध विद्यालयों के लिए जाना जाता है?")</f>
        <v>भारत का कौन सा क्षेत्र अपने पारंपरिक मुष्टि युद्ध विद्यालयों के लिए जाना जाता है?</v>
      </c>
      <c r="H167" s="5" t="str">
        <f>IFERROR(__xludf.DUMMYFUNCTION("GOOGLETRANSLATE(C167, ""en"", ""hi"")"),"ए) केरल, बी) उत्तर प्रदेश, सी) गुजरात, डी) राजस्थान")</f>
        <v>ए) केरल, बी) उत्तर प्रदेश, सी) गुजरात, डी) राजस्थान</v>
      </c>
      <c r="I167" s="5" t="str">
        <f>IFERROR(__xludf.DUMMYFUNCTION("GOOGLETRANSLATE(D167, ""en"", ""hi"")"),"बी) उत्तर प्रदेश")</f>
        <v>बी) उत्तर प्रदेश</v>
      </c>
    </row>
    <row r="168" ht="22.5" customHeight="1">
      <c r="A168" s="7">
        <v>167.0</v>
      </c>
      <c r="B168" s="8" t="s">
        <v>3004</v>
      </c>
      <c r="C168" s="8" t="s">
        <v>3005</v>
      </c>
      <c r="D168" s="8" t="s">
        <v>3006</v>
      </c>
      <c r="F168" s="5" t="str">
        <f>IFERROR(__xludf.DUMMYFUNCTION("GOOGLETRANSLATE(A168, ""en"", ""hi"")"),"167")</f>
        <v>167</v>
      </c>
      <c r="G168" s="5" t="str">
        <f>IFERROR(__xludf.DUMMYFUNCTION("GOOGLETRANSLATE(B168, ""en"", ""hi"")"),"मुष्टि युद्ध में मजबूत मुट्ठियाँ विकसित करने के लिए किस प्रकार के प्रशिक्षण पर जोर दिया जाता है?")</f>
        <v>मुष्टि युद्ध में मजबूत मुट्ठियाँ विकसित करने के लिए किस प्रकार के प्रशिक्षण पर जोर दिया जाता है?</v>
      </c>
      <c r="H168" s="5" t="str">
        <f>IFERROR(__xludf.DUMMYFUNCTION("GOOGLETRANSLATE(C168, ""en"", ""hi"")"),"A) पंचिंग बैग, B) हैंड ग्रिप्स, C) मकीवारा बोर्ड, D) फिंगर पुश-अप्स")</f>
        <v>A) पंचिंग बैग, B) हैंड ग्रिप्स, C) मकीवारा बोर्ड, D) फिंगर पुश-अप्स</v>
      </c>
      <c r="I168" s="5" t="str">
        <f>IFERROR(__xludf.DUMMYFUNCTION("GOOGLETRANSLATE(D168, ""en"", ""hi"")"),"C) मकीवारा बोर्ड")</f>
        <v>C) मकीवारा बोर्ड</v>
      </c>
    </row>
    <row r="169" ht="22.5" customHeight="1">
      <c r="A169" s="7">
        <v>168.0</v>
      </c>
      <c r="B169" s="8" t="s">
        <v>3007</v>
      </c>
      <c r="C169" s="8" t="s">
        <v>3008</v>
      </c>
      <c r="D169" s="8" t="s">
        <v>3009</v>
      </c>
      <c r="F169" s="5" t="str">
        <f>IFERROR(__xludf.DUMMYFUNCTION("GOOGLETRANSLATE(A169, ""en"", ""hi"")"),"168")</f>
        <v>168</v>
      </c>
      <c r="G169" s="5" t="str">
        <f>IFERROR(__xludf.DUMMYFUNCTION("GOOGLETRANSLATE(B169, ""en"", ""hi"")"),"मुष्टि युद्ध में 'पार्श्व हस्त' तकनीक का लक्ष्य क्या है?")</f>
        <v>मुष्टि युद्ध में 'पार्श्व हस्त' तकनीक का लक्ष्य क्या है?</v>
      </c>
      <c r="H169" s="5" t="str">
        <f>IFERROR(__xludf.DUMMYFUNCTION("GOOGLETRANSLATE(C169, ""en"", ""hi"")"),"ए) साइड स्ट्राइक, बी) अपर कट्स, सी) लो किक्स, डी) कलाई मूवमेंट")</f>
        <v>ए) साइड स्ट्राइक, बी) अपर कट्स, सी) लो किक्स, डी) कलाई मूवमेंट</v>
      </c>
      <c r="I169" s="5" t="str">
        <f>IFERROR(__xludf.DUMMYFUNCTION("GOOGLETRANSLATE(D169, ""en"", ""hi"")"),"A) साइड स्ट्राइक")</f>
        <v>A) साइड स्ट्राइक</v>
      </c>
    </row>
    <row r="170" ht="22.5" customHeight="1">
      <c r="A170" s="7">
        <v>169.0</v>
      </c>
      <c r="B170" s="8" t="s">
        <v>3010</v>
      </c>
      <c r="C170" s="8" t="s">
        <v>3011</v>
      </c>
      <c r="D170" s="8" t="s">
        <v>3012</v>
      </c>
      <c r="F170" s="5" t="str">
        <f>IFERROR(__xludf.DUMMYFUNCTION("GOOGLETRANSLATE(A170, ""en"", ""hi"")"),"169")</f>
        <v>169</v>
      </c>
      <c r="G170" s="5" t="str">
        <f>IFERROR(__xludf.DUMMYFUNCTION("GOOGLETRANSLATE(B170, ""en"", ""hi"")"),"मुष्टि युद्ध में 'वज्र हस्त' मुद्रा का क्या महत्व है?")</f>
        <v>मुष्टि युद्ध में 'वज्र हस्त' मुद्रा का क्या महत्व है?</v>
      </c>
      <c r="H170" s="5" t="str">
        <f>IFERROR(__xludf.DUMMYFUNCTION("GOOGLETRANSLATE(C170, ""en"", ""hi"")"),"A) ताकत, B) चपलता, C) संतुलन, D) परिशुद्धता")</f>
        <v>A) ताकत, B) चपलता, C) संतुलन, D) परिशुद्धता</v>
      </c>
      <c r="I170" s="5" t="str">
        <f>IFERROR(__xludf.DUMMYFUNCTION("GOOGLETRANSLATE(D170, ""en"", ""hi"")"),"ए) ताकत")</f>
        <v>ए) ताकत</v>
      </c>
    </row>
    <row r="171" ht="22.5" customHeight="1">
      <c r="A171" s="7">
        <v>170.0</v>
      </c>
      <c r="B171" s="8" t="s">
        <v>3013</v>
      </c>
      <c r="C171" s="8" t="s">
        <v>3014</v>
      </c>
      <c r="D171" s="8" t="s">
        <v>3015</v>
      </c>
      <c r="F171" s="5" t="str">
        <f>IFERROR(__xludf.DUMMYFUNCTION("GOOGLETRANSLATE(A171, ""en"", ""hi"")"),"170")</f>
        <v>170</v>
      </c>
      <c r="G171" s="5" t="str">
        <f>IFERROR(__xludf.DUMMYFUNCTION("GOOGLETRANSLATE(B171, ""en"", ""hi"")"),"मुष्टि युद्ध मैच से पहले मन को शांत करने के लिए कौन सी श्वास क्रिया सबसे अधिक लाभदायक है?")</f>
        <v>मुष्टि युद्ध मैच से पहले मन को शांत करने के लिए कौन सी श्वास क्रिया सबसे अधिक लाभदायक है?</v>
      </c>
      <c r="H171" s="5" t="str">
        <f>IFERROR(__xludf.DUMMYFUNCTION("GOOGLETRANSLATE(C171, ""en"", ""hi"")"),"ए) कपालभाति, बी) अनुलोम विलोम, सी) भस्त्रिका, डी) नाड़ी शोधन")</f>
        <v>ए) कपालभाति, बी) अनुलोम विलोम, सी) भस्त्रिका, डी) नाड़ी शोधन</v>
      </c>
      <c r="I171" s="5" t="str">
        <f>IFERROR(__xludf.DUMMYFUNCTION("GOOGLETRANSLATE(D171, ""en"", ""hi"")"),"D) नाड़ी शोधन")</f>
        <v>D) नाड़ी शोधन</v>
      </c>
    </row>
    <row r="172" ht="22.5" customHeight="1">
      <c r="A172" s="7">
        <v>171.0</v>
      </c>
      <c r="B172" s="8" t="s">
        <v>3016</v>
      </c>
      <c r="C172" s="8" t="s">
        <v>3017</v>
      </c>
      <c r="D172" s="8" t="s">
        <v>3018</v>
      </c>
      <c r="F172" s="5" t="str">
        <f>IFERROR(__xludf.DUMMYFUNCTION("GOOGLETRANSLATE(A172, ""en"", ""hi"")"),"171")</f>
        <v>171</v>
      </c>
      <c r="G172" s="5" t="str">
        <f>IFERROR(__xludf.DUMMYFUNCTION("GOOGLETRANSLATE(B172, ""en"", ""hi"")"),"मुष्टि युद्ध में 'हस्त अभ्यास' की क्या भूमिका है?")</f>
        <v>मुष्टि युद्ध में 'हस्त अभ्यास' की क्या भूमिका है?</v>
      </c>
      <c r="H172" s="5" t="str">
        <f>IFERROR(__xludf.DUMMYFUNCTION("GOOGLETRANSLATE(C172, ""en"", ""hi"")"),"A) हाथों को मजबूत करना, B) पैरों के लचीलेपन में सुधार करना, C) संतुलन बढ़ाना, D) सहनशक्ति बढ़ाना")</f>
        <v>A) हाथों को मजबूत करना, B) पैरों के लचीलेपन में सुधार करना, C) संतुलन बढ़ाना, D) सहनशक्ति बढ़ाना</v>
      </c>
      <c r="I172" s="5" t="str">
        <f>IFERROR(__xludf.DUMMYFUNCTION("GOOGLETRANSLATE(D172, ""en"", ""hi"")"),"A) हाथों को मजबूत करें")</f>
        <v>A) हाथों को मजबूत करें</v>
      </c>
    </row>
    <row r="173" ht="22.5" customHeight="1">
      <c r="A173" s="7">
        <v>172.0</v>
      </c>
      <c r="B173" s="8" t="s">
        <v>3019</v>
      </c>
      <c r="C173" s="8" t="s">
        <v>3020</v>
      </c>
      <c r="D173" s="8" t="s">
        <v>3021</v>
      </c>
      <c r="F173" s="5" t="str">
        <f>IFERROR(__xludf.DUMMYFUNCTION("GOOGLETRANSLATE(A173, ""en"", ""hi"")"),"172")</f>
        <v>172</v>
      </c>
      <c r="G173" s="5" t="str">
        <f>IFERROR(__xludf.DUMMYFUNCTION("GOOGLETRANSLATE(B173, ""en"", ""hi"")"),"मुष्टि युद्ध मैच शुरू करने से पहले कौन सी पारंपरिक रस्म निभाई जाती है?")</f>
        <v>मुष्टि युद्ध मैच शुरू करने से पहले कौन सी पारंपरिक रस्म निभाई जाती है?</v>
      </c>
      <c r="H173" s="5" t="str">
        <f>IFERROR(__xludf.DUMMYFUNCTION("GOOGLETRANSLATE(C173, ""en"", ""hi"")"),"A) आरती, B) यज्ञ, C) वंदना, D) तिलक")</f>
        <v>A) आरती, B) यज्ञ, C) वंदना, D) तिलक</v>
      </c>
      <c r="I173" s="5" t="str">
        <f>IFERROR(__xludf.DUMMYFUNCTION("GOOGLETRANSLATE(D173, ""en"", ""hi"")"),"C) वंदना")</f>
        <v>C) वंदना</v>
      </c>
    </row>
    <row r="174" ht="22.5" customHeight="1">
      <c r="A174" s="7">
        <v>173.0</v>
      </c>
      <c r="B174" s="8" t="s">
        <v>3022</v>
      </c>
      <c r="C174" s="8" t="s">
        <v>3023</v>
      </c>
      <c r="D174" s="8" t="s">
        <v>3024</v>
      </c>
      <c r="F174" s="5" t="str">
        <f>IFERROR(__xludf.DUMMYFUNCTION("GOOGLETRANSLATE(A174, ""en"", ""hi"")"),"173")</f>
        <v>173</v>
      </c>
      <c r="G174" s="5" t="str">
        <f>IFERROR(__xludf.DUMMYFUNCTION("GOOGLETRANSLATE(B174, ""en"", ""hi"")"),"कौन सी मुष्टि युद्ध चाल विशेष रूप से प्रतिद्वंद्वी के निचले शरीर को लक्षित करने के लिए डिज़ाइन की गई है?")</f>
        <v>कौन सी मुष्टि युद्ध चाल विशेष रूप से प्रतिद्वंद्वी के निचले शरीर को लक्षित करने के लिए डिज़ाइन की गई है?</v>
      </c>
      <c r="H174" s="5" t="str">
        <f>IFERROR(__xludf.DUMMYFUNCTION("GOOGLETRANSLATE(C174, ""en"", ""hi"")"),"ए) मर्दानी, बी) पद्म हस्त, सी) तर्जनी, डी) पद दर्शन")</f>
        <v>ए) मर्दानी, बी) पद्म हस्त, सी) तर्जनी, डी) पद दर्शन</v>
      </c>
      <c r="I174" s="5" t="str">
        <f>IFERROR(__xludf.DUMMYFUNCTION("GOOGLETRANSLATE(D174, ""en"", ""hi"")"),"D) पाद प्रदर्शन")</f>
        <v>D) पाद प्रदर्शन</v>
      </c>
    </row>
    <row r="175" ht="22.5" customHeight="1">
      <c r="A175" s="7">
        <v>174.0</v>
      </c>
      <c r="B175" s="8" t="s">
        <v>3025</v>
      </c>
      <c r="C175" s="8" t="s">
        <v>3026</v>
      </c>
      <c r="D175" s="8" t="s">
        <v>3027</v>
      </c>
      <c r="F175" s="5" t="str">
        <f>IFERROR(__xludf.DUMMYFUNCTION("GOOGLETRANSLATE(A175, ""en"", ""hi"")"),"174")</f>
        <v>174</v>
      </c>
      <c r="G175" s="5" t="str">
        <f>IFERROR(__xludf.DUMMYFUNCTION("GOOGLETRANSLATE(B175, ""en"", ""hi"")"),"मुष्टि युद्ध में 'हस्त बंधन' का प्राथमिक कार्य क्या है?")</f>
        <v>मुष्टि युद्ध में 'हस्त बंधन' का प्राथमिक कार्य क्या है?</v>
      </c>
      <c r="H175" s="5" t="str">
        <f>IFERROR(__xludf.DUMMYFUNCTION("GOOGLETRANSLATE(C175, ""en"", ""hi"")"),"A) प्रतिद्वंद्वी की कलाई को लॉक करना, B) संतुलन बनाना, C) गति बढ़ाना, D) पकड़ को मजबूत करना")</f>
        <v>A) प्रतिद्वंद्वी की कलाई को लॉक करना, B) संतुलन बनाना, C) गति बढ़ाना, D) पकड़ को मजबूत करना</v>
      </c>
      <c r="I175" s="5" t="str">
        <f>IFERROR(__xludf.DUMMYFUNCTION("GOOGLETRANSLATE(D175, ""en"", ""hi"")"),"A) प्रतिद्वंद्वी की कलाई को लॉक करना")</f>
        <v>A) प्रतिद्वंद्वी की कलाई को लॉक करना</v>
      </c>
    </row>
    <row r="176" ht="22.5" customHeight="1">
      <c r="A176" s="7">
        <v>175.0</v>
      </c>
      <c r="B176" s="8" t="s">
        <v>3028</v>
      </c>
      <c r="C176" s="8" t="s">
        <v>3029</v>
      </c>
      <c r="D176" s="8" t="s">
        <v>2779</v>
      </c>
      <c r="F176" s="5" t="str">
        <f>IFERROR(__xludf.DUMMYFUNCTION("GOOGLETRANSLATE(A176, ""en"", ""hi"")"),"175")</f>
        <v>175</v>
      </c>
      <c r="G176" s="5" t="str">
        <f>IFERROR(__xludf.DUMMYFUNCTION("GOOGLETRANSLATE(B176, ""en"", ""hi"")"),"किस ऐतिहासिक व्यक्ति के बारे में कहा जाता है कि उसने युद्ध के मैदान में मुष्टि युद्ध तकनीक का प्रयोग किया था?")</f>
        <v>किस ऐतिहासिक व्यक्ति के बारे में कहा जाता है कि उसने युद्ध के मैदान में मुष्टि युद्ध तकनीक का प्रयोग किया था?</v>
      </c>
      <c r="H176" s="5" t="str">
        <f>IFERROR(__xludf.DUMMYFUNCTION("GOOGLETRANSLATE(C176, ""en"", ""hi"")"),"ए) शिवाजी महाराज, बी) महाराणा प्रताप, सी) अशोक, डी) चंद्रगुप्त मौर्य")</f>
        <v>ए) शिवाजी महाराज, बी) महाराणा प्रताप, सी) अशोक, डी) चंद्रगुप्त मौर्य</v>
      </c>
      <c r="I176" s="5" t="str">
        <f>IFERROR(__xludf.DUMMYFUNCTION("GOOGLETRANSLATE(D176, ""en"", ""hi"")"),"B) महाराणा प्रताप")</f>
        <v>B) महाराणा प्रताप</v>
      </c>
    </row>
    <row r="177" ht="22.5" customHeight="1">
      <c r="A177" s="7">
        <v>176.0</v>
      </c>
      <c r="B177" s="8" t="s">
        <v>3030</v>
      </c>
      <c r="C177" s="8" t="s">
        <v>3031</v>
      </c>
      <c r="D177" s="8" t="s">
        <v>3032</v>
      </c>
      <c r="F177" s="5" t="str">
        <f>IFERROR(__xludf.DUMMYFUNCTION("GOOGLETRANSLATE(A177, ""en"", ""hi"")"),"176")</f>
        <v>176</v>
      </c>
      <c r="G177" s="5" t="str">
        <f>IFERROR(__xludf.DUMMYFUNCTION("GOOGLETRANSLATE(B177, ""en"", ""hi"")"),"संतुलन बनाए रखने के लिए मुष्टि युद्ध में किस प्रकार के फुटवर्क पर जोर दिया जाता है?")</f>
        <v>संतुलन बनाए रखने के लिए मुष्टि युद्ध में किस प्रकार के फुटवर्क पर जोर दिया जाता है?</v>
      </c>
      <c r="H177" s="5" t="str">
        <f>IFERROR(__xludf.DUMMYFUNCTION("GOOGLETRANSLATE(C177, ""en"", ""hi"")"),"A) पीछे की ओर कदम बढ़ाना, B) गोलाकार गति, C) साइड-स्टेपिंग, D) आगे की ओर धक्का देना")</f>
        <v>A) पीछे की ओर कदम बढ़ाना, B) गोलाकार गति, C) साइड-स्टेपिंग, D) आगे की ओर धक्का देना</v>
      </c>
      <c r="I177" s="5" t="str">
        <f>IFERROR(__xludf.DUMMYFUNCTION("GOOGLETRANSLATE(D177, ""en"", ""hi"")"),"सी) साइड-स्टेपिंग")</f>
        <v>सी) साइड-स्टेपिंग</v>
      </c>
    </row>
    <row r="178" ht="22.5" customHeight="1">
      <c r="A178" s="7">
        <v>177.0</v>
      </c>
      <c r="B178" s="8" t="s">
        <v>3033</v>
      </c>
      <c r="C178" s="8" t="s">
        <v>3034</v>
      </c>
      <c r="D178" s="8" t="s">
        <v>3035</v>
      </c>
      <c r="F178" s="5" t="str">
        <f>IFERROR(__xludf.DUMMYFUNCTION("GOOGLETRANSLATE(A178, ""en"", ""hi"")"),"177")</f>
        <v>177</v>
      </c>
      <c r="G178" s="5" t="str">
        <f>IFERROR(__xludf.DUMMYFUNCTION("GOOGLETRANSLATE(B178, ""en"", ""hi"")"),"मुष्टि युद्ध में 'गरुड़ हस्त' किसका प्रतीक है?")</f>
        <v>मुष्टि युद्ध में 'गरुड़ हस्त' किसका प्रतीक है?</v>
      </c>
      <c r="H178" s="5" t="str">
        <f>IFERROR(__xludf.DUMMYFUNCTION("GOOGLETRANSLATE(C178, ""en"", ""hi"")"),"A) गति और चपलता, B) शक्ति और ताकत, C) रक्षा और संरक्षण, D) दृष्टि और फोकस")</f>
        <v>A) गति और चपलता, B) शक्ति और ताकत, C) रक्षा और संरक्षण, D) दृष्टि और फोकस</v>
      </c>
      <c r="I178" s="5" t="str">
        <f>IFERROR(__xludf.DUMMYFUNCTION("GOOGLETRANSLATE(D178, ""en"", ""hi"")"),"सी) रक्षा और संरक्षण")</f>
        <v>सी) रक्षा और संरक्षण</v>
      </c>
    </row>
    <row r="179" ht="22.5" customHeight="1">
      <c r="A179" s="7">
        <v>178.0</v>
      </c>
      <c r="B179" s="8" t="s">
        <v>3036</v>
      </c>
      <c r="C179" s="8" t="s">
        <v>3037</v>
      </c>
      <c r="D179" s="8" t="s">
        <v>1582</v>
      </c>
      <c r="F179" s="5" t="str">
        <f>IFERROR(__xludf.DUMMYFUNCTION("GOOGLETRANSLATE(A179, ""en"", ""hi"")"),"178")</f>
        <v>178</v>
      </c>
      <c r="G179" s="5" t="str">
        <f>IFERROR(__xludf.DUMMYFUNCTION("GOOGLETRANSLATE(B179, ""en"", ""hi"")"),"मुष्टि युद्ध में 'गज हस्त' चाल द्वारा प्रतीकात्मक रूप से किस जानवर का प्रतिनिधित्व किया जाता है?")</f>
        <v>मुष्टि युद्ध में 'गज हस्त' चाल द्वारा प्रतीकात्मक रूप से किस जानवर का प्रतिनिधित्व किया जाता है?</v>
      </c>
      <c r="H179" s="5" t="str">
        <f>IFERROR(__xludf.DUMMYFUNCTION("GOOGLETRANSLATE(C179, ""en"", ""hi"")"),"A) हाथी, B) शेर, C) घोड़ा, D) साँप")</f>
        <v>A) हाथी, B) शेर, C) घोड़ा, D) साँप</v>
      </c>
      <c r="I179" s="5" t="str">
        <f>IFERROR(__xludf.DUMMYFUNCTION("GOOGLETRANSLATE(D179, ""en"", ""hi"")"),"A) हाथी")</f>
        <v>A) हाथी</v>
      </c>
    </row>
    <row r="180" ht="22.5" customHeight="1">
      <c r="A180" s="7">
        <v>179.0</v>
      </c>
      <c r="B180" s="8" t="s">
        <v>3038</v>
      </c>
      <c r="C180" s="8" t="s">
        <v>3039</v>
      </c>
      <c r="D180" s="8" t="s">
        <v>3040</v>
      </c>
      <c r="F180" s="5" t="str">
        <f>IFERROR(__xludf.DUMMYFUNCTION("GOOGLETRANSLATE(A180, ""en"", ""hi"")"),"179")</f>
        <v>179</v>
      </c>
      <c r="G180" s="5" t="str">
        <f>IFERROR(__xludf.DUMMYFUNCTION("GOOGLETRANSLATE(B180, ""en"", ""hi"")"),"मुश्ती युद्ध में कौन सी चाल विशेष रूप से जवाबी हमले के लिए बनाई गई है?")</f>
        <v>मुश्ती युद्ध में कौन सी चाल विशेष रूप से जवाबी हमले के लिए बनाई गई है?</v>
      </c>
      <c r="H180" s="5" t="str">
        <f>IFERROR(__xludf.DUMMYFUNCTION("GOOGLETRANSLATE(C180, ""en"", ""hi"")"),"ए) तर्जनी, बी) उड्डियम, सी) व्यपद, डी) आहत")</f>
        <v>ए) तर्जनी, बी) उड्डियम, सी) व्यपद, डी) आहत</v>
      </c>
      <c r="I180" s="5" t="str">
        <f>IFERROR(__xludf.DUMMYFUNCTION("GOOGLETRANSLATE(D180, ""en"", ""hi"")"),"C) व्यापद")</f>
        <v>C) व्यापद</v>
      </c>
    </row>
    <row r="181" ht="22.5" customHeight="1">
      <c r="A181" s="7">
        <v>180.0</v>
      </c>
      <c r="B181" s="8" t="s">
        <v>3041</v>
      </c>
      <c r="C181" s="8" t="s">
        <v>3042</v>
      </c>
      <c r="D181" s="8" t="s">
        <v>3043</v>
      </c>
      <c r="F181" s="5" t="str">
        <f>IFERROR(__xludf.DUMMYFUNCTION("GOOGLETRANSLATE(A181, ""en"", ""hi"")"),"180")</f>
        <v>180</v>
      </c>
      <c r="G181" s="5" t="str">
        <f>IFERROR(__xludf.DUMMYFUNCTION("GOOGLETRANSLATE(B181, ""en"", ""hi"")"),"किस भारतीय ऋषि को प्रायः मुष्टि युद्ध के प्रारंभिक स्वरूप को सिखाने का श्रेय दिया जाता है?")</f>
        <v>किस भारतीय ऋषि को प्रायः मुष्टि युद्ध के प्रारंभिक स्वरूप को सिखाने का श्रेय दिया जाता है?</v>
      </c>
      <c r="H181" s="5" t="str">
        <f>IFERROR(__xludf.DUMMYFUNCTION("GOOGLETRANSLATE(C181, ""en"", ""hi"")"),"ए) अगस्त्य, बी) पतंजलि, सी) वशिष्ठ, डी) विश्वामित्र")</f>
        <v>ए) अगस्त्य, बी) पतंजलि, सी) वशिष्ठ, डी) विश्वामित्र</v>
      </c>
      <c r="I181" s="5" t="str">
        <f>IFERROR(__xludf.DUMMYFUNCTION("GOOGLETRANSLATE(D181, ""en"", ""hi"")"),"A) अगस्त्य")</f>
        <v>A) अगस्त्य</v>
      </c>
    </row>
    <row r="182" ht="22.5" customHeight="1">
      <c r="A182" s="7">
        <v>181.0</v>
      </c>
      <c r="B182" s="8" t="s">
        <v>3044</v>
      </c>
      <c r="C182" s="8" t="s">
        <v>3045</v>
      </c>
      <c r="D182" s="8" t="s">
        <v>3046</v>
      </c>
      <c r="F182" s="5" t="str">
        <f>IFERROR(__xludf.DUMMYFUNCTION("GOOGLETRANSLATE(A182, ""en"", ""hi"")"),"181")</f>
        <v>181</v>
      </c>
      <c r="G182" s="5" t="str">
        <f>IFERROR(__xludf.DUMMYFUNCTION("GOOGLETRANSLATE(B182, ""en"", ""hi"")"),"मुष्टि युद्ध में 'शीर्ष हस्त' का प्राथमिक फोकस क्या है?")</f>
        <v>मुष्टि युद्ध में 'शीर्ष हस्त' का प्राथमिक फोकस क्या है?</v>
      </c>
      <c r="H182" s="5" t="str">
        <f>IFERROR(__xludf.DUMMYFUNCTION("GOOGLETRANSLATE(C182, ""en"", ""hi"")"),"ए) सिर से हमला, बी) पैर से हमला, सी) हाथ से बचाव, डी) कलाई से हमला")</f>
        <v>ए) सिर से हमला, बी) पैर से हमला, सी) हाथ से बचाव, डी) कलाई से हमला</v>
      </c>
      <c r="I182" s="5" t="str">
        <f>IFERROR(__xludf.DUMMYFUNCTION("GOOGLETRANSLATE(D182, ""en"", ""hi"")"),"A) सिर पर हमला")</f>
        <v>A) सिर पर हमला</v>
      </c>
    </row>
    <row r="183" ht="22.5" customHeight="1">
      <c r="A183" s="7">
        <v>182.0</v>
      </c>
      <c r="B183" s="8" t="s">
        <v>3047</v>
      </c>
      <c r="C183" s="8" t="s">
        <v>3048</v>
      </c>
      <c r="D183" s="8" t="s">
        <v>3049</v>
      </c>
      <c r="F183" s="5" t="str">
        <f>IFERROR(__xludf.DUMMYFUNCTION("GOOGLETRANSLATE(A183, ""en"", ""hi"")"),"182")</f>
        <v>182</v>
      </c>
      <c r="G183" s="5" t="str">
        <f>IFERROR(__xludf.DUMMYFUNCTION("GOOGLETRANSLATE(B183, ""en"", ""hi"")"),"मुष्टि युद्ध में प्राण मुद्रा का उपयोग करके मुख्य रूप से शरीर के किस अंग को मजबूत किया जाता है?")</f>
        <v>मुष्टि युद्ध में प्राण मुद्रा का उपयोग करके मुख्य रूप से शरीर के किस अंग को मजबूत किया जाता है?</v>
      </c>
      <c r="H183" s="5" t="str">
        <f>IFERROR(__xludf.DUMMYFUNCTION("GOOGLETRANSLATE(C183, ""en"", ""hi"")"),"A) भुजाएँ, B) पैर, C) धड़, D) गर्दन")</f>
        <v>A) भुजाएँ, B) पैर, C) धड़, D) गर्दन</v>
      </c>
      <c r="I183" s="5" t="str">
        <f>IFERROR(__xludf.DUMMYFUNCTION("GOOGLETRANSLATE(D183, ""en"", ""hi"")"),"बी) पैर")</f>
        <v>बी) पैर</v>
      </c>
    </row>
    <row r="184" ht="22.5" customHeight="1">
      <c r="A184" s="7">
        <v>183.0</v>
      </c>
      <c r="B184" s="8" t="s">
        <v>3050</v>
      </c>
      <c r="C184" s="8" t="s">
        <v>3051</v>
      </c>
      <c r="D184" s="8" t="s">
        <v>3052</v>
      </c>
      <c r="F184" s="5" t="str">
        <f>IFERROR(__xludf.DUMMYFUNCTION("GOOGLETRANSLATE(A184, ""en"", ""hi"")"),"183")</f>
        <v>183</v>
      </c>
      <c r="G184" s="5" t="str">
        <f>IFERROR(__xludf.DUMMYFUNCTION("GOOGLETRANSLATE(B184, ""en"", ""hi"")"),"मुष्टि युद्ध में 'मकर हस्त' का क्या महत्व है?")</f>
        <v>मुष्टि युद्ध में 'मकर हस्त' का क्या महत्व है?</v>
      </c>
      <c r="H184" s="5" t="str">
        <f>IFERROR(__xludf.DUMMYFUNCTION("GOOGLETRANSLATE(C184, ""en"", ""hi"")"),"A) रक्षा, B) शक्ति, C) चपलता, D) सहनशक्ति")</f>
        <v>A) रक्षा, B) शक्ति, C) चपलता, D) सहनशक्ति</v>
      </c>
      <c r="I184" s="5" t="str">
        <f>IFERROR(__xludf.DUMMYFUNCTION("GOOGLETRANSLATE(D184, ""en"", ""hi"")"),"D) सहनशक्ति")</f>
        <v>D) सहनशक्ति</v>
      </c>
    </row>
    <row r="185" ht="22.5" customHeight="1">
      <c r="A185" s="7">
        <v>184.0</v>
      </c>
      <c r="B185" s="8" t="s">
        <v>3053</v>
      </c>
      <c r="C185" s="8" t="s">
        <v>3054</v>
      </c>
      <c r="D185" s="8" t="s">
        <v>3055</v>
      </c>
      <c r="F185" s="5" t="str">
        <f>IFERROR(__xludf.DUMMYFUNCTION("GOOGLETRANSLATE(A185, ""en"", ""hi"")"),"184")</f>
        <v>184</v>
      </c>
      <c r="G185" s="5" t="str">
        <f>IFERROR(__xludf.DUMMYFUNCTION("GOOGLETRANSLATE(B185, ""en"", ""hi"")"),"कौन सा महान भारतीय पहलवान अपने प्रशिक्षण में मुष्टि युद्ध तकनीक को शामिल करने के लिए जाना जाता था?")</f>
        <v>कौन सा महान भारतीय पहलवान अपने प्रशिक्षण में मुष्टि युद्ध तकनीक को शामिल करने के लिए जाना जाता था?</v>
      </c>
      <c r="H185" s="5" t="str">
        <f>IFERROR(__xludf.DUMMYFUNCTION("GOOGLETRANSLATE(C185, ""en"", ""hi"")"),"A) दारा सिंह, B) के.डी. जाधव, C) रुस्तम-ए-हिंद, D) द ग्रेट खली")</f>
        <v>A) दारा सिंह, B) के.डी. जाधव, C) रुस्तम-ए-हिंद, D) द ग्रेट खली</v>
      </c>
      <c r="I185" s="5" t="str">
        <f>IFERROR(__xludf.DUMMYFUNCTION("GOOGLETRANSLATE(D185, ""en"", ""hi"")"),"A) दारा सिंह")</f>
        <v>A) दारा सिंह</v>
      </c>
    </row>
    <row r="186" ht="22.5" customHeight="1">
      <c r="A186" s="7">
        <v>185.0</v>
      </c>
      <c r="B186" s="8" t="s">
        <v>3056</v>
      </c>
      <c r="C186" s="8" t="s">
        <v>3057</v>
      </c>
      <c r="D186" s="8" t="s">
        <v>3058</v>
      </c>
      <c r="F186" s="5" t="str">
        <f>IFERROR(__xludf.DUMMYFUNCTION("GOOGLETRANSLATE(A186, ""en"", ""hi"")"),"185")</f>
        <v>185</v>
      </c>
      <c r="G186" s="5" t="str">
        <f>IFERROR(__xludf.DUMMYFUNCTION("GOOGLETRANSLATE(B186, ""en"", ""hi"")"),"मुष्टि युद्ध में 'प्रत्यक्ष हस्त' तकनीक का फोकस क्या है?")</f>
        <v>मुष्टि युद्ध में 'प्रत्यक्ष हस्त' तकनीक का फोकस क्या है?</v>
      </c>
      <c r="H186" s="5" t="str">
        <f>IFERROR(__xludf.DUMMYFUNCTION("GOOGLETRANSLATE(C186, ""en"", ""hi"")"),"A) हमलों को रोकना, B) हमलों का प्रतिकार करना, C) छलपूर्ण चालें, D) प्रत्यक्ष हमले")</f>
        <v>A) हमलों को रोकना, B) हमलों का प्रतिकार करना, C) छलपूर्ण चालें, D) प्रत्यक्ष हमले</v>
      </c>
      <c r="I186" s="5" t="str">
        <f>IFERROR(__xludf.DUMMYFUNCTION("GOOGLETRANSLATE(D186, ""en"", ""hi"")"),"D) प्रत्यक्ष हमले")</f>
        <v>D) प्रत्यक्ष हमले</v>
      </c>
    </row>
    <row r="187" ht="22.5" customHeight="1">
      <c r="A187" s="7">
        <v>186.0</v>
      </c>
      <c r="B187" s="8" t="s">
        <v>3059</v>
      </c>
      <c r="C187" s="8" t="s">
        <v>3060</v>
      </c>
      <c r="D187" s="8" t="s">
        <v>3061</v>
      </c>
      <c r="F187" s="5" t="str">
        <f>IFERROR(__xludf.DUMMYFUNCTION("GOOGLETRANSLATE(A187, ""en"", ""hi"")"),"186")</f>
        <v>186</v>
      </c>
      <c r="G187" s="5" t="str">
        <f>IFERROR(__xludf.DUMMYFUNCTION("GOOGLETRANSLATE(B187, ""en"", ""hi"")"),"उन्नत मुष्टि युद्ध प्रशिक्षण में सटीकता विकसित करने के लिए कभी-कभी किस हथियार का उपयोग किया जाता है?")</f>
        <v>उन्नत मुष्टि युद्ध प्रशिक्षण में सटीकता विकसित करने के लिए कभी-कभी किस हथियार का उपयोग किया जाता है?</v>
      </c>
      <c r="H187" s="5" t="str">
        <f>IFERROR(__xludf.DUMMYFUNCTION("GOOGLETRANSLATE(C187, ""en"", ""hi"")"),"A) तलवार, B) भाला, C) लाठी, D) चाकू")</f>
        <v>A) तलवार, B) भाला, C) लाठी, D) चाकू</v>
      </c>
      <c r="I187" s="5" t="str">
        <f>IFERROR(__xludf.DUMMYFUNCTION("GOOGLETRANSLATE(D187, ""en"", ""hi"")"),"सी) कर्मचारी")</f>
        <v>सी) कर्मचारी</v>
      </c>
    </row>
    <row r="188" ht="22.5" customHeight="1">
      <c r="A188" s="7">
        <v>187.0</v>
      </c>
      <c r="B188" s="8" t="s">
        <v>3062</v>
      </c>
      <c r="C188" s="8" t="s">
        <v>3063</v>
      </c>
      <c r="D188" s="8" t="s">
        <v>3064</v>
      </c>
      <c r="F188" s="5" t="str">
        <f>IFERROR(__xludf.DUMMYFUNCTION("GOOGLETRANSLATE(A188, ""en"", ""hi"")"),"187")</f>
        <v>187</v>
      </c>
      <c r="G188" s="5" t="str">
        <f>IFERROR(__xludf.DUMMYFUNCTION("GOOGLETRANSLATE(B188, ""en"", ""hi"")"),"कौन सा मुष्टि युद्ध रुख गुरुत्वाकर्षण के निम्न केंद्र पर जोर देता है?")</f>
        <v>कौन सा मुष्टि युद्ध रुख गुरुत्वाकर्षण के निम्न केंद्र पर जोर देता है?</v>
      </c>
      <c r="H188" s="5" t="str">
        <f>IFERROR(__xludf.DUMMYFUNCTION("GOOGLETRANSLATE(C188, ""en"", ""hi"")"),"ए) उत्कटासन, बी) मालासन, सी) ताड़ासन, डी) शीर्षासन")</f>
        <v>ए) उत्कटासन, बी) मालासन, सी) ताड़ासन, डी) शीर्षासन</v>
      </c>
      <c r="I188" s="5" t="str">
        <f>IFERROR(__xludf.DUMMYFUNCTION("GOOGLETRANSLATE(D188, ""en"", ""hi"")"),"बी) मालासन")</f>
        <v>बी) मालासन</v>
      </c>
    </row>
    <row r="189" ht="22.5" customHeight="1">
      <c r="A189" s="7">
        <v>188.0</v>
      </c>
      <c r="B189" s="8" t="s">
        <v>3065</v>
      </c>
      <c r="C189" s="8" t="s">
        <v>3066</v>
      </c>
      <c r="D189" s="8" t="s">
        <v>3067</v>
      </c>
      <c r="F189" s="5" t="str">
        <f>IFERROR(__xludf.DUMMYFUNCTION("GOOGLETRANSLATE(A189, ""en"", ""hi"")"),"188")</f>
        <v>188</v>
      </c>
      <c r="G189" s="5" t="str">
        <f>IFERROR(__xludf.DUMMYFUNCTION("GOOGLETRANSLATE(B189, ""en"", ""hi"")"),"मुष्टि युद्ध में 'आहत' का उद्देश्य क्या है?")</f>
        <v>मुष्टि युद्ध में 'आहत' का उद्देश्य क्या है?</v>
      </c>
      <c r="H189" s="5" t="str">
        <f>IFERROR(__xludf.DUMMYFUNCTION("GOOGLETRANSLATE(C189, ""en"", ""hi"")"),"A) अचानक हमला करने के लिए, B) अपरकाट से बचाव के लिए, C) संतुलन बनाए रखने के लिए, D) श्वास बढ़ाने के लिए")</f>
        <v>A) अचानक हमला करने के लिए, B) अपरकाट से बचाव के लिए, C) संतुलन बनाए रखने के लिए, D) श्वास बढ़ाने के लिए</v>
      </c>
      <c r="I189" s="5" t="str">
        <f>IFERROR(__xludf.DUMMYFUNCTION("GOOGLETRANSLATE(D189, ""en"", ""hi"")"),"A) अचानक हमला करना")</f>
        <v>A) अचानक हमला करना</v>
      </c>
    </row>
    <row r="190" ht="22.5" customHeight="1">
      <c r="A190" s="7">
        <v>189.0</v>
      </c>
      <c r="B190" s="8" t="s">
        <v>3068</v>
      </c>
      <c r="C190" s="8" t="s">
        <v>3069</v>
      </c>
      <c r="D190" s="8" t="s">
        <v>3070</v>
      </c>
      <c r="F190" s="5" t="str">
        <f>IFERROR(__xludf.DUMMYFUNCTION("GOOGLETRANSLATE(A190, ""en"", ""hi"")"),"189")</f>
        <v>189</v>
      </c>
      <c r="G190" s="5" t="str">
        <f>IFERROR(__xludf.DUMMYFUNCTION("GOOGLETRANSLATE(B190, ""en"", ""hi"")"),"कौन सा पारंपरिक भारतीय त्योहार मुष्टि युद्ध कौशल के प्रदर्शन से जुड़ा हुआ है?")</f>
        <v>कौन सा पारंपरिक भारतीय त्योहार मुष्टि युद्ध कौशल के प्रदर्शन से जुड़ा हुआ है?</v>
      </c>
      <c r="H190" s="5" t="str">
        <f>IFERROR(__xludf.DUMMYFUNCTION("GOOGLETRANSLATE(C190, ""en"", ""hi"")"),"ए) होली, बी) दिवाली, सी) दशहरा, डी) नवरात्रि")</f>
        <v>ए) होली, बी) दिवाली, सी) दशहरा, डी) नवरात्रि</v>
      </c>
      <c r="I190" s="5" t="str">
        <f>IFERROR(__xludf.DUMMYFUNCTION("GOOGLETRANSLATE(D190, ""en"", ""hi"")"),"सी) दशहरा")</f>
        <v>सी) दशहरा</v>
      </c>
    </row>
    <row r="191" ht="22.5" customHeight="1">
      <c r="A191" s="7">
        <v>190.0</v>
      </c>
      <c r="B191" s="8" t="s">
        <v>3071</v>
      </c>
      <c r="C191" s="8" t="s">
        <v>3072</v>
      </c>
      <c r="D191" s="8" t="s">
        <v>3073</v>
      </c>
      <c r="F191" s="5" t="str">
        <f>IFERROR(__xludf.DUMMYFUNCTION("GOOGLETRANSLATE(A191, ""en"", ""hi"")"),"190")</f>
        <v>190</v>
      </c>
      <c r="G191" s="5" t="str">
        <f>IFERROR(__xludf.DUMMYFUNCTION("GOOGLETRANSLATE(B191, ""en"", ""hi"")"),"कौन सी मुष्टि युद्ध चाल हाथ की गति और सटीकता पर केंद्रित है?")</f>
        <v>कौन सी मुष्टि युद्ध चाल हाथ की गति और सटीकता पर केंद्रित है?</v>
      </c>
      <c r="H191" s="5" t="str">
        <f>IFERROR(__xludf.DUMMYFUNCTION("GOOGLETRANSLATE(C191, ""en"", ""hi"")"),"ए) व्याघ्रासन, बी) वायु हस्त, सी) वज्र हस्त, डी) अग्नि प्रदर्शन")</f>
        <v>ए) व्याघ्रासन, बी) वायु हस्त, सी) वज्र हस्त, डी) अग्नि प्रदर्शन</v>
      </c>
      <c r="I191" s="5" t="str">
        <f>IFERROR(__xludf.DUMMYFUNCTION("GOOGLETRANSLATE(D191, ""en"", ""hi"")"),"बी) वायु हस्त")</f>
        <v>बी) वायु हस्त</v>
      </c>
    </row>
    <row r="192" ht="22.5" customHeight="1">
      <c r="A192" s="7">
        <v>191.0</v>
      </c>
      <c r="B192" s="8" t="s">
        <v>3074</v>
      </c>
      <c r="C192" s="8" t="s">
        <v>3075</v>
      </c>
      <c r="D192" s="8" t="s">
        <v>3076</v>
      </c>
      <c r="F192" s="5" t="str">
        <f>IFERROR(__xludf.DUMMYFUNCTION("GOOGLETRANSLATE(A192, ""en"", ""hi"")"),"191")</f>
        <v>191</v>
      </c>
      <c r="G192" s="5" t="str">
        <f>IFERROR(__xludf.DUMMYFUNCTION("GOOGLETRANSLATE(B192, ""en"", ""hi"")"),"मुष्टियुद्ध में 'मुख प्रबोध' का मुख्य उद्देश्य क्या है?")</f>
        <v>मुष्टियुद्ध में 'मुख प्रबोध' का मुख्य उद्देश्य क्या है?</v>
      </c>
      <c r="H192" s="5" t="str">
        <f>IFERROR(__xludf.DUMMYFUNCTION("GOOGLETRANSLATE(C192, ""en"", ""hi"")"),"A) चेहरे पर हमला करना, B) धड़ की रक्षा करना, C) प्रतिद्वंद्वी का ध्यान भटकाना, D) पैरों को मजबूत करना")</f>
        <v>A) चेहरे पर हमला करना, B) धड़ की रक्षा करना, C) प्रतिद्वंद्वी का ध्यान भटकाना, D) पैरों को मजबूत करना</v>
      </c>
      <c r="I192" s="5" t="str">
        <f>IFERROR(__xludf.DUMMYFUNCTION("GOOGLETRANSLATE(D192, ""en"", ""hi"")"),"C) प्रतिद्वंद्वी का ध्यान भटकाना")</f>
        <v>C) प्रतिद्वंद्वी का ध्यान भटकाना</v>
      </c>
    </row>
    <row r="193" ht="22.5" customHeight="1">
      <c r="A193" s="7">
        <v>192.0</v>
      </c>
      <c r="B193" s="8" t="s">
        <v>3077</v>
      </c>
      <c r="C193" s="8" t="s">
        <v>3078</v>
      </c>
      <c r="D193" s="8" t="s">
        <v>2901</v>
      </c>
      <c r="F193" s="5" t="str">
        <f>IFERROR(__xludf.DUMMYFUNCTION("GOOGLETRANSLATE(A193, ""en"", ""hi"")"),"192")</f>
        <v>192</v>
      </c>
      <c r="G193" s="5" t="str">
        <f>IFERROR(__xludf.DUMMYFUNCTION("GOOGLETRANSLATE(B193, ""en"", ""hi"")"),"मुष्टि युद्ध का कौन सा पहलू 'गति प्रदर्शन' को प्रभावी ढंग से क्रियान्वित करने के लिए महत्वपूर्ण है?")</f>
        <v>मुष्टि युद्ध का कौन सा पहलू 'गति प्रदर्शन' को प्रभावी ढंग से क्रियान्वित करने के लिए महत्वपूर्ण है?</v>
      </c>
      <c r="H193" s="5" t="str">
        <f>IFERROR(__xludf.DUMMYFUNCTION("GOOGLETRANSLATE(C193, ""en"", ""hi"")"),"A) लचीलापन, B) ताकत, C) संतुलन, D) सहनशक्ति")</f>
        <v>A) लचीलापन, B) ताकत, C) संतुलन, D) सहनशक्ति</v>
      </c>
      <c r="I193" s="5" t="str">
        <f>IFERROR(__xludf.DUMMYFUNCTION("GOOGLETRANSLATE(D193, ""en"", ""hi"")"),"सी) संतुलन")</f>
        <v>सी) संतुलन</v>
      </c>
    </row>
    <row r="194" ht="22.5" customHeight="1">
      <c r="A194" s="7">
        <v>193.0</v>
      </c>
      <c r="B194" s="8" t="s">
        <v>3079</v>
      </c>
      <c r="C194" s="8" t="s">
        <v>3080</v>
      </c>
      <c r="D194" s="8" t="s">
        <v>2890</v>
      </c>
      <c r="F194" s="5" t="str">
        <f>IFERROR(__xludf.DUMMYFUNCTION("GOOGLETRANSLATE(A194, ""en"", ""hi"")"),"193")</f>
        <v>193</v>
      </c>
      <c r="G194" s="5" t="str">
        <f>IFERROR(__xludf.DUMMYFUNCTION("GOOGLETRANSLATE(B194, ""en"", ""hi"")"),"मुष्टि युद्ध अभ्यासियों द्वारा युद्ध से पहले प्रायः किस देवता का आह्वान किया जाता है?")</f>
        <v>मुष्टि युद्ध अभ्यासियों द्वारा युद्ध से पहले प्रायः किस देवता का आह्वान किया जाता है?</v>
      </c>
      <c r="H194" s="5" t="str">
        <f>IFERROR(__xludf.DUMMYFUNCTION("GOOGLETRANSLATE(C194, ""en"", ""hi"")"),"A) शिव, B) दुर्गा, C) हनुमान, D) गणेश")</f>
        <v>A) शिव, B) दुर्गा, C) हनुमान, D) गणेश</v>
      </c>
      <c r="I194" s="5" t="str">
        <f>IFERROR(__xludf.DUMMYFUNCTION("GOOGLETRANSLATE(D194, ""en"", ""hi"")"),"C) हनुमान")</f>
        <v>C) हनुमान</v>
      </c>
    </row>
    <row r="195" ht="22.5" customHeight="1">
      <c r="A195" s="7">
        <v>194.0</v>
      </c>
      <c r="B195" s="8" t="s">
        <v>3081</v>
      </c>
      <c r="C195" s="8" t="s">
        <v>3082</v>
      </c>
      <c r="D195" s="8" t="s">
        <v>3083</v>
      </c>
      <c r="F195" s="5" t="str">
        <f>IFERROR(__xludf.DUMMYFUNCTION("GOOGLETRANSLATE(A195, ""en"", ""hi"")"),"194")</f>
        <v>194</v>
      </c>
      <c r="G195" s="5" t="str">
        <f>IFERROR(__xludf.DUMMYFUNCTION("GOOGLETRANSLATE(B195, ""en"", ""hi"")"),"मुष्टि युद्ध में 'भुजंग हस्त' किस प्रकार के प्रहार के लिए जाना जाता है?")</f>
        <v>मुष्टि युद्ध में 'भुजंग हस्त' किस प्रकार के प्रहार के लिए जाना जाता है?</v>
      </c>
      <c r="H195" s="5" t="str">
        <f>IFERROR(__xludf.DUMMYFUNCTION("GOOGLETRANSLATE(C195, ""en"", ""hi"")"),"A) तेज़ हमले, B) रक्षात्मक चालें, C) जवाबी हमले, D) पकड़ने की तकनीकें")</f>
        <v>A) तेज़ हमले, B) रक्षात्मक चालें, C) जवाबी हमले, D) पकड़ने की तकनीकें</v>
      </c>
      <c r="I195" s="5" t="str">
        <f>IFERROR(__xludf.DUMMYFUNCTION("GOOGLETRANSLATE(D195, ""en"", ""hi"")"),"A) तेज़ हमले")</f>
        <v>A) तेज़ हमले</v>
      </c>
    </row>
    <row r="196" ht="22.5" customHeight="1">
      <c r="A196" s="7">
        <v>195.0</v>
      </c>
      <c r="B196" s="8" t="s">
        <v>3084</v>
      </c>
      <c r="C196" s="8" t="s">
        <v>3085</v>
      </c>
      <c r="D196" s="8" t="s">
        <v>222</v>
      </c>
      <c r="F196" s="5" t="str">
        <f>IFERROR(__xludf.DUMMYFUNCTION("GOOGLETRANSLATE(A196, ""en"", ""hi"")"),"195")</f>
        <v>195</v>
      </c>
      <c r="G196" s="5" t="str">
        <f>IFERROR(__xludf.DUMMYFUNCTION("GOOGLETRANSLATE(B196, ""en"", ""hi"")"),"कौन सा ऐतिहासिक ग्रंथ मुष्टि युद्ध का सर्वप्रथम दस्तावेज माना जाता है?")</f>
        <v>कौन सा ऐतिहासिक ग्रंथ मुष्टि युद्ध का सर्वप्रथम दस्तावेज माना जाता है?</v>
      </c>
      <c r="H196" s="5" t="str">
        <f>IFERROR(__xludf.DUMMYFUNCTION("GOOGLETRANSLATE(C196, ""en"", ""hi"")"),"ए) महाभारत, बी) अर्थशास्त्र, सी) नाट्य शास्त्र, डी) ऋग्वेद")</f>
        <v>ए) महाभारत, बी) अर्थशास्त्र, सी) नाट्य शास्त्र, डी) ऋग्वेद</v>
      </c>
      <c r="I196" s="5" t="str">
        <f>IFERROR(__xludf.DUMMYFUNCTION("GOOGLETRANSLATE(D196, ""en"", ""hi"")"),"A) महाभारत")</f>
        <v>A) महाभारत</v>
      </c>
    </row>
    <row r="197" ht="22.5" customHeight="1">
      <c r="A197" s="7">
        <v>196.0</v>
      </c>
      <c r="B197" s="8" t="s">
        <v>3086</v>
      </c>
      <c r="C197" s="8" t="s">
        <v>3087</v>
      </c>
      <c r="D197" s="8" t="s">
        <v>3088</v>
      </c>
      <c r="F197" s="5" t="str">
        <f>IFERROR(__xludf.DUMMYFUNCTION("GOOGLETRANSLATE(A197, ""en"", ""hi"")"),"196")</f>
        <v>196</v>
      </c>
      <c r="G197" s="5" t="str">
        <f>IFERROR(__xludf.DUMMYFUNCTION("GOOGLETRANSLATE(B197, ""en"", ""hi"")"),"मुष्टि युद्ध में 'तर्जनी मुद्रा' की क्या भूमिका है?")</f>
        <v>मुष्टि युद्ध में 'तर्जनी मुद्रा' की क्या भूमिका है?</v>
      </c>
      <c r="H197" s="5" t="str">
        <f>IFERROR(__xludf.DUMMYFUNCTION("GOOGLETRANSLATE(C197, ""en"", ""hi"")"),"A) तत्परता दर्शाना, B) आक्रमण की मुद्रा, C) रक्षात्मक रुख, D) श्वास नियंत्रण")</f>
        <v>A) तत्परता दर्शाना, B) आक्रमण की मुद्रा, C) रक्षात्मक रुख, D) श्वास नियंत्रण</v>
      </c>
      <c r="I197" s="5" t="str">
        <f>IFERROR(__xludf.DUMMYFUNCTION("GOOGLETRANSLATE(D197, ""en"", ""hi"")"),"A) तत्परता दर्शाएँ")</f>
        <v>A) तत्परता दर्शाएँ</v>
      </c>
    </row>
    <row r="198" ht="22.5" customHeight="1">
      <c r="A198" s="7">
        <v>197.0</v>
      </c>
      <c r="B198" s="8" t="s">
        <v>3089</v>
      </c>
      <c r="C198" s="8" t="s">
        <v>3090</v>
      </c>
      <c r="D198" s="8" t="s">
        <v>3091</v>
      </c>
      <c r="F198" s="5" t="str">
        <f>IFERROR(__xludf.DUMMYFUNCTION("GOOGLETRANSLATE(A198, ""en"", ""hi"")"),"197")</f>
        <v>197</v>
      </c>
      <c r="G198" s="5" t="str">
        <f>IFERROR(__xludf.DUMMYFUNCTION("GOOGLETRANSLATE(B198, ""en"", ""hi"")"),"कौन सा आधुनिक देश मुष्टि युद्ध के साथ ऐतिहासिक मार्शल प्रथाओं को साझा करता है?")</f>
        <v>कौन सा आधुनिक देश मुष्टि युद्ध के साथ ऐतिहासिक मार्शल प्रथाओं को साझा करता है?</v>
      </c>
      <c r="H198" s="5" t="str">
        <f>IFERROR(__xludf.DUMMYFUNCTION("GOOGLETRANSLATE(C198, ""en"", ""hi"")"),"A) पाकिस्तान, B) श्रीलंका, C) बांग्लादेश, D) नेपाल")</f>
        <v>A) पाकिस्तान, B) श्रीलंका, C) बांग्लादेश, D) नेपाल</v>
      </c>
      <c r="I198" s="5" t="str">
        <f>IFERROR(__xludf.DUMMYFUNCTION("GOOGLETRANSLATE(D198, ""en"", ""hi"")"),"D) नेपाल")</f>
        <v>D) नेपाल</v>
      </c>
    </row>
    <row r="199" ht="22.5" customHeight="1">
      <c r="A199" s="7">
        <v>198.0</v>
      </c>
      <c r="B199" s="8" t="s">
        <v>3092</v>
      </c>
      <c r="C199" s="8" t="s">
        <v>3093</v>
      </c>
      <c r="D199" s="8" t="s">
        <v>3094</v>
      </c>
      <c r="F199" s="5" t="str">
        <f>IFERROR(__xludf.DUMMYFUNCTION("GOOGLETRANSLATE(A199, ""en"", ""hi"")"),"198")</f>
        <v>198</v>
      </c>
      <c r="G199" s="5" t="str">
        <f>IFERROR(__xludf.DUMMYFUNCTION("GOOGLETRANSLATE(B199, ""en"", ""hi"")"),"मुष्टि युद्ध के आध्यात्मिक पहलू को कौन सा शब्द संदर्भित करता है?")</f>
        <v>मुष्टि युद्ध के आध्यात्मिक पहलू को कौन सा शब्द संदर्भित करता है?</v>
      </c>
      <c r="H199" s="5" t="str">
        <f>IFERROR(__xludf.DUMMYFUNCTION("GOOGLETRANSLATE(C199, ""en"", ""hi"")"),"A) प्राणायाम, B) ध्यान, C) कर्म, D) धर्म")</f>
        <v>A) प्राणायाम, B) ध्यान, C) कर्म, D) धर्म</v>
      </c>
      <c r="I199" s="5" t="str">
        <f>IFERROR(__xludf.DUMMYFUNCTION("GOOGLETRANSLATE(D199, ""en"", ""hi"")"),"बी) ध्यान")</f>
        <v>बी) ध्यान</v>
      </c>
    </row>
    <row r="200" ht="22.5" customHeight="1">
      <c r="A200" s="7">
        <v>199.0</v>
      </c>
      <c r="B200" s="8" t="s">
        <v>3095</v>
      </c>
      <c r="C200" s="8" t="s">
        <v>3096</v>
      </c>
      <c r="D200" s="8" t="s">
        <v>3097</v>
      </c>
      <c r="F200" s="5" t="str">
        <f>IFERROR(__xludf.DUMMYFUNCTION("GOOGLETRANSLATE(A200, ""en"", ""hi"")"),"199")</f>
        <v>199</v>
      </c>
      <c r="G200" s="5" t="str">
        <f>IFERROR(__xludf.DUMMYFUNCTION("GOOGLETRANSLATE(B200, ""en"", ""hi"")"),"मुष्टि युद्ध में सम्मान दर्शाने के लिए कौन सी मुद्रा अपनाई जाती है?")</f>
        <v>मुष्टि युद्ध में सम्मान दर्शाने के लिए कौन सी मुद्रा अपनाई जाती है?</v>
      </c>
      <c r="H200" s="5" t="str">
        <f>IFERROR(__xludf.DUMMYFUNCTION("GOOGLETRANSLATE(C200, ""en"", ""hi"")"),"ए) नमस्कारासन, बी) वज्रासन, सी) वीरासन, डी) बालासन")</f>
        <v>ए) नमस्कारासन, बी) वज्रासन, सी) वीरासन, डी) बालासन</v>
      </c>
      <c r="I200" s="5" t="str">
        <f>IFERROR(__xludf.DUMMYFUNCTION("GOOGLETRANSLATE(D200, ""en"", ""hi"")"),"A) नमस्कारासन")</f>
        <v>A) नमस्कारासन</v>
      </c>
    </row>
    <row r="201" ht="22.5" customHeight="1">
      <c r="A201" s="7">
        <v>200.0</v>
      </c>
      <c r="B201" s="8" t="s">
        <v>3098</v>
      </c>
      <c r="C201" s="8" t="s">
        <v>3099</v>
      </c>
      <c r="D201" s="8" t="s">
        <v>3100</v>
      </c>
      <c r="F201" s="5" t="str">
        <f>IFERROR(__xludf.DUMMYFUNCTION("GOOGLETRANSLATE(A201, ""en"", ""hi"")"),"200")</f>
        <v>200</v>
      </c>
      <c r="G201" s="5" t="str">
        <f>IFERROR(__xludf.DUMMYFUNCTION("GOOGLETRANSLATE(B201, ""en"", ""hi"")"),"मुष्टि युद्ध में 'हस्त मुद्रा' का उद्देश्य क्या है?")</f>
        <v>मुष्टि युद्ध में 'हस्त मुद्रा' का उद्देश्य क्या है?</v>
      </c>
      <c r="H201" s="5" t="str">
        <f>IFERROR(__xludf.DUMMYFUNCTION("GOOGLETRANSLATE(C201, ""en"", ""hi"")"),"A) ब्लॉकिंग, B) स्ट्राइकिंग, C) ध्यान, D) A और B दोनों")</f>
        <v>A) ब्लॉकिंग, B) स्ट्राइकिंग, C) ध्यान, D) A और B दोनों</v>
      </c>
      <c r="I201" s="5" t="str">
        <f>IFERROR(__xludf.DUMMYFUNCTION("GOOGLETRANSLATE(D201, ""en"", ""hi"")"),"D) A और B दोनों")</f>
        <v>D) A और B दोनों</v>
      </c>
    </row>
    <row r="202" ht="22.5" customHeight="1">
      <c r="A202" s="7">
        <v>201.0</v>
      </c>
      <c r="B202" s="8" t="s">
        <v>3101</v>
      </c>
      <c r="C202" s="8" t="s">
        <v>3102</v>
      </c>
      <c r="D202" s="8" t="s">
        <v>644</v>
      </c>
      <c r="F202" s="5" t="str">
        <f>IFERROR(__xludf.DUMMYFUNCTION("GOOGLETRANSLATE(A202, ""en"", ""hi"")"),"201")</f>
        <v>201</v>
      </c>
      <c r="G202" s="5" t="str">
        <f>IFERROR(__xludf.DUMMYFUNCTION("GOOGLETRANSLATE(B202, ""en"", ""hi"")"),"मुष्टि युद्ध अभ्यासियों के लिए किस प्रकार का प्रशिक्षण सबसे अधिक लाभदायक है?")</f>
        <v>मुष्टि युद्ध अभ्यासियों के लिए किस प्रकार का प्रशिक्षण सबसे अधिक लाभदायक है?</v>
      </c>
      <c r="H202" s="5" t="str">
        <f>IFERROR(__xludf.DUMMYFUNCTION("GOOGLETRANSLATE(C202, ""en"", ""hi"")"),"A) कार्डियोवैस्कुलर, B) ताकत, C) लचीलापन, D) उपरोक्त सभी")</f>
        <v>A) कार्डियोवैस्कुलर, B) ताकत, C) लचीलापन, D) उपरोक्त सभी</v>
      </c>
      <c r="I202" s="5" t="str">
        <f>IFERROR(__xludf.DUMMYFUNCTION("GOOGLETRANSLATE(D202, ""en"", ""hi"")"),"D। उपरोक्त सभी")</f>
        <v>D। उपरोक्त सभी</v>
      </c>
    </row>
    <row r="203" ht="22.5" customHeight="1">
      <c r="A203" s="7">
        <v>202.0</v>
      </c>
      <c r="B203" s="8" t="s">
        <v>3103</v>
      </c>
      <c r="C203" s="8" t="s">
        <v>3104</v>
      </c>
      <c r="D203" s="8" t="s">
        <v>1889</v>
      </c>
      <c r="F203" s="5" t="str">
        <f>IFERROR(__xludf.DUMMYFUNCTION("GOOGLETRANSLATE(A203, ""en"", ""hi"")"),"202")</f>
        <v>202</v>
      </c>
      <c r="G203" s="5" t="str">
        <f>IFERROR(__xludf.DUMMYFUNCTION("GOOGLETRANSLATE(B203, ""en"", ""hi"")"),"कौन सा भारतीय शहर ऐतिहासिक रूप से मुष्टि युद्ध स्कूलों से जुड़ा हुआ है?")</f>
        <v>कौन सा भारतीय शहर ऐतिहासिक रूप से मुष्टि युद्ध स्कूलों से जुड़ा हुआ है?</v>
      </c>
      <c r="H203" s="5" t="str">
        <f>IFERROR(__xludf.DUMMYFUNCTION("GOOGLETRANSLATE(C203, ""en"", ""hi"")"),"ए) वाराणसी, बी) जयपुर, सी) पुणे, डी) मैसूर")</f>
        <v>ए) वाराणसी, बी) जयपुर, सी) पुणे, डी) मैसूर</v>
      </c>
      <c r="I203" s="5" t="str">
        <f>IFERROR(__xludf.DUMMYFUNCTION("GOOGLETRANSLATE(D203, ""en"", ""hi"")"),"C) पुणे")</f>
        <v>C) पुणे</v>
      </c>
    </row>
    <row r="204" ht="22.5" customHeight="1">
      <c r="A204" s="7">
        <v>203.0</v>
      </c>
      <c r="B204" s="8" t="s">
        <v>3105</v>
      </c>
      <c r="C204" s="8" t="s">
        <v>3106</v>
      </c>
      <c r="D204" s="8" t="s">
        <v>3107</v>
      </c>
      <c r="F204" s="5" t="str">
        <f>IFERROR(__xludf.DUMMYFUNCTION("GOOGLETRANSLATE(A204, ""en"", ""hi"")"),"203")</f>
        <v>203</v>
      </c>
      <c r="G204" s="5" t="str">
        <f>IFERROR(__xludf.DUMMYFUNCTION("GOOGLETRANSLATE(B204, ""en"", ""hi"")"),"मुष्टि युद्ध में 'कटका हस्त' का मुख्य उद्देश्य क्या है?")</f>
        <v>मुष्टि युद्ध में 'कटका हस्त' का मुख्य उद्देश्य क्या है?</v>
      </c>
      <c r="H204" s="5" t="str">
        <f>IFERROR(__xludf.DUMMYFUNCTION("GOOGLETRANSLATE(C204, ""en"", ""hi"")"),"A) प्रहार करना, B) बचाव करना, C) पकड़ना, D) चकमा देना")</f>
        <v>A) प्रहार करना, B) बचाव करना, C) पकड़ना, D) चकमा देना</v>
      </c>
      <c r="I204" s="5" t="str">
        <f>IFERROR(__xludf.DUMMYFUNCTION("GOOGLETRANSLATE(D204, ""en"", ""hi"")"),"C) हथियाना")</f>
        <v>C) हथियाना</v>
      </c>
    </row>
    <row r="205" ht="22.5" customHeight="1">
      <c r="A205" s="7">
        <v>204.0</v>
      </c>
      <c r="B205" s="8" t="s">
        <v>3108</v>
      </c>
      <c r="C205" s="8" t="s">
        <v>2761</v>
      </c>
      <c r="D205" s="8" t="s">
        <v>3109</v>
      </c>
      <c r="F205" s="5" t="str">
        <f>IFERROR(__xludf.DUMMYFUNCTION("GOOGLETRANSLATE(A205, ""en"", ""hi"")"),"204")</f>
        <v>204</v>
      </c>
      <c r="G205" s="5" t="str">
        <f>IFERROR(__xludf.DUMMYFUNCTION("GOOGLETRANSLATE(B205, ""en"", ""hi"")"),"मुष्टि युद्ध में कौन सा तत्व आंदोलनों से निकटता से संबंधित है?")</f>
        <v>मुष्टि युद्ध में कौन सा तत्व आंदोलनों से निकटता से संबंधित है?</v>
      </c>
      <c r="H205" s="5" t="str">
        <f>IFERROR(__xludf.DUMMYFUNCTION("GOOGLETRANSLATE(C205, ""en"", ""hi"")"),"A) अग्नि, B) जल, C) पृथ्वी, D) वायु")</f>
        <v>A) अग्नि, B) जल, C) पृथ्वी, D) वायु</v>
      </c>
      <c r="I205" s="5" t="str">
        <f>IFERROR(__xludf.DUMMYFUNCTION("GOOGLETRANSLATE(D205, ""en"", ""hi"")"),"D) हवा")</f>
        <v>D) हवा</v>
      </c>
    </row>
    <row r="206" ht="22.5" customHeight="1">
      <c r="A206" s="7">
        <v>205.0</v>
      </c>
      <c r="B206" s="8" t="s">
        <v>3110</v>
      </c>
      <c r="C206" s="8" t="s">
        <v>3111</v>
      </c>
      <c r="D206" s="8" t="s">
        <v>3112</v>
      </c>
      <c r="F206" s="5" t="str">
        <f>IFERROR(__xludf.DUMMYFUNCTION("GOOGLETRANSLATE(A206, ""en"", ""hi"")"),"205")</f>
        <v>205</v>
      </c>
      <c r="G206" s="5" t="str">
        <f>IFERROR(__xludf.DUMMYFUNCTION("GOOGLETRANSLATE(B206, ""en"", ""hi"")"),"कौन सी मुष्टि युद्ध तकनीक बाघ की गतिविधियों की नकल करती है?")</f>
        <v>कौन सी मुष्टि युद्ध तकनीक बाघ की गतिविधियों की नकल करती है?</v>
      </c>
      <c r="H206" s="5" t="str">
        <f>IFERROR(__xludf.DUMMYFUNCTION("GOOGLETRANSLATE(C206, ""en"", ""hi"")"),"ए) व्याघ्रासन, बी) मर्कटासन, सी) मयूरासन, डी) भुजंगासन")</f>
        <v>ए) व्याघ्रासन, बी) मर्कटासन, सी) मयूरासन, डी) भुजंगासन</v>
      </c>
      <c r="I206" s="5" t="str">
        <f>IFERROR(__xludf.DUMMYFUNCTION("GOOGLETRANSLATE(D206, ""en"", ""hi"")"),"A) व्याघ्रासन")</f>
        <v>A) व्याघ्रासन</v>
      </c>
    </row>
    <row r="207" ht="22.5" customHeight="1">
      <c r="A207" s="7">
        <v>206.0</v>
      </c>
      <c r="B207" s="8" t="s">
        <v>3113</v>
      </c>
      <c r="C207" s="8" t="s">
        <v>3114</v>
      </c>
      <c r="D207" s="8" t="s">
        <v>3115</v>
      </c>
      <c r="F207" s="5" t="str">
        <f>IFERROR(__xludf.DUMMYFUNCTION("GOOGLETRANSLATE(A207, ""en"", ""hi"")"),"206")</f>
        <v>206</v>
      </c>
      <c r="G207" s="5" t="str">
        <f>IFERROR(__xludf.DUMMYFUNCTION("GOOGLETRANSLATE(B207, ""en"", ""hi"")"),"मुष्टि युद्ध में धीरज के लिए किस प्रकार की श्वास को प्रोत्साहित किया जाता है?")</f>
        <v>मुष्टि युद्ध में धीरज के लिए किस प्रकार की श्वास को प्रोत्साहित किया जाता है?</v>
      </c>
      <c r="H207" s="5" t="str">
        <f>IFERROR(__xludf.DUMMYFUNCTION("GOOGLETRANSLATE(C207, ""en"", ""hi"")"),"A) उथली साँस लेना, B) गहरी साँस लेना, C) तेज़ साँस लेना, D) साँस रोकना")</f>
        <v>A) उथली साँस लेना, B) गहरी साँस लेना, C) तेज़ साँस लेना, D) साँस रोकना</v>
      </c>
      <c r="I207" s="5" t="str">
        <f>IFERROR(__xludf.DUMMYFUNCTION("GOOGLETRANSLATE(D207, ""en"", ""hi"")"),"बी) गहरी साँस लेना")</f>
        <v>बी) गहरी साँस लेना</v>
      </c>
    </row>
    <row r="208" ht="22.5" customHeight="1">
      <c r="A208" s="7">
        <v>207.0</v>
      </c>
      <c r="B208" s="8" t="s">
        <v>3116</v>
      </c>
      <c r="C208" s="8" t="s">
        <v>3117</v>
      </c>
      <c r="D208" s="8" t="s">
        <v>3118</v>
      </c>
      <c r="F208" s="5" t="str">
        <f>IFERROR(__xludf.DUMMYFUNCTION("GOOGLETRANSLATE(A208, ""en"", ""hi"")"),"207")</f>
        <v>207</v>
      </c>
      <c r="G208" s="5" t="str">
        <f>IFERROR(__xludf.DUMMYFUNCTION("GOOGLETRANSLATE(B208, ""en"", ""hi"")"),"कौन सी मुष्टि युद्ध तकनीक विशेष रूप से पैर की ताकत पर केंद्रित है?")</f>
        <v>कौन सी मुष्टि युद्ध तकनीक विशेष रूप से पैर की ताकत पर केंद्रित है?</v>
      </c>
      <c r="H208" s="5" t="str">
        <f>IFERROR(__xludf.DUMMYFUNCTION("GOOGLETRANSLATE(C208, ""en"", ""hi"")"),"ए) पाद हस्त, बी) उत्तानासन, सी) गज हस्त, डी) सिंह हस्त")</f>
        <v>ए) पाद हस्त, बी) उत्तानासन, सी) गज हस्त, डी) सिंह हस्त</v>
      </c>
      <c r="I208" s="5" t="str">
        <f>IFERROR(__xludf.DUMMYFUNCTION("GOOGLETRANSLATE(D208, ""en"", ""hi"")"),"A) पद हस्त")</f>
        <v>A) पद हस्त</v>
      </c>
    </row>
    <row r="209" ht="22.5" customHeight="1">
      <c r="A209" s="7">
        <v>208.0</v>
      </c>
      <c r="B209" s="8" t="s">
        <v>3119</v>
      </c>
      <c r="C209" s="8" t="s">
        <v>3120</v>
      </c>
      <c r="D209" s="8" t="s">
        <v>3121</v>
      </c>
      <c r="F209" s="5" t="str">
        <f>IFERROR(__xludf.DUMMYFUNCTION("GOOGLETRANSLATE(A209, ""en"", ""hi"")"),"208")</f>
        <v>208</v>
      </c>
      <c r="G209" s="5" t="str">
        <f>IFERROR(__xludf.DUMMYFUNCTION("GOOGLETRANSLATE(B209, ""en"", ""hi"")"),"मुष्टि युद्ध में 'मुख मुद्रा' का उपयोग किस लिए किया जाता है?")</f>
        <v>मुष्टि युद्ध में 'मुख मुद्रा' का उपयोग किस लिए किया जाता है?</v>
      </c>
      <c r="H209" s="5" t="str">
        <f>IFERROR(__xludf.DUMMYFUNCTION("GOOGLETRANSLATE(C209, ""en"", ""hi"")"),"A) चेहरे पर हमला, B) रक्षात्मक रुख, C) ध्यान भटकाना, D) शरीर कवच")</f>
        <v>A) चेहरे पर हमला, B) रक्षात्मक रुख, C) ध्यान भटकाना, D) शरीर कवच</v>
      </c>
      <c r="I209" s="5" t="str">
        <f>IFERROR(__xludf.DUMMYFUNCTION("GOOGLETRANSLATE(D209, ""en"", ""hi"")"),"सी) ध्यान भटकाना")</f>
        <v>सी) ध्यान भटकाना</v>
      </c>
    </row>
    <row r="210" ht="22.5" customHeight="1">
      <c r="A210" s="7">
        <v>209.0</v>
      </c>
      <c r="B210" s="8" t="s">
        <v>3122</v>
      </c>
      <c r="C210" s="8" t="s">
        <v>3123</v>
      </c>
      <c r="D210" s="8" t="s">
        <v>3124</v>
      </c>
      <c r="F210" s="5" t="str">
        <f>IFERROR(__xludf.DUMMYFUNCTION("GOOGLETRANSLATE(A210, ""en"", ""hi"")"),"209")</f>
        <v>209</v>
      </c>
      <c r="G210" s="5" t="str">
        <f>IFERROR(__xludf.DUMMYFUNCTION("GOOGLETRANSLATE(B210, ""en"", ""hi"")"),"मुष्टि युद्ध में 'ब्रह्म हस्त' क्या दर्शाता है?")</f>
        <v>मुष्टि युद्ध में 'ब्रह्म हस्त' क्या दर्शाता है?</v>
      </c>
      <c r="H210" s="5" t="str">
        <f>IFERROR(__xludf.DUMMYFUNCTION("GOOGLETRANSLATE(C210, ""en"", ""hi"")"),"A) बुद्धि, B) शक्ति, C) सृजन, D) विनाश")</f>
        <v>A) बुद्धि, B) शक्ति, C) सृजन, D) विनाश</v>
      </c>
      <c r="I210" s="5" t="str">
        <f>IFERROR(__xludf.DUMMYFUNCTION("GOOGLETRANSLATE(D210, ""en"", ""hi"")"),"सी) सृजन")</f>
        <v>सी) सृजन</v>
      </c>
    </row>
    <row r="211" ht="22.5" customHeight="1">
      <c r="A211" s="7">
        <v>210.0</v>
      </c>
      <c r="B211" s="8" t="s">
        <v>3125</v>
      </c>
      <c r="C211" s="8" t="s">
        <v>2543</v>
      </c>
      <c r="D211" s="8" t="s">
        <v>2544</v>
      </c>
      <c r="F211" s="5" t="str">
        <f>IFERROR(__xludf.DUMMYFUNCTION("GOOGLETRANSLATE(A211, ""en"", ""hi"")"),"210")</f>
        <v>210</v>
      </c>
      <c r="G211" s="5" t="str">
        <f>IFERROR(__xludf.DUMMYFUNCTION("GOOGLETRANSLATE(B211, ""en"", ""hi"")"),"किस भारतीय महाकाव्य में मुष्टि युद्ध का वर्णन है?")</f>
        <v>किस भारतीय महाकाव्य में मुष्टि युद्ध का वर्णन है?</v>
      </c>
      <c r="H211" s="5" t="str">
        <f>IFERROR(__xludf.DUMMYFUNCTION("GOOGLETRANSLATE(C211, ""en"", ""hi"")"),"ए) रामायण, बी) महाभारत, सी) भगवद गीता, डी) पंचतंत्र")</f>
        <v>ए) रामायण, बी) महाभारत, सी) भगवद गीता, डी) पंचतंत्र</v>
      </c>
      <c r="I211" s="5" t="str">
        <f>IFERROR(__xludf.DUMMYFUNCTION("GOOGLETRANSLATE(D211, ""en"", ""hi"")"),"बी) महाभारत")</f>
        <v>बी) महाभारत</v>
      </c>
    </row>
    <row r="212" ht="22.5" customHeight="1">
      <c r="A212" s="7">
        <v>211.0</v>
      </c>
      <c r="B212" s="8" t="s">
        <v>3126</v>
      </c>
      <c r="C212" s="8" t="s">
        <v>3127</v>
      </c>
      <c r="D212" s="8" t="s">
        <v>3128</v>
      </c>
      <c r="F212" s="5" t="str">
        <f>IFERROR(__xludf.DUMMYFUNCTION("GOOGLETRANSLATE(A212, ""en"", ""hi"")"),"211")</f>
        <v>211</v>
      </c>
      <c r="G212" s="5" t="str">
        <f>IFERROR(__xludf.DUMMYFUNCTION("GOOGLETRANSLATE(B212, ""en"", ""hi"")"),"मुष्टियुद्ध में 'पद मुद्रा' का उद्देश्य क्या है?")</f>
        <v>मुष्टियुद्ध में 'पद मुद्रा' का उद्देश्य क्या है?</v>
      </c>
      <c r="H212" s="5" t="str">
        <f>IFERROR(__xludf.DUMMYFUNCTION("GOOGLETRANSLATE(C212, ""en"", ""hi"")"),"ए) हमलों को रोकना, बी) किकिंग तकनीक, सी) फुटवर्क, डी) हाथ से वार")</f>
        <v>ए) हमलों को रोकना, बी) किकिंग तकनीक, सी) फुटवर्क, डी) हाथ से वार</v>
      </c>
      <c r="I212" s="5" t="str">
        <f>IFERROR(__xludf.DUMMYFUNCTION("GOOGLETRANSLATE(D212, ""en"", ""hi"")"),"सी) फुटवर्क")</f>
        <v>सी) फुटवर्क</v>
      </c>
    </row>
    <row r="213" ht="22.5" customHeight="1">
      <c r="A213" s="7">
        <v>212.0</v>
      </c>
      <c r="B213" s="8" t="s">
        <v>3129</v>
      </c>
      <c r="C213" s="8" t="s">
        <v>3130</v>
      </c>
      <c r="D213" s="8" t="s">
        <v>3131</v>
      </c>
      <c r="F213" s="5" t="str">
        <f>IFERROR(__xludf.DUMMYFUNCTION("GOOGLETRANSLATE(A213, ""en"", ""hi"")"),"212")</f>
        <v>212</v>
      </c>
      <c r="G213" s="5" t="str">
        <f>IFERROR(__xludf.DUMMYFUNCTION("GOOGLETRANSLATE(B213, ""en"", ""hi"")"),"'शीर्ष मुद्रा' में मुख्य रूप से शरीर के किस अंग को लक्षित किया जाता है?")</f>
        <v>'शीर्ष मुद्रा' में मुख्य रूप से शरीर के किस अंग को लक्षित किया जाता है?</v>
      </c>
      <c r="H213" s="5" t="str">
        <f>IFERROR(__xludf.DUMMYFUNCTION("GOOGLETRANSLATE(C213, ""en"", ""hi"")"),"A) सिर, B) धड़, C) भुजाएँ, D) पैर")</f>
        <v>A) सिर, B) धड़, C) भुजाएँ, D) पैर</v>
      </c>
      <c r="I213" s="5" t="str">
        <f>IFERROR(__xludf.DUMMYFUNCTION("GOOGLETRANSLATE(D213, ""en"", ""hi"")"),"आगे")</f>
        <v>आगे</v>
      </c>
    </row>
    <row r="214" ht="22.5" customHeight="1">
      <c r="A214" s="7">
        <v>213.0</v>
      </c>
      <c r="B214" s="8" t="s">
        <v>3132</v>
      </c>
      <c r="C214" s="8" t="s">
        <v>3133</v>
      </c>
      <c r="D214" s="8" t="s">
        <v>2972</v>
      </c>
      <c r="F214" s="5" t="str">
        <f>IFERROR(__xludf.DUMMYFUNCTION("GOOGLETRANSLATE(A214, ""en"", ""hi"")"),"213")</f>
        <v>213</v>
      </c>
      <c r="G214" s="5" t="str">
        <f>IFERROR(__xludf.DUMMYFUNCTION("GOOGLETRANSLATE(B214, ""en"", ""hi"")"),"मुष्टि युद्ध में 'व्याघ्रासन' किस पर केंद्रित है?")</f>
        <v>मुष्टि युद्ध में 'व्याघ्रासन' किस पर केंद्रित है?</v>
      </c>
      <c r="H214" s="5" t="str">
        <f>IFERROR(__xludf.DUMMYFUNCTION("GOOGLETRANSLATE(C214, ""en"", ""hi"")"),"A) गति, B) शक्ति, C) चपलता, D) लचीलापन")</f>
        <v>A) गति, B) शक्ति, C) चपलता, D) लचीलापन</v>
      </c>
      <c r="I214" s="5" t="str">
        <f>IFERROR(__xludf.DUMMYFUNCTION("GOOGLETRANSLATE(D214, ""en"", ""hi"")"),"सी) चपलता")</f>
        <v>सी) चपलता</v>
      </c>
    </row>
    <row r="215" ht="22.5" customHeight="1">
      <c r="A215" s="7">
        <v>214.0</v>
      </c>
      <c r="B215" s="8" t="s">
        <v>3134</v>
      </c>
      <c r="C215" s="8" t="s">
        <v>3135</v>
      </c>
      <c r="D215" s="8" t="s">
        <v>3136</v>
      </c>
      <c r="F215" s="5" t="str">
        <f>IFERROR(__xludf.DUMMYFUNCTION("GOOGLETRANSLATE(A215, ""en"", ""hi"")"),"214")</f>
        <v>214</v>
      </c>
      <c r="G215" s="5" t="str">
        <f>IFERROR(__xludf.DUMMYFUNCTION("GOOGLETRANSLATE(B215, ""en"", ""hi"")"),"'मकर हस्त' करने के लिए कौन सी शारीरिक गतिविधि आवश्यक है?")</f>
        <v>'मकर हस्त' करने के लिए कौन सी शारीरिक गतिविधि आवश्यक है?</v>
      </c>
      <c r="H215" s="5" t="str">
        <f>IFERROR(__xludf.DUMMYFUNCTION("GOOGLETRANSLATE(C215, ""en"", ""hi"")"),"A) फ्लेक्सन, B) एक्सटेंशन, C) रोटेशन, D) संपीड़न")</f>
        <v>A) फ्लेक्सन, B) एक्सटेंशन, C) रोटेशन, D) संपीड़न</v>
      </c>
      <c r="I215" s="5" t="str">
        <f>IFERROR(__xludf.DUMMYFUNCTION("GOOGLETRANSLATE(D215, ""en"", ""hi"")"),"बी) विस्तार")</f>
        <v>बी) विस्तार</v>
      </c>
    </row>
    <row r="216" ht="22.5" customHeight="1">
      <c r="A216" s="7">
        <v>215.0</v>
      </c>
      <c r="B216" s="8" t="s">
        <v>3137</v>
      </c>
      <c r="C216" s="8" t="s">
        <v>3138</v>
      </c>
      <c r="D216" s="8" t="s">
        <v>3139</v>
      </c>
      <c r="F216" s="5" t="str">
        <f>IFERROR(__xludf.DUMMYFUNCTION("GOOGLETRANSLATE(A216, ""en"", ""hi"")"),"215")</f>
        <v>215</v>
      </c>
      <c r="G216" s="5" t="str">
        <f>IFERROR(__xludf.DUMMYFUNCTION("GOOGLETRANSLATE(B216, ""en"", ""hi"")"),"मुष्टि युद्ध में 'नागा हस्त' किसका प्रतीक है?")</f>
        <v>मुष्टि युद्ध में 'नागा हस्त' किसका प्रतीक है?</v>
      </c>
      <c r="H216" s="5" t="str">
        <f>IFERROR(__xludf.DUMMYFUNCTION("GOOGLETRANSLATE(C216, ""en"", ""hi"")"),"A) बुद्धि, B) चुपके, C) शक्ति, D) गति")</f>
        <v>A) बुद्धि, B) चुपके, C) शक्ति, D) गति</v>
      </c>
      <c r="I216" s="5" t="str">
        <f>IFERROR(__xludf.DUMMYFUNCTION("GOOGLETRANSLATE(D216, ""en"", ""hi"")"),"बी) चुपके")</f>
        <v>बी) चुपके</v>
      </c>
    </row>
    <row r="217" ht="22.5" customHeight="1">
      <c r="A217" s="7">
        <v>216.0</v>
      </c>
      <c r="B217" s="8" t="s">
        <v>3140</v>
      </c>
      <c r="C217" s="8" t="s">
        <v>3141</v>
      </c>
      <c r="D217" s="8" t="s">
        <v>3142</v>
      </c>
      <c r="F217" s="5" t="str">
        <f>IFERROR(__xludf.DUMMYFUNCTION("GOOGLETRANSLATE(A217, ""en"", ""hi"")"),"216")</f>
        <v>216</v>
      </c>
      <c r="G217" s="5" t="str">
        <f>IFERROR(__xludf.DUMMYFUNCTION("GOOGLETRANSLATE(B217, ""en"", ""hi"")"),"कौन सा भारतीय राजा मुष्टि युद्ध के लिए जाना जाता था?")</f>
        <v>कौन सा भारतीय राजा मुष्टि युद्ध के लिए जाना जाता था?</v>
      </c>
      <c r="H217" s="5" t="str">
        <f>IFERROR(__xludf.DUMMYFUNCTION("GOOGLETRANSLATE(C217, ""en"", ""hi"")"),"ए) चंद्रगुप्त मौर्य, बी) हर्षवर्द्धन, सी) पृथ्वीराज चौहान, डी) राजा राजा चोल")</f>
        <v>ए) चंद्रगुप्त मौर्य, बी) हर्षवर्द्धन, सी) पृथ्वीराज चौहान, डी) राजा राजा चोल</v>
      </c>
      <c r="I217" s="5" t="str">
        <f>IFERROR(__xludf.DUMMYFUNCTION("GOOGLETRANSLATE(D217, ""en"", ""hi"")"),"C) पृथ्वीराज चौहान")</f>
        <v>C) पृथ्वीराज चौहान</v>
      </c>
    </row>
    <row r="218" ht="22.5" customHeight="1">
      <c r="A218" s="7">
        <v>217.0</v>
      </c>
      <c r="B218" s="8" t="s">
        <v>3143</v>
      </c>
      <c r="C218" s="8" t="s">
        <v>3144</v>
      </c>
      <c r="D218" s="8" t="s">
        <v>3145</v>
      </c>
      <c r="F218" s="5" t="str">
        <f>IFERROR(__xludf.DUMMYFUNCTION("GOOGLETRANSLATE(A218, ""en"", ""hi"")"),"217")</f>
        <v>217</v>
      </c>
      <c r="G218" s="5" t="str">
        <f>IFERROR(__xludf.DUMMYFUNCTION("GOOGLETRANSLATE(B218, ""en"", ""hi"")"),"'वज्र हस्त' के लिए कौन सी शारीरिक विशेषता महत्वपूर्ण है?")</f>
        <v>'वज्र हस्त' के लिए कौन सी शारीरिक विशेषता महत्वपूर्ण है?</v>
      </c>
      <c r="H218" s="5" t="str">
        <f>IFERROR(__xludf.DUMMYFUNCTION("GOOGLETRANSLATE(C218, ""en"", ""hi"")"),"A) लचीलापन, B) संतुलन, C) शक्ति, D) चपलता")</f>
        <v>A) लचीलापन, B) संतुलन, C) शक्ति, D) चपलता</v>
      </c>
      <c r="I218" s="5" t="str">
        <f>IFERROR(__xludf.DUMMYFUNCTION("GOOGLETRANSLATE(D218, ""en"", ""hi"")"),"सी) ताकत")</f>
        <v>सी) ताकत</v>
      </c>
    </row>
    <row r="219" ht="22.5" customHeight="1">
      <c r="A219" s="7">
        <v>218.0</v>
      </c>
      <c r="B219" s="8" t="s">
        <v>3146</v>
      </c>
      <c r="C219" s="8" t="s">
        <v>3147</v>
      </c>
      <c r="D219" s="8" t="s">
        <v>3148</v>
      </c>
      <c r="F219" s="5" t="str">
        <f>IFERROR(__xludf.DUMMYFUNCTION("GOOGLETRANSLATE(A219, ""en"", ""hi"")"),"218")</f>
        <v>218</v>
      </c>
      <c r="G219" s="5" t="str">
        <f>IFERROR(__xludf.DUMMYFUNCTION("GOOGLETRANSLATE(B219, ""en"", ""hi"")"),"मुष्टि युद्ध में 'मुख हस्त' की क्या भूमिका है?")</f>
        <v>मुष्टि युद्ध में 'मुख हस्त' की क्या भूमिका है?</v>
      </c>
      <c r="H219" s="5" t="str">
        <f>IFERROR(__xludf.DUMMYFUNCTION("GOOGLETRANSLATE(C219, ""en"", ""hi"")"),"A) बचाव करना, B) आक्रमण करना, C) ध्यान भटकाना, D) संतुलन बनाना")</f>
        <v>A) बचाव करना, B) आक्रमण करना, C) ध्यान भटकाना, D) संतुलन बनाना</v>
      </c>
      <c r="I219" s="5" t="str">
        <f>IFERROR(__xludf.DUMMYFUNCTION("GOOGLETRANSLATE(D219, ""en"", ""hi"")"),"C) ध्यान भटकाना")</f>
        <v>C) ध्यान भटकाना</v>
      </c>
    </row>
    <row r="220" ht="22.5" customHeight="1">
      <c r="A220" s="7">
        <v>219.0</v>
      </c>
      <c r="B220" s="8" t="s">
        <v>3149</v>
      </c>
      <c r="C220" s="8" t="s">
        <v>3150</v>
      </c>
      <c r="D220" s="8" t="s">
        <v>3151</v>
      </c>
      <c r="F220" s="5" t="str">
        <f>IFERROR(__xludf.DUMMYFUNCTION("GOOGLETRANSLATE(A220, ""en"", ""hi"")"),"219")</f>
        <v>219</v>
      </c>
      <c r="G220" s="5" t="str">
        <f>IFERROR(__xludf.DUMMYFUNCTION("GOOGLETRANSLATE(B220, ""en"", ""hi"")"),"'गज हस्त' किस प्रकार की गति की विशेषता है?")</f>
        <v>'गज हस्त' किस प्रकार की गति की विशेषता है?</v>
      </c>
      <c r="H220" s="5" t="str">
        <f>IFERROR(__xludf.DUMMYFUNCTION("GOOGLETRANSLATE(C220, ""en"", ""hi"")"),"A) धीमा और स्थिर, B) त्वरित और हल्का, C) भारी और शक्तिशाली, D) गोलाकार")</f>
        <v>A) धीमा और स्थिर, B) त्वरित और हल्का, C) भारी और शक्तिशाली, D) गोलाकार</v>
      </c>
      <c r="I220" s="5" t="str">
        <f>IFERROR(__xludf.DUMMYFUNCTION("GOOGLETRANSLATE(D220, ""en"", ""hi"")"),"C) भारी और शक्तिशाली")</f>
        <v>C) भारी और शक्तिशाली</v>
      </c>
    </row>
    <row r="221" ht="22.5" customHeight="1">
      <c r="A221" s="7">
        <v>220.0</v>
      </c>
      <c r="B221" s="8" t="s">
        <v>3152</v>
      </c>
      <c r="C221" s="8" t="s">
        <v>3153</v>
      </c>
      <c r="D221" s="8" t="s">
        <v>3154</v>
      </c>
      <c r="F221" s="5" t="str">
        <f>IFERROR(__xludf.DUMMYFUNCTION("GOOGLETRANSLATE(A221, ""en"", ""hi"")"),"220")</f>
        <v>220</v>
      </c>
      <c r="G221" s="5" t="str">
        <f>IFERROR(__xludf.DUMMYFUNCTION("GOOGLETRANSLATE(B221, ""en"", ""hi"")"),"मुष्टि युद्ध में मन को शांत करने के लिए कौन सी श्वास तकनीक का उपयोग किया जाता है?")</f>
        <v>मुष्टि युद्ध में मन को शांत करने के लिए कौन सी श्वास तकनीक का उपयोग किया जाता है?</v>
      </c>
      <c r="H221" s="5" t="str">
        <f>IFERROR(__xludf.DUMMYFUNCTION("GOOGLETRANSLATE(C221, ""en"", ""hi"")"),"ए) कपालभाति, बी) भस्त्रिका, सी) अनुलोम-विलोम, डी) उज्जायी")</f>
        <v>ए) कपालभाति, बी) भस्त्रिका, सी) अनुलोम-विलोम, डी) उज्जायी</v>
      </c>
      <c r="I221" s="5" t="str">
        <f>IFERROR(__xludf.DUMMYFUNCTION("GOOGLETRANSLATE(D221, ""en"", ""hi"")"),"C) अनुलोम विलोम")</f>
        <v>C) अनुलोम विलोम</v>
      </c>
    </row>
    <row r="222" ht="22.5" customHeight="1">
      <c r="A222" s="7">
        <v>221.0</v>
      </c>
      <c r="B222" s="8" t="s">
        <v>3155</v>
      </c>
      <c r="C222" s="8" t="s">
        <v>3156</v>
      </c>
      <c r="D222" s="8" t="s">
        <v>3157</v>
      </c>
      <c r="F222" s="5" t="str">
        <f>IFERROR(__xludf.DUMMYFUNCTION("GOOGLETRANSLATE(A222, ""en"", ""hi"")"),"221")</f>
        <v>221</v>
      </c>
      <c r="G222" s="5" t="str">
        <f>IFERROR(__xludf.DUMMYFUNCTION("GOOGLETRANSLATE(B222, ""en"", ""hi"")"),"मुष्टि युद्ध में 'सूर्य हस्त' किस पर जोर देता है?")</f>
        <v>मुष्टि युद्ध में 'सूर्य हस्त' किस पर जोर देता है?</v>
      </c>
      <c r="H222" s="5" t="str">
        <f>IFERROR(__xludf.DUMMYFUNCTION("GOOGLETRANSLATE(C222, ""en"", ""hi"")"),"A) प्रकाश और गर्मी, B) ताकत और शक्ति, C) गति और चपलता, D) शांति और ध्यान")</f>
        <v>A) प्रकाश और गर्मी, B) ताकत और शक्ति, C) गति और चपलता, D) शांति और ध्यान</v>
      </c>
      <c r="I222" s="5" t="str">
        <f>IFERROR(__xludf.DUMMYFUNCTION("GOOGLETRANSLATE(D222, ""en"", ""hi"")"),"बी) ताकत और शक्ति")</f>
        <v>बी) ताकत और शक्ति</v>
      </c>
    </row>
    <row r="223" ht="22.5" customHeight="1">
      <c r="A223" s="7">
        <v>222.0</v>
      </c>
      <c r="B223" s="8" t="s">
        <v>3158</v>
      </c>
      <c r="C223" s="8" t="s">
        <v>3159</v>
      </c>
      <c r="D223" s="8" t="s">
        <v>3160</v>
      </c>
      <c r="F223" s="5" t="str">
        <f>IFERROR(__xludf.DUMMYFUNCTION("GOOGLETRANSLATE(A223, ""en"", ""hi"")"),"222")</f>
        <v>222</v>
      </c>
      <c r="G223" s="5" t="str">
        <f>IFERROR(__xludf.DUMMYFUNCTION("GOOGLETRANSLATE(B223, ""en"", ""hi"")"),"कौन सी मार्शल आर्ट मुष्टि युद्ध के साथ सामान्य तकनीक साझा करती है?")</f>
        <v>कौन सी मार्शल आर्ट मुष्टि युद्ध के साथ सामान्य तकनीक साझा करती है?</v>
      </c>
      <c r="H223" s="5" t="str">
        <f>IFERROR(__xludf.DUMMYFUNCTION("GOOGLETRANSLATE(C223, ""en"", ""hi"")"),"ए) कलारी पयट्टू, बी) तायक्वोंडो, सी) कुंग फू, डी) जुजुत्सु")</f>
        <v>ए) कलारी पयट्टू, बी) तायक्वोंडो, सी) कुंग फू, डी) जुजुत्सु</v>
      </c>
      <c r="I223" s="5" t="str">
        <f>IFERROR(__xludf.DUMMYFUNCTION("GOOGLETRANSLATE(D223, ""en"", ""hi"")"),"A) कलारी पयट्टू")</f>
        <v>A) कलारी पयट्टू</v>
      </c>
    </row>
    <row r="224" ht="22.5" customHeight="1">
      <c r="A224" s="7">
        <v>223.0</v>
      </c>
      <c r="B224" s="8" t="s">
        <v>3161</v>
      </c>
      <c r="C224" s="8" t="s">
        <v>3162</v>
      </c>
      <c r="D224" s="8" t="s">
        <v>3163</v>
      </c>
      <c r="F224" s="5" t="str">
        <f>IFERROR(__xludf.DUMMYFUNCTION("GOOGLETRANSLATE(A224, ""en"", ""hi"")"),"223")</f>
        <v>223</v>
      </c>
      <c r="G224" s="5" t="str">
        <f>IFERROR(__xludf.DUMMYFUNCTION("GOOGLETRANSLATE(B224, ""en"", ""hi"")"),"मुष्टि युद्ध में कौन सी तकनीक हाथ की गति पर केंद्रित है?")</f>
        <v>मुष्टि युद्ध में कौन सी तकनीक हाथ की गति पर केंद्रित है?</v>
      </c>
      <c r="H224" s="5" t="str">
        <f>IFERROR(__xludf.DUMMYFUNCTION("GOOGLETRANSLATE(C224, ""en"", ""hi"")"),"ए) अग्नि हस्त, बी) तर्जनी हस्त, सी) वज्र हस्त, डी) पृथ्वी हस्त")</f>
        <v>ए) अग्नि हस्त, बी) तर्जनी हस्त, सी) वज्र हस्त, डी) पृथ्वी हस्त</v>
      </c>
      <c r="I224" s="5" t="str">
        <f>IFERROR(__xludf.DUMMYFUNCTION("GOOGLETRANSLATE(D224, ""en"", ""hi"")"),"बी) तर्जनी हस्ता")</f>
        <v>बी) तर्जनी हस्ता</v>
      </c>
    </row>
    <row r="225" ht="22.5" customHeight="1">
      <c r="A225" s="7">
        <v>224.0</v>
      </c>
      <c r="B225" s="8" t="s">
        <v>3164</v>
      </c>
      <c r="C225" s="8" t="s">
        <v>3165</v>
      </c>
      <c r="D225" s="8" t="s">
        <v>3166</v>
      </c>
      <c r="F225" s="5" t="str">
        <f>IFERROR(__xludf.DUMMYFUNCTION("GOOGLETRANSLATE(A225, ""en"", ""hi"")"),"224")</f>
        <v>224</v>
      </c>
      <c r="G225" s="5" t="str">
        <f>IFERROR(__xludf.DUMMYFUNCTION("GOOGLETRANSLATE(B225, ""en"", ""hi"")"),"ऐसा माना जाता है कि किस भारतीय संत ने मुष्टि युद्ध को लोकप्रिय बनाया?")</f>
        <v>ऐसा माना जाता है कि किस भारतीय संत ने मुष्टि युद्ध को लोकप्रिय बनाया?</v>
      </c>
      <c r="H225" s="5" t="str">
        <f>IFERROR(__xludf.DUMMYFUNCTION("GOOGLETRANSLATE(C225, ""en"", ""hi"")"),"ए) तुलसीदास, बी) वाल्मिकी, सी) विद्यारण्य, डी) कबीर")</f>
        <v>ए) तुलसीदास, बी) वाल्मिकी, सी) विद्यारण्य, डी) कबीर</v>
      </c>
      <c r="I225" s="5" t="str">
        <f>IFERROR(__xludf.DUMMYFUNCTION("GOOGLETRANSLATE(D225, ""en"", ""hi"")"),"C) विद्यारण्य")</f>
        <v>C) विद्यारण्य</v>
      </c>
    </row>
    <row r="226" ht="22.5" customHeight="1">
      <c r="A226" s="7">
        <v>225.0</v>
      </c>
      <c r="B226" s="8" t="s">
        <v>3167</v>
      </c>
      <c r="C226" s="8" t="s">
        <v>3168</v>
      </c>
      <c r="D226" s="8" t="s">
        <v>3169</v>
      </c>
      <c r="F226" s="5" t="str">
        <f>IFERROR(__xludf.DUMMYFUNCTION("GOOGLETRANSLATE(A226, ""en"", ""hi"")"),"225")</f>
        <v>225</v>
      </c>
      <c r="G226" s="5" t="str">
        <f>IFERROR(__xludf.DUMMYFUNCTION("GOOGLETRANSLATE(B226, ""en"", ""hi"")"),"ऊंची किक का मुकाबला करने के लिए कौन सी मुष्टि युद्ध तकनीक प्रभावी है?")</f>
        <v>ऊंची किक का मुकाबला करने के लिए कौन सी मुष्टि युद्ध तकनीक प्रभावी है?</v>
      </c>
      <c r="H226" s="5" t="str">
        <f>IFERROR(__xludf.DUMMYFUNCTION("GOOGLETRANSLATE(C226, ""en"", ""hi"")"),"ए) उत्कटासन, बी) व्यपद हस्त, सी) तर्जनी हस्त, डी) पाद दर्शन")</f>
        <v>ए) उत्कटासन, बी) व्यपद हस्त, सी) तर्जनी हस्त, डी) पाद दर्शन</v>
      </c>
      <c r="I226" s="5" t="str">
        <f>IFERROR(__xludf.DUMMYFUNCTION("GOOGLETRANSLATE(D226, ""en"", ""hi"")"),"बी) व्यापद हस्त")</f>
        <v>बी) व्यापद हस्त</v>
      </c>
    </row>
    <row r="227" ht="22.5" customHeight="1">
      <c r="A227" s="7">
        <v>226.0</v>
      </c>
      <c r="B227" s="8" t="s">
        <v>3170</v>
      </c>
      <c r="C227" s="8" t="s">
        <v>3171</v>
      </c>
      <c r="D227" s="8" t="s">
        <v>3172</v>
      </c>
      <c r="F227" s="5" t="str">
        <f>IFERROR(__xludf.DUMMYFUNCTION("GOOGLETRANSLATE(A227, ""en"", ""hi"")"),"226")</f>
        <v>226</v>
      </c>
      <c r="G227" s="5" t="str">
        <f>IFERROR(__xludf.DUMMYFUNCTION("GOOGLETRANSLATE(B227, ""en"", ""hi"")"),"'वायु हस्त' गति विकसित करने के लिए कौन सी प्रशिक्षण तकनीक महत्वपूर्ण है?")</f>
        <v>'वायु हस्त' गति विकसित करने के लिए कौन सी प्रशिक्षण तकनीक महत्वपूर्ण है?</v>
      </c>
      <c r="H227" s="5" t="str">
        <f>IFERROR(__xludf.DUMMYFUNCTION("GOOGLETRANSLATE(C227, ""en"", ""hi"")"),"A) स्प्रिंटिंग, B) वेटलिफ्टिंग, C) जंपिंग जैक्स, D) योग")</f>
        <v>A) स्प्रिंटिंग, B) वेटलिफ्टिंग, C) जंपिंग जैक्स, D) योग</v>
      </c>
      <c r="I227" s="5" t="str">
        <f>IFERROR(__xludf.DUMMYFUNCTION("GOOGLETRANSLATE(D227, ""en"", ""hi"")"),"ए) स्प्रिंटिंग")</f>
        <v>ए) स्प्रिंटिंग</v>
      </c>
    </row>
    <row r="228" ht="22.5" customHeight="1">
      <c r="A228" s="7">
        <v>227.0</v>
      </c>
      <c r="B228" s="8" t="s">
        <v>3173</v>
      </c>
      <c r="C228" s="8" t="s">
        <v>3174</v>
      </c>
      <c r="D228" s="8" t="s">
        <v>3175</v>
      </c>
      <c r="F228" s="5" t="str">
        <f>IFERROR(__xludf.DUMMYFUNCTION("GOOGLETRANSLATE(A228, ""en"", ""hi"")"),"227")</f>
        <v>227</v>
      </c>
      <c r="G228" s="5" t="str">
        <f>IFERROR(__xludf.DUMMYFUNCTION("GOOGLETRANSLATE(B228, ""en"", ""hi"")"),"किस भारतीय मार्शल आर्ट को मुष्टि युद्ध का अग्रदूत माना जाता है?")</f>
        <v>किस भारतीय मार्शल आर्ट को मुष्टि युद्ध का अग्रदूत माना जाता है?</v>
      </c>
      <c r="H228" s="5" t="str">
        <f>IFERROR(__xludf.DUMMYFUNCTION("GOOGLETRANSLATE(C228, ""en"", ""hi"")"),"ए) मल्लखंब, बी) वज्रमुष्टि, सी) थांग-ता, डी) सिलंबम")</f>
        <v>ए) मल्लखंब, बी) वज्रमुष्टि, सी) थांग-ता, डी) सिलंबम</v>
      </c>
      <c r="I228" s="5" t="str">
        <f>IFERROR(__xludf.DUMMYFUNCTION("GOOGLETRANSLATE(D228, ""en"", ""hi"")"),"बी) वज्रमुष्टि")</f>
        <v>बी) वज्रमुष्टि</v>
      </c>
    </row>
    <row r="229" ht="22.5" customHeight="1">
      <c r="A229" s="7">
        <v>228.0</v>
      </c>
      <c r="B229" s="8" t="s">
        <v>3176</v>
      </c>
      <c r="C229" s="8" t="s">
        <v>3177</v>
      </c>
      <c r="D229" s="8" t="s">
        <v>3178</v>
      </c>
      <c r="F229" s="5" t="str">
        <f>IFERROR(__xludf.DUMMYFUNCTION("GOOGLETRANSLATE(A229, ""en"", ""hi"")"),"228")</f>
        <v>228</v>
      </c>
      <c r="G229" s="5" t="str">
        <f>IFERROR(__xludf.DUMMYFUNCTION("GOOGLETRANSLATE(B229, ""en"", ""hi"")"),"मुष्टि युद्ध में 'अग्नि हस्त' क्या दर्शाता है?")</f>
        <v>मुष्टि युद्ध में 'अग्नि हस्त' क्या दर्शाता है?</v>
      </c>
      <c r="H229" s="5" t="str">
        <f>IFERROR(__xludf.DUMMYFUNCTION("GOOGLETRANSLATE(C229, ""en"", ""hi"")"),"A) आग और जुनून, B) ताकत और सहनशक्ति, C) चपलता और गति, D) बुद्धि और शांति")</f>
        <v>A) आग और जुनून, B) ताकत और सहनशक्ति, C) चपलता और गति, D) बुद्धि और शांति</v>
      </c>
      <c r="I229" s="5" t="str">
        <f>IFERROR(__xludf.DUMMYFUNCTION("GOOGLETRANSLATE(D229, ""en"", ""hi"")"),"A) आग और जुनून")</f>
        <v>A) आग और जुनून</v>
      </c>
    </row>
    <row r="230" ht="22.5" customHeight="1">
      <c r="A230" s="7">
        <v>229.0</v>
      </c>
      <c r="B230" s="8" t="s">
        <v>3179</v>
      </c>
      <c r="C230" s="8" t="s">
        <v>3180</v>
      </c>
      <c r="D230" s="8" t="s">
        <v>3169</v>
      </c>
      <c r="F230" s="5" t="str">
        <f>IFERROR(__xludf.DUMMYFUNCTION("GOOGLETRANSLATE(A230, ""en"", ""hi"")"),"229")</f>
        <v>229</v>
      </c>
      <c r="G230" s="5" t="str">
        <f>IFERROR(__xludf.DUMMYFUNCTION("GOOGLETRANSLATE(B230, ""en"", ""hi"")"),"मुश्ती युद्ध में कौन सी चाल हमलों को रोकने के लिए बनाई गई है?")</f>
        <v>मुश्ती युद्ध में कौन सी चाल हमलों को रोकने के लिए बनाई गई है?</v>
      </c>
      <c r="H230" s="5" t="str">
        <f>IFERROR(__xludf.DUMMYFUNCTION("GOOGLETRANSLATE(C230, ""en"", ""hi"")"),"ए) गति हस्त, बी) व्यापाद हस्त, सी) वज्र हस्त, डी) तर्जनी हस्त")</f>
        <v>ए) गति हस्त, बी) व्यापाद हस्त, सी) वज्र हस्त, डी) तर्जनी हस्त</v>
      </c>
      <c r="I230" s="5" t="str">
        <f>IFERROR(__xludf.DUMMYFUNCTION("GOOGLETRANSLATE(D230, ""en"", ""hi"")"),"बी) व्यापद हस्त")</f>
        <v>बी) व्यापद हस्त</v>
      </c>
    </row>
    <row r="231" ht="22.5" customHeight="1">
      <c r="A231" s="7">
        <v>230.0</v>
      </c>
      <c r="B231" s="8" t="s">
        <v>3181</v>
      </c>
      <c r="C231" s="8" t="s">
        <v>3182</v>
      </c>
      <c r="D231" s="8" t="s">
        <v>3183</v>
      </c>
      <c r="F231" s="5" t="str">
        <f>IFERROR(__xludf.DUMMYFUNCTION("GOOGLETRANSLATE(A231, ""en"", ""hi"")"),"230")</f>
        <v>230</v>
      </c>
      <c r="G231" s="5" t="str">
        <f>IFERROR(__xludf.DUMMYFUNCTION("GOOGLETRANSLATE(B231, ""en"", ""hi"")"),"मुष्टि युद्ध में 'पृथ्वी हस्त' का प्राथमिक फोकस क्या है?")</f>
        <v>मुष्टि युद्ध में 'पृथ्वी हस्त' का प्राथमिक फोकस क्या है?</v>
      </c>
      <c r="H231" s="5" t="str">
        <f>IFERROR(__xludf.DUMMYFUNCTION("GOOGLETRANSLATE(C231, ""en"", ""hi"")"),"A) ग्राउंड स्ट्राइक, B) हाई किक, C) हैंड ग्रिप्स, D) बैलेंस")</f>
        <v>A) ग्राउंड स्ट्राइक, B) हाई किक, C) हैंड ग्रिप्स, D) बैलेंस</v>
      </c>
      <c r="I231" s="5" t="str">
        <f>IFERROR(__xludf.DUMMYFUNCTION("GOOGLETRANSLATE(D231, ""en"", ""hi"")"),"A) जमीनी हमले")</f>
        <v>A) जमीनी हमले</v>
      </c>
    </row>
    <row r="232" ht="22.5" customHeight="1">
      <c r="A232" s="7">
        <v>231.0</v>
      </c>
      <c r="B232" s="8" t="s">
        <v>3184</v>
      </c>
      <c r="C232" s="8" t="s">
        <v>3185</v>
      </c>
      <c r="D232" s="8" t="s">
        <v>3186</v>
      </c>
      <c r="F232" s="5" t="str">
        <f>IFERROR(__xludf.DUMMYFUNCTION("GOOGLETRANSLATE(A232, ""en"", ""hi"")"),"231")</f>
        <v>231</v>
      </c>
      <c r="G232" s="5" t="str">
        <f>IFERROR(__xludf.DUMMYFUNCTION("GOOGLETRANSLATE(B232, ""en"", ""hi"")"),"मुष्टि युद्ध में 'वायु हस्त' किस तत्व से संबंधित है?")</f>
        <v>मुष्टि युद्ध में 'वायु हस्त' किस तत्व से संबंधित है?</v>
      </c>
      <c r="H232" s="5" t="str">
        <f>IFERROR(__xludf.DUMMYFUNCTION("GOOGLETRANSLATE(C232, ""en"", ""hi"")"),"A) पृथ्वी, B) जल, C) वायु, D) अग्नि")</f>
        <v>A) पृथ्वी, B) जल, C) वायु, D) अग्नि</v>
      </c>
      <c r="I232" s="5" t="str">
        <f>IFERROR(__xludf.DUMMYFUNCTION("GOOGLETRANSLATE(D232, ""en"", ""hi"")"),"C) वायु")</f>
        <v>C) वायु</v>
      </c>
    </row>
    <row r="233" ht="22.5" customHeight="1">
      <c r="A233" s="7">
        <v>232.0</v>
      </c>
      <c r="B233" s="8" t="s">
        <v>3187</v>
      </c>
      <c r="C233" s="8" t="s">
        <v>3188</v>
      </c>
      <c r="D233" s="8" t="s">
        <v>3189</v>
      </c>
      <c r="F233" s="5" t="str">
        <f>IFERROR(__xludf.DUMMYFUNCTION("GOOGLETRANSLATE(A233, ""en"", ""hi"")"),"232")</f>
        <v>232</v>
      </c>
      <c r="G233" s="5" t="str">
        <f>IFERROR(__xludf.DUMMYFUNCTION("GOOGLETRANSLATE(B233, ""en"", ""hi"")"),"कौन सी महान योद्धा रानी मुष्टि युद्ध के लिए जानी जाती थी?")</f>
        <v>कौन सी महान योद्धा रानी मुष्टि युद्ध के लिए जानी जाती थी?</v>
      </c>
      <c r="H233" s="5" t="str">
        <f>IFERROR(__xludf.DUMMYFUNCTION("GOOGLETRANSLATE(C233, ""en"", ""hi"")"),"ए) रानी लक्ष्मीबाई, बी) रजिया सुल्ताना, सी) अहिल्याबाई होल्कर, डी) रुद्रमादेवी")</f>
        <v>ए) रानी लक्ष्मीबाई, बी) रजिया सुल्ताना, सी) अहिल्याबाई होल्कर, डी) रुद्रमादेवी</v>
      </c>
      <c r="I233" s="5" t="str">
        <f>IFERROR(__xludf.DUMMYFUNCTION("GOOGLETRANSLATE(D233, ""en"", ""hi"")"),"A) रानी लक्ष्मीबाई")</f>
        <v>A) रानी लक्ष्मीबाई</v>
      </c>
    </row>
    <row r="234" ht="22.5" customHeight="1">
      <c r="A234" s="7">
        <v>233.0</v>
      </c>
      <c r="B234" s="8" t="s">
        <v>3190</v>
      </c>
      <c r="C234" s="8" t="s">
        <v>3191</v>
      </c>
      <c r="D234" s="8" t="s">
        <v>3192</v>
      </c>
      <c r="F234" s="5" t="str">
        <f>IFERROR(__xludf.DUMMYFUNCTION("GOOGLETRANSLATE(A234, ""en"", ""hi"")"),"233")</f>
        <v>233</v>
      </c>
      <c r="G234" s="5" t="str">
        <f>IFERROR(__xludf.DUMMYFUNCTION("GOOGLETRANSLATE(B234, ""en"", ""hi"")"),"मुश्ती युद्ध में कौन सा रुख अपनी रक्षात्मक क्षमता के लिए जाना जाता है?")</f>
        <v>मुश्ती युद्ध में कौन सा रुख अपनी रक्षात्मक क्षमता के लिए जाना जाता है?</v>
      </c>
      <c r="H234" s="5" t="str">
        <f>IFERROR(__xludf.DUMMYFUNCTION("GOOGLETRANSLATE(C234, ""en"", ""hi"")"),"ए) ताड़ासन, बी) वज्रासन, सी) दंडासन, डी) नटराजासन")</f>
        <v>ए) ताड़ासन, बी) वज्रासन, सी) दंडासन, डी) नटराजासन</v>
      </c>
      <c r="I234" s="5" t="str">
        <f>IFERROR(__xludf.DUMMYFUNCTION("GOOGLETRANSLATE(D234, ""en"", ""hi"")"),"बी) वज्रासन")</f>
        <v>बी) वज्रासन</v>
      </c>
    </row>
    <row r="235" ht="22.5" customHeight="1">
      <c r="A235" s="7">
        <v>234.0</v>
      </c>
      <c r="B235" s="8" t="s">
        <v>3193</v>
      </c>
      <c r="C235" s="8" t="s">
        <v>3194</v>
      </c>
      <c r="D235" s="8" t="s">
        <v>3169</v>
      </c>
      <c r="F235" s="5" t="str">
        <f>IFERROR(__xludf.DUMMYFUNCTION("GOOGLETRANSLATE(A235, ""en"", ""hi"")"),"234")</f>
        <v>234</v>
      </c>
      <c r="G235" s="5" t="str">
        <f>IFERROR(__xludf.DUMMYFUNCTION("GOOGLETRANSLATE(B235, ""en"", ""hi"")"),"मुष्टि युद्ध में आक्रमण से बचने के लिए किस तकनीक का प्रयोग किया जाता है?")</f>
        <v>मुष्टि युद्ध में आक्रमण से बचने के लिए किस तकनीक का प्रयोग किया जाता है?</v>
      </c>
      <c r="H235" s="5" t="str">
        <f>IFERROR(__xludf.DUMMYFUNCTION("GOOGLETRANSLATE(C235, ""en"", ""hi"")"),"ए) अग्नि प्रदर्शन, बी) व्यापाद हस्त, सी) प्राण मुद्रा, डी) पाद हस्त")</f>
        <v>ए) अग्नि प्रदर्शन, बी) व्यापाद हस्त, सी) प्राण मुद्रा, डी) पाद हस्त</v>
      </c>
      <c r="I235" s="5" t="str">
        <f>IFERROR(__xludf.DUMMYFUNCTION("GOOGLETRANSLATE(D235, ""en"", ""hi"")"),"बी) व्यापद हस्त")</f>
        <v>बी) व्यापद हस्त</v>
      </c>
    </row>
    <row r="236" ht="22.5" customHeight="1">
      <c r="A236" s="7">
        <v>235.0</v>
      </c>
      <c r="B236" s="8" t="s">
        <v>3195</v>
      </c>
      <c r="C236" s="8" t="s">
        <v>3196</v>
      </c>
      <c r="D236" s="8" t="s">
        <v>3197</v>
      </c>
      <c r="F236" s="5" t="str">
        <f>IFERROR(__xludf.DUMMYFUNCTION("GOOGLETRANSLATE(A236, ""en"", ""hi"")"),"235")</f>
        <v>235</v>
      </c>
      <c r="G236" s="5" t="str">
        <f>IFERROR(__xludf.DUMMYFUNCTION("GOOGLETRANSLATE(B236, ""en"", ""hi"")"),"मुष्टि युद्ध में मानसिक एकाग्रता के लिए कौन सी मुद्रा अपनाई जाती है?")</f>
        <v>मुष्टि युद्ध में मानसिक एकाग्रता के लिए कौन सी मुद्रा अपनाई जाती है?</v>
      </c>
      <c r="H236" s="5" t="str">
        <f>IFERROR(__xludf.DUMMYFUNCTION("GOOGLETRANSLATE(C236, ""en"", ""hi"")"),"ए) पद्मासन, बी) शवासन, सी) वृक्षासन, डी) बद्ध कोणासन")</f>
        <v>ए) पद्मासन, बी) शवासन, सी) वृक्षासन, डी) बद्ध कोणासन</v>
      </c>
      <c r="I236" s="5" t="str">
        <f>IFERROR(__xludf.DUMMYFUNCTION("GOOGLETRANSLATE(D236, ""en"", ""hi"")"),"A) पद्मासन")</f>
        <v>A) पद्मासन</v>
      </c>
    </row>
    <row r="237" ht="22.5" customHeight="1">
      <c r="A237" s="7">
        <v>236.0</v>
      </c>
      <c r="B237" s="8" t="s">
        <v>3198</v>
      </c>
      <c r="C237" s="8" t="s">
        <v>3199</v>
      </c>
      <c r="D237" s="8" t="s">
        <v>3200</v>
      </c>
      <c r="F237" s="5" t="str">
        <f>IFERROR(__xludf.DUMMYFUNCTION("GOOGLETRANSLATE(A237, ""en"", ""hi"")"),"236")</f>
        <v>236</v>
      </c>
      <c r="G237" s="5" t="str">
        <f>IFERROR(__xludf.DUMMYFUNCTION("GOOGLETRANSLATE(B237, ""en"", ""hi"")"),"मुष्टि युद्ध में प्रतिद्वंद्वी को निहत्था करने के लिए कौन सी चाल का प्रयोग किया जाता है?")</f>
        <v>मुष्टि युद्ध में प्रतिद्वंद्वी को निहत्था करने के लिए कौन सी चाल का प्रयोग किया जाता है?</v>
      </c>
      <c r="H237" s="5" t="str">
        <f>IFERROR(__xludf.DUMMYFUNCTION("GOOGLETRANSLATE(C237, ""en"", ""hi"")"),"ए) व्याघ्रासन, बी) तर्जनी हस्त, सी) गज हस्त, डी) मुख प्रबोध")</f>
        <v>ए) व्याघ्रासन, बी) तर्जनी हस्त, सी) गज हस्त, डी) मुख प्रबोध</v>
      </c>
      <c r="I237" s="5" t="str">
        <f>IFERROR(__xludf.DUMMYFUNCTION("GOOGLETRANSLATE(D237, ""en"", ""hi"")"),"D) मुख प्रबोध")</f>
        <v>D) मुख प्रबोध</v>
      </c>
    </row>
    <row r="238" ht="22.5" customHeight="1">
      <c r="A238" s="7">
        <v>237.0</v>
      </c>
      <c r="B238" s="8" t="s">
        <v>3201</v>
      </c>
      <c r="C238" s="8" t="s">
        <v>3202</v>
      </c>
      <c r="D238" s="8" t="s">
        <v>3203</v>
      </c>
      <c r="F238" s="5" t="str">
        <f>IFERROR(__xludf.DUMMYFUNCTION("GOOGLETRANSLATE(A238, ""en"", ""hi"")"),"237")</f>
        <v>237</v>
      </c>
      <c r="G238" s="5" t="str">
        <f>IFERROR(__xludf.DUMMYFUNCTION("GOOGLETRANSLATE(B238, ""en"", ""hi"")"),"मुष्टि युद्ध में 'नागा मुद्रा' क्या दर्शाती है?")</f>
        <v>मुष्टि युद्ध में 'नागा मुद्रा' क्या दर्शाती है?</v>
      </c>
      <c r="H238" s="5" t="str">
        <f>IFERROR(__xludf.DUMMYFUNCTION("GOOGLETRANSLATE(C238, ""en"", ""hi"")"),"A) चुपके, B) ताकत, C) चपलता, D) रक्षा")</f>
        <v>A) चुपके, B) ताकत, C) चपलता, D) रक्षा</v>
      </c>
      <c r="I238" s="5" t="str">
        <f>IFERROR(__xludf.DUMMYFUNCTION("GOOGLETRANSLATE(D238, ""en"", ""hi"")"),"ए) चुपके")</f>
        <v>ए) चुपके</v>
      </c>
    </row>
    <row r="239" ht="22.5" customHeight="1">
      <c r="A239" s="7">
        <v>238.0</v>
      </c>
      <c r="B239" s="8" t="s">
        <v>3204</v>
      </c>
      <c r="C239" s="8" t="s">
        <v>3205</v>
      </c>
      <c r="D239" s="8" t="s">
        <v>2762</v>
      </c>
      <c r="F239" s="5" t="str">
        <f>IFERROR(__xludf.DUMMYFUNCTION("GOOGLETRANSLATE(A239, ""en"", ""hi"")"),"238")</f>
        <v>238</v>
      </c>
      <c r="G239" s="5" t="str">
        <f>IFERROR(__xludf.DUMMYFUNCTION("GOOGLETRANSLATE(B239, ""en"", ""hi"")"),"'अग्नि हस्त' किस तत्व का प्रतीक है?")</f>
        <v>'अग्नि हस्त' किस तत्व का प्रतीक है?</v>
      </c>
      <c r="H239" s="5" t="str">
        <f>IFERROR(__xludf.DUMMYFUNCTION("GOOGLETRANSLATE(C239, ""en"", ""hi"")"),"A) अग्नि, B) जल, C) पृथ्वी, D) वायु")</f>
        <v>A) अग्नि, B) जल, C) पृथ्वी, D) वायु</v>
      </c>
      <c r="I239" s="5" t="str">
        <f>IFERROR(__xludf.DUMMYFUNCTION("GOOGLETRANSLATE(D239, ""en"", ""hi"")"),"एक आग")</f>
        <v>एक आग</v>
      </c>
    </row>
    <row r="240" ht="22.5" customHeight="1">
      <c r="A240" s="7">
        <v>239.0</v>
      </c>
      <c r="B240" s="8" t="s">
        <v>3206</v>
      </c>
      <c r="C240" s="8" t="s">
        <v>3207</v>
      </c>
      <c r="D240" s="8" t="s">
        <v>3208</v>
      </c>
      <c r="F240" s="5" t="str">
        <f>IFERROR(__xludf.DUMMYFUNCTION("GOOGLETRANSLATE(A240, ""en"", ""hi"")"),"239")</f>
        <v>239</v>
      </c>
      <c r="G240" s="5" t="str">
        <f>IFERROR(__xludf.DUMMYFUNCTION("GOOGLETRANSLATE(B240, ""en"", ""hi"")"),"कौन सा भारतीय राजा अपनी मुष्टि युद्ध तकनीक के लिए प्रसिद्ध है?")</f>
        <v>कौन सा भारतीय राजा अपनी मुष्टि युद्ध तकनीक के लिए प्रसिद्ध है?</v>
      </c>
      <c r="H240" s="5" t="str">
        <f>IFERROR(__xludf.DUMMYFUNCTION("GOOGLETRANSLATE(C240, ""en"", ""hi"")"),"ए) अशोक, बी) शिवाजी महाराज, सी) चंद्रगुप्त मौर्य, डी) अकबर")</f>
        <v>ए) अशोक, बी) शिवाजी महाराज, सी) चंद्रगुप्त मौर्य, डी) अकबर</v>
      </c>
      <c r="I240" s="5" t="str">
        <f>IFERROR(__xludf.DUMMYFUNCTION("GOOGLETRANSLATE(D240, ""en"", ""hi"")"),"B) शिवाजी महाराज")</f>
        <v>B) शिवाजी महाराज</v>
      </c>
    </row>
    <row r="241" ht="22.5" customHeight="1">
      <c r="A241" s="7">
        <v>240.0</v>
      </c>
      <c r="B241" s="8" t="s">
        <v>3209</v>
      </c>
      <c r="C241" s="8" t="s">
        <v>3210</v>
      </c>
      <c r="D241" s="8" t="s">
        <v>3211</v>
      </c>
      <c r="F241" s="5" t="str">
        <f>IFERROR(__xludf.DUMMYFUNCTION("GOOGLETRANSLATE(A241, ""en"", ""hi"")"),"240")</f>
        <v>240</v>
      </c>
      <c r="G241" s="5" t="str">
        <f>IFERROR(__xludf.DUMMYFUNCTION("GOOGLETRANSLATE(B241, ""en"", ""hi"")"),"'सिंह हस्त' का मुख्य फोकस क्या है?")</f>
        <v>'सिंह हस्त' का मुख्य फोकस क्या है?</v>
      </c>
      <c r="H241" s="5" t="str">
        <f>IFERROR(__xludf.DUMMYFUNCTION("GOOGLETRANSLATE(C241, ""en"", ""hi"")"),"A) गति, B) शक्ति, C) चपलता, D) परिशुद्धता")</f>
        <v>A) गति, B) शक्ति, C) चपलता, D) परिशुद्धता</v>
      </c>
      <c r="I241" s="5" t="str">
        <f>IFERROR(__xludf.DUMMYFUNCTION("GOOGLETRANSLATE(D241, ""en"", ""hi"")"),"बी) शक्ति")</f>
        <v>बी) शक्ति</v>
      </c>
    </row>
    <row r="242" ht="22.5" customHeight="1">
      <c r="A242" s="7">
        <v>241.0</v>
      </c>
      <c r="B242" s="8" t="s">
        <v>3212</v>
      </c>
      <c r="C242" s="8" t="s">
        <v>3213</v>
      </c>
      <c r="D242" s="8" t="s">
        <v>2544</v>
      </c>
      <c r="F242" s="5" t="str">
        <f>IFERROR(__xludf.DUMMYFUNCTION("GOOGLETRANSLATE(A242, ""en"", ""hi"")"),"241")</f>
        <v>241</v>
      </c>
      <c r="G242" s="5" t="str">
        <f>IFERROR(__xludf.DUMMYFUNCTION("GOOGLETRANSLATE(B242, ""en"", ""hi"")"),"कौन सा भारतीय महाकाव्य मुष्टि युद्ध युद्ध तकनीकों से सबसे अधिक जुड़ा हुआ है?")</f>
        <v>कौन सा भारतीय महाकाव्य मुष्टि युद्ध युद्ध तकनीकों से सबसे अधिक जुड़ा हुआ है?</v>
      </c>
      <c r="H242" s="5" t="str">
        <f>IFERROR(__xludf.DUMMYFUNCTION("GOOGLETRANSLATE(C242, ""en"", ""hi"")"),"ए) रामायण, बी) महाभारत, सी) भगवद गीता, डी) पुराण")</f>
        <v>ए) रामायण, बी) महाभारत, सी) भगवद गीता, डी) पुराण</v>
      </c>
      <c r="I242" s="5" t="str">
        <f>IFERROR(__xludf.DUMMYFUNCTION("GOOGLETRANSLATE(D242, ""en"", ""hi"")"),"बी) महाभारत")</f>
        <v>बी) महाभारत</v>
      </c>
    </row>
    <row r="243" ht="22.5" customHeight="1">
      <c r="A243" s="7">
        <v>242.0</v>
      </c>
      <c r="B243" s="8" t="s">
        <v>3214</v>
      </c>
      <c r="C243" s="8" t="s">
        <v>3215</v>
      </c>
      <c r="D243" s="8" t="s">
        <v>3216</v>
      </c>
      <c r="F243" s="5" t="str">
        <f>IFERROR(__xludf.DUMMYFUNCTION("GOOGLETRANSLATE(A243, ""en"", ""hi"")"),"242")</f>
        <v>242</v>
      </c>
      <c r="G243" s="5" t="str">
        <f>IFERROR(__xludf.DUMMYFUNCTION("GOOGLETRANSLATE(B243, ""en"", ""hi"")"),"मुष्टि युद्ध में 'वायु हस्त' किस पर जोर देता है?")</f>
        <v>मुष्टि युद्ध में 'वायु हस्त' किस पर जोर देता है?</v>
      </c>
      <c r="H243" s="5" t="str">
        <f>IFERROR(__xludf.DUMMYFUNCTION("GOOGLETRANSLATE(C243, ""en"", ""hi"")"),"A) वायु तत्व, B) अग्नि तत्व, C) जल तत्व, D) पृथ्वी तत्व")</f>
        <v>A) वायु तत्व, B) अग्नि तत्व, C) जल तत्व, D) पृथ्वी तत्व</v>
      </c>
      <c r="I243" s="5" t="str">
        <f>IFERROR(__xludf.DUMMYFUNCTION("GOOGLETRANSLATE(D243, ""en"", ""hi"")"),"A) वायु तत्व")</f>
        <v>A) वायु तत्व</v>
      </c>
    </row>
    <row r="244" ht="22.5" customHeight="1">
      <c r="A244" s="7">
        <v>243.0</v>
      </c>
      <c r="B244" s="8" t="s">
        <v>3217</v>
      </c>
      <c r="C244" s="8" t="s">
        <v>3218</v>
      </c>
      <c r="D244" s="8" t="s">
        <v>3192</v>
      </c>
      <c r="F244" s="5" t="str">
        <f>IFERROR(__xludf.DUMMYFUNCTION("GOOGLETRANSLATE(A244, ""en"", ""hi"")"),"243")</f>
        <v>243</v>
      </c>
      <c r="G244" s="5" t="str">
        <f>IFERROR(__xludf.DUMMYFUNCTION("GOOGLETRANSLATE(B244, ""en"", ""hi"")"),"मुष्टि युद्ध में बचाव के लिए मुख्यतः किस आसन का प्रयोग किया जाता है?")</f>
        <v>मुष्टि युद्ध में बचाव के लिए मुख्यतः किस आसन का प्रयोग किया जाता है?</v>
      </c>
      <c r="H244" s="5" t="str">
        <f>IFERROR(__xludf.DUMMYFUNCTION("GOOGLETRANSLATE(C244, ""en"", ""hi"")"),"ए) ताड़ासन, बी) वज्रासन, सी) उत्कटासन, डी) प्रोन स्टांस")</f>
        <v>ए) ताड़ासन, बी) वज्रासन, सी) उत्कटासन, डी) प्रोन स्टांस</v>
      </c>
      <c r="I244" s="5" t="str">
        <f>IFERROR(__xludf.DUMMYFUNCTION("GOOGLETRANSLATE(D244, ""en"", ""hi"")"),"बी) वज्रासन")</f>
        <v>बी) वज्रासन</v>
      </c>
    </row>
    <row r="245" ht="22.5" customHeight="1">
      <c r="A245" s="7">
        <v>244.0</v>
      </c>
      <c r="B245" s="8" t="s">
        <v>3219</v>
      </c>
      <c r="C245" s="8" t="s">
        <v>3220</v>
      </c>
      <c r="D245" s="8" t="s">
        <v>3221</v>
      </c>
      <c r="F245" s="5" t="str">
        <f>IFERROR(__xludf.DUMMYFUNCTION("GOOGLETRANSLATE(A245, ""en"", ""hi"")"),"244")</f>
        <v>244</v>
      </c>
      <c r="G245" s="5" t="str">
        <f>IFERROR(__xludf.DUMMYFUNCTION("GOOGLETRANSLATE(B245, ""en"", ""hi"")"),"मुष्टि युद्ध में कौन सी तकनीक उच्च गति के हमलों पर केंद्रित है?")</f>
        <v>मुष्टि युद्ध में कौन सी तकनीक उच्च गति के हमलों पर केंद्रित है?</v>
      </c>
      <c r="H245" s="5" t="str">
        <f>IFERROR(__xludf.DUMMYFUNCTION("GOOGLETRANSLATE(C245, ""en"", ""hi"")"),"ए) तर्जनी हस्त, बी) वज्र हस्त, सी) मुख हस्त, डी) व्यपद हस्त")</f>
        <v>ए) तर्जनी हस्त, बी) वज्र हस्त, सी) मुख हस्त, डी) व्यपद हस्त</v>
      </c>
      <c r="I245" s="5" t="str">
        <f>IFERROR(__xludf.DUMMYFUNCTION("GOOGLETRANSLATE(D245, ""en"", ""hi"")"),"A) तर्जनी हस्ता")</f>
        <v>A) तर्जनी हस्ता</v>
      </c>
    </row>
    <row r="246" ht="22.5" customHeight="1">
      <c r="A246" s="7">
        <v>245.0</v>
      </c>
      <c r="B246" s="8" t="s">
        <v>3222</v>
      </c>
      <c r="C246" s="8" t="s">
        <v>3223</v>
      </c>
      <c r="D246" s="8" t="s">
        <v>3224</v>
      </c>
      <c r="F246" s="5" t="str">
        <f>IFERROR(__xludf.DUMMYFUNCTION("GOOGLETRANSLATE(A246, ""en"", ""hi"")"),"245")</f>
        <v>245</v>
      </c>
      <c r="G246" s="5" t="str">
        <f>IFERROR(__xludf.DUMMYFUNCTION("GOOGLETRANSLATE(B246, ""en"", ""hi"")"),"'पाद हस्त' का उद्देश्य क्या है?")</f>
        <v>'पाद हस्त' का उद्देश्य क्या है?</v>
      </c>
      <c r="H246" s="5" t="str">
        <f>IFERROR(__xludf.DUMMYFUNCTION("GOOGLETRANSLATE(C246, ""en"", ""hi"")"),"A) हाथ से प्रहार, B) पैर की गतिविधियाँ, C) रक्षात्मक युद्धाभ्यास, D) चपलता प्रशिक्षण")</f>
        <v>A) हाथ से प्रहार, B) पैर की गतिविधियाँ, C) रक्षात्मक युद्धाभ्यास, D) चपलता प्रशिक्षण</v>
      </c>
      <c r="I246" s="5" t="str">
        <f>IFERROR(__xludf.DUMMYFUNCTION("GOOGLETRANSLATE(D246, ""en"", ""hi"")"),"बी) पैर की गतिविधियाँ")</f>
        <v>बी) पैर की गतिविधियाँ</v>
      </c>
    </row>
    <row r="247" ht="22.5" customHeight="1">
      <c r="A247" s="7">
        <v>246.0</v>
      </c>
      <c r="B247" s="8" t="s">
        <v>3225</v>
      </c>
      <c r="C247" s="8" t="s">
        <v>3226</v>
      </c>
      <c r="D247" s="8" t="s">
        <v>3163</v>
      </c>
      <c r="F247" s="5" t="str">
        <f>IFERROR(__xludf.DUMMYFUNCTION("GOOGLETRANSLATE(A247, ""en"", ""hi"")"),"246")</f>
        <v>246</v>
      </c>
      <c r="G247" s="5" t="str">
        <f>IFERROR(__xludf.DUMMYFUNCTION("GOOGLETRANSLATE(B247, ""en"", ""hi"")"),"मुष्टि युद्ध में त्वरित सजगता विकसित करने के लिए कौन सी तकनीक महत्वपूर्ण है?")</f>
        <v>मुष्टि युद्ध में त्वरित सजगता विकसित करने के लिए कौन सी तकनीक महत्वपूर्ण है?</v>
      </c>
      <c r="H247" s="5" t="str">
        <f>IFERROR(__xludf.DUMMYFUNCTION("GOOGLETRANSLATE(C247, ""en"", ""hi"")"),"ए) व्यपद हस्त, बी) तर्जनी हस्त, सी) अग्नि हस्त, डी) गज हस्त")</f>
        <v>ए) व्यपद हस्त, बी) तर्जनी हस्त, सी) अग्नि हस्त, डी) गज हस्त</v>
      </c>
      <c r="I247" s="5" t="str">
        <f>IFERROR(__xludf.DUMMYFUNCTION("GOOGLETRANSLATE(D247, ""en"", ""hi"")"),"बी) तर्जनी हस्ता")</f>
        <v>बी) तर्जनी हस्ता</v>
      </c>
    </row>
    <row r="248" ht="22.5" customHeight="1">
      <c r="A248" s="7">
        <v>247.0</v>
      </c>
      <c r="B248" s="8" t="s">
        <v>3227</v>
      </c>
      <c r="C248" s="8" t="s">
        <v>3228</v>
      </c>
      <c r="D248" s="8" t="s">
        <v>3229</v>
      </c>
      <c r="F248" s="5" t="str">
        <f>IFERROR(__xludf.DUMMYFUNCTION("GOOGLETRANSLATE(A248, ""en"", ""hi"")"),"247")</f>
        <v>247</v>
      </c>
      <c r="G248" s="5" t="str">
        <f>IFERROR(__xludf.DUMMYFUNCTION("GOOGLETRANSLATE(B248, ""en"", ""hi"")"),"मुष्टियुद्ध में 'भुजंगासन' किसका प्रतीक है?")</f>
        <v>मुष्टियुद्ध में 'भुजंगासन' किसका प्रतीक है?</v>
      </c>
      <c r="H248" s="5" t="str">
        <f>IFERROR(__xludf.DUMMYFUNCTION("GOOGLETRANSLATE(C248, ""en"", ""hi"")"),"A) लचीलापन, B) ताकत, C) चपलता, D) रक्षा")</f>
        <v>A) लचीलापन, B) ताकत, C) चपलता, D) रक्षा</v>
      </c>
      <c r="I248" s="5" t="str">
        <f>IFERROR(__xludf.DUMMYFUNCTION("GOOGLETRANSLATE(D248, ""en"", ""hi"")"),"ए) लचीलापन")</f>
        <v>ए) लचीलापन</v>
      </c>
    </row>
    <row r="249" ht="22.5" customHeight="1">
      <c r="A249" s="7">
        <v>248.0</v>
      </c>
      <c r="B249" s="8" t="s">
        <v>3230</v>
      </c>
      <c r="C249" s="8" t="s">
        <v>3231</v>
      </c>
      <c r="D249" s="8" t="s">
        <v>3160</v>
      </c>
      <c r="F249" s="5" t="str">
        <f>IFERROR(__xludf.DUMMYFUNCTION("GOOGLETRANSLATE(A249, ""en"", ""hi"")"),"248")</f>
        <v>248</v>
      </c>
      <c r="G249" s="5" t="str">
        <f>IFERROR(__xludf.DUMMYFUNCTION("GOOGLETRANSLATE(B249, ""en"", ""hi"")"),"कौन सी भारतीय मार्शल आर्ट मुष्टि युद्ध से निकटता से संबंधित है?")</f>
        <v>कौन सी भारतीय मार्शल आर्ट मुष्टि युद्ध से निकटता से संबंधित है?</v>
      </c>
      <c r="H249" s="5" t="str">
        <f>IFERROR(__xludf.DUMMYFUNCTION("GOOGLETRANSLATE(C249, ""en"", ""hi"")"),"ए) कलारी पयट्टू, बी) तायक्वोंडो, सी) जूडो, डी) कुंग फू")</f>
        <v>ए) कलारी पयट्टू, बी) तायक्वोंडो, सी) जूडो, डी) कुंग फू</v>
      </c>
      <c r="I249" s="5" t="str">
        <f>IFERROR(__xludf.DUMMYFUNCTION("GOOGLETRANSLATE(D249, ""en"", ""hi"")"),"A) कलारी पयट्टू")</f>
        <v>A) कलारी पयट्टू</v>
      </c>
    </row>
    <row r="250" ht="22.5" customHeight="1">
      <c r="A250" s="7">
        <v>249.0</v>
      </c>
      <c r="B250" s="8" t="s">
        <v>3232</v>
      </c>
      <c r="C250" s="8" t="s">
        <v>3233</v>
      </c>
      <c r="D250" s="8" t="s">
        <v>3234</v>
      </c>
      <c r="F250" s="5" t="str">
        <f>IFERROR(__xludf.DUMMYFUNCTION("GOOGLETRANSLATE(A250, ""en"", ""hi"")"),"249")</f>
        <v>249</v>
      </c>
      <c r="G250" s="5" t="str">
        <f>IFERROR(__xludf.DUMMYFUNCTION("GOOGLETRANSLATE(B250, ""en"", ""hi"")"),"मुष्टि युद्ध में संतुलन बढ़ाने के लिए किस चाल का उपयोग किया जाता है?")</f>
        <v>मुष्टि युद्ध में संतुलन बढ़ाने के लिए किस चाल का उपयोग किया जाता है?</v>
      </c>
      <c r="H250" s="5" t="str">
        <f>IFERROR(__xludf.DUMMYFUNCTION("GOOGLETRANSLATE(C250, ""en"", ""hi"")"),"ए) उत्कटासन, बी) तर्जनी हस्त, सी) व्यपद हस्त, डी) गज हस्त")</f>
        <v>ए) उत्कटासन, बी) तर्जनी हस्त, सी) व्यपद हस्त, डी) गज हस्त</v>
      </c>
      <c r="I250" s="5" t="str">
        <f>IFERROR(__xludf.DUMMYFUNCTION("GOOGLETRANSLATE(D250, ""en"", ""hi"")"),"A) उत्कटासन")</f>
        <v>A) उत्कटासन</v>
      </c>
    </row>
    <row r="251" ht="22.5" customHeight="1">
      <c r="A251" s="7">
        <v>250.0</v>
      </c>
      <c r="B251" s="8" t="s">
        <v>3235</v>
      </c>
      <c r="C251" s="8" t="s">
        <v>3236</v>
      </c>
      <c r="D251" s="8" t="s">
        <v>3237</v>
      </c>
      <c r="F251" s="5" t="str">
        <f>IFERROR(__xludf.DUMMYFUNCTION("GOOGLETRANSLATE(A251, ""en"", ""hi"")"),"250")</f>
        <v>250</v>
      </c>
      <c r="G251" s="5" t="str">
        <f>IFERROR(__xludf.DUMMYFUNCTION("GOOGLETRANSLATE(B251, ""en"", ""hi"")"),"मुष्टि युद्ध में मुख्य रूप से 'मुख मुद्रा' का उपयोग किस लिए किया जाता है?")</f>
        <v>मुष्टि युद्ध में मुख्य रूप से 'मुख मुद्रा' का उपयोग किस लिए किया जाता है?</v>
      </c>
      <c r="H251" s="5" t="str">
        <f>IFERROR(__xludf.DUMMYFUNCTION("GOOGLETRANSLATE(C251, ""en"", ""hi"")"),"A) व्याकुलता, B) रक्षा, C) आक्रमण, D) चपलता")</f>
        <v>A) व्याकुलता, B) रक्षा, C) आक्रमण, D) चपलता</v>
      </c>
      <c r="I251" s="5" t="str">
        <f>IFERROR(__xludf.DUMMYFUNCTION("GOOGLETRANSLATE(D251, ""en"", ""hi"")"),"ए) ध्यान भटकाना")</f>
        <v>ए) ध्यान भटकाना</v>
      </c>
    </row>
    <row r="252" ht="22.5" customHeight="1">
      <c r="A252" s="7">
        <v>251.0</v>
      </c>
      <c r="B252" s="8" t="s">
        <v>3238</v>
      </c>
      <c r="C252" s="8" t="s">
        <v>3239</v>
      </c>
      <c r="D252" s="8" t="s">
        <v>3240</v>
      </c>
      <c r="F252" s="5" t="str">
        <f>IFERROR(__xludf.DUMMYFUNCTION("GOOGLETRANSLATE(A252, ""en"", ""hi"")"),"251")</f>
        <v>251</v>
      </c>
      <c r="G252" s="5" t="str">
        <f>IFERROR(__xludf.DUMMYFUNCTION("GOOGLETRANSLATE(B252, ""en"", ""hi"")"),"कौन सी हाथ तकनीक सटीक प्रहार पर केंद्रित है?")</f>
        <v>कौन सी हाथ तकनीक सटीक प्रहार पर केंद्रित है?</v>
      </c>
      <c r="H252" s="5" t="str">
        <f>IFERROR(__xludf.DUMMYFUNCTION("GOOGLETRANSLATE(C252, ""en"", ""hi"")"),"ए) वज्र हस्त, बी) मुख हस्त, सी) अग्नि हस्त, डी) तर्जनी हस्त")</f>
        <v>ए) वज्र हस्त, बी) मुख हस्त, सी) अग्नि हस्त, डी) तर्जनी हस्त</v>
      </c>
      <c r="I252" s="5" t="str">
        <f>IFERROR(__xludf.DUMMYFUNCTION("GOOGLETRANSLATE(D252, ""en"", ""hi"")"),"A) वज्र हस्त")</f>
        <v>A) वज्र हस्त</v>
      </c>
    </row>
    <row r="253" ht="22.5" customHeight="1">
      <c r="A253" s="7">
        <v>252.0</v>
      </c>
      <c r="B253" s="8" t="s">
        <v>3241</v>
      </c>
      <c r="C253" s="8" t="s">
        <v>3242</v>
      </c>
      <c r="D253" s="8" t="s">
        <v>3243</v>
      </c>
      <c r="F253" s="5" t="str">
        <f>IFERROR(__xludf.DUMMYFUNCTION("GOOGLETRANSLATE(A253, ""en"", ""hi"")"),"252")</f>
        <v>252</v>
      </c>
      <c r="G253" s="5" t="str">
        <f>IFERROR(__xludf.DUMMYFUNCTION("GOOGLETRANSLATE(B253, ""en"", ""hi"")"),"मुष्टि युद्ध में 'गज हस्त' का क्या महत्व है?")</f>
        <v>मुष्टि युद्ध में 'गज हस्त' का क्या महत्व है?</v>
      </c>
      <c r="H253" s="5" t="str">
        <f>IFERROR(__xludf.DUMMYFUNCTION("GOOGLETRANSLATE(C253, ""en"", ""hi"")"),"A) ताकत और शक्ति, B) गति और चपलता, C) सटीकता और नियंत्रण, D) लचीलापन और संतुलन")</f>
        <v>A) ताकत और शक्ति, B) गति और चपलता, C) सटीकता और नियंत्रण, D) लचीलापन और संतुलन</v>
      </c>
      <c r="I253" s="5" t="str">
        <f>IFERROR(__xludf.DUMMYFUNCTION("GOOGLETRANSLATE(D253, ""en"", ""hi"")"),"ए) ताकत और शक्ति")</f>
        <v>ए) ताकत और शक्ति</v>
      </c>
    </row>
    <row r="254" ht="22.5" customHeight="1">
      <c r="A254" s="7">
        <v>253.0</v>
      </c>
      <c r="B254" s="8" t="s">
        <v>3244</v>
      </c>
      <c r="C254" s="8" t="s">
        <v>3245</v>
      </c>
      <c r="D254" s="8" t="s">
        <v>3246</v>
      </c>
      <c r="F254" s="5" t="str">
        <f>IFERROR(__xludf.DUMMYFUNCTION("GOOGLETRANSLATE(A254, ""en"", ""hi"")"),"253")</f>
        <v>253</v>
      </c>
      <c r="G254" s="5" t="str">
        <f>IFERROR(__xludf.DUMMYFUNCTION("GOOGLETRANSLATE(B254, ""en"", ""hi"")"),"मुष्टि युद्ध में हाथ की ताकत बढ़ाने के लिए किस तकनीक का उपयोग किया जाता है?")</f>
        <v>मुष्टि युद्ध में हाथ की ताकत बढ़ाने के लिए किस तकनीक का उपयोग किया जाता है?</v>
      </c>
      <c r="H254" s="5" t="str">
        <f>IFERROR(__xludf.DUMMYFUNCTION("GOOGLETRANSLATE(C254, ""en"", ""hi"")"),"ए) मकीवारा प्रशिक्षण, बी) स्पीड बैग वर्क, सी) स्ट्रेंथ कंडीशनिंग, डी) लचीलापन व्यायाम")</f>
        <v>ए) मकीवारा प्रशिक्षण, बी) स्पीड बैग वर्क, सी) स्ट्रेंथ कंडीशनिंग, डी) लचीलापन व्यायाम</v>
      </c>
      <c r="I254" s="5" t="str">
        <f>IFERROR(__xludf.DUMMYFUNCTION("GOOGLETRANSLATE(D254, ""en"", ""hi"")"),"A) मकीवारा प्रशिक्षण")</f>
        <v>A) मकीवारा प्रशिक्षण</v>
      </c>
    </row>
    <row r="255" ht="22.5" customHeight="1">
      <c r="A255" s="7">
        <v>254.0</v>
      </c>
      <c r="B255" s="8" t="s">
        <v>3247</v>
      </c>
      <c r="C255" s="8" t="s">
        <v>3248</v>
      </c>
      <c r="D255" s="8" t="s">
        <v>3249</v>
      </c>
      <c r="F255" s="5" t="str">
        <f>IFERROR(__xludf.DUMMYFUNCTION("GOOGLETRANSLATE(A255, ""en"", ""hi"")"),"254")</f>
        <v>254</v>
      </c>
      <c r="G255" s="5" t="str">
        <f>IFERROR(__xludf.DUMMYFUNCTION("GOOGLETRANSLATE(B255, ""en"", ""hi"")"),"'वज्र हस्त' क्या दर्शाता है?")</f>
        <v>'वज्र हस्त' क्या दर्शाता है?</v>
      </c>
      <c r="H255" s="5" t="str">
        <f>IFERROR(__xludf.DUMMYFUNCTION("GOOGLETRANSLATE(C255, ""en"", ""hi"")"),"A) शक्ति और प्रभाव, B) गति और चपलता, C) रक्षा और बचाव, D) सटीकता और तकनीक")</f>
        <v>A) शक्ति और प्रभाव, B) गति और चपलता, C) रक्षा और बचाव, D) सटीकता और तकनीक</v>
      </c>
      <c r="I255" s="5" t="str">
        <f>IFERROR(__xludf.DUMMYFUNCTION("GOOGLETRANSLATE(D255, ""en"", ""hi"")"),"ए) शक्ति और प्रभाव")</f>
        <v>ए) शक्ति और प्रभाव</v>
      </c>
    </row>
    <row r="256" ht="22.5" customHeight="1">
      <c r="A256" s="7">
        <v>255.0</v>
      </c>
      <c r="B256" s="8" t="s">
        <v>3250</v>
      </c>
      <c r="C256" s="8" t="s">
        <v>3251</v>
      </c>
      <c r="D256" s="8" t="s">
        <v>3252</v>
      </c>
      <c r="F256" s="5" t="str">
        <f>IFERROR(__xludf.DUMMYFUNCTION("GOOGLETRANSLATE(A256, ""en"", ""hi"")"),"255")</f>
        <v>255</v>
      </c>
      <c r="G256" s="5" t="str">
        <f>IFERROR(__xludf.DUMMYFUNCTION("GOOGLETRANSLATE(B256, ""en"", ""hi"")"),"मुश्ती युद्ध में आक्रामक चालों के लिए कौन सा रुख सबसे अच्छा है?")</f>
        <v>मुश्ती युद्ध में आक्रामक चालों के लिए कौन सा रुख सबसे अच्छा है?</v>
      </c>
      <c r="H256" s="5" t="str">
        <f>IFERROR(__xludf.DUMMYFUNCTION("GOOGLETRANSLATE(C256, ""en"", ""hi"")"),"A) आगे की ओर रुख, B) बगल की ओर रुख, C) पीछे की ओर रुख, D) पेट के बल लेटना")</f>
        <v>A) आगे की ओर रुख, B) बगल की ओर रुख, C) पीछे की ओर रुख, D) पेट के बल लेटना</v>
      </c>
      <c r="I256" s="5" t="str">
        <f>IFERROR(__xludf.DUMMYFUNCTION("GOOGLETRANSLATE(D256, ""en"", ""hi"")"),"A) आगे की ओर रुख")</f>
        <v>A) आगे की ओर रुख</v>
      </c>
    </row>
    <row r="257" ht="22.5" customHeight="1">
      <c r="A257" s="7">
        <v>256.0</v>
      </c>
      <c r="B257" s="8" t="s">
        <v>3253</v>
      </c>
      <c r="C257" s="8" t="s">
        <v>3254</v>
      </c>
      <c r="D257" s="8" t="s">
        <v>3255</v>
      </c>
      <c r="F257" s="5" t="str">
        <f>IFERROR(__xludf.DUMMYFUNCTION("GOOGLETRANSLATE(A257, ""en"", ""hi"")"),"256")</f>
        <v>256</v>
      </c>
      <c r="G257" s="5" t="str">
        <f>IFERROR(__xludf.DUMMYFUNCTION("GOOGLETRANSLATE(B257, ""en"", ""hi"")"),"मुष्टि युद्ध में धीरज के लिए कौन सी श्वास तकनीक आवश्यक है?")</f>
        <v>मुष्टि युद्ध में धीरज के लिए कौन सी श्वास तकनीक आवश्यक है?</v>
      </c>
      <c r="H257" s="5" t="str">
        <f>IFERROR(__xludf.DUMMYFUNCTION("GOOGLETRANSLATE(C257, ""en"", ""hi"")"),"A) गहरी साँस लेना, B) उथली साँस लेना, C) तेज़ साँस लेना, D) साँस रोकना")</f>
        <v>A) गहरी साँस लेना, B) उथली साँस लेना, C) तेज़ साँस लेना, D) साँस रोकना</v>
      </c>
      <c r="I257" s="5" t="str">
        <f>IFERROR(__xludf.DUMMYFUNCTION("GOOGLETRANSLATE(D257, ""en"", ""hi"")"),"ए) गहरी साँस लेना")</f>
        <v>ए) गहरी साँस लेना</v>
      </c>
    </row>
    <row r="258" ht="22.5" customHeight="1">
      <c r="A258" s="7">
        <v>257.0</v>
      </c>
      <c r="B258" s="8" t="s">
        <v>3256</v>
      </c>
      <c r="C258" s="8" t="s">
        <v>3257</v>
      </c>
      <c r="D258" s="8" t="s">
        <v>3258</v>
      </c>
      <c r="F258" s="5" t="str">
        <f>IFERROR(__xludf.DUMMYFUNCTION("GOOGLETRANSLATE(A258, ""en"", ""hi"")"),"257")</f>
        <v>257</v>
      </c>
      <c r="G258" s="5" t="str">
        <f>IFERROR(__xludf.DUMMYFUNCTION("GOOGLETRANSLATE(B258, ""en"", ""hi"")"),"ऊंची किक को रोकने के लिए किस चाल का उपयोग किया जाता है?")</f>
        <v>ऊंची किक को रोकने के लिए किस चाल का उपयोग किया जाता है?</v>
      </c>
      <c r="H258" s="5" t="str">
        <f>IFERROR(__xludf.DUMMYFUNCTION("GOOGLETRANSLATE(C258, ""en"", ""hi"")"),"ए) व्यपद हस्त, बी) तर्जनी हस्त, सी) अग्नि हस्त, डी) मुख हस्त")</f>
        <v>ए) व्यपद हस्त, बी) तर्जनी हस्त, सी) अग्नि हस्त, डी) मुख हस्त</v>
      </c>
      <c r="I258" s="5" t="str">
        <f>IFERROR(__xludf.DUMMYFUNCTION("GOOGLETRANSLATE(D258, ""en"", ""hi"")"),"A) व्यापद हस्त")</f>
        <v>A) व्यापद हस्त</v>
      </c>
    </row>
    <row r="259" ht="22.5" customHeight="1">
      <c r="A259" s="7">
        <v>258.0</v>
      </c>
      <c r="B259" s="8" t="s">
        <v>3259</v>
      </c>
      <c r="C259" s="8" t="s">
        <v>3182</v>
      </c>
      <c r="D259" s="8" t="s">
        <v>3183</v>
      </c>
      <c r="F259" s="5" t="str">
        <f>IFERROR(__xludf.DUMMYFUNCTION("GOOGLETRANSLATE(A259, ""en"", ""hi"")"),"258")</f>
        <v>258</v>
      </c>
      <c r="G259" s="5" t="str">
        <f>IFERROR(__xludf.DUMMYFUNCTION("GOOGLETRANSLATE(B259, ""en"", ""hi"")"),"मुष्टि युद्ध में 'पृथ्वी हस्त' का उपयोग किस लिए किया जाता है?")</f>
        <v>मुष्टि युद्ध में 'पृथ्वी हस्त' का उपयोग किस लिए किया जाता है?</v>
      </c>
      <c r="H259" s="5" t="str">
        <f>IFERROR(__xludf.DUMMYFUNCTION("GOOGLETRANSLATE(C259, ""en"", ""hi"")"),"A) ग्राउंड स्ट्राइक, B) हाई किक, C) हैंड ग्रिप्स, D) बैलेंस")</f>
        <v>A) ग्राउंड स्ट्राइक, B) हाई किक, C) हैंड ग्रिप्स, D) बैलेंस</v>
      </c>
      <c r="I259" s="5" t="str">
        <f>IFERROR(__xludf.DUMMYFUNCTION("GOOGLETRANSLATE(D259, ""en"", ""hi"")"),"A) जमीनी हमले")</f>
        <v>A) जमीनी हमले</v>
      </c>
    </row>
    <row r="260" ht="22.5" customHeight="1">
      <c r="A260" s="7">
        <v>259.0</v>
      </c>
      <c r="B260" s="8" t="s">
        <v>3260</v>
      </c>
      <c r="C260" s="8" t="s">
        <v>3165</v>
      </c>
      <c r="D260" s="8" t="s">
        <v>3166</v>
      </c>
      <c r="F260" s="5" t="str">
        <f>IFERROR(__xludf.DUMMYFUNCTION("GOOGLETRANSLATE(A260, ""en"", ""hi"")"),"259")</f>
        <v>259</v>
      </c>
      <c r="G260" s="5" t="str">
        <f>IFERROR(__xludf.DUMMYFUNCTION("GOOGLETRANSLATE(B260, ""en"", ""hi"")"),"कौन से भारतीय संत मुष्टि युद्ध प्रशिक्षण से जुड़े हैं?")</f>
        <v>कौन से भारतीय संत मुष्टि युद्ध प्रशिक्षण से जुड़े हैं?</v>
      </c>
      <c r="H260" s="5" t="str">
        <f>IFERROR(__xludf.DUMMYFUNCTION("GOOGLETRANSLATE(C260, ""en"", ""hi"")"),"ए) तुलसीदास, बी) वाल्मिकी, सी) विद्यारण्य, डी) कबीर")</f>
        <v>ए) तुलसीदास, बी) वाल्मिकी, सी) विद्यारण्य, डी) कबीर</v>
      </c>
      <c r="I260" s="5" t="str">
        <f>IFERROR(__xludf.DUMMYFUNCTION("GOOGLETRANSLATE(D260, ""en"", ""hi"")"),"C) विद्यारण्य")</f>
        <v>C) विद्यारण्य</v>
      </c>
    </row>
    <row r="261" ht="22.5" customHeight="1">
      <c r="A261" s="7">
        <v>260.0</v>
      </c>
      <c r="B261" s="8" t="s">
        <v>3261</v>
      </c>
      <c r="C261" s="8" t="s">
        <v>3262</v>
      </c>
      <c r="D261" s="8" t="s">
        <v>3263</v>
      </c>
      <c r="F261" s="5" t="str">
        <f>IFERROR(__xludf.DUMMYFUNCTION("GOOGLETRANSLATE(A261, ""en"", ""hi"")"),"260")</f>
        <v>260</v>
      </c>
      <c r="G261" s="5" t="str">
        <f>IFERROR(__xludf.DUMMYFUNCTION("GOOGLETRANSLATE(B261, ""en"", ""hi"")"),"कौन सी महान हस्ती मुष्टि युद्ध का अभ्यास करती थी और अपने युद्ध कौशल के लिए जानी जाती थी?")</f>
        <v>कौन सी महान हस्ती मुष्टि युद्ध का अभ्यास करती थी और अपने युद्ध कौशल के लिए जानी जाती थी?</v>
      </c>
      <c r="H261" s="5" t="str">
        <f>IFERROR(__xludf.DUMMYFUNCTION("GOOGLETRANSLATE(C261, ""en"", ""hi"")"),"ए)महाराणा प्रताप,बी)चंद्रगुप्त मौर्य,सी)अशोक,डी)शिवाजी महाराज")</f>
        <v>ए)महाराणा प्रताप,बी)चंद्रगुप्त मौर्य,सी)अशोक,डी)शिवाजी महाराज</v>
      </c>
      <c r="I261" s="5" t="str">
        <f>IFERROR(__xludf.DUMMYFUNCTION("GOOGLETRANSLATE(D261, ""en"", ""hi"")"),"A) महाराणा प्रताप")</f>
        <v>A) महाराणा प्रताप</v>
      </c>
    </row>
    <row r="262" ht="22.5" customHeight="1">
      <c r="A262" s="7">
        <v>261.0</v>
      </c>
      <c r="B262" s="8" t="s">
        <v>3264</v>
      </c>
      <c r="C262" s="8" t="s">
        <v>3265</v>
      </c>
      <c r="D262" s="8" t="s">
        <v>3121</v>
      </c>
      <c r="F262" s="5" t="str">
        <f>IFERROR(__xludf.DUMMYFUNCTION("GOOGLETRANSLATE(A262, ""en"", ""hi"")"),"261")</f>
        <v>261</v>
      </c>
      <c r="G262" s="5" t="str">
        <f>IFERROR(__xludf.DUMMYFUNCTION("GOOGLETRANSLATE(B262, ""en"", ""hi"")"),"'मुख हस्त' का मुख्य फोकस क्या है?")</f>
        <v>'मुख हस्त' का मुख्य फोकस क्या है?</v>
      </c>
      <c r="H262" s="5" t="str">
        <f>IFERROR(__xludf.DUMMYFUNCTION("GOOGLETRANSLATE(C262, ""en"", ""hi"")"),"A) रक्षा, B) आक्रमण, C) व्याकुलता, D) संतुलन")</f>
        <v>A) रक्षा, B) आक्रमण, C) व्याकुलता, D) संतुलन</v>
      </c>
      <c r="I262" s="5" t="str">
        <f>IFERROR(__xludf.DUMMYFUNCTION("GOOGLETRANSLATE(D262, ""en"", ""hi"")"),"सी) ध्यान भटकाना")</f>
        <v>सी) ध्यान भटकाना</v>
      </c>
    </row>
    <row r="263" ht="22.5" customHeight="1">
      <c r="A263" s="7">
        <v>262.0</v>
      </c>
      <c r="B263" s="8" t="s">
        <v>3266</v>
      </c>
      <c r="C263" s="8" t="s">
        <v>3257</v>
      </c>
      <c r="D263" s="8" t="s">
        <v>3258</v>
      </c>
      <c r="F263" s="5" t="str">
        <f>IFERROR(__xludf.DUMMYFUNCTION("GOOGLETRANSLATE(A263, ""en"", ""hi"")"),"262")</f>
        <v>262</v>
      </c>
      <c r="G263" s="5" t="str">
        <f>IFERROR(__xludf.DUMMYFUNCTION("GOOGLETRANSLATE(B263, ""en"", ""hi"")"),"मुष्टि युद्ध में हमलों का मुकाबला करने के लिए कौन सी चाल का उपयोग किया जाता है?")</f>
        <v>मुष्टि युद्ध में हमलों का मुकाबला करने के लिए कौन सी चाल का उपयोग किया जाता है?</v>
      </c>
      <c r="H263" s="5" t="str">
        <f>IFERROR(__xludf.DUMMYFUNCTION("GOOGLETRANSLATE(C263, ""en"", ""hi"")"),"ए) व्यपद हस्त, बी) तर्जनी हस्त, सी) अग्नि हस्त, डी) मुख हस्त")</f>
        <v>ए) व्यपद हस्त, बी) तर्जनी हस्त, सी) अग्नि हस्त, डी) मुख हस्त</v>
      </c>
      <c r="I263" s="5" t="str">
        <f>IFERROR(__xludf.DUMMYFUNCTION("GOOGLETRANSLATE(D263, ""en"", ""hi"")"),"A) व्यापद हस्त")</f>
        <v>A) व्यापद हस्त</v>
      </c>
    </row>
    <row r="264" ht="22.5" customHeight="1">
      <c r="A264" s="7">
        <v>263.0</v>
      </c>
      <c r="B264" s="8" t="s">
        <v>3267</v>
      </c>
      <c r="C264" s="8" t="s">
        <v>3268</v>
      </c>
      <c r="D264" s="8" t="s">
        <v>3269</v>
      </c>
      <c r="F264" s="5" t="str">
        <f>IFERROR(__xludf.DUMMYFUNCTION("GOOGLETRANSLATE(A264, ""en"", ""hi"")"),"263")</f>
        <v>263</v>
      </c>
      <c r="G264" s="5" t="str">
        <f>IFERROR(__xludf.DUMMYFUNCTION("GOOGLETRANSLATE(B264, ""en"", ""hi"")"),"'नागा हस्त' किसका प्रतीक है?")</f>
        <v>'नागा हस्त' किसका प्रतीक है?</v>
      </c>
      <c r="H264" s="5" t="str">
        <f>IFERROR(__xludf.DUMMYFUNCTION("GOOGLETRANSLATE(C264, ""en"", ""hi"")"),"A) चुपके और चपलता, B) ताकत और शक्ति, C) परिशुद्धता और नियंत्रण, D) लचीलापन और संतुलन")</f>
        <v>A) चुपके और चपलता, B) ताकत और शक्ति, C) परिशुद्धता और नियंत्रण, D) लचीलापन और संतुलन</v>
      </c>
      <c r="I264" s="5" t="str">
        <f>IFERROR(__xludf.DUMMYFUNCTION("GOOGLETRANSLATE(D264, ""en"", ""hi"")"),"A) चुपके और चपलता")</f>
        <v>A) चुपके और चपलता</v>
      </c>
    </row>
    <row r="265" ht="22.5" customHeight="1">
      <c r="A265" s="7">
        <v>264.0</v>
      </c>
      <c r="B265" s="8" t="s">
        <v>3270</v>
      </c>
      <c r="C265" s="8" t="s">
        <v>3271</v>
      </c>
      <c r="D265" s="8" t="s">
        <v>3272</v>
      </c>
      <c r="F265" s="5" t="str">
        <f>IFERROR(__xludf.DUMMYFUNCTION("GOOGLETRANSLATE(A265, ""en"", ""hi"")"),"264")</f>
        <v>264</v>
      </c>
      <c r="G265" s="5" t="str">
        <f>IFERROR(__xludf.DUMMYFUNCTION("GOOGLETRANSLATE(B265, ""en"", ""hi"")"),"कौन सा ऐतिहासिक ग्रंथ मुष्टि युद्ध तकनीकों का वर्णन करता है?")</f>
        <v>कौन सा ऐतिहासिक ग्रंथ मुष्टि युद्ध तकनीकों का वर्णन करता है?</v>
      </c>
      <c r="H265" s="5" t="str">
        <f>IFERROR(__xludf.DUMMYFUNCTION("GOOGLETRANSLATE(C265, ""en"", ""hi"")"),"ए) कामसूत्र, बी) अर्थशास्त्र, सी) योग सूत्र, डी) पुराण")</f>
        <v>ए) कामसूत्र, बी) अर्थशास्त्र, सी) योग सूत्र, डी) पुराण</v>
      </c>
      <c r="I265" s="5" t="str">
        <f>IFERROR(__xludf.DUMMYFUNCTION("GOOGLETRANSLATE(D265, ""en"", ""hi"")"),"बी) अर्थशास्त्र")</f>
        <v>बी) अर्थशास्त्र</v>
      </c>
    </row>
    <row r="266" ht="22.5" customHeight="1">
      <c r="A266" s="7">
        <v>265.0</v>
      </c>
      <c r="B266" s="8" t="s">
        <v>3273</v>
      </c>
      <c r="C266" s="8" t="s">
        <v>3274</v>
      </c>
      <c r="D266" s="8" t="s">
        <v>3275</v>
      </c>
      <c r="F266" s="5" t="str">
        <f>IFERROR(__xludf.DUMMYFUNCTION("GOOGLETRANSLATE(A266, ""en"", ""hi"")"),"265")</f>
        <v>265</v>
      </c>
      <c r="G266" s="5" t="str">
        <f>IFERROR(__xludf.DUMMYFUNCTION("GOOGLETRANSLATE(B266, ""en"", ""hi"")"),"कौन सा भारतीय राजवंश मुष्टि युद्ध के संरक्षण के लिए जाना जाता है?")</f>
        <v>कौन सा भारतीय राजवंश मुष्टि युद्ध के संरक्षण के लिए जाना जाता है?</v>
      </c>
      <c r="H266" s="5" t="str">
        <f>IFERROR(__xludf.DUMMYFUNCTION("GOOGLETRANSLATE(C266, ""en"", ""hi"")"),"ए) मौर्य, बी) गुप्त, सी) चोल, डी) मुगल")</f>
        <v>ए) मौर्य, बी) गुप्त, सी) चोल, डी) मुगल</v>
      </c>
      <c r="I266" s="5" t="str">
        <f>IFERROR(__xludf.DUMMYFUNCTION("GOOGLETRANSLATE(D266, ""en"", ""hi"")"),"C) चोल")</f>
        <v>C) चोल</v>
      </c>
    </row>
    <row r="267" ht="22.5" customHeight="1">
      <c r="A267" s="7">
        <v>266.0</v>
      </c>
      <c r="B267" s="8" t="s">
        <v>3276</v>
      </c>
      <c r="C267" s="8" t="s">
        <v>3277</v>
      </c>
      <c r="D267" s="8" t="s">
        <v>3278</v>
      </c>
      <c r="F267" s="5" t="str">
        <f>IFERROR(__xludf.DUMMYFUNCTION("GOOGLETRANSLATE(A267, ""en"", ""hi"")"),"266")</f>
        <v>266</v>
      </c>
      <c r="G267" s="5" t="str">
        <f>IFERROR(__xludf.DUMMYFUNCTION("GOOGLETRANSLATE(B267, ""en"", ""hi"")"),"मुष्टि युद्ध में गति बढ़ाने के लिए किस प्रशिक्षण उपकरण का उपयोग किया जाता है?")</f>
        <v>मुष्टि युद्ध में गति बढ़ाने के लिए किस प्रशिक्षण उपकरण का उपयोग किया जाता है?</v>
      </c>
      <c r="H267" s="5" t="str">
        <f>IFERROR(__xludf.DUMMYFUNCTION("GOOGLETRANSLATE(C267, ""en"", ""hi"")"),"A) स्पीड बैग, B) हैवी बैग, C) मेडिसिन बॉल, D) केटलबेल")</f>
        <v>A) स्पीड बैग, B) हैवी बैग, C) मेडिसिन बॉल, D) केटलबेल</v>
      </c>
      <c r="I267" s="5" t="str">
        <f>IFERROR(__xludf.DUMMYFUNCTION("GOOGLETRANSLATE(D267, ""en"", ""hi"")"),"A) स्पीड बैग")</f>
        <v>A) स्पीड बैग</v>
      </c>
    </row>
    <row r="268" ht="22.5" customHeight="1">
      <c r="A268" s="7">
        <v>267.0</v>
      </c>
      <c r="B268" s="8" t="s">
        <v>3279</v>
      </c>
      <c r="C268" s="8" t="s">
        <v>3280</v>
      </c>
      <c r="D268" s="8" t="s">
        <v>3281</v>
      </c>
      <c r="F268" s="5" t="str">
        <f>IFERROR(__xludf.DUMMYFUNCTION("GOOGLETRANSLATE(A268, ""en"", ""hi"")"),"267")</f>
        <v>267</v>
      </c>
      <c r="G268" s="5" t="str">
        <f>IFERROR(__xludf.DUMMYFUNCTION("GOOGLETRANSLATE(B268, ""en"", ""hi"")"),"मुश्ती युद्ध में रक्षात्मक क्षमताओं के लिए कौन सा रुख जाना जाता है?")</f>
        <v>मुश्ती युद्ध में रक्षात्मक क्षमताओं के लिए कौन सा रुख जाना जाता है?</v>
      </c>
      <c r="H268" s="5" t="str">
        <f>IFERROR(__xludf.DUMMYFUNCTION("GOOGLETRANSLATE(C268, ""en"", ""hi"")"),"A) प्रोन स्टांस, B) फॉरवर्ड स्टांस, C) साइड स्टांस, D) बैकवर्ड स्टांस")</f>
        <v>A) प्रोन स्टांस, B) फॉरवर्ड स्टांस, C) साइड स्टांस, D) बैकवर्ड स्टांस</v>
      </c>
      <c r="I268" s="5" t="str">
        <f>IFERROR(__xludf.DUMMYFUNCTION("GOOGLETRANSLATE(D268, ""en"", ""hi"")"),"बी) आगे की ओर रुख")</f>
        <v>बी) आगे की ओर रुख</v>
      </c>
    </row>
    <row r="269" ht="22.5" customHeight="1">
      <c r="A269" s="7">
        <v>268.0</v>
      </c>
      <c r="B269" s="8" t="s">
        <v>3282</v>
      </c>
      <c r="C269" s="8" t="s">
        <v>3283</v>
      </c>
      <c r="D269" s="8" t="s">
        <v>3284</v>
      </c>
      <c r="F269" s="5" t="str">
        <f>IFERROR(__xludf.DUMMYFUNCTION("GOOGLETRANSLATE(A269, ""en"", ""hi"")"),"268")</f>
        <v>268</v>
      </c>
      <c r="G269" s="5" t="str">
        <f>IFERROR(__xludf.DUMMYFUNCTION("GOOGLETRANSLATE(B269, ""en"", ""hi"")"),"'गरुड़ हस्त' का प्राथमिक केंद्र क्या है?")</f>
        <v>'गरुड़ हस्त' का प्राथमिक केंद्र क्या है?</v>
      </c>
      <c r="H269" s="5" t="str">
        <f>IFERROR(__xludf.DUMMYFUNCTION("GOOGLETRANSLATE(C269, ""en"", ""hi"")"),"A) हाई स्ट्राइक, B) लो स्ट्राइक, C) साइड स्ट्राइक, D) सर्कुलर स्ट्राइक")</f>
        <v>A) हाई स्ट्राइक, B) लो स्ट्राइक, C) साइड स्ट्राइक, D) सर्कुलर स्ट्राइक</v>
      </c>
      <c r="I269" s="5" t="str">
        <f>IFERROR(__xludf.DUMMYFUNCTION("GOOGLETRANSLATE(D269, ""en"", ""hi"")"),"A) उच्च हमले")</f>
        <v>A) उच्च हमले</v>
      </c>
    </row>
    <row r="270" ht="22.5" customHeight="1">
      <c r="A270" s="7">
        <v>269.0</v>
      </c>
      <c r="B270" s="8" t="s">
        <v>3285</v>
      </c>
      <c r="C270" s="8" t="s">
        <v>3286</v>
      </c>
      <c r="D270" s="8" t="s">
        <v>3287</v>
      </c>
      <c r="F270" s="5" t="str">
        <f>IFERROR(__xludf.DUMMYFUNCTION("GOOGLETRANSLATE(A270, ""en"", ""hi"")"),"269")</f>
        <v>269</v>
      </c>
      <c r="G270" s="5" t="str">
        <f>IFERROR(__xludf.DUMMYFUNCTION("GOOGLETRANSLATE(B270, ""en"", ""hi"")"),"प्रतिद्वंद्वी को निहत्था करने के लिए किस मुष्टि युद्ध तकनीक का उपयोग किया जाता है?")</f>
        <v>प्रतिद्वंद्वी को निहत्था करने के लिए किस मुष्टि युद्ध तकनीक का उपयोग किया जाता है?</v>
      </c>
      <c r="H270" s="5" t="str">
        <f>IFERROR(__xludf.DUMMYFUNCTION("GOOGLETRANSLATE(C270, ""en"", ""hi"")"),"ए) मुख प्रबोध, बी) तर्जनी हस्त, सी) गज हस्त, डी) व्यपद हस्त")</f>
        <v>ए) मुख प्रबोध, बी) तर्जनी हस्त, सी) गज हस्त, डी) व्यपद हस्त</v>
      </c>
      <c r="I270" s="5" t="str">
        <f>IFERROR(__xludf.DUMMYFUNCTION("GOOGLETRANSLATE(D270, ""en"", ""hi"")"),"A) मुख प्रबोध")</f>
        <v>A) मुख प्रबोध</v>
      </c>
    </row>
    <row r="271" ht="22.5" customHeight="1">
      <c r="A271" s="7">
        <v>270.0</v>
      </c>
      <c r="B271" s="8" t="s">
        <v>3288</v>
      </c>
      <c r="C271" s="8" t="s">
        <v>3289</v>
      </c>
      <c r="D271" s="8" t="s">
        <v>3290</v>
      </c>
      <c r="F271" s="5" t="str">
        <f>IFERROR(__xludf.DUMMYFUNCTION("GOOGLETRANSLATE(A271, ""en"", ""hi"")"),"270")</f>
        <v>270</v>
      </c>
      <c r="G271" s="5" t="str">
        <f>IFERROR(__xludf.DUMMYFUNCTION("GOOGLETRANSLATE(B271, ""en"", ""hi"")"),"मुष्टि युद्ध में 'अग्नि हस्त' किस पहलू पर जोर देता है?")</f>
        <v>मुष्टि युद्ध में 'अग्नि हस्त' किस पहलू पर जोर देता है?</v>
      </c>
      <c r="H271" s="5" t="str">
        <f>IFERROR(__xludf.DUMMYFUNCTION("GOOGLETRANSLATE(C271, ""en"", ""hi"")"),"A) शक्ति और बल, B) गति और चपलता, C) लचीलापन और संतुलन, D) परिशुद्धता और नियंत्रण")</f>
        <v>A) शक्ति और बल, B) गति और चपलता, C) लचीलापन और संतुलन, D) परिशुद्धता और नियंत्रण</v>
      </c>
      <c r="I271" s="5" t="str">
        <f>IFERROR(__xludf.DUMMYFUNCTION("GOOGLETRANSLATE(D271, ""en"", ""hi"")"),"A) शक्ति और बल")</f>
        <v>A) शक्ति और बल</v>
      </c>
    </row>
    <row r="272" ht="22.5" customHeight="1">
      <c r="A272" s="7">
        <v>271.0</v>
      </c>
      <c r="B272" s="8" t="s">
        <v>3291</v>
      </c>
      <c r="C272" s="8" t="s">
        <v>3292</v>
      </c>
      <c r="D272" s="8" t="s">
        <v>3293</v>
      </c>
      <c r="F272" s="5" t="str">
        <f>IFERROR(__xludf.DUMMYFUNCTION("GOOGLETRANSLATE(A272, ""en"", ""hi"")"),"271")</f>
        <v>271</v>
      </c>
      <c r="G272" s="5" t="str">
        <f>IFERROR(__xludf.DUMMYFUNCTION("GOOGLETRANSLATE(B272, ""en"", ""hi"")"),"मुष्टि युद्ध में 'वायु हस्त' का मुख्य उद्देश्य क्या है?")</f>
        <v>मुष्टि युद्ध में 'वायु हस्त' का मुख्य उद्देश्य क्या है?</v>
      </c>
      <c r="H272" s="5" t="str">
        <f>IFERROR(__xludf.DUMMYFUNCTION("GOOGLETRANSLATE(C272, ""en"", ""hi"")"),"A) त्वरित और सटीक प्रहार, B) मजबूत और शक्तिशाली प्रहार, C) रक्षात्मक चालें, D) संतुलन और समन्वय")</f>
        <v>A) त्वरित और सटीक प्रहार, B) मजबूत और शक्तिशाली प्रहार, C) रक्षात्मक चालें, D) संतुलन और समन्वय</v>
      </c>
      <c r="I272" s="5" t="str">
        <f>IFERROR(__xludf.DUMMYFUNCTION("GOOGLETRANSLATE(D272, ""en"", ""hi"")"),"A) त्वरित और सटीक हमले")</f>
        <v>A) त्वरित और सटीक हमले</v>
      </c>
    </row>
    <row r="273" ht="22.5" customHeight="1">
      <c r="A273" s="7">
        <v>272.0</v>
      </c>
      <c r="B273" s="8" t="s">
        <v>3294</v>
      </c>
      <c r="C273" s="8" t="s">
        <v>3295</v>
      </c>
      <c r="D273" s="8" t="s">
        <v>98</v>
      </c>
      <c r="F273" s="5" t="str">
        <f>IFERROR(__xludf.DUMMYFUNCTION("GOOGLETRANSLATE(A273, ""en"", ""hi"")"),"272")</f>
        <v>272</v>
      </c>
      <c r="G273" s="5" t="str">
        <f>IFERROR(__xludf.DUMMYFUNCTION("GOOGLETRANSLATE(B273, ""en"", ""hi"")"),"भारत के किस राज्य में मुष्टि युद्ध की ऐतिहासिक परंपरा है?")</f>
        <v>भारत के किस राज्य में मुष्टि युद्ध की ऐतिहासिक परंपरा है?</v>
      </c>
      <c r="H273" s="5" t="str">
        <f>IFERROR(__xludf.DUMMYFUNCTION("GOOGLETRANSLATE(C273, ""en"", ""hi"")"),"ए) उत्तर प्रदेश, बी) महाराष्ट्र, सी) गुजरात, डी) पंजाब")</f>
        <v>ए) उत्तर प्रदेश, बी) महाराष्ट्र, सी) गुजरात, डी) पंजाब</v>
      </c>
      <c r="I273" s="5" t="str">
        <f>IFERROR(__xludf.DUMMYFUNCTION("GOOGLETRANSLATE(D273, ""en"", ""hi"")"),"बी) महाराष्ट्र")</f>
        <v>बी) महाराष्ट्र</v>
      </c>
    </row>
    <row r="274" ht="22.5" customHeight="1">
      <c r="A274" s="7">
        <v>273.0</v>
      </c>
      <c r="B274" s="8" t="s">
        <v>3296</v>
      </c>
      <c r="C274" s="8" t="s">
        <v>3297</v>
      </c>
      <c r="D274" s="8" t="s">
        <v>3298</v>
      </c>
      <c r="F274" s="5" t="str">
        <f>IFERROR(__xludf.DUMMYFUNCTION("GOOGLETRANSLATE(A274, ""en"", ""hi"")"),"273")</f>
        <v>273</v>
      </c>
      <c r="G274" s="5" t="str">
        <f>IFERROR(__xludf.DUMMYFUNCTION("GOOGLETRANSLATE(B274, ""en"", ""hi"")"),"'वज्र हस्त' का प्रयोग मुख्यतः किस लिए किया जाता है?")</f>
        <v>'वज्र हस्त' का प्रयोग मुख्यतः किस लिए किया जाता है?</v>
      </c>
      <c r="H274" s="5" t="str">
        <f>IFERROR(__xludf.DUMMYFUNCTION("GOOGLETRANSLATE(C274, ""en"", ""hi"")"),"A) आक्रामक हमले, B) रक्षात्मक चालें, C) चपलता, D) सटीकता")</f>
        <v>A) आक्रामक हमले, B) रक्षात्मक चालें, C) चपलता, D) सटीकता</v>
      </c>
      <c r="I274" s="5" t="str">
        <f>IFERROR(__xludf.DUMMYFUNCTION("GOOGLETRANSLATE(D274, ""en"", ""hi"")"),"A) आक्रामक हमले")</f>
        <v>A) आक्रामक हमले</v>
      </c>
    </row>
    <row r="275" ht="22.5" customHeight="1">
      <c r="A275" s="7">
        <v>274.0</v>
      </c>
      <c r="B275" s="8" t="s">
        <v>3299</v>
      </c>
      <c r="C275" s="8" t="s">
        <v>3300</v>
      </c>
      <c r="D275" s="8" t="s">
        <v>3301</v>
      </c>
      <c r="F275" s="5" t="str">
        <f>IFERROR(__xludf.DUMMYFUNCTION("GOOGLETRANSLATE(A275, ""en"", ""hi"")"),"274")</f>
        <v>274</v>
      </c>
      <c r="G275" s="5" t="str">
        <f>IFERROR(__xludf.DUMMYFUNCTION("GOOGLETRANSLATE(B275, ""en"", ""hi"")"),"कौन सा ऐतिहासिक व्यक्ति मुश्ती युद्ध को अपनी युद्ध रणनीति में एकीकृत करने के लिए प्रसिद्ध है?")</f>
        <v>कौन सा ऐतिहासिक व्यक्ति मुश्ती युद्ध को अपनी युद्ध रणनीति में एकीकृत करने के लिए प्रसिद्ध है?</v>
      </c>
      <c r="H275" s="5" t="str">
        <f>IFERROR(__xludf.DUMMYFUNCTION("GOOGLETRANSLATE(C275, ""en"", ""hi"")"),"ए) चंद्रगुप्त मौर्य, बी) अशोक, सी) शिवाजी महाराज, डी) महाराणा प्रताप")</f>
        <v>ए) चंद्रगुप्त मौर्य, बी) अशोक, सी) शिवाजी महाराज, डी) महाराणा प्रताप</v>
      </c>
      <c r="I275" s="5" t="str">
        <f>IFERROR(__xludf.DUMMYFUNCTION("GOOGLETRANSLATE(D275, ""en"", ""hi"")"),"C) शिवाजी महाराज")</f>
        <v>C) शिवाजी महाराज</v>
      </c>
    </row>
    <row r="276" ht="22.5" customHeight="1">
      <c r="A276" s="7">
        <v>275.0</v>
      </c>
      <c r="B276" s="8" t="s">
        <v>3044</v>
      </c>
      <c r="C276" s="8" t="s">
        <v>3302</v>
      </c>
      <c r="D276" s="8" t="s">
        <v>3303</v>
      </c>
      <c r="F276" s="5" t="str">
        <f>IFERROR(__xludf.DUMMYFUNCTION("GOOGLETRANSLATE(A276, ""en"", ""hi"")"),"275")</f>
        <v>275</v>
      </c>
      <c r="G276" s="5" t="str">
        <f>IFERROR(__xludf.DUMMYFUNCTION("GOOGLETRANSLATE(B276, ""en"", ""hi"")"),"मुष्टि युद्ध में 'शीर्ष हस्त' का प्राथमिक फोकस क्या है?")</f>
        <v>मुष्टि युद्ध में 'शीर्ष हस्त' का प्राथमिक फोकस क्या है?</v>
      </c>
      <c r="H276" s="5" t="str">
        <f>IFERROR(__xludf.DUMMYFUNCTION("GOOGLETRANSLATE(C276, ""en"", ""hi"")"),"A) ऊपरी शरीर से प्रहार, B) निचले शरीर से प्रहार, C) रक्षात्मक चालें, D) श्वास तकनीकें")</f>
        <v>A) ऊपरी शरीर से प्रहार, B) निचले शरीर से प्रहार, C) रक्षात्मक चालें, D) श्वास तकनीकें</v>
      </c>
      <c r="I276" s="5" t="str">
        <f>IFERROR(__xludf.DUMMYFUNCTION("GOOGLETRANSLATE(D276, ""en"", ""hi"")"),"A) ऊपरी शरीर पर प्रहार")</f>
        <v>A) ऊपरी शरीर पर प्रहार</v>
      </c>
    </row>
    <row r="277" ht="22.5" customHeight="1">
      <c r="A277" s="7">
        <v>276.0</v>
      </c>
      <c r="B277" s="8" t="s">
        <v>3304</v>
      </c>
      <c r="C277" s="8" t="s">
        <v>3245</v>
      </c>
      <c r="D277" s="8" t="s">
        <v>3246</v>
      </c>
      <c r="F277" s="5" t="str">
        <f>IFERROR(__xludf.DUMMYFUNCTION("GOOGLETRANSLATE(A277, ""en"", ""hi"")"),"276")</f>
        <v>276</v>
      </c>
      <c r="G277" s="5" t="str">
        <f>IFERROR(__xludf.DUMMYFUNCTION("GOOGLETRANSLATE(B277, ""en"", ""hi"")"),"मुष्टि युद्ध में हाथ की ताकत बढ़ाने के लिए किस प्रकार का प्रशिक्षण लिया जाता है?")</f>
        <v>मुष्टि युद्ध में हाथ की ताकत बढ़ाने के लिए किस प्रकार का प्रशिक्षण लिया जाता है?</v>
      </c>
      <c r="H277" s="5" t="str">
        <f>IFERROR(__xludf.DUMMYFUNCTION("GOOGLETRANSLATE(C277, ""en"", ""hi"")"),"ए) मकीवारा प्रशिक्षण, बी) स्पीड बैग वर्क, सी) स्ट्रेंथ कंडीशनिंग, डी) लचीलापन व्यायाम")</f>
        <v>ए) मकीवारा प्रशिक्षण, बी) स्पीड बैग वर्क, सी) स्ट्रेंथ कंडीशनिंग, डी) लचीलापन व्यायाम</v>
      </c>
      <c r="I277" s="5" t="str">
        <f>IFERROR(__xludf.DUMMYFUNCTION("GOOGLETRANSLATE(D277, ""en"", ""hi"")"),"A) मकीवारा प्रशिक्षण")</f>
        <v>A) मकीवारा प्रशिक्षण</v>
      </c>
    </row>
    <row r="278" ht="22.5" customHeight="1">
      <c r="A278" s="7">
        <v>277.0</v>
      </c>
      <c r="B278" s="8" t="s">
        <v>3305</v>
      </c>
      <c r="C278" s="8" t="s">
        <v>3306</v>
      </c>
      <c r="D278" s="8" t="s">
        <v>3307</v>
      </c>
      <c r="F278" s="5" t="str">
        <f>IFERROR(__xludf.DUMMYFUNCTION("GOOGLETRANSLATE(A278, ""en"", ""hi"")"),"277")</f>
        <v>277</v>
      </c>
      <c r="G278" s="5" t="str">
        <f>IFERROR(__xludf.DUMMYFUNCTION("GOOGLETRANSLATE(B278, ""en"", ""hi"")"),"'पद्म हस्त' किस पर केंद्रित है?")</f>
        <v>'पद्म हस्त' किस पर केंद्रित है?</v>
      </c>
      <c r="H278" s="5" t="str">
        <f>IFERROR(__xludf.DUMMYFUNCTION("GOOGLETRANSLATE(C278, ""en"", ""hi"")"),"A) हाथ की तकनीक, B) पैर की तकनीक, C) संतुलन, D) गति")</f>
        <v>A) हाथ की तकनीक, B) पैर की तकनीक, C) संतुलन, D) गति</v>
      </c>
      <c r="I278" s="5" t="str">
        <f>IFERROR(__xludf.DUMMYFUNCTION("GOOGLETRANSLATE(D278, ""en"", ""hi"")"),"बी) पैर तकनीक")</f>
        <v>बी) पैर तकनीक</v>
      </c>
    </row>
    <row r="279" ht="22.5" customHeight="1">
      <c r="A279" s="7">
        <v>278.0</v>
      </c>
      <c r="B279" s="8" t="s">
        <v>3308</v>
      </c>
      <c r="C279" s="8" t="s">
        <v>3309</v>
      </c>
      <c r="D279" s="8" t="s">
        <v>3258</v>
      </c>
      <c r="F279" s="5" t="str">
        <f>IFERROR(__xludf.DUMMYFUNCTION("GOOGLETRANSLATE(A279, ""en"", ""hi"")"),"278")</f>
        <v>278</v>
      </c>
      <c r="G279" s="5" t="str">
        <f>IFERROR(__xludf.DUMMYFUNCTION("GOOGLETRANSLATE(B279, ""en"", ""hi"")"),"प्रतिद्वंद्वी की पकड़ तोड़ने के लिए किस तकनीक का उपयोग किया जाता है?")</f>
        <v>प्रतिद्वंद्वी की पकड़ तोड़ने के लिए किस तकनीक का उपयोग किया जाता है?</v>
      </c>
      <c r="H279" s="5" t="str">
        <f>IFERROR(__xludf.DUMMYFUNCTION("GOOGLETRANSLATE(C279, ""en"", ""hi"")"),"ए) व्यपद हस्त, बी) वज्र हस्त, सी) गति हस्त, डी) मुख हस्त")</f>
        <v>ए) व्यपद हस्त, बी) वज्र हस्त, सी) गति हस्त, डी) मुख हस्त</v>
      </c>
      <c r="I279" s="5" t="str">
        <f>IFERROR(__xludf.DUMMYFUNCTION("GOOGLETRANSLATE(D279, ""en"", ""hi"")"),"A) व्यापद हस्त")</f>
        <v>A) व्यापद हस्त</v>
      </c>
    </row>
    <row r="280" ht="22.5" customHeight="1">
      <c r="A280" s="7">
        <v>279.0</v>
      </c>
      <c r="B280" s="8" t="s">
        <v>3310</v>
      </c>
      <c r="C280" s="8" t="s">
        <v>3311</v>
      </c>
      <c r="D280" s="8" t="s">
        <v>3312</v>
      </c>
      <c r="F280" s="5" t="str">
        <f>IFERROR(__xludf.DUMMYFUNCTION("GOOGLETRANSLATE(A280, ""en"", ""hi"")"),"279")</f>
        <v>279</v>
      </c>
      <c r="G280" s="5" t="str">
        <f>IFERROR(__xludf.DUMMYFUNCTION("GOOGLETRANSLATE(B280, ""en"", ""hi"")"),"कौन सा महान राजा अपने मुष्टि युद्ध कौशल के लिए प्रसिद्ध है?")</f>
        <v>कौन सा महान राजा अपने मुष्टि युद्ध कौशल के लिए प्रसिद्ध है?</v>
      </c>
      <c r="H280" s="5" t="str">
        <f>IFERROR(__xludf.DUMMYFUNCTION("GOOGLETRANSLATE(C280, ""en"", ""hi"")"),"ए) अशोक, बी) अकबर, सी) चंद्रगुप्त मौर्य, डी) शिवाजी महाराज")</f>
        <v>ए) अशोक, बी) अकबर, सी) चंद्रगुप्त मौर्य, डी) शिवाजी महाराज</v>
      </c>
      <c r="I280" s="5" t="str">
        <f>IFERROR(__xludf.DUMMYFUNCTION("GOOGLETRANSLATE(D280, ""en"", ""hi"")"),"D) शिवाजी महाराज")</f>
        <v>D) शिवाजी महाराज</v>
      </c>
    </row>
    <row r="281" ht="22.5" customHeight="1">
      <c r="A281" s="7">
        <v>280.0</v>
      </c>
      <c r="B281" s="8" t="s">
        <v>3313</v>
      </c>
      <c r="C281" s="8" t="s">
        <v>3314</v>
      </c>
      <c r="D281" s="8" t="s">
        <v>3315</v>
      </c>
      <c r="F281" s="5" t="str">
        <f>IFERROR(__xludf.DUMMYFUNCTION("GOOGLETRANSLATE(A281, ""en"", ""hi"")"),"280")</f>
        <v>280</v>
      </c>
      <c r="G281" s="5" t="str">
        <f>IFERROR(__xludf.DUMMYFUNCTION("GOOGLETRANSLATE(B281, ""en"", ""hi"")"),"'मुख हस्त' का प्राथमिक उपयोग क्या है?")</f>
        <v>'मुख हस्त' का प्राथमिक उपयोग क्या है?</v>
      </c>
      <c r="H281" s="5" t="str">
        <f>IFERROR(__xludf.DUMMYFUNCTION("GOOGLETRANSLATE(C281, ""en"", ""hi"")"),"A) रक्षा, B) आक्रमण, C) ध्यान भटकाना, D) गति बढ़ाना")</f>
        <v>A) रक्षा, B) आक्रमण, C) ध्यान भटकाना, D) गति बढ़ाना</v>
      </c>
      <c r="I281" s="5" t="str">
        <f>IFERROR(__xludf.DUMMYFUNCTION("GOOGLETRANSLATE(D281, ""en"", ""hi"")"),"C) विकर्षण पैदा करना")</f>
        <v>C) विकर्षण पैदा करना</v>
      </c>
    </row>
    <row r="282" ht="22.5" customHeight="1">
      <c r="A282" s="7">
        <v>281.0</v>
      </c>
      <c r="B282" s="8" t="s">
        <v>3316</v>
      </c>
      <c r="C282" s="8" t="s">
        <v>3283</v>
      </c>
      <c r="D282" s="8" t="s">
        <v>3284</v>
      </c>
      <c r="F282" s="5" t="str">
        <f>IFERROR(__xludf.DUMMYFUNCTION("GOOGLETRANSLATE(A282, ""en"", ""hi"")"),"281")</f>
        <v>281</v>
      </c>
      <c r="G282" s="5" t="str">
        <f>IFERROR(__xludf.DUMMYFUNCTION("GOOGLETRANSLATE(B282, ""en"", ""hi"")"),"'गरुड़ हस्त' किस प्रकार की हस्त गति की विशेषता है?")</f>
        <v>'गरुड़ हस्त' किस प्रकार की हस्त गति की विशेषता है?</v>
      </c>
      <c r="H282" s="5" t="str">
        <f>IFERROR(__xludf.DUMMYFUNCTION("GOOGLETRANSLATE(C282, ""en"", ""hi"")"),"A) हाई स्ट्राइक, B) लो स्ट्राइक, C) साइड स्ट्राइक, D) सर्कुलर स्ट्राइक")</f>
        <v>A) हाई स्ट्राइक, B) लो स्ट्राइक, C) साइड स्ट्राइक, D) सर्कुलर स्ट्राइक</v>
      </c>
      <c r="I282" s="5" t="str">
        <f>IFERROR(__xludf.DUMMYFUNCTION("GOOGLETRANSLATE(D282, ""en"", ""hi"")"),"A) उच्च हमले")</f>
        <v>A) उच्च हमले</v>
      </c>
    </row>
    <row r="283" ht="22.5" customHeight="1">
      <c r="A283" s="7">
        <v>282.0</v>
      </c>
      <c r="B283" s="8" t="s">
        <v>3317</v>
      </c>
      <c r="C283" s="8" t="s">
        <v>3318</v>
      </c>
      <c r="D283" s="8" t="s">
        <v>3319</v>
      </c>
      <c r="F283" s="5" t="str">
        <f>IFERROR(__xludf.DUMMYFUNCTION("GOOGLETRANSLATE(A283, ""en"", ""hi"")"),"282")</f>
        <v>282</v>
      </c>
      <c r="G283" s="5" t="str">
        <f>IFERROR(__xludf.DUMMYFUNCTION("GOOGLETRANSLATE(B283, ""en"", ""hi"")"),"'नागा हस्त' किस पर केंद्रित है?")</f>
        <v>'नागा हस्त' किस पर केंद्रित है?</v>
      </c>
      <c r="H283" s="5" t="str">
        <f>IFERROR(__xludf.DUMMYFUNCTION("GOOGLETRANSLATE(C283, ""en"", ""hi"")"),"A) गति और चपलता, B) शक्ति और ताकत, C) सटीकता और नियंत्रण, D) संतुलन और समन्वय")</f>
        <v>A) गति और चपलता, B) शक्ति और ताकत, C) सटीकता और नियंत्रण, D) संतुलन और समन्वय</v>
      </c>
      <c r="I283" s="5" t="str">
        <f>IFERROR(__xludf.DUMMYFUNCTION("GOOGLETRANSLATE(D283, ""en"", ""hi"")"),"A) गति और चपलता")</f>
        <v>A) गति और चपलता</v>
      </c>
    </row>
    <row r="284" ht="22.5" customHeight="1">
      <c r="A284" s="7">
        <v>283.0</v>
      </c>
      <c r="B284" s="8" t="s">
        <v>3320</v>
      </c>
      <c r="C284" s="8" t="s">
        <v>3321</v>
      </c>
      <c r="D284" s="8" t="s">
        <v>3272</v>
      </c>
      <c r="F284" s="5" t="str">
        <f>IFERROR(__xludf.DUMMYFUNCTION("GOOGLETRANSLATE(A284, ""en"", ""hi"")"),"283")</f>
        <v>283</v>
      </c>
      <c r="G284" s="5" t="str">
        <f>IFERROR(__xludf.DUMMYFUNCTION("GOOGLETRANSLATE(B284, ""en"", ""hi"")"),"कौन सा प्राचीन ग्रंथ मुष्टि युद्ध तकनीकों की जानकारी प्रदान करता है?")</f>
        <v>कौन सा प्राचीन ग्रंथ मुष्टि युद्ध तकनीकों की जानकारी प्रदान करता है?</v>
      </c>
      <c r="H284" s="5" t="str">
        <f>IFERROR(__xludf.DUMMYFUNCTION("GOOGLETRANSLATE(C284, ""en"", ""hi"")"),"ए) योग सूत्र, बी) अर्थशास्त्र, सी) वेद, डी) उपनिषद")</f>
        <v>ए) योग सूत्र, बी) अर्थशास्त्र, सी) वेद, डी) उपनिषद</v>
      </c>
      <c r="I284" s="5" t="str">
        <f>IFERROR(__xludf.DUMMYFUNCTION("GOOGLETRANSLATE(D284, ""en"", ""hi"")"),"बी) अर्थशास्त्र")</f>
        <v>बी) अर्थशास्त्र</v>
      </c>
    </row>
    <row r="285" ht="22.5" customHeight="1">
      <c r="A285" s="7">
        <v>284.0</v>
      </c>
      <c r="B285" s="8" t="s">
        <v>3322</v>
      </c>
      <c r="C285" s="8" t="s">
        <v>3323</v>
      </c>
      <c r="D285" s="8" t="s">
        <v>3324</v>
      </c>
      <c r="F285" s="5" t="str">
        <f>IFERROR(__xludf.DUMMYFUNCTION("GOOGLETRANSLATE(A285, ""en"", ""hi"")"),"284")</f>
        <v>284</v>
      </c>
      <c r="G285" s="5" t="str">
        <f>IFERROR(__xludf.DUMMYFUNCTION("GOOGLETRANSLATE(B285, ""en"", ""hi"")"),"मुष्टि युद्ध प्रशिक्षण में 'शीर्ष हस्त' का उपयोग किस लिए किया जाता है?")</f>
        <v>मुष्टि युद्ध प्रशिक्षण में 'शीर्ष हस्त' का उपयोग किस लिए किया जाता है?</v>
      </c>
      <c r="H285" s="5" t="str">
        <f>IFERROR(__xludf.DUMMYFUNCTION("GOOGLETRANSLATE(C285, ""en"", ""hi"")"),"A) हाथ की तकनीकें, B) पैर की तकनीकें, C) सिर की तकनीकें, D) हाथ की तकनीकें")</f>
        <v>A) हाथ की तकनीकें, B) पैर की तकनीकें, C) सिर की तकनीकें, D) हाथ की तकनीकें</v>
      </c>
      <c r="I285" s="5" t="str">
        <f>IFERROR(__xludf.DUMMYFUNCTION("GOOGLETRANSLATE(D285, ""en"", ""hi"")"),"सी) सिर तकनीक")</f>
        <v>सी) सिर तकनीक</v>
      </c>
    </row>
    <row r="286" ht="22.5" customHeight="1">
      <c r="A286" s="7">
        <v>285.0</v>
      </c>
      <c r="B286" s="8" t="s">
        <v>3325</v>
      </c>
      <c r="C286" s="8" t="s">
        <v>3326</v>
      </c>
      <c r="D286" s="8" t="s">
        <v>3327</v>
      </c>
      <c r="F286" s="5" t="str">
        <f>IFERROR(__xludf.DUMMYFUNCTION("GOOGLETRANSLATE(A286, ""en"", ""hi"")"),"285")</f>
        <v>285</v>
      </c>
      <c r="G286" s="5" t="str">
        <f>IFERROR(__xludf.DUMMYFUNCTION("GOOGLETRANSLATE(B286, ""en"", ""hi"")"),"किस प्रकार का मार्शल आर्ट प्रशिक्षण मुष्टि युद्ध के समान है?")</f>
        <v>किस प्रकार का मार्शल आर्ट प्रशिक्षण मुष्टि युद्ध के समान है?</v>
      </c>
      <c r="H286" s="5" t="str">
        <f>IFERROR(__xludf.DUMMYFUNCTION("GOOGLETRANSLATE(C286, ""en"", ""hi"")"),"A) ब्राज़ीलियाई जिउ-जित्सु, B) मय थाई, C) कैपोइरा, D) सैम्बो")</f>
        <v>A) ब्राज़ीलियाई जिउ-जित्सु, B) मय थाई, C) कैपोइरा, D) सैम्बो</v>
      </c>
      <c r="I286" s="5" t="str">
        <f>IFERROR(__xludf.DUMMYFUNCTION("GOOGLETRANSLATE(D286, ""en"", ""hi"")"),"बी) मय थाई")</f>
        <v>बी) मय थाई</v>
      </c>
    </row>
    <row r="287" ht="22.5" customHeight="1">
      <c r="A287" s="7">
        <v>286.0</v>
      </c>
      <c r="B287" s="8" t="s">
        <v>3328</v>
      </c>
      <c r="C287" s="8" t="s">
        <v>3321</v>
      </c>
      <c r="D287" s="8" t="s">
        <v>3272</v>
      </c>
      <c r="F287" s="5" t="str">
        <f>IFERROR(__xludf.DUMMYFUNCTION("GOOGLETRANSLATE(A287, ""en"", ""hi"")"),"286")</f>
        <v>286</v>
      </c>
      <c r="G287" s="5" t="str">
        <f>IFERROR(__xludf.DUMMYFUNCTION("GOOGLETRANSLATE(B287, ""en"", ""hi"")"),"किस प्राचीन भारतीय ग्रंथ में मुष्टि युद्ध युद्ध तकनीकों का वर्णन है?")</f>
        <v>किस प्राचीन भारतीय ग्रंथ में मुष्टि युद्ध युद्ध तकनीकों का वर्णन है?</v>
      </c>
      <c r="H287" s="5" t="str">
        <f>IFERROR(__xludf.DUMMYFUNCTION("GOOGLETRANSLATE(C287, ""en"", ""hi"")"),"ए) योग सूत्र, बी) अर्थशास्त्र, सी) वेद, डी) उपनिषद")</f>
        <v>ए) योग सूत्र, बी) अर्थशास्त्र, सी) वेद, डी) उपनिषद</v>
      </c>
      <c r="I287" s="5" t="str">
        <f>IFERROR(__xludf.DUMMYFUNCTION("GOOGLETRANSLATE(D287, ""en"", ""hi"")"),"बी) अर्थशास्त्र")</f>
        <v>बी) अर्थशास्त्र</v>
      </c>
    </row>
    <row r="288" ht="22.5" customHeight="1">
      <c r="A288" s="7">
        <v>287.0</v>
      </c>
      <c r="B288" s="8" t="s">
        <v>3137</v>
      </c>
      <c r="C288" s="8" t="s">
        <v>3318</v>
      </c>
      <c r="D288" s="8" t="s">
        <v>3319</v>
      </c>
      <c r="F288" s="5" t="str">
        <f>IFERROR(__xludf.DUMMYFUNCTION("GOOGLETRANSLATE(A288, ""en"", ""hi"")"),"287")</f>
        <v>287</v>
      </c>
      <c r="G288" s="5" t="str">
        <f>IFERROR(__xludf.DUMMYFUNCTION("GOOGLETRANSLATE(B288, ""en"", ""hi"")"),"मुष्टि युद्ध में 'नागा हस्त' किसका प्रतीक है?")</f>
        <v>मुष्टि युद्ध में 'नागा हस्त' किसका प्रतीक है?</v>
      </c>
      <c r="H288" s="5" t="str">
        <f>IFERROR(__xludf.DUMMYFUNCTION("GOOGLETRANSLATE(C288, ""en"", ""hi"")"),"A) गति और चपलता, B) शक्ति और ताकत, C) सटीकता और नियंत्रण, D) संतुलन और समन्वय")</f>
        <v>A) गति और चपलता, B) शक्ति और ताकत, C) सटीकता और नियंत्रण, D) संतुलन और समन्वय</v>
      </c>
      <c r="I288" s="5" t="str">
        <f>IFERROR(__xludf.DUMMYFUNCTION("GOOGLETRANSLATE(D288, ""en"", ""hi"")"),"A) गति और चपलता")</f>
        <v>A) गति और चपलता</v>
      </c>
    </row>
    <row r="289" ht="22.5" customHeight="1">
      <c r="A289" s="7">
        <v>288.0</v>
      </c>
      <c r="B289" s="8" t="s">
        <v>3329</v>
      </c>
      <c r="C289" s="8" t="s">
        <v>3262</v>
      </c>
      <c r="D289" s="8" t="s">
        <v>3263</v>
      </c>
      <c r="F289" s="5" t="str">
        <f>IFERROR(__xludf.DUMMYFUNCTION("GOOGLETRANSLATE(A289, ""en"", ""hi"")"),"288")</f>
        <v>288</v>
      </c>
      <c r="G289" s="5" t="str">
        <f>IFERROR(__xludf.DUMMYFUNCTION("GOOGLETRANSLATE(B289, ""en"", ""hi"")"),"कौन सा ऐतिहासिक व्यक्ति मुष्टि युद्ध में निपुणता के लिए जाना जाता है?")</f>
        <v>कौन सा ऐतिहासिक व्यक्ति मुष्टि युद्ध में निपुणता के लिए जाना जाता है?</v>
      </c>
      <c r="H289" s="5" t="str">
        <f>IFERROR(__xludf.DUMMYFUNCTION("GOOGLETRANSLATE(C289, ""en"", ""hi"")"),"ए)महाराणा प्रताप,बी)चंद्रगुप्त मौर्य,सी)अशोक,डी)शिवाजी महाराज")</f>
        <v>ए)महाराणा प्रताप,बी)चंद्रगुप्त मौर्य,सी)अशोक,डी)शिवाजी महाराज</v>
      </c>
      <c r="I289" s="5" t="str">
        <f>IFERROR(__xludf.DUMMYFUNCTION("GOOGLETRANSLATE(D289, ""en"", ""hi"")"),"A) महाराणा प्रताप")</f>
        <v>A) महाराणा प्रताप</v>
      </c>
    </row>
    <row r="290" ht="22.5" customHeight="1">
      <c r="A290" s="7">
        <v>289.0</v>
      </c>
      <c r="B290" s="8" t="s">
        <v>3330</v>
      </c>
      <c r="C290" s="8" t="s">
        <v>3265</v>
      </c>
      <c r="D290" s="8" t="s">
        <v>3121</v>
      </c>
      <c r="F290" s="5" t="str">
        <f>IFERROR(__xludf.DUMMYFUNCTION("GOOGLETRANSLATE(A290, ""en"", ""hi"")"),"289")</f>
        <v>289</v>
      </c>
      <c r="G290" s="5" t="str">
        <f>IFERROR(__xludf.DUMMYFUNCTION("GOOGLETRANSLATE(B290, ""en"", ""hi"")"),"मुष्टि युद्ध में 'मुख हस्त' का फोकस क्या है?")</f>
        <v>मुष्टि युद्ध में 'मुख हस्त' का फोकस क्या है?</v>
      </c>
      <c r="H290" s="5" t="str">
        <f>IFERROR(__xludf.DUMMYFUNCTION("GOOGLETRANSLATE(C290, ""en"", ""hi"")"),"A) रक्षा, B) आक्रमण, C) व्याकुलता, D) संतुलन")</f>
        <v>A) रक्षा, B) आक्रमण, C) व्याकुलता, D) संतुलन</v>
      </c>
      <c r="I290" s="5" t="str">
        <f>IFERROR(__xludf.DUMMYFUNCTION("GOOGLETRANSLATE(D290, ""en"", ""hi"")"),"सी) ध्यान भटकाना")</f>
        <v>सी) ध्यान भटकाना</v>
      </c>
    </row>
    <row r="291" ht="22.5" customHeight="1">
      <c r="A291" s="7">
        <v>290.0</v>
      </c>
      <c r="B291" s="8" t="s">
        <v>3266</v>
      </c>
      <c r="C291" s="8" t="s">
        <v>3257</v>
      </c>
      <c r="D291" s="8" t="s">
        <v>3258</v>
      </c>
      <c r="F291" s="5" t="str">
        <f>IFERROR(__xludf.DUMMYFUNCTION("GOOGLETRANSLATE(A291, ""en"", ""hi"")"),"290")</f>
        <v>290</v>
      </c>
      <c r="G291" s="5" t="str">
        <f>IFERROR(__xludf.DUMMYFUNCTION("GOOGLETRANSLATE(B291, ""en"", ""hi"")"),"मुष्टि युद्ध में हमलों का मुकाबला करने के लिए कौन सी चाल का उपयोग किया जाता है?")</f>
        <v>मुष्टि युद्ध में हमलों का मुकाबला करने के लिए कौन सी चाल का उपयोग किया जाता है?</v>
      </c>
      <c r="H291" s="5" t="str">
        <f>IFERROR(__xludf.DUMMYFUNCTION("GOOGLETRANSLATE(C291, ""en"", ""hi"")"),"ए) व्यपद हस्त, बी) तर्जनी हस्त, सी) अग्नि हस्त, डी) मुख हस्त")</f>
        <v>ए) व्यपद हस्त, बी) तर्जनी हस्त, सी) अग्नि हस्त, डी) मुख हस्त</v>
      </c>
      <c r="I291" s="5" t="str">
        <f>IFERROR(__xludf.DUMMYFUNCTION("GOOGLETRANSLATE(D291, ""en"", ""hi"")"),"A) व्यापद हस्त")</f>
        <v>A) व्यापद हस्त</v>
      </c>
    </row>
    <row r="292" ht="22.5" customHeight="1">
      <c r="A292" s="7">
        <v>291.0</v>
      </c>
      <c r="B292" s="8" t="s">
        <v>3247</v>
      </c>
      <c r="C292" s="8" t="s">
        <v>3248</v>
      </c>
      <c r="D292" s="8" t="s">
        <v>3249</v>
      </c>
      <c r="F292" s="5" t="str">
        <f>IFERROR(__xludf.DUMMYFUNCTION("GOOGLETRANSLATE(A292, ""en"", ""hi"")"),"291")</f>
        <v>291</v>
      </c>
      <c r="G292" s="5" t="str">
        <f>IFERROR(__xludf.DUMMYFUNCTION("GOOGLETRANSLATE(B292, ""en"", ""hi"")"),"'वज्र हस्त' क्या दर्शाता है?")</f>
        <v>'वज्र हस्त' क्या दर्शाता है?</v>
      </c>
      <c r="H292" s="5" t="str">
        <f>IFERROR(__xludf.DUMMYFUNCTION("GOOGLETRANSLATE(C292, ""en"", ""hi"")"),"A) शक्ति और प्रभाव, B) गति और चपलता, C) रक्षा और बचाव, D) सटीकता और तकनीक")</f>
        <v>A) शक्ति और प्रभाव, B) गति और चपलता, C) रक्षा और बचाव, D) सटीकता और तकनीक</v>
      </c>
      <c r="I292" s="5" t="str">
        <f>IFERROR(__xludf.DUMMYFUNCTION("GOOGLETRANSLATE(D292, ""en"", ""hi"")"),"ए) शक्ति और प्रभाव")</f>
        <v>ए) शक्ति और प्रभाव</v>
      </c>
    </row>
    <row r="293" ht="22.5" customHeight="1">
      <c r="A293" s="7">
        <v>292.0</v>
      </c>
      <c r="B293" s="8" t="s">
        <v>3331</v>
      </c>
      <c r="C293" s="8" t="s">
        <v>3280</v>
      </c>
      <c r="D293" s="8" t="s">
        <v>3332</v>
      </c>
      <c r="F293" s="5" t="str">
        <f>IFERROR(__xludf.DUMMYFUNCTION("GOOGLETRANSLATE(A293, ""en"", ""hi"")"),"292")</f>
        <v>292</v>
      </c>
      <c r="G293" s="5" t="str">
        <f>IFERROR(__xludf.DUMMYFUNCTION("GOOGLETRANSLATE(B293, ""en"", ""hi"")"),"मुष्टि युद्ध में संतुलन और स्थिरता के लिए किस मुद्रा का उपयोग किया जाता है?")</f>
        <v>मुष्टि युद्ध में संतुलन और स्थिरता के लिए किस मुद्रा का उपयोग किया जाता है?</v>
      </c>
      <c r="H293" s="5" t="str">
        <f>IFERROR(__xludf.DUMMYFUNCTION("GOOGLETRANSLATE(C293, ""en"", ""hi"")"),"A) प्रोन स्टांस, B) फॉरवर्ड स्टांस, C) साइड स्टांस, D) बैकवर्ड स्टांस")</f>
        <v>A) प्रोन स्टांस, B) फॉरवर्ड स्टांस, C) साइड स्टांस, D) बैकवर्ड स्टांस</v>
      </c>
      <c r="I293" s="5" t="str">
        <f>IFERROR(__xludf.DUMMYFUNCTION("GOOGLETRANSLATE(D293, ""en"", ""hi"")"),"सी) साइड स्टांस")</f>
        <v>सी) साइड स्टांस</v>
      </c>
    </row>
    <row r="294" ht="22.5" customHeight="1">
      <c r="A294" s="7">
        <v>293.0</v>
      </c>
      <c r="B294" s="8" t="s">
        <v>3333</v>
      </c>
      <c r="C294" s="8" t="s">
        <v>3254</v>
      </c>
      <c r="D294" s="8" t="s">
        <v>3255</v>
      </c>
      <c r="F294" s="5" t="str">
        <f>IFERROR(__xludf.DUMMYFUNCTION("GOOGLETRANSLATE(A294, ""en"", ""hi"")"),"293")</f>
        <v>293</v>
      </c>
      <c r="G294" s="5" t="str">
        <f>IFERROR(__xludf.DUMMYFUNCTION("GOOGLETRANSLATE(B294, ""en"", ""hi"")"),"मुष्टि युद्ध में कौन सी श्वास तकनीक धीरज बढ़ाने में सहायक है?")</f>
        <v>मुष्टि युद्ध में कौन सी श्वास तकनीक धीरज बढ़ाने में सहायक है?</v>
      </c>
      <c r="H294" s="5" t="str">
        <f>IFERROR(__xludf.DUMMYFUNCTION("GOOGLETRANSLATE(C294, ""en"", ""hi"")"),"A) गहरी साँस लेना, B) उथली साँस लेना, C) तेज़ साँस लेना, D) साँस रोकना")</f>
        <v>A) गहरी साँस लेना, B) उथली साँस लेना, C) तेज़ साँस लेना, D) साँस रोकना</v>
      </c>
      <c r="I294" s="5" t="str">
        <f>IFERROR(__xludf.DUMMYFUNCTION("GOOGLETRANSLATE(D294, ""en"", ""hi"")"),"ए) गहरी साँस लेना")</f>
        <v>ए) गहरी साँस लेना</v>
      </c>
    </row>
    <row r="295" ht="22.5" customHeight="1">
      <c r="A295" s="7">
        <v>294.0</v>
      </c>
      <c r="B295" s="8" t="s">
        <v>3334</v>
      </c>
      <c r="C295" s="8" t="s">
        <v>3335</v>
      </c>
      <c r="D295" s="8" t="s">
        <v>3336</v>
      </c>
      <c r="F295" s="5" t="str">
        <f>IFERROR(__xludf.DUMMYFUNCTION("GOOGLETRANSLATE(A295, ""en"", ""hi"")"),"294")</f>
        <v>294</v>
      </c>
      <c r="G295" s="5" t="str">
        <f>IFERROR(__xludf.DUMMYFUNCTION("GOOGLETRANSLATE(B295, ""en"", ""hi"")"),"'मुख हस्त' का प्राथमिक उद्देश्य क्या है?")</f>
        <v>'मुख हस्त' का प्राथमिक उद्देश्य क्या है?</v>
      </c>
      <c r="H295" s="5" t="str">
        <f>IFERROR(__xludf.DUMMYFUNCTION("GOOGLETRANSLATE(C295, ""en"", ""hi"")"),"A) ध्यान भटकाना, B) हमलों को रोकना, C) हमलों का प्रतिकार करना, D) गति बढ़ाना")</f>
        <v>A) ध्यान भटकाना, B) हमलों को रोकना, C) हमलों का प्रतिकार करना, D) गति बढ़ाना</v>
      </c>
      <c r="I295" s="5" t="str">
        <f>IFERROR(__xludf.DUMMYFUNCTION("GOOGLETRANSLATE(D295, ""en"", ""hi"")"),"A) विकर्षण पैदा करना")</f>
        <v>A) विकर्षण पैदा करना</v>
      </c>
    </row>
    <row r="296" ht="22.5" customHeight="1">
      <c r="A296" s="7">
        <v>295.0</v>
      </c>
      <c r="B296" s="8" t="s">
        <v>3337</v>
      </c>
      <c r="C296" s="8" t="s">
        <v>3257</v>
      </c>
      <c r="D296" s="8" t="s">
        <v>3163</v>
      </c>
      <c r="F296" s="5" t="str">
        <f>IFERROR(__xludf.DUMMYFUNCTION("GOOGLETRANSLATE(A296, ""en"", ""hi"")"),"295")</f>
        <v>295</v>
      </c>
      <c r="G296" s="5" t="str">
        <f>IFERROR(__xludf.DUMMYFUNCTION("GOOGLETRANSLATE(B296, ""en"", ""hi"")"),"त्वरित प्रतिक्रिया में निपुणता प्राप्त करने के लिए कौन सी तकनीक महत्वपूर्ण है?")</f>
        <v>त्वरित प्रतिक्रिया में निपुणता प्राप्त करने के लिए कौन सी तकनीक महत्वपूर्ण है?</v>
      </c>
      <c r="H296" s="5" t="str">
        <f>IFERROR(__xludf.DUMMYFUNCTION("GOOGLETRANSLATE(C296, ""en"", ""hi"")"),"ए) व्यपद हस्त, बी) तर्जनी हस्त, सी) अग्नि हस्त, डी) मुख हस्त")</f>
        <v>ए) व्यपद हस्त, बी) तर्जनी हस्त, सी) अग्नि हस्त, डी) मुख हस्त</v>
      </c>
      <c r="I296" s="5" t="str">
        <f>IFERROR(__xludf.DUMMYFUNCTION("GOOGLETRANSLATE(D296, ""en"", ""hi"")"),"बी) तर्जनी हस्ता")</f>
        <v>बी) तर्जनी हस्ता</v>
      </c>
    </row>
    <row r="297" ht="22.5" customHeight="1">
      <c r="A297" s="7">
        <v>296.0</v>
      </c>
      <c r="B297" s="8" t="s">
        <v>3338</v>
      </c>
      <c r="C297" s="8" t="s">
        <v>3271</v>
      </c>
      <c r="D297" s="8" t="s">
        <v>3272</v>
      </c>
      <c r="F297" s="5" t="str">
        <f>IFERROR(__xludf.DUMMYFUNCTION("GOOGLETRANSLATE(A297, ""en"", ""hi"")"),"296")</f>
        <v>296</v>
      </c>
      <c r="G297" s="5" t="str">
        <f>IFERROR(__xludf.DUMMYFUNCTION("GOOGLETRANSLATE(B297, ""en"", ""hi"")"),"कौन सा ऐतिहासिक ग्रंथ मुष्टि युद्ध का विस्तृत विवरण प्रदान करता है?")</f>
        <v>कौन सा ऐतिहासिक ग्रंथ मुष्टि युद्ध का विस्तृत विवरण प्रदान करता है?</v>
      </c>
      <c r="H297" s="5" t="str">
        <f>IFERROR(__xludf.DUMMYFUNCTION("GOOGLETRANSLATE(C297, ""en"", ""hi"")"),"ए) कामसूत्र, बी) अर्थशास्त्र, सी) योग सूत्र, डी) पुराण")</f>
        <v>ए) कामसूत्र, बी) अर्थशास्त्र, सी) योग सूत्र, डी) पुराण</v>
      </c>
      <c r="I297" s="5" t="str">
        <f>IFERROR(__xludf.DUMMYFUNCTION("GOOGLETRANSLATE(D297, ""en"", ""hi"")"),"बी) अर्थशास्त्र")</f>
        <v>बी) अर्थशास्त्र</v>
      </c>
    </row>
    <row r="298" ht="22.5" customHeight="1">
      <c r="A298" s="7">
        <v>297.0</v>
      </c>
      <c r="B298" s="8" t="s">
        <v>3339</v>
      </c>
      <c r="C298" s="8" t="s">
        <v>3274</v>
      </c>
      <c r="D298" s="8" t="s">
        <v>3275</v>
      </c>
      <c r="F298" s="5" t="str">
        <f>IFERROR(__xludf.DUMMYFUNCTION("GOOGLETRANSLATE(A298, ""en"", ""hi"")"),"297")</f>
        <v>297</v>
      </c>
      <c r="G298" s="5" t="str">
        <f>IFERROR(__xludf.DUMMYFUNCTION("GOOGLETRANSLATE(B298, ""en"", ""hi"")"),"मुष्टि युद्ध का संरक्षण किस राजवंश से जुड़ा है?")</f>
        <v>मुष्टि युद्ध का संरक्षण किस राजवंश से जुड़ा है?</v>
      </c>
      <c r="H298" s="5" t="str">
        <f>IFERROR(__xludf.DUMMYFUNCTION("GOOGLETRANSLATE(C298, ""en"", ""hi"")"),"ए) मौर्य, बी) गुप्त, सी) चोल, डी) मुगल")</f>
        <v>ए) मौर्य, बी) गुप्त, सी) चोल, डी) मुगल</v>
      </c>
      <c r="I298" s="5" t="str">
        <f>IFERROR(__xludf.DUMMYFUNCTION("GOOGLETRANSLATE(D298, ""en"", ""hi"")"),"C) चोल")</f>
        <v>C) चोल</v>
      </c>
    </row>
    <row r="299" ht="22.5" customHeight="1">
      <c r="A299" s="7">
        <v>298.0</v>
      </c>
      <c r="B299" s="8" t="s">
        <v>3340</v>
      </c>
      <c r="C299" s="8" t="s">
        <v>3306</v>
      </c>
      <c r="D299" s="8" t="s">
        <v>3307</v>
      </c>
      <c r="F299" s="5" t="str">
        <f>IFERROR(__xludf.DUMMYFUNCTION("GOOGLETRANSLATE(A299, ""en"", ""hi"")"),"298")</f>
        <v>298</v>
      </c>
      <c r="G299" s="5" t="str">
        <f>IFERROR(__xludf.DUMMYFUNCTION("GOOGLETRANSLATE(B299, ""en"", ""hi"")"),"मुष्टि युद्ध में 'पद्म हस्त' किस पर केंद्रित है?")</f>
        <v>मुष्टि युद्ध में 'पद्म हस्त' किस पर केंद्रित है?</v>
      </c>
      <c r="H299" s="5" t="str">
        <f>IFERROR(__xludf.DUMMYFUNCTION("GOOGLETRANSLATE(C299, ""en"", ""hi"")"),"A) हाथ की तकनीक, B) पैर की तकनीक, C) संतुलन, D) गति")</f>
        <v>A) हाथ की तकनीक, B) पैर की तकनीक, C) संतुलन, D) गति</v>
      </c>
      <c r="I299" s="5" t="str">
        <f>IFERROR(__xludf.DUMMYFUNCTION("GOOGLETRANSLATE(D299, ""en"", ""hi"")"),"बी) पैर तकनीक")</f>
        <v>बी) पैर तकनीक</v>
      </c>
    </row>
    <row r="300" ht="22.5" customHeight="1">
      <c r="A300" s="7">
        <v>299.0</v>
      </c>
      <c r="B300" s="8" t="s">
        <v>3341</v>
      </c>
      <c r="C300" s="8" t="s">
        <v>3309</v>
      </c>
      <c r="D300" s="8" t="s">
        <v>3258</v>
      </c>
      <c r="F300" s="5" t="str">
        <f>IFERROR(__xludf.DUMMYFUNCTION("GOOGLETRANSLATE(A300, ""en"", ""hi"")"),"299")</f>
        <v>299</v>
      </c>
      <c r="G300" s="5" t="str">
        <f>IFERROR(__xludf.DUMMYFUNCTION("GOOGLETRANSLATE(B300, ""en"", ""hi"")"),"मुष्टि युद्ध में प्रतिद्वंद्वी की पकड़ तोड़ने के लिए कौन सी चाल का प्रयोग किया जाता है?")</f>
        <v>मुष्टि युद्ध में प्रतिद्वंद्वी की पकड़ तोड़ने के लिए कौन सी चाल का प्रयोग किया जाता है?</v>
      </c>
      <c r="H300" s="5" t="str">
        <f>IFERROR(__xludf.DUMMYFUNCTION("GOOGLETRANSLATE(C300, ""en"", ""hi"")"),"ए) व्यपद हस्त, बी) वज्र हस्त, सी) गति हस्त, डी) मुख हस्त")</f>
        <v>ए) व्यपद हस्त, बी) वज्र हस्त, सी) गति हस्त, डी) मुख हस्त</v>
      </c>
      <c r="I300" s="5" t="str">
        <f>IFERROR(__xludf.DUMMYFUNCTION("GOOGLETRANSLATE(D300, ""en"", ""hi"")"),"A) व्यापद हस्त")</f>
        <v>A) व्यापद हस्त</v>
      </c>
    </row>
    <row r="301" ht="22.5" customHeight="1">
      <c r="A301" s="7">
        <v>300.0</v>
      </c>
      <c r="B301" s="8" t="s">
        <v>3342</v>
      </c>
      <c r="C301" s="8" t="s">
        <v>3311</v>
      </c>
      <c r="D301" s="8" t="s">
        <v>3312</v>
      </c>
      <c r="F301" s="5" t="str">
        <f>IFERROR(__xludf.DUMMYFUNCTION("GOOGLETRANSLATE(A301, ""en"", ""hi"")"),"300")</f>
        <v>300</v>
      </c>
      <c r="G301" s="5" t="str">
        <f>IFERROR(__xludf.DUMMYFUNCTION("GOOGLETRANSLATE(B301, ""en"", ""hi"")"),"कौन सा महान राजा अपने मुष्टि युद्ध कौशल के लिए जाना जाता है?")</f>
        <v>कौन सा महान राजा अपने मुष्टि युद्ध कौशल के लिए जाना जाता है?</v>
      </c>
      <c r="H301" s="5" t="str">
        <f>IFERROR(__xludf.DUMMYFUNCTION("GOOGLETRANSLATE(C301, ""en"", ""hi"")"),"ए) अशोक, बी) अकबर, सी) चंद्रगुप्त मौर्य, डी) शिवाजी महाराज")</f>
        <v>ए) अशोक, बी) अकबर, सी) चंद्रगुप्त मौर्य, डी) शिवाजी महाराज</v>
      </c>
      <c r="I301" s="5" t="str">
        <f>IFERROR(__xludf.DUMMYFUNCTION("GOOGLETRANSLATE(D301, ""en"", ""hi"")"),"D) शिवाजी महाराज")</f>
        <v>D) शिवाजी महाराज</v>
      </c>
    </row>
    <row r="302" ht="22.5" customHeight="1">
      <c r="A302" s="7">
        <v>301.0</v>
      </c>
      <c r="B302" s="8" t="s">
        <v>3343</v>
      </c>
      <c r="C302" s="8" t="s">
        <v>3283</v>
      </c>
      <c r="D302" s="8" t="s">
        <v>3284</v>
      </c>
      <c r="F302" s="5" t="str">
        <f>IFERROR(__xludf.DUMMYFUNCTION("GOOGLETRANSLATE(A302, ""en"", ""hi"")"),"301")</f>
        <v>301</v>
      </c>
      <c r="G302" s="5" t="str">
        <f>IFERROR(__xludf.DUMMYFUNCTION("GOOGLETRANSLATE(B302, ""en"", ""hi"")"),"मुष्टि युद्ध में 'गरुड़ हस्त' किस पर जोर देता है?")</f>
        <v>मुष्टि युद्ध में 'गरुड़ हस्त' किस पर जोर देता है?</v>
      </c>
      <c r="H302" s="5" t="str">
        <f>IFERROR(__xludf.DUMMYFUNCTION("GOOGLETRANSLATE(C302, ""en"", ""hi"")"),"A) हाई स्ट्राइक, B) लो स्ट्राइक, C) साइड स्ट्राइक, D) सर्कुलर स्ट्राइक")</f>
        <v>A) हाई स्ट्राइक, B) लो स्ट्राइक, C) साइड स्ट्राइक, D) सर्कुलर स्ट्राइक</v>
      </c>
      <c r="I302" s="5" t="str">
        <f>IFERROR(__xludf.DUMMYFUNCTION("GOOGLETRANSLATE(D302, ""en"", ""hi"")"),"A) उच्च हमले")</f>
        <v>A) उच्च हमले</v>
      </c>
    </row>
    <row r="303" ht="22.5" customHeight="1">
      <c r="A303" s="7">
        <v>302.0</v>
      </c>
      <c r="B303" s="8" t="s">
        <v>3344</v>
      </c>
      <c r="C303" s="8" t="s">
        <v>3165</v>
      </c>
      <c r="D303" s="8" t="s">
        <v>3166</v>
      </c>
      <c r="F303" s="5" t="str">
        <f>IFERROR(__xludf.DUMMYFUNCTION("GOOGLETRANSLATE(A303, ""en"", ""hi"")"),"302")</f>
        <v>302</v>
      </c>
      <c r="G303" s="5" t="str">
        <f>IFERROR(__xludf.DUMMYFUNCTION("GOOGLETRANSLATE(B303, ""en"", ""hi"")"),"कौन से भारतीय संत मुष्टि युद्ध प्रशिक्षण से जुड़े हैं?")</f>
        <v>कौन से भारतीय संत मुष्टि युद्ध प्रशिक्षण से जुड़े हैं?</v>
      </c>
      <c r="H303" s="5" t="str">
        <f>IFERROR(__xludf.DUMMYFUNCTION("GOOGLETRANSLATE(C303, ""en"", ""hi"")"),"ए) तुलसीदास, बी) वाल्मिकी, सी) विद्यारण्य, डी) कबीर")</f>
        <v>ए) तुलसीदास, बी) वाल्मिकी, सी) विद्यारण्य, डी) कबीर</v>
      </c>
      <c r="I303" s="5" t="str">
        <f>IFERROR(__xludf.DUMMYFUNCTION("GOOGLETRANSLATE(D303, ""en"", ""hi"")"),"C) विद्यारण्य")</f>
        <v>C) विद्यारण्य</v>
      </c>
    </row>
    <row r="304" ht="22.5" customHeight="1">
      <c r="A304" s="7">
        <v>303.0</v>
      </c>
      <c r="B304" s="8" t="s">
        <v>3146</v>
      </c>
      <c r="C304" s="8" t="s">
        <v>3345</v>
      </c>
      <c r="D304" s="8" t="s">
        <v>3121</v>
      </c>
      <c r="F304" s="5" t="str">
        <f>IFERROR(__xludf.DUMMYFUNCTION("GOOGLETRANSLATE(A304, ""en"", ""hi"")"),"303")</f>
        <v>303</v>
      </c>
      <c r="G304" s="5" t="str">
        <f>IFERROR(__xludf.DUMMYFUNCTION("GOOGLETRANSLATE(B304, ""en"", ""hi"")"),"मुष्टि युद्ध में 'मुख हस्त' की क्या भूमिका है?")</f>
        <v>मुष्टि युद्ध में 'मुख हस्त' की क्या भूमिका है?</v>
      </c>
      <c r="H304" s="5" t="str">
        <f>IFERROR(__xludf.DUMMYFUNCTION("GOOGLETRANSLATE(C304, ""en"", ""hi"")"),"A) रक्षा, B) आक्रमण, C) व्याकुलता, D) गति वृद्धि")</f>
        <v>A) रक्षा, B) आक्रमण, C) व्याकुलता, D) गति वृद्धि</v>
      </c>
      <c r="I304" s="5" t="str">
        <f>IFERROR(__xludf.DUMMYFUNCTION("GOOGLETRANSLATE(D304, ""en"", ""hi"")"),"सी) ध्यान भटकाना")</f>
        <v>सी) ध्यान भटकाना</v>
      </c>
    </row>
    <row r="305" ht="22.5" customHeight="1">
      <c r="A305" s="7">
        <v>304.0</v>
      </c>
      <c r="B305" s="8" t="s">
        <v>3346</v>
      </c>
      <c r="C305" s="8" t="s">
        <v>3323</v>
      </c>
      <c r="D305" s="8" t="s">
        <v>3324</v>
      </c>
      <c r="F305" s="5" t="str">
        <f>IFERROR(__xludf.DUMMYFUNCTION("GOOGLETRANSLATE(A305, ""en"", ""hi"")"),"304")</f>
        <v>304</v>
      </c>
      <c r="G305" s="5" t="str">
        <f>IFERROR(__xludf.DUMMYFUNCTION("GOOGLETRANSLATE(B305, ""en"", ""hi"")"),"मुष्टि युद्ध में 'शीर्ष हस्त' का उपयोग किस लिए किया जाता है?")</f>
        <v>मुष्टि युद्ध में 'शीर्ष हस्त' का उपयोग किस लिए किया जाता है?</v>
      </c>
      <c r="H305" s="5" t="str">
        <f>IFERROR(__xludf.DUMMYFUNCTION("GOOGLETRANSLATE(C305, ""en"", ""hi"")"),"A) हाथ की तकनीकें, B) पैर की तकनीकें, C) सिर की तकनीकें, D) हाथ की तकनीकें")</f>
        <v>A) हाथ की तकनीकें, B) पैर की तकनीकें, C) सिर की तकनीकें, D) हाथ की तकनीकें</v>
      </c>
      <c r="I305" s="5" t="str">
        <f>IFERROR(__xludf.DUMMYFUNCTION("GOOGLETRANSLATE(D305, ""en"", ""hi"")"),"सी) सिर तकनीक")</f>
        <v>सी) सिर तकनीक</v>
      </c>
    </row>
    <row r="306" ht="22.5" customHeight="1">
      <c r="A306" s="7">
        <v>305.0</v>
      </c>
      <c r="B306" s="8" t="s">
        <v>3347</v>
      </c>
      <c r="C306" s="8" t="s">
        <v>3248</v>
      </c>
      <c r="D306" s="8" t="s">
        <v>3249</v>
      </c>
      <c r="F306" s="5" t="str">
        <f>IFERROR(__xludf.DUMMYFUNCTION("GOOGLETRANSLATE(A306, ""en"", ""hi"")"),"305")</f>
        <v>305</v>
      </c>
      <c r="G306" s="5" t="str">
        <f>IFERROR(__xludf.DUMMYFUNCTION("GOOGLETRANSLATE(B306, ""en"", ""hi"")"),"'वज्र हस्त' किस पहलू पर केंद्रित है?")</f>
        <v>'वज्र हस्त' किस पहलू पर केंद्रित है?</v>
      </c>
      <c r="H306" s="5" t="str">
        <f>IFERROR(__xludf.DUMMYFUNCTION("GOOGLETRANSLATE(C306, ""en"", ""hi"")"),"A) शक्ति और प्रभाव, B) गति और चपलता, C) रक्षा और बचाव, D) सटीकता और तकनीक")</f>
        <v>A) शक्ति और प्रभाव, B) गति और चपलता, C) रक्षा और बचाव, D) सटीकता और तकनीक</v>
      </c>
      <c r="I306" s="5" t="str">
        <f>IFERROR(__xludf.DUMMYFUNCTION("GOOGLETRANSLATE(D306, ""en"", ""hi"")"),"ए) शक्ति और प्रभाव")</f>
        <v>ए) शक्ति और प्रभाव</v>
      </c>
    </row>
    <row r="307" ht="22.5" customHeight="1">
      <c r="A307" s="7">
        <v>306.0</v>
      </c>
      <c r="B307" s="8" t="s">
        <v>3331</v>
      </c>
      <c r="C307" s="8" t="s">
        <v>3280</v>
      </c>
      <c r="D307" s="8" t="s">
        <v>3332</v>
      </c>
      <c r="F307" s="5" t="str">
        <f>IFERROR(__xludf.DUMMYFUNCTION("GOOGLETRANSLATE(A307, ""en"", ""hi"")"),"306")</f>
        <v>306</v>
      </c>
      <c r="G307" s="5" t="str">
        <f>IFERROR(__xludf.DUMMYFUNCTION("GOOGLETRANSLATE(B307, ""en"", ""hi"")"),"मुष्टि युद्ध में संतुलन और स्थिरता के लिए किस मुद्रा का उपयोग किया जाता है?")</f>
        <v>मुष्टि युद्ध में संतुलन और स्थिरता के लिए किस मुद्रा का उपयोग किया जाता है?</v>
      </c>
      <c r="H307" s="5" t="str">
        <f>IFERROR(__xludf.DUMMYFUNCTION("GOOGLETRANSLATE(C307, ""en"", ""hi"")"),"A) प्रोन स्टांस, B) फॉरवर्ड स्टांस, C) साइड स्टांस, D) बैकवर्ड स्टांस")</f>
        <v>A) प्रोन स्टांस, B) फॉरवर्ड स्टांस, C) साइड स्टांस, D) बैकवर्ड स्टांस</v>
      </c>
      <c r="I307" s="5" t="str">
        <f>IFERROR(__xludf.DUMMYFUNCTION("GOOGLETRANSLATE(D307, ""en"", ""hi"")"),"सी) साइड स्टांस")</f>
        <v>सी) साइड स्टांस</v>
      </c>
    </row>
    <row r="308" ht="22.5" customHeight="1">
      <c r="A308" s="7">
        <v>307.0</v>
      </c>
      <c r="B308" s="8" t="s">
        <v>3348</v>
      </c>
      <c r="C308" s="8" t="s">
        <v>3335</v>
      </c>
      <c r="D308" s="8" t="s">
        <v>3336</v>
      </c>
      <c r="F308" s="5" t="str">
        <f>IFERROR(__xludf.DUMMYFUNCTION("GOOGLETRANSLATE(A308, ""en"", ""hi"")"),"307")</f>
        <v>307</v>
      </c>
      <c r="G308" s="5" t="str">
        <f>IFERROR(__xludf.DUMMYFUNCTION("GOOGLETRANSLATE(B308, ""en"", ""hi"")"),"मुष्टियुद्ध में 'मुख हस्त' का क्या महत्व है?")</f>
        <v>मुष्टियुद्ध में 'मुख हस्त' का क्या महत्व है?</v>
      </c>
      <c r="H308" s="5" t="str">
        <f>IFERROR(__xludf.DUMMYFUNCTION("GOOGLETRANSLATE(C308, ""en"", ""hi"")"),"A) ध्यान भटकाना, B) हमलों को रोकना, C) हमलों का प्रतिकार करना, D) गति बढ़ाना")</f>
        <v>A) ध्यान भटकाना, B) हमलों को रोकना, C) हमलों का प्रतिकार करना, D) गति बढ़ाना</v>
      </c>
      <c r="I308" s="5" t="str">
        <f>IFERROR(__xludf.DUMMYFUNCTION("GOOGLETRANSLATE(D308, ""en"", ""hi"")"),"A) विकर्षण पैदा करना")</f>
        <v>A) विकर्षण पैदा करना</v>
      </c>
    </row>
    <row r="309" ht="22.5" customHeight="1">
      <c r="A309" s="7">
        <v>308.0</v>
      </c>
      <c r="B309" s="8" t="s">
        <v>3349</v>
      </c>
      <c r="C309" s="8" t="s">
        <v>3257</v>
      </c>
      <c r="D309" s="8" t="s">
        <v>3163</v>
      </c>
      <c r="F309" s="5" t="str">
        <f>IFERROR(__xludf.DUMMYFUNCTION("GOOGLETRANSLATE(A309, ""en"", ""hi"")"),"308")</f>
        <v>308</v>
      </c>
      <c r="G309" s="5" t="str">
        <f>IFERROR(__xludf.DUMMYFUNCTION("GOOGLETRANSLATE(B309, ""en"", ""hi"")"),"कौन सी तकनीक त्वरित प्रतिक्रिया में निपुणता प्राप्त करने में मदद करती है?")</f>
        <v>कौन सी तकनीक त्वरित प्रतिक्रिया में निपुणता प्राप्त करने में मदद करती है?</v>
      </c>
      <c r="H309" s="5" t="str">
        <f>IFERROR(__xludf.DUMMYFUNCTION("GOOGLETRANSLATE(C309, ""en"", ""hi"")"),"ए) व्यपद हस्त, बी) तर्जनी हस्त, सी) अग्नि हस्त, डी) मुख हस्त")</f>
        <v>ए) व्यपद हस्त, बी) तर्जनी हस्त, सी) अग्नि हस्त, डी) मुख हस्त</v>
      </c>
      <c r="I309" s="5" t="str">
        <f>IFERROR(__xludf.DUMMYFUNCTION("GOOGLETRANSLATE(D309, ""en"", ""hi"")"),"बी) तर्जनी हस्ता")</f>
        <v>बी) तर्जनी हस्ता</v>
      </c>
    </row>
    <row r="310" ht="22.5" customHeight="1">
      <c r="A310" s="7">
        <v>309.0</v>
      </c>
      <c r="B310" s="8" t="s">
        <v>3350</v>
      </c>
      <c r="C310" s="8" t="s">
        <v>3292</v>
      </c>
      <c r="D310" s="8" t="s">
        <v>3293</v>
      </c>
      <c r="F310" s="5" t="str">
        <f>IFERROR(__xludf.DUMMYFUNCTION("GOOGLETRANSLATE(A310, ""en"", ""hi"")"),"309")</f>
        <v>309</v>
      </c>
      <c r="G310" s="5" t="str">
        <f>IFERROR(__xludf.DUMMYFUNCTION("GOOGLETRANSLATE(B310, ""en"", ""hi"")"),"मुष्टि युद्ध में 'वायु हस्त' का केंद्रबिंदु क्या है?")</f>
        <v>मुष्टि युद्ध में 'वायु हस्त' का केंद्रबिंदु क्या है?</v>
      </c>
      <c r="H310" s="5" t="str">
        <f>IFERROR(__xludf.DUMMYFUNCTION("GOOGLETRANSLATE(C310, ""en"", ""hi"")"),"A) त्वरित और सटीक प्रहार, B) मजबूत और शक्तिशाली प्रहार, C) रक्षात्मक चालें, D) संतुलन और समन्वय")</f>
        <v>A) त्वरित और सटीक प्रहार, B) मजबूत और शक्तिशाली प्रहार, C) रक्षात्मक चालें, D) संतुलन और समन्वय</v>
      </c>
      <c r="I310" s="5" t="str">
        <f>IFERROR(__xludf.DUMMYFUNCTION("GOOGLETRANSLATE(D310, ""en"", ""hi"")"),"A) त्वरित और सटीक हमले")</f>
        <v>A) त्वरित और सटीक हमले</v>
      </c>
    </row>
    <row r="311" ht="22.5" customHeight="1">
      <c r="A311" s="7">
        <v>310.0</v>
      </c>
      <c r="B311" s="8" t="s">
        <v>3351</v>
      </c>
      <c r="C311" s="8" t="s">
        <v>3295</v>
      </c>
      <c r="D311" s="8" t="s">
        <v>98</v>
      </c>
      <c r="F311" s="5" t="str">
        <f>IFERROR(__xludf.DUMMYFUNCTION("GOOGLETRANSLATE(A311, ""en"", ""hi"")"),"310")</f>
        <v>310</v>
      </c>
      <c r="G311" s="5" t="str">
        <f>IFERROR(__xludf.DUMMYFUNCTION("GOOGLETRANSLATE(B311, ""en"", ""hi"")"),"किस भारतीय राज्य में मुष्टि युद्ध का समृद्ध इतिहास है?")</f>
        <v>किस भारतीय राज्य में मुष्टि युद्ध का समृद्ध इतिहास है?</v>
      </c>
      <c r="H311" s="5" t="str">
        <f>IFERROR(__xludf.DUMMYFUNCTION("GOOGLETRANSLATE(C311, ""en"", ""hi"")"),"ए) उत्तर प्रदेश, बी) महाराष्ट्र, सी) गुजरात, डी) पंजाब")</f>
        <v>ए) उत्तर प्रदेश, बी) महाराष्ट्र, सी) गुजरात, डी) पंजाब</v>
      </c>
      <c r="I311" s="5" t="str">
        <f>IFERROR(__xludf.DUMMYFUNCTION("GOOGLETRANSLATE(D311, ""en"", ""hi"")"),"बी) महाराष्ट्र")</f>
        <v>बी) महाराष्ट्र</v>
      </c>
    </row>
    <row r="312" ht="22.5" customHeight="1">
      <c r="A312" s="7">
        <v>311.0</v>
      </c>
      <c r="B312" s="8" t="s">
        <v>3346</v>
      </c>
      <c r="C312" s="8" t="s">
        <v>3323</v>
      </c>
      <c r="D312" s="8" t="s">
        <v>3324</v>
      </c>
      <c r="F312" s="5" t="str">
        <f>IFERROR(__xludf.DUMMYFUNCTION("GOOGLETRANSLATE(A312, ""en"", ""hi"")"),"311")</f>
        <v>311</v>
      </c>
      <c r="G312" s="5" t="str">
        <f>IFERROR(__xludf.DUMMYFUNCTION("GOOGLETRANSLATE(B312, ""en"", ""hi"")"),"मुष्टि युद्ध में 'शीर्ष हस्त' का उपयोग किस लिए किया जाता है?")</f>
        <v>मुष्टि युद्ध में 'शीर्ष हस्त' का उपयोग किस लिए किया जाता है?</v>
      </c>
      <c r="H312" s="5" t="str">
        <f>IFERROR(__xludf.DUMMYFUNCTION("GOOGLETRANSLATE(C312, ""en"", ""hi"")"),"A) हाथ की तकनीकें, B) पैर की तकनीकें, C) सिर की तकनीकें, D) हाथ की तकनीकें")</f>
        <v>A) हाथ की तकनीकें, B) पैर की तकनीकें, C) सिर की तकनीकें, D) हाथ की तकनीकें</v>
      </c>
      <c r="I312" s="5" t="str">
        <f>IFERROR(__xludf.DUMMYFUNCTION("GOOGLETRANSLATE(D312, ""en"", ""hi"")"),"सी) सिर तकनीक")</f>
        <v>सी) सिर तकनीक</v>
      </c>
    </row>
    <row r="313" ht="22.5" customHeight="1">
      <c r="A313" s="7">
        <v>312.0</v>
      </c>
      <c r="B313" s="8" t="s">
        <v>3282</v>
      </c>
      <c r="C313" s="8" t="s">
        <v>3283</v>
      </c>
      <c r="D313" s="8" t="s">
        <v>3284</v>
      </c>
      <c r="F313" s="5" t="str">
        <f>IFERROR(__xludf.DUMMYFUNCTION("GOOGLETRANSLATE(A313, ""en"", ""hi"")"),"312")</f>
        <v>312</v>
      </c>
      <c r="G313" s="5" t="str">
        <f>IFERROR(__xludf.DUMMYFUNCTION("GOOGLETRANSLATE(B313, ""en"", ""hi"")"),"'गरुड़ हस्त' का प्राथमिक केंद्र क्या है?")</f>
        <v>'गरुड़ हस्त' का प्राथमिक केंद्र क्या है?</v>
      </c>
      <c r="H313" s="5" t="str">
        <f>IFERROR(__xludf.DUMMYFUNCTION("GOOGLETRANSLATE(C313, ""en"", ""hi"")"),"A) हाई स्ट्राइक, B) लो स्ट्राइक, C) साइड स्ट्राइक, D) सर्कुलर स्ट्राइक")</f>
        <v>A) हाई स्ट्राइक, B) लो स्ट्राइक, C) साइड स्ट्राइक, D) सर्कुलर स्ट्राइक</v>
      </c>
      <c r="I313" s="5" t="str">
        <f>IFERROR(__xludf.DUMMYFUNCTION("GOOGLETRANSLATE(D313, ""en"", ""hi"")"),"A) उच्च हमले")</f>
        <v>A) उच्च हमले</v>
      </c>
    </row>
    <row r="314" ht="22.5" customHeight="1">
      <c r="A314" s="7">
        <v>313.0</v>
      </c>
      <c r="B314" s="8" t="s">
        <v>3352</v>
      </c>
      <c r="C314" s="8" t="s">
        <v>3271</v>
      </c>
      <c r="D314" s="8" t="s">
        <v>3272</v>
      </c>
      <c r="F314" s="5" t="str">
        <f>IFERROR(__xludf.DUMMYFUNCTION("GOOGLETRANSLATE(A314, ""en"", ""hi"")"),"313")</f>
        <v>313</v>
      </c>
      <c r="G314" s="5" t="str">
        <f>IFERROR(__xludf.DUMMYFUNCTION("GOOGLETRANSLATE(B314, ""en"", ""hi"")"),"किस प्राचीन ग्रंथ में मुष्टि युद्ध तकनीकों का वर्णन है?")</f>
        <v>किस प्राचीन ग्रंथ में मुष्टि युद्ध तकनीकों का वर्णन है?</v>
      </c>
      <c r="H314" s="5" t="str">
        <f>IFERROR(__xludf.DUMMYFUNCTION("GOOGLETRANSLATE(C314, ""en"", ""hi"")"),"ए) कामसूत्र, बी) अर्थशास्त्र, सी) योग सूत्र, डी) पुराण")</f>
        <v>ए) कामसूत्र, बी) अर्थशास्त्र, सी) योग सूत्र, डी) पुराण</v>
      </c>
      <c r="I314" s="5" t="str">
        <f>IFERROR(__xludf.DUMMYFUNCTION("GOOGLETRANSLATE(D314, ""en"", ""hi"")"),"बी) अर्थशास्त्र")</f>
        <v>बी) अर्थशास्त्र</v>
      </c>
    </row>
    <row r="315" ht="22.5" customHeight="1">
      <c r="A315" s="7">
        <v>314.0</v>
      </c>
      <c r="B315" s="8" t="s">
        <v>3353</v>
      </c>
      <c r="C315" s="8" t="s">
        <v>3306</v>
      </c>
      <c r="D315" s="8" t="s">
        <v>3307</v>
      </c>
      <c r="F315" s="5" t="str">
        <f>IFERROR(__xludf.DUMMYFUNCTION("GOOGLETRANSLATE(A315, ""en"", ""hi"")"),"314")</f>
        <v>314</v>
      </c>
      <c r="G315" s="5" t="str">
        <f>IFERROR(__xludf.DUMMYFUNCTION("GOOGLETRANSLATE(B315, ""en"", ""hi"")"),"मुष्टि युद्ध में 'पद्म हस्त' किस पर जोर देता है?")</f>
        <v>मुष्टि युद्ध में 'पद्म हस्त' किस पर जोर देता है?</v>
      </c>
      <c r="H315" s="5" t="str">
        <f>IFERROR(__xludf.DUMMYFUNCTION("GOOGLETRANSLATE(C315, ""en"", ""hi"")"),"A) हाथ की तकनीक, B) पैर की तकनीक, C) संतुलन, D) गति")</f>
        <v>A) हाथ की तकनीक, B) पैर की तकनीक, C) संतुलन, D) गति</v>
      </c>
      <c r="I315" s="5" t="str">
        <f>IFERROR(__xludf.DUMMYFUNCTION("GOOGLETRANSLATE(D315, ""en"", ""hi"")"),"बी) पैर तकनीक")</f>
        <v>बी) पैर तकनीक</v>
      </c>
    </row>
    <row r="316" ht="22.5" customHeight="1">
      <c r="A316" s="7">
        <v>315.0</v>
      </c>
      <c r="B316" s="8" t="s">
        <v>3354</v>
      </c>
      <c r="C316" s="8" t="s">
        <v>3309</v>
      </c>
      <c r="D316" s="8" t="s">
        <v>3258</v>
      </c>
      <c r="F316" s="5" t="str">
        <f>IFERROR(__xludf.DUMMYFUNCTION("GOOGLETRANSLATE(A316, ""en"", ""hi"")"),"315")</f>
        <v>315</v>
      </c>
      <c r="G316" s="5" t="str">
        <f>IFERROR(__xludf.DUMMYFUNCTION("GOOGLETRANSLATE(B316, ""en"", ""hi"")"),"प्रतिद्वंद्वी की पकड़ तोड़ने के लिए किस तकनीक का उपयोग किया जाता है?")</f>
        <v>प्रतिद्वंद्वी की पकड़ तोड़ने के लिए किस तकनीक का उपयोग किया जाता है?</v>
      </c>
      <c r="H316" s="5" t="str">
        <f>IFERROR(__xludf.DUMMYFUNCTION("GOOGLETRANSLATE(C316, ""en"", ""hi"")"),"ए) व्यपद हस्त, बी) वज्र हस्त, सी) गति हस्त, डी) मुख हस्त")</f>
        <v>ए) व्यपद हस्त, बी) वज्र हस्त, सी) गति हस्त, डी) मुख हस्त</v>
      </c>
      <c r="I316" s="5" t="str">
        <f>IFERROR(__xludf.DUMMYFUNCTION("GOOGLETRANSLATE(D316, ""en"", ""hi"")"),"A) व्यापद हस्त")</f>
        <v>A) व्यापद हस्त</v>
      </c>
    </row>
    <row r="317" ht="22.5" customHeight="1">
      <c r="A317" s="7">
        <v>316.0</v>
      </c>
      <c r="B317" s="8" t="s">
        <v>3355</v>
      </c>
      <c r="C317" s="8" t="s">
        <v>3300</v>
      </c>
      <c r="D317" s="8" t="s">
        <v>3301</v>
      </c>
      <c r="F317" s="5" t="str">
        <f>IFERROR(__xludf.DUMMYFUNCTION("GOOGLETRANSLATE(A317, ""en"", ""hi"")"),"316")</f>
        <v>316</v>
      </c>
      <c r="G317" s="5" t="str">
        <f>IFERROR(__xludf.DUMMYFUNCTION("GOOGLETRANSLATE(B317, ""en"", ""hi"")"),"कौन सा ऐतिहासिक व्यक्ति अपनी युद्ध रणनीति में मुष्टि युद्ध को शामिल करने के लिए जाना जाता है?")</f>
        <v>कौन सा ऐतिहासिक व्यक्ति अपनी युद्ध रणनीति में मुष्टि युद्ध को शामिल करने के लिए जाना जाता है?</v>
      </c>
      <c r="H317" s="5" t="str">
        <f>IFERROR(__xludf.DUMMYFUNCTION("GOOGLETRANSLATE(C317, ""en"", ""hi"")"),"ए) चंद्रगुप्त मौर्य, बी) अशोक, सी) शिवाजी महाराज, डी) महाराणा प्रताप")</f>
        <v>ए) चंद्रगुप्त मौर्य, बी) अशोक, सी) शिवाजी महाराज, डी) महाराणा प्रताप</v>
      </c>
      <c r="I317" s="5" t="str">
        <f>IFERROR(__xludf.DUMMYFUNCTION("GOOGLETRANSLATE(D317, ""en"", ""hi"")"),"C) शिवाजी महाराज")</f>
        <v>C) शिवाजी महाराज</v>
      </c>
    </row>
    <row r="318" ht="22.5" customHeight="1">
      <c r="A318" s="7">
        <v>317.0</v>
      </c>
      <c r="B318" s="8" t="s">
        <v>3356</v>
      </c>
      <c r="C318" s="8" t="s">
        <v>3248</v>
      </c>
      <c r="D318" s="8" t="s">
        <v>3249</v>
      </c>
      <c r="F318" s="5" t="str">
        <f>IFERROR(__xludf.DUMMYFUNCTION("GOOGLETRANSLATE(A318, ""en"", ""hi"")"),"317")</f>
        <v>317</v>
      </c>
      <c r="G318" s="5" t="str">
        <f>IFERROR(__xludf.DUMMYFUNCTION("GOOGLETRANSLATE(B318, ""en"", ""hi"")"),"'वज्र हस्त' किस पर केंद्रित है?")</f>
        <v>'वज्र हस्त' किस पर केंद्रित है?</v>
      </c>
      <c r="H318" s="5" t="str">
        <f>IFERROR(__xludf.DUMMYFUNCTION("GOOGLETRANSLATE(C318, ""en"", ""hi"")"),"A) शक्ति और प्रभाव, B) गति और चपलता, C) रक्षा और बचाव, D) सटीकता और तकनीक")</f>
        <v>A) शक्ति और प्रभाव, B) गति और चपलता, C) रक्षा और बचाव, D) सटीकता और तकनीक</v>
      </c>
      <c r="I318" s="5" t="str">
        <f>IFERROR(__xludf.DUMMYFUNCTION("GOOGLETRANSLATE(D318, ""en"", ""hi"")"),"ए) शक्ति और प्रभाव")</f>
        <v>ए) शक्ति और प्रभाव</v>
      </c>
    </row>
    <row r="319" ht="22.5" customHeight="1">
      <c r="A319" s="7">
        <v>318.0</v>
      </c>
      <c r="B319" s="8" t="s">
        <v>3357</v>
      </c>
      <c r="C319" s="8" t="s">
        <v>3251</v>
      </c>
      <c r="D319" s="8" t="s">
        <v>3358</v>
      </c>
      <c r="F319" s="5" t="str">
        <f>IFERROR(__xludf.DUMMYFUNCTION("GOOGLETRANSLATE(A319, ""en"", ""hi"")"),"318")</f>
        <v>318</v>
      </c>
      <c r="G319" s="5" t="str">
        <f>IFERROR(__xludf.DUMMYFUNCTION("GOOGLETRANSLATE(B319, ""en"", ""hi"")"),"मुष्टि युद्ध में रक्षात्मक युद्धाभ्यास के लिए किस रुख का उपयोग किया जाता है?")</f>
        <v>मुष्टि युद्ध में रक्षात्मक युद्धाभ्यास के लिए किस रुख का उपयोग किया जाता है?</v>
      </c>
      <c r="H319" s="5" t="str">
        <f>IFERROR(__xludf.DUMMYFUNCTION("GOOGLETRANSLATE(C319, ""en"", ""hi"")"),"A) आगे की ओर रुख, B) बगल की ओर रुख, C) पीछे की ओर रुख, D) पेट के बल लेटना")</f>
        <v>A) आगे की ओर रुख, B) बगल की ओर रुख, C) पीछे की ओर रुख, D) पेट के बल लेटना</v>
      </c>
      <c r="I319" s="5" t="str">
        <f>IFERROR(__xludf.DUMMYFUNCTION("GOOGLETRANSLATE(D319, ""en"", ""hi"")"),"बी) साइड स्टांस")</f>
        <v>बी) साइड स्टांस</v>
      </c>
    </row>
    <row r="320" ht="22.5" customHeight="1">
      <c r="A320" s="7">
        <v>319.0</v>
      </c>
      <c r="B320" s="8" t="s">
        <v>3146</v>
      </c>
      <c r="C320" s="8" t="s">
        <v>3335</v>
      </c>
      <c r="D320" s="8" t="s">
        <v>3336</v>
      </c>
      <c r="F320" s="5" t="str">
        <f>IFERROR(__xludf.DUMMYFUNCTION("GOOGLETRANSLATE(A320, ""en"", ""hi"")"),"319")</f>
        <v>319</v>
      </c>
      <c r="G320" s="5" t="str">
        <f>IFERROR(__xludf.DUMMYFUNCTION("GOOGLETRANSLATE(B320, ""en"", ""hi"")"),"मुष्टि युद्ध में 'मुख हस्त' की क्या भूमिका है?")</f>
        <v>मुष्टि युद्ध में 'मुख हस्त' की क्या भूमिका है?</v>
      </c>
      <c r="H320" s="5" t="str">
        <f>IFERROR(__xludf.DUMMYFUNCTION("GOOGLETRANSLATE(C320, ""en"", ""hi"")"),"A) ध्यान भटकाना, B) हमलों को रोकना, C) हमलों का प्रतिकार करना, D) गति बढ़ाना")</f>
        <v>A) ध्यान भटकाना, B) हमलों को रोकना, C) हमलों का प्रतिकार करना, D) गति बढ़ाना</v>
      </c>
      <c r="I320" s="5" t="str">
        <f>IFERROR(__xludf.DUMMYFUNCTION("GOOGLETRANSLATE(D320, ""en"", ""hi"")"),"A) विकर्षण पैदा करना")</f>
        <v>A) विकर्षण पैदा करना</v>
      </c>
    </row>
    <row r="321" ht="22.5" customHeight="1">
      <c r="A321" s="7">
        <v>320.0</v>
      </c>
      <c r="B321" s="8" t="s">
        <v>3349</v>
      </c>
      <c r="C321" s="8" t="s">
        <v>3257</v>
      </c>
      <c r="D321" s="8" t="s">
        <v>3163</v>
      </c>
      <c r="F321" s="5" t="str">
        <f>IFERROR(__xludf.DUMMYFUNCTION("GOOGLETRANSLATE(A321, ""en"", ""hi"")"),"320")</f>
        <v>320</v>
      </c>
      <c r="G321" s="5" t="str">
        <f>IFERROR(__xludf.DUMMYFUNCTION("GOOGLETRANSLATE(B321, ""en"", ""hi"")"),"कौन सी तकनीक त्वरित प्रतिक्रिया में निपुणता प्राप्त करने में मदद करती है?")</f>
        <v>कौन सी तकनीक त्वरित प्रतिक्रिया में निपुणता प्राप्त करने में मदद करती है?</v>
      </c>
      <c r="H321" s="5" t="str">
        <f>IFERROR(__xludf.DUMMYFUNCTION("GOOGLETRANSLATE(C321, ""en"", ""hi"")"),"ए) व्यपद हस्त, बी) तर्जनी हस्त, सी) अग्नि हस्त, डी) मुख हस्त")</f>
        <v>ए) व्यपद हस्त, बी) तर्जनी हस्त, सी) अग्नि हस्त, डी) मुख हस्त</v>
      </c>
      <c r="I321" s="5" t="str">
        <f>IFERROR(__xludf.DUMMYFUNCTION("GOOGLETRANSLATE(D321, ""en"", ""hi"")"),"बी) तर्जनी हस्ता")</f>
        <v>बी) तर्जनी हस्ता</v>
      </c>
    </row>
    <row r="322" ht="22.5" customHeight="1">
      <c r="A322" s="7">
        <v>321.0</v>
      </c>
      <c r="B322" s="8" t="s">
        <v>3350</v>
      </c>
      <c r="C322" s="8" t="s">
        <v>3292</v>
      </c>
      <c r="D322" s="8" t="s">
        <v>3293</v>
      </c>
      <c r="F322" s="5" t="str">
        <f>IFERROR(__xludf.DUMMYFUNCTION("GOOGLETRANSLATE(A322, ""en"", ""hi"")"),"321")</f>
        <v>321</v>
      </c>
      <c r="G322" s="5" t="str">
        <f>IFERROR(__xludf.DUMMYFUNCTION("GOOGLETRANSLATE(B322, ""en"", ""hi"")"),"मुष्टि युद्ध में 'वायु हस्त' का केंद्रबिंदु क्या है?")</f>
        <v>मुष्टि युद्ध में 'वायु हस्त' का केंद्रबिंदु क्या है?</v>
      </c>
      <c r="H322" s="5" t="str">
        <f>IFERROR(__xludf.DUMMYFUNCTION("GOOGLETRANSLATE(C322, ""en"", ""hi"")"),"A) त्वरित और सटीक प्रहार, B) मजबूत और शक्तिशाली प्रहार, C) रक्षात्मक चालें, D) संतुलन और समन्वय")</f>
        <v>A) त्वरित और सटीक प्रहार, B) मजबूत और शक्तिशाली प्रहार, C) रक्षात्मक चालें, D) संतुलन और समन्वय</v>
      </c>
      <c r="I322" s="5" t="str">
        <f>IFERROR(__xludf.DUMMYFUNCTION("GOOGLETRANSLATE(D322, ""en"", ""hi"")"),"A) त्वरित और सटीक हमले")</f>
        <v>A) त्वरित और सटीक हमले</v>
      </c>
    </row>
    <row r="323" ht="22.5" customHeight="1">
      <c r="A323" s="7">
        <v>322.0</v>
      </c>
      <c r="B323" s="8" t="s">
        <v>3270</v>
      </c>
      <c r="C323" s="8" t="s">
        <v>3271</v>
      </c>
      <c r="D323" s="8" t="s">
        <v>3272</v>
      </c>
      <c r="F323" s="5" t="str">
        <f>IFERROR(__xludf.DUMMYFUNCTION("GOOGLETRANSLATE(A323, ""en"", ""hi"")"),"322")</f>
        <v>322</v>
      </c>
      <c r="G323" s="5" t="str">
        <f>IFERROR(__xludf.DUMMYFUNCTION("GOOGLETRANSLATE(B323, ""en"", ""hi"")"),"कौन सा ऐतिहासिक ग्रंथ मुष्टि युद्ध तकनीकों का वर्णन करता है?")</f>
        <v>कौन सा ऐतिहासिक ग्रंथ मुष्टि युद्ध तकनीकों का वर्णन करता है?</v>
      </c>
      <c r="H323" s="5" t="str">
        <f>IFERROR(__xludf.DUMMYFUNCTION("GOOGLETRANSLATE(C323, ""en"", ""hi"")"),"ए) कामसूत्र, बी) अर्थशास्त्र, सी) योग सूत्र, डी) पुराण")</f>
        <v>ए) कामसूत्र, बी) अर्थशास्त्र, सी) योग सूत्र, डी) पुराण</v>
      </c>
      <c r="I323" s="5" t="str">
        <f>IFERROR(__xludf.DUMMYFUNCTION("GOOGLETRANSLATE(D323, ""en"", ""hi"")"),"बी) अर्थशास्त्र")</f>
        <v>बी) अर्थशास्त्र</v>
      </c>
    </row>
    <row r="324" ht="22.5" customHeight="1">
      <c r="A324" s="7">
        <v>323.0</v>
      </c>
      <c r="B324" s="8" t="s">
        <v>3353</v>
      </c>
      <c r="C324" s="8" t="s">
        <v>3306</v>
      </c>
      <c r="D324" s="8" t="s">
        <v>3307</v>
      </c>
      <c r="F324" s="5" t="str">
        <f>IFERROR(__xludf.DUMMYFUNCTION("GOOGLETRANSLATE(A324, ""en"", ""hi"")"),"323")</f>
        <v>323</v>
      </c>
      <c r="G324" s="5" t="str">
        <f>IFERROR(__xludf.DUMMYFUNCTION("GOOGLETRANSLATE(B324, ""en"", ""hi"")"),"मुष्टि युद्ध में 'पद्म हस्त' किस पर जोर देता है?")</f>
        <v>मुष्टि युद्ध में 'पद्म हस्त' किस पर जोर देता है?</v>
      </c>
      <c r="H324" s="5" t="str">
        <f>IFERROR(__xludf.DUMMYFUNCTION("GOOGLETRANSLATE(C324, ""en"", ""hi"")"),"A) हाथ की तकनीक, B) पैर की तकनीक, C) संतुलन, D) गति")</f>
        <v>A) हाथ की तकनीक, B) पैर की तकनीक, C) संतुलन, D) गति</v>
      </c>
      <c r="I324" s="5" t="str">
        <f>IFERROR(__xludf.DUMMYFUNCTION("GOOGLETRANSLATE(D324, ""en"", ""hi"")"),"बी) पैर तकनीक")</f>
        <v>बी) पैर तकनीक</v>
      </c>
    </row>
    <row r="325" ht="22.5" customHeight="1">
      <c r="A325" s="7">
        <v>324.0</v>
      </c>
      <c r="B325" s="8" t="s">
        <v>3354</v>
      </c>
      <c r="C325" s="8" t="s">
        <v>3309</v>
      </c>
      <c r="D325" s="8" t="s">
        <v>3258</v>
      </c>
      <c r="F325" s="5" t="str">
        <f>IFERROR(__xludf.DUMMYFUNCTION("GOOGLETRANSLATE(A325, ""en"", ""hi"")"),"324")</f>
        <v>324</v>
      </c>
      <c r="G325" s="5" t="str">
        <f>IFERROR(__xludf.DUMMYFUNCTION("GOOGLETRANSLATE(B325, ""en"", ""hi"")"),"प्रतिद्वंद्वी की पकड़ तोड़ने के लिए किस तकनीक का उपयोग किया जाता है?")</f>
        <v>प्रतिद्वंद्वी की पकड़ तोड़ने के लिए किस तकनीक का उपयोग किया जाता है?</v>
      </c>
      <c r="H325" s="5" t="str">
        <f>IFERROR(__xludf.DUMMYFUNCTION("GOOGLETRANSLATE(C325, ""en"", ""hi"")"),"ए) व्यपद हस्त, बी) वज्र हस्त, सी) गति हस्त, डी) मुख हस्त")</f>
        <v>ए) व्यपद हस्त, बी) वज्र हस्त, सी) गति हस्त, डी) मुख हस्त</v>
      </c>
      <c r="I325" s="5" t="str">
        <f>IFERROR(__xludf.DUMMYFUNCTION("GOOGLETRANSLATE(D325, ""en"", ""hi"")"),"A) व्यापद हस्त")</f>
        <v>A) व्यापद हस्त</v>
      </c>
    </row>
    <row r="326" ht="22.5" customHeight="1">
      <c r="A326" s="7">
        <v>325.0</v>
      </c>
      <c r="B326" s="8" t="s">
        <v>3359</v>
      </c>
      <c r="C326" s="8" t="s">
        <v>3262</v>
      </c>
      <c r="D326" s="8" t="s">
        <v>3263</v>
      </c>
      <c r="F326" s="5" t="str">
        <f>IFERROR(__xludf.DUMMYFUNCTION("GOOGLETRANSLATE(A326, ""en"", ""hi"")"),"325")</f>
        <v>325</v>
      </c>
      <c r="G326" s="5" t="str">
        <f>IFERROR(__xludf.DUMMYFUNCTION("GOOGLETRANSLATE(B326, ""en"", ""hi"")"),"कौन सा महान व्यक्ति मुष्टि युद्ध में निपुणता के लिए जाना जाता है?")</f>
        <v>कौन सा महान व्यक्ति मुष्टि युद्ध में निपुणता के लिए जाना जाता है?</v>
      </c>
      <c r="H326" s="5" t="str">
        <f>IFERROR(__xludf.DUMMYFUNCTION("GOOGLETRANSLATE(C326, ""en"", ""hi"")"),"ए)महाराणा प्रताप,बी)चंद्रगुप्त मौर्य,सी)अशोक,डी)शिवाजी महाराज")</f>
        <v>ए)महाराणा प्रताप,बी)चंद्रगुप्त मौर्य,सी)अशोक,डी)शिवाजी महाराज</v>
      </c>
      <c r="I326" s="5" t="str">
        <f>IFERROR(__xludf.DUMMYFUNCTION("GOOGLETRANSLATE(D326, ""en"", ""hi"")"),"A) महाराणा प्रताप")</f>
        <v>A) महाराणा प्रताप</v>
      </c>
    </row>
    <row r="327" ht="22.5" customHeight="1">
      <c r="A327" s="7">
        <v>326.0</v>
      </c>
      <c r="B327" s="8" t="s">
        <v>3343</v>
      </c>
      <c r="C327" s="8" t="s">
        <v>3283</v>
      </c>
      <c r="D327" s="8" t="s">
        <v>3284</v>
      </c>
      <c r="F327" s="5" t="str">
        <f>IFERROR(__xludf.DUMMYFUNCTION("GOOGLETRANSLATE(A327, ""en"", ""hi"")"),"326")</f>
        <v>326</v>
      </c>
      <c r="G327" s="5" t="str">
        <f>IFERROR(__xludf.DUMMYFUNCTION("GOOGLETRANSLATE(B327, ""en"", ""hi"")"),"मुष्टि युद्ध में 'गरुड़ हस्त' किस पर जोर देता है?")</f>
        <v>मुष्टि युद्ध में 'गरुड़ हस्त' किस पर जोर देता है?</v>
      </c>
      <c r="H327" s="5" t="str">
        <f>IFERROR(__xludf.DUMMYFUNCTION("GOOGLETRANSLATE(C327, ""en"", ""hi"")"),"A) हाई स्ट्राइक, B) लो स्ट्राइक, C) साइड स्ट्राइक, D) सर्कुलर स्ट्राइक")</f>
        <v>A) हाई स्ट्राइक, B) लो स्ट्राइक, C) साइड स्ट्राइक, D) सर्कुलर स्ट्राइक</v>
      </c>
      <c r="I327" s="5" t="str">
        <f>IFERROR(__xludf.DUMMYFUNCTION("GOOGLETRANSLATE(D327, ""en"", ""hi"")"),"A) उच्च हमले")</f>
        <v>A) उच्च हमले</v>
      </c>
    </row>
    <row r="328" ht="22.5" customHeight="1">
      <c r="A328" s="7">
        <v>327.0</v>
      </c>
      <c r="B328" s="8" t="s">
        <v>3344</v>
      </c>
      <c r="C328" s="8" t="s">
        <v>3165</v>
      </c>
      <c r="D328" s="8" t="s">
        <v>3166</v>
      </c>
      <c r="F328" s="5" t="str">
        <f>IFERROR(__xludf.DUMMYFUNCTION("GOOGLETRANSLATE(A328, ""en"", ""hi"")"),"327")</f>
        <v>327</v>
      </c>
      <c r="G328" s="5" t="str">
        <f>IFERROR(__xludf.DUMMYFUNCTION("GOOGLETRANSLATE(B328, ""en"", ""hi"")"),"कौन से भारतीय संत मुष्टि युद्ध प्रशिक्षण से जुड़े हैं?")</f>
        <v>कौन से भारतीय संत मुष्टि युद्ध प्रशिक्षण से जुड़े हैं?</v>
      </c>
      <c r="H328" s="5" t="str">
        <f>IFERROR(__xludf.DUMMYFUNCTION("GOOGLETRANSLATE(C328, ""en"", ""hi"")"),"ए) तुलसीदास, बी) वाल्मिकी, सी) विद्यारण्य, डी) कबीर")</f>
        <v>ए) तुलसीदास, बी) वाल्मिकी, सी) विद्यारण्य, डी) कबीर</v>
      </c>
      <c r="I328" s="5" t="str">
        <f>IFERROR(__xludf.DUMMYFUNCTION("GOOGLETRANSLATE(D328, ""en"", ""hi"")"),"C) विद्यारण्य")</f>
        <v>C) विद्यारण्य</v>
      </c>
    </row>
    <row r="329" ht="22.5" customHeight="1">
      <c r="A329" s="7">
        <v>328.0</v>
      </c>
      <c r="B329" s="8" t="s">
        <v>3146</v>
      </c>
      <c r="C329" s="8" t="s">
        <v>3345</v>
      </c>
      <c r="D329" s="8" t="s">
        <v>3121</v>
      </c>
      <c r="F329" s="5" t="str">
        <f>IFERROR(__xludf.DUMMYFUNCTION("GOOGLETRANSLATE(A329, ""en"", ""hi"")"),"328")</f>
        <v>328</v>
      </c>
      <c r="G329" s="5" t="str">
        <f>IFERROR(__xludf.DUMMYFUNCTION("GOOGLETRANSLATE(B329, ""en"", ""hi"")"),"मुष्टि युद्ध में 'मुख हस्त' की क्या भूमिका है?")</f>
        <v>मुष्टि युद्ध में 'मुख हस्त' की क्या भूमिका है?</v>
      </c>
      <c r="H329" s="5" t="str">
        <f>IFERROR(__xludf.DUMMYFUNCTION("GOOGLETRANSLATE(C329, ""en"", ""hi"")"),"A) रक्षा, B) आक्रमण, C) व्याकुलता, D) गति वृद्धि")</f>
        <v>A) रक्षा, B) आक्रमण, C) व्याकुलता, D) गति वृद्धि</v>
      </c>
      <c r="I329" s="5" t="str">
        <f>IFERROR(__xludf.DUMMYFUNCTION("GOOGLETRANSLATE(D329, ""en"", ""hi"")"),"सी) ध्यान भटकाना")</f>
        <v>सी) ध्यान भटकाना</v>
      </c>
    </row>
    <row r="330" ht="22.5" customHeight="1">
      <c r="A330" s="7">
        <v>329.0</v>
      </c>
      <c r="B330" s="8" t="s">
        <v>3346</v>
      </c>
      <c r="C330" s="8" t="s">
        <v>3323</v>
      </c>
      <c r="D330" s="8" t="s">
        <v>3324</v>
      </c>
      <c r="F330" s="5" t="str">
        <f>IFERROR(__xludf.DUMMYFUNCTION("GOOGLETRANSLATE(A330, ""en"", ""hi"")"),"329")</f>
        <v>329</v>
      </c>
      <c r="G330" s="5" t="str">
        <f>IFERROR(__xludf.DUMMYFUNCTION("GOOGLETRANSLATE(B330, ""en"", ""hi"")"),"मुष्टि युद्ध में 'शीर्ष हस्त' का उपयोग किस लिए किया जाता है?")</f>
        <v>मुष्टि युद्ध में 'शीर्ष हस्त' का उपयोग किस लिए किया जाता है?</v>
      </c>
      <c r="H330" s="5" t="str">
        <f>IFERROR(__xludf.DUMMYFUNCTION("GOOGLETRANSLATE(C330, ""en"", ""hi"")"),"A) हाथ की तकनीकें, B) पैर की तकनीकें, C) सिर की तकनीकें, D) हाथ की तकनीकें")</f>
        <v>A) हाथ की तकनीकें, B) पैर की तकनीकें, C) सिर की तकनीकें, D) हाथ की तकनीकें</v>
      </c>
      <c r="I330" s="5" t="str">
        <f>IFERROR(__xludf.DUMMYFUNCTION("GOOGLETRANSLATE(D330, ""en"", ""hi"")"),"सी) सिर तकनीक")</f>
        <v>सी) सिर तकनीक</v>
      </c>
    </row>
    <row r="331" ht="22.5" customHeight="1">
      <c r="A331" s="7">
        <v>330.0</v>
      </c>
      <c r="B331" s="8" t="s">
        <v>3347</v>
      </c>
      <c r="C331" s="8" t="s">
        <v>3248</v>
      </c>
      <c r="D331" s="8" t="s">
        <v>3249</v>
      </c>
      <c r="F331" s="5" t="str">
        <f>IFERROR(__xludf.DUMMYFUNCTION("GOOGLETRANSLATE(A331, ""en"", ""hi"")"),"330")</f>
        <v>330</v>
      </c>
      <c r="G331" s="5" t="str">
        <f>IFERROR(__xludf.DUMMYFUNCTION("GOOGLETRANSLATE(B331, ""en"", ""hi"")"),"'वज्र हस्त' किस पहलू पर केंद्रित है?")</f>
        <v>'वज्र हस्त' किस पहलू पर केंद्रित है?</v>
      </c>
      <c r="H331" s="5" t="str">
        <f>IFERROR(__xludf.DUMMYFUNCTION("GOOGLETRANSLATE(C331, ""en"", ""hi"")"),"A) शक्ति और प्रभाव, B) गति और चपलता, C) रक्षा और बचाव, D) सटीकता और तकनीक")</f>
        <v>A) शक्ति और प्रभाव, B) गति और चपलता, C) रक्षा और बचाव, D) सटीकता और तकनीक</v>
      </c>
      <c r="I331" s="5" t="str">
        <f>IFERROR(__xludf.DUMMYFUNCTION("GOOGLETRANSLATE(D331, ""en"", ""hi"")"),"ए) शक्ति और प्रभाव")</f>
        <v>ए) शक्ति और प्रभाव</v>
      </c>
    </row>
    <row r="332" ht="22.5" customHeight="1">
      <c r="A332" s="7">
        <v>331.0</v>
      </c>
      <c r="B332" s="8" t="s">
        <v>3331</v>
      </c>
      <c r="C332" s="8" t="s">
        <v>3280</v>
      </c>
      <c r="D332" s="8" t="s">
        <v>3332</v>
      </c>
      <c r="F332" s="5" t="str">
        <f>IFERROR(__xludf.DUMMYFUNCTION("GOOGLETRANSLATE(A332, ""en"", ""hi"")"),"331")</f>
        <v>331</v>
      </c>
      <c r="G332" s="5" t="str">
        <f>IFERROR(__xludf.DUMMYFUNCTION("GOOGLETRANSLATE(B332, ""en"", ""hi"")"),"मुष्टि युद्ध में संतुलन और स्थिरता के लिए किस मुद्रा का उपयोग किया जाता है?")</f>
        <v>मुष्टि युद्ध में संतुलन और स्थिरता के लिए किस मुद्रा का उपयोग किया जाता है?</v>
      </c>
      <c r="H332" s="5" t="str">
        <f>IFERROR(__xludf.DUMMYFUNCTION("GOOGLETRANSLATE(C332, ""en"", ""hi"")"),"A) प्रोन स्टांस, B) फॉरवर्ड स्टांस, C) साइड स्टांस, D) बैकवर्ड स्टांस")</f>
        <v>A) प्रोन स्टांस, B) फॉरवर्ड स्टांस, C) साइड स्टांस, D) बैकवर्ड स्टांस</v>
      </c>
      <c r="I332" s="5" t="str">
        <f>IFERROR(__xludf.DUMMYFUNCTION("GOOGLETRANSLATE(D332, ""en"", ""hi"")"),"सी) साइड स्टांस")</f>
        <v>सी) साइड स्टांस</v>
      </c>
    </row>
    <row r="333" ht="22.5" customHeight="1">
      <c r="A333" s="7">
        <v>332.0</v>
      </c>
      <c r="B333" s="8" t="s">
        <v>3348</v>
      </c>
      <c r="C333" s="8" t="s">
        <v>3335</v>
      </c>
      <c r="D333" s="8" t="s">
        <v>3336</v>
      </c>
      <c r="F333" s="5" t="str">
        <f>IFERROR(__xludf.DUMMYFUNCTION("GOOGLETRANSLATE(A333, ""en"", ""hi"")"),"332")</f>
        <v>332</v>
      </c>
      <c r="G333" s="5" t="str">
        <f>IFERROR(__xludf.DUMMYFUNCTION("GOOGLETRANSLATE(B333, ""en"", ""hi"")"),"मुष्टियुद्ध में 'मुख हस्त' का क्या महत्व है?")</f>
        <v>मुष्टियुद्ध में 'मुख हस्त' का क्या महत्व है?</v>
      </c>
      <c r="H333" s="5" t="str">
        <f>IFERROR(__xludf.DUMMYFUNCTION("GOOGLETRANSLATE(C333, ""en"", ""hi"")"),"A) ध्यान भटकाना, B) हमलों को रोकना, C) हमलों का प्रतिकार करना, D) गति बढ़ाना")</f>
        <v>A) ध्यान भटकाना, B) हमलों को रोकना, C) हमलों का प्रतिकार करना, D) गति बढ़ाना</v>
      </c>
      <c r="I333" s="5" t="str">
        <f>IFERROR(__xludf.DUMMYFUNCTION("GOOGLETRANSLATE(D333, ""en"", ""hi"")"),"A) विकर्षण पैदा करना")</f>
        <v>A) विकर्षण पैदा करना</v>
      </c>
    </row>
    <row r="334" ht="22.5" customHeight="1">
      <c r="A334" s="7">
        <v>333.0</v>
      </c>
      <c r="B334" s="8" t="s">
        <v>3349</v>
      </c>
      <c r="C334" s="8" t="s">
        <v>3257</v>
      </c>
      <c r="D334" s="8" t="s">
        <v>3163</v>
      </c>
      <c r="F334" s="5" t="str">
        <f>IFERROR(__xludf.DUMMYFUNCTION("GOOGLETRANSLATE(A334, ""en"", ""hi"")"),"333")</f>
        <v>333</v>
      </c>
      <c r="G334" s="5" t="str">
        <f>IFERROR(__xludf.DUMMYFUNCTION("GOOGLETRANSLATE(B334, ""en"", ""hi"")"),"कौन सी तकनीक त्वरित प्रतिक्रिया में निपुणता प्राप्त करने में मदद करती है?")</f>
        <v>कौन सी तकनीक त्वरित प्रतिक्रिया में निपुणता प्राप्त करने में मदद करती है?</v>
      </c>
      <c r="H334" s="5" t="str">
        <f>IFERROR(__xludf.DUMMYFUNCTION("GOOGLETRANSLATE(C334, ""en"", ""hi"")"),"ए) व्यपद हस्त, बी) तर्जनी हस्त, सी) अग्नि हस्त, डी) मुख हस्त")</f>
        <v>ए) व्यपद हस्त, बी) तर्जनी हस्त, सी) अग्नि हस्त, डी) मुख हस्त</v>
      </c>
      <c r="I334" s="5" t="str">
        <f>IFERROR(__xludf.DUMMYFUNCTION("GOOGLETRANSLATE(D334, ""en"", ""hi"")"),"बी) तर्जनी हस्ता")</f>
        <v>बी) तर्जनी हस्ता</v>
      </c>
    </row>
    <row r="335" ht="22.5" customHeight="1">
      <c r="A335" s="7">
        <v>334.0</v>
      </c>
      <c r="B335" s="8" t="s">
        <v>3350</v>
      </c>
      <c r="C335" s="8" t="s">
        <v>3292</v>
      </c>
      <c r="D335" s="8" t="s">
        <v>3293</v>
      </c>
      <c r="F335" s="5" t="str">
        <f>IFERROR(__xludf.DUMMYFUNCTION("GOOGLETRANSLATE(A335, ""en"", ""hi"")"),"334")</f>
        <v>334</v>
      </c>
      <c r="G335" s="5" t="str">
        <f>IFERROR(__xludf.DUMMYFUNCTION("GOOGLETRANSLATE(B335, ""en"", ""hi"")"),"मुष्टि युद्ध में 'वायु हस्त' का केंद्रबिंदु क्या है?")</f>
        <v>मुष्टि युद्ध में 'वायु हस्त' का केंद्रबिंदु क्या है?</v>
      </c>
      <c r="H335" s="5" t="str">
        <f>IFERROR(__xludf.DUMMYFUNCTION("GOOGLETRANSLATE(C335, ""en"", ""hi"")"),"A) त्वरित और सटीक प्रहार, B) मजबूत और शक्तिशाली प्रहार, C) रक्षात्मक चालें, D) संतुलन और समन्वय")</f>
        <v>A) त्वरित और सटीक प्रहार, B) मजबूत और शक्तिशाली प्रहार, C) रक्षात्मक चालें, D) संतुलन और समन्वय</v>
      </c>
      <c r="I335" s="5" t="str">
        <f>IFERROR(__xludf.DUMMYFUNCTION("GOOGLETRANSLATE(D335, ""en"", ""hi"")"),"A) त्वरित और सटीक हमले")</f>
        <v>A) त्वरित और सटीक हमले</v>
      </c>
    </row>
    <row r="336" ht="22.5" customHeight="1">
      <c r="A336" s="7">
        <v>335.0</v>
      </c>
      <c r="B336" s="8" t="s">
        <v>3351</v>
      </c>
      <c r="C336" s="8" t="s">
        <v>3295</v>
      </c>
      <c r="D336" s="8" t="s">
        <v>98</v>
      </c>
      <c r="F336" s="5" t="str">
        <f>IFERROR(__xludf.DUMMYFUNCTION("GOOGLETRANSLATE(A336, ""en"", ""hi"")"),"335")</f>
        <v>335</v>
      </c>
      <c r="G336" s="5" t="str">
        <f>IFERROR(__xludf.DUMMYFUNCTION("GOOGLETRANSLATE(B336, ""en"", ""hi"")"),"किस भारतीय राज्य में मुष्टि युद्ध का समृद्ध इतिहास है?")</f>
        <v>किस भारतीय राज्य में मुष्टि युद्ध का समृद्ध इतिहास है?</v>
      </c>
      <c r="H336" s="5" t="str">
        <f>IFERROR(__xludf.DUMMYFUNCTION("GOOGLETRANSLATE(C336, ""en"", ""hi"")"),"ए) उत्तर प्रदेश, बी) महाराष्ट्र, सी) गुजरात, डी) पंजाब")</f>
        <v>ए) उत्तर प्रदेश, बी) महाराष्ट्र, सी) गुजरात, डी) पंजाब</v>
      </c>
      <c r="I336" s="5" t="str">
        <f>IFERROR(__xludf.DUMMYFUNCTION("GOOGLETRANSLATE(D336, ""en"", ""hi"")"),"बी) महाराष्ट्र")</f>
        <v>बी) महाराष्ट्र</v>
      </c>
    </row>
    <row r="337" ht="22.5" customHeight="1">
      <c r="A337" s="7">
        <v>336.0</v>
      </c>
      <c r="B337" s="8" t="s">
        <v>3346</v>
      </c>
      <c r="C337" s="8" t="s">
        <v>3323</v>
      </c>
      <c r="D337" s="8" t="s">
        <v>3324</v>
      </c>
      <c r="F337" s="5" t="str">
        <f>IFERROR(__xludf.DUMMYFUNCTION("GOOGLETRANSLATE(A337, ""en"", ""hi"")"),"336")</f>
        <v>336</v>
      </c>
      <c r="G337" s="5" t="str">
        <f>IFERROR(__xludf.DUMMYFUNCTION("GOOGLETRANSLATE(B337, ""en"", ""hi"")"),"मुष्टि युद्ध में 'शीर्ष हस्त' का उपयोग किस लिए किया जाता है?")</f>
        <v>मुष्टि युद्ध में 'शीर्ष हस्त' का उपयोग किस लिए किया जाता है?</v>
      </c>
      <c r="H337" s="5" t="str">
        <f>IFERROR(__xludf.DUMMYFUNCTION("GOOGLETRANSLATE(C337, ""en"", ""hi"")"),"A) हाथ की तकनीकें, B) पैर की तकनीकें, C) सिर की तकनीकें, D) हाथ की तकनीकें")</f>
        <v>A) हाथ की तकनीकें, B) पैर की तकनीकें, C) सिर की तकनीकें, D) हाथ की तकनीकें</v>
      </c>
      <c r="I337" s="5" t="str">
        <f>IFERROR(__xludf.DUMMYFUNCTION("GOOGLETRANSLATE(D337, ""en"", ""hi"")"),"सी) सिर तकनीक")</f>
        <v>सी) सिर तकनीक</v>
      </c>
    </row>
    <row r="338" ht="22.5" customHeight="1">
      <c r="A338" s="7">
        <v>337.0</v>
      </c>
      <c r="B338" s="8" t="s">
        <v>3282</v>
      </c>
      <c r="C338" s="8" t="s">
        <v>3283</v>
      </c>
      <c r="D338" s="8" t="s">
        <v>3284</v>
      </c>
      <c r="F338" s="5" t="str">
        <f>IFERROR(__xludf.DUMMYFUNCTION("GOOGLETRANSLATE(A338, ""en"", ""hi"")"),"337")</f>
        <v>337</v>
      </c>
      <c r="G338" s="5" t="str">
        <f>IFERROR(__xludf.DUMMYFUNCTION("GOOGLETRANSLATE(B338, ""en"", ""hi"")"),"'गरुड़ हस्त' का प्राथमिक केंद्र क्या है?")</f>
        <v>'गरुड़ हस्त' का प्राथमिक केंद्र क्या है?</v>
      </c>
      <c r="H338" s="5" t="str">
        <f>IFERROR(__xludf.DUMMYFUNCTION("GOOGLETRANSLATE(C338, ""en"", ""hi"")"),"A) हाई स्ट्राइक, B) लो स्ट्राइक, C) साइड स्ट्राइक, D) सर्कुलर स्ट्राइक")</f>
        <v>A) हाई स्ट्राइक, B) लो स्ट्राइक, C) साइड स्ट्राइक, D) सर्कुलर स्ट्राइक</v>
      </c>
      <c r="I338" s="5" t="str">
        <f>IFERROR(__xludf.DUMMYFUNCTION("GOOGLETRANSLATE(D338, ""en"", ""hi"")"),"A) उच्च हमले")</f>
        <v>A) उच्च हमले</v>
      </c>
    </row>
    <row r="339" ht="22.5" customHeight="1">
      <c r="A339" s="7">
        <v>338.0</v>
      </c>
      <c r="B339" s="8" t="s">
        <v>3352</v>
      </c>
      <c r="C339" s="8" t="s">
        <v>3271</v>
      </c>
      <c r="D339" s="8" t="s">
        <v>3272</v>
      </c>
      <c r="F339" s="5" t="str">
        <f>IFERROR(__xludf.DUMMYFUNCTION("GOOGLETRANSLATE(A339, ""en"", ""hi"")"),"338")</f>
        <v>338</v>
      </c>
      <c r="G339" s="5" t="str">
        <f>IFERROR(__xludf.DUMMYFUNCTION("GOOGLETRANSLATE(B339, ""en"", ""hi"")"),"किस प्राचीन ग्रंथ में मुष्टि युद्ध तकनीकों का वर्णन है?")</f>
        <v>किस प्राचीन ग्रंथ में मुष्टि युद्ध तकनीकों का वर्णन है?</v>
      </c>
      <c r="H339" s="5" t="str">
        <f>IFERROR(__xludf.DUMMYFUNCTION("GOOGLETRANSLATE(C339, ""en"", ""hi"")"),"ए) कामसूत्र, बी) अर्थशास्त्र, सी) योग सूत्र, डी) पुराण")</f>
        <v>ए) कामसूत्र, बी) अर्थशास्त्र, सी) योग सूत्र, डी) पुराण</v>
      </c>
      <c r="I339" s="5" t="str">
        <f>IFERROR(__xludf.DUMMYFUNCTION("GOOGLETRANSLATE(D339, ""en"", ""hi"")"),"बी) अर्थशास्त्र")</f>
        <v>बी) अर्थशास्त्र</v>
      </c>
    </row>
    <row r="340" ht="22.5" customHeight="1">
      <c r="A340" s="7">
        <v>339.0</v>
      </c>
      <c r="B340" s="8" t="s">
        <v>3353</v>
      </c>
      <c r="C340" s="8" t="s">
        <v>3306</v>
      </c>
      <c r="D340" s="8" t="s">
        <v>3307</v>
      </c>
      <c r="F340" s="5" t="str">
        <f>IFERROR(__xludf.DUMMYFUNCTION("GOOGLETRANSLATE(A340, ""en"", ""hi"")"),"339")</f>
        <v>339</v>
      </c>
      <c r="G340" s="5" t="str">
        <f>IFERROR(__xludf.DUMMYFUNCTION("GOOGLETRANSLATE(B340, ""en"", ""hi"")"),"मुष्टि युद्ध में 'पद्म हस्त' किस पर जोर देता है?")</f>
        <v>मुष्टि युद्ध में 'पद्म हस्त' किस पर जोर देता है?</v>
      </c>
      <c r="H340" s="5" t="str">
        <f>IFERROR(__xludf.DUMMYFUNCTION("GOOGLETRANSLATE(C340, ""en"", ""hi"")"),"A) हाथ की तकनीक, B) पैर की तकनीक, C) संतुलन, D) गति")</f>
        <v>A) हाथ की तकनीक, B) पैर की तकनीक, C) संतुलन, D) गति</v>
      </c>
      <c r="I340" s="5" t="str">
        <f>IFERROR(__xludf.DUMMYFUNCTION("GOOGLETRANSLATE(D340, ""en"", ""hi"")"),"बी) पैर तकनीक")</f>
        <v>बी) पैर तकनीक</v>
      </c>
    </row>
    <row r="341" ht="22.5" customHeight="1">
      <c r="A341" s="7">
        <v>340.0</v>
      </c>
      <c r="B341" s="8" t="s">
        <v>3354</v>
      </c>
      <c r="C341" s="8" t="s">
        <v>3309</v>
      </c>
      <c r="D341" s="8" t="s">
        <v>3258</v>
      </c>
      <c r="F341" s="5" t="str">
        <f>IFERROR(__xludf.DUMMYFUNCTION("GOOGLETRANSLATE(A341, ""en"", ""hi"")"),"340")</f>
        <v>340</v>
      </c>
      <c r="G341" s="5" t="str">
        <f>IFERROR(__xludf.DUMMYFUNCTION("GOOGLETRANSLATE(B341, ""en"", ""hi"")"),"प्रतिद्वंद्वी की पकड़ तोड़ने के लिए किस तकनीक का उपयोग किया जाता है?")</f>
        <v>प्रतिद्वंद्वी की पकड़ तोड़ने के लिए किस तकनीक का उपयोग किया जाता है?</v>
      </c>
      <c r="H341" s="5" t="str">
        <f>IFERROR(__xludf.DUMMYFUNCTION("GOOGLETRANSLATE(C341, ""en"", ""hi"")"),"ए) व्यपद हस्त, बी) वज्र हस्त, सी) गति हस्त, डी) मुख हस्त")</f>
        <v>ए) व्यपद हस्त, बी) वज्र हस्त, सी) गति हस्त, डी) मुख हस्त</v>
      </c>
      <c r="I341" s="5" t="str">
        <f>IFERROR(__xludf.DUMMYFUNCTION("GOOGLETRANSLATE(D341, ""en"", ""hi"")"),"A) व्यापद हस्त")</f>
        <v>A) व्यापद हस्त</v>
      </c>
    </row>
    <row r="342" ht="22.5" customHeight="1">
      <c r="A342" s="7">
        <v>341.0</v>
      </c>
      <c r="B342" s="8" t="s">
        <v>3355</v>
      </c>
      <c r="C342" s="8" t="s">
        <v>3300</v>
      </c>
      <c r="D342" s="8" t="s">
        <v>3301</v>
      </c>
      <c r="F342" s="5" t="str">
        <f>IFERROR(__xludf.DUMMYFUNCTION("GOOGLETRANSLATE(A342, ""en"", ""hi"")"),"341")</f>
        <v>341</v>
      </c>
      <c r="G342" s="5" t="str">
        <f>IFERROR(__xludf.DUMMYFUNCTION("GOOGLETRANSLATE(B342, ""en"", ""hi"")"),"कौन सा ऐतिहासिक व्यक्ति अपनी युद्ध रणनीति में मुष्टि युद्ध को शामिल करने के लिए जाना जाता है?")</f>
        <v>कौन सा ऐतिहासिक व्यक्ति अपनी युद्ध रणनीति में मुष्टि युद्ध को शामिल करने के लिए जाना जाता है?</v>
      </c>
      <c r="H342" s="5" t="str">
        <f>IFERROR(__xludf.DUMMYFUNCTION("GOOGLETRANSLATE(C342, ""en"", ""hi"")"),"ए) चंद्रगुप्त मौर्य, बी) अशोक, सी) शिवाजी महाराज, डी) महाराणा प्रताप")</f>
        <v>ए) चंद्रगुप्त मौर्य, बी) अशोक, सी) शिवाजी महाराज, डी) महाराणा प्रताप</v>
      </c>
      <c r="I342" s="5" t="str">
        <f>IFERROR(__xludf.DUMMYFUNCTION("GOOGLETRANSLATE(D342, ""en"", ""hi"")"),"C) शिवाजी महाराज")</f>
        <v>C) शिवाजी महाराज</v>
      </c>
    </row>
    <row r="343" ht="22.5" customHeight="1">
      <c r="A343" s="7">
        <v>342.0</v>
      </c>
      <c r="B343" s="8" t="s">
        <v>3356</v>
      </c>
      <c r="C343" s="8" t="s">
        <v>3248</v>
      </c>
      <c r="D343" s="8" t="s">
        <v>3249</v>
      </c>
      <c r="F343" s="5" t="str">
        <f>IFERROR(__xludf.DUMMYFUNCTION("GOOGLETRANSLATE(A343, ""en"", ""hi"")"),"342")</f>
        <v>342</v>
      </c>
      <c r="G343" s="5" t="str">
        <f>IFERROR(__xludf.DUMMYFUNCTION("GOOGLETRANSLATE(B343, ""en"", ""hi"")"),"'वज्र हस्त' किस पर केंद्रित है?")</f>
        <v>'वज्र हस्त' किस पर केंद्रित है?</v>
      </c>
      <c r="H343" s="5" t="str">
        <f>IFERROR(__xludf.DUMMYFUNCTION("GOOGLETRANSLATE(C343, ""en"", ""hi"")"),"A) शक्ति और प्रभाव, B) गति और चपलता, C) रक्षा और बचाव, D) सटीकता और तकनीक")</f>
        <v>A) शक्ति और प्रभाव, B) गति और चपलता, C) रक्षा और बचाव, D) सटीकता और तकनीक</v>
      </c>
      <c r="I343" s="5" t="str">
        <f>IFERROR(__xludf.DUMMYFUNCTION("GOOGLETRANSLATE(D343, ""en"", ""hi"")"),"ए) शक्ति और प्रभाव")</f>
        <v>ए) शक्ति और प्रभाव</v>
      </c>
    </row>
    <row r="344" ht="22.5" customHeight="1">
      <c r="A344" s="7">
        <v>343.0</v>
      </c>
      <c r="B344" s="8" t="s">
        <v>3357</v>
      </c>
      <c r="C344" s="8" t="s">
        <v>3251</v>
      </c>
      <c r="D344" s="8" t="s">
        <v>3358</v>
      </c>
      <c r="F344" s="5" t="str">
        <f>IFERROR(__xludf.DUMMYFUNCTION("GOOGLETRANSLATE(A344, ""en"", ""hi"")"),"343")</f>
        <v>343</v>
      </c>
      <c r="G344" s="5" t="str">
        <f>IFERROR(__xludf.DUMMYFUNCTION("GOOGLETRANSLATE(B344, ""en"", ""hi"")"),"मुष्टि युद्ध में रक्षात्मक युद्धाभ्यास के लिए किस रुख का उपयोग किया जाता है?")</f>
        <v>मुष्टि युद्ध में रक्षात्मक युद्धाभ्यास के लिए किस रुख का उपयोग किया जाता है?</v>
      </c>
      <c r="H344" s="5" t="str">
        <f>IFERROR(__xludf.DUMMYFUNCTION("GOOGLETRANSLATE(C344, ""en"", ""hi"")"),"A) आगे की ओर रुख, B) बगल की ओर रुख, C) पीछे की ओर रुख, D) पेट के बल लेटना")</f>
        <v>A) आगे की ओर रुख, B) बगल की ओर रुख, C) पीछे की ओर रुख, D) पेट के बल लेटना</v>
      </c>
      <c r="I344" s="5" t="str">
        <f>IFERROR(__xludf.DUMMYFUNCTION("GOOGLETRANSLATE(D344, ""en"", ""hi"")"),"बी) साइड स्टांस")</f>
        <v>बी) साइड स्टांस</v>
      </c>
    </row>
    <row r="345" ht="22.5" customHeight="1">
      <c r="A345" s="7">
        <v>344.0</v>
      </c>
      <c r="B345" s="8" t="s">
        <v>3146</v>
      </c>
      <c r="C345" s="8" t="s">
        <v>3335</v>
      </c>
      <c r="D345" s="8" t="s">
        <v>3336</v>
      </c>
      <c r="F345" s="5" t="str">
        <f>IFERROR(__xludf.DUMMYFUNCTION("GOOGLETRANSLATE(A345, ""en"", ""hi"")"),"344")</f>
        <v>344</v>
      </c>
      <c r="G345" s="5" t="str">
        <f>IFERROR(__xludf.DUMMYFUNCTION("GOOGLETRANSLATE(B345, ""en"", ""hi"")"),"मुष्टि युद्ध में 'मुख हस्त' की क्या भूमिका है?")</f>
        <v>मुष्टि युद्ध में 'मुख हस्त' की क्या भूमिका है?</v>
      </c>
      <c r="H345" s="5" t="str">
        <f>IFERROR(__xludf.DUMMYFUNCTION("GOOGLETRANSLATE(C345, ""en"", ""hi"")"),"A) ध्यान भटकाना, B) हमलों को रोकना, C) हमलों का प्रतिकार करना, D) गति बढ़ाना")</f>
        <v>A) ध्यान भटकाना, B) हमलों को रोकना, C) हमलों का प्रतिकार करना, D) गति बढ़ाना</v>
      </c>
      <c r="I345" s="5" t="str">
        <f>IFERROR(__xludf.DUMMYFUNCTION("GOOGLETRANSLATE(D345, ""en"", ""hi"")"),"A) विकर्षण पैदा करना")</f>
        <v>A) विकर्षण पैदा करना</v>
      </c>
    </row>
    <row r="346" ht="22.5" customHeight="1">
      <c r="A346" s="7">
        <v>345.0</v>
      </c>
      <c r="B346" s="8" t="s">
        <v>3349</v>
      </c>
      <c r="C346" s="8" t="s">
        <v>3257</v>
      </c>
      <c r="D346" s="8" t="s">
        <v>3163</v>
      </c>
      <c r="F346" s="5" t="str">
        <f>IFERROR(__xludf.DUMMYFUNCTION("GOOGLETRANSLATE(A346, ""en"", ""hi"")"),"345")</f>
        <v>345</v>
      </c>
      <c r="G346" s="5" t="str">
        <f>IFERROR(__xludf.DUMMYFUNCTION("GOOGLETRANSLATE(B346, ""en"", ""hi"")"),"कौन सी तकनीक त्वरित प्रतिक्रिया में निपुणता प्राप्त करने में मदद करती है?")</f>
        <v>कौन सी तकनीक त्वरित प्रतिक्रिया में निपुणता प्राप्त करने में मदद करती है?</v>
      </c>
      <c r="H346" s="5" t="str">
        <f>IFERROR(__xludf.DUMMYFUNCTION("GOOGLETRANSLATE(C346, ""en"", ""hi"")"),"ए) व्यपद हस्त, बी) तर्जनी हस्त, सी) अग्नि हस्त, डी) मुख हस्त")</f>
        <v>ए) व्यपद हस्त, बी) तर्जनी हस्त, सी) अग्नि हस्त, डी) मुख हस्त</v>
      </c>
      <c r="I346" s="5" t="str">
        <f>IFERROR(__xludf.DUMMYFUNCTION("GOOGLETRANSLATE(D346, ""en"", ""hi"")"),"बी) तर्जनी हस्ता")</f>
        <v>बी) तर्जनी हस्ता</v>
      </c>
    </row>
    <row r="347" ht="22.5" customHeight="1">
      <c r="A347" s="7">
        <v>346.0</v>
      </c>
      <c r="B347" s="8" t="s">
        <v>3350</v>
      </c>
      <c r="C347" s="8" t="s">
        <v>3292</v>
      </c>
      <c r="D347" s="8" t="s">
        <v>3293</v>
      </c>
      <c r="F347" s="5" t="str">
        <f>IFERROR(__xludf.DUMMYFUNCTION("GOOGLETRANSLATE(A347, ""en"", ""hi"")"),"346")</f>
        <v>346</v>
      </c>
      <c r="G347" s="5" t="str">
        <f>IFERROR(__xludf.DUMMYFUNCTION("GOOGLETRANSLATE(B347, ""en"", ""hi"")"),"मुष्टि युद्ध में 'वायु हस्त' का केंद्रबिंदु क्या है?")</f>
        <v>मुष्टि युद्ध में 'वायु हस्त' का केंद्रबिंदु क्या है?</v>
      </c>
      <c r="H347" s="5" t="str">
        <f>IFERROR(__xludf.DUMMYFUNCTION("GOOGLETRANSLATE(C347, ""en"", ""hi"")"),"A) त्वरित और सटीक प्रहार, B) मजबूत और शक्तिशाली प्रहार, C) रक्षात्मक चालें, D) संतुलन और समन्वय")</f>
        <v>A) त्वरित और सटीक प्रहार, B) मजबूत और शक्तिशाली प्रहार, C) रक्षात्मक चालें, D) संतुलन और समन्वय</v>
      </c>
      <c r="I347" s="5" t="str">
        <f>IFERROR(__xludf.DUMMYFUNCTION("GOOGLETRANSLATE(D347, ""en"", ""hi"")"),"A) त्वरित और सटीक हमले")</f>
        <v>A) त्वरित और सटीक हमले</v>
      </c>
    </row>
    <row r="348" ht="22.5" customHeight="1">
      <c r="A348" s="7">
        <v>347.0</v>
      </c>
      <c r="B348" s="8" t="s">
        <v>3270</v>
      </c>
      <c r="C348" s="8" t="s">
        <v>3271</v>
      </c>
      <c r="D348" s="8" t="s">
        <v>3272</v>
      </c>
      <c r="F348" s="5" t="str">
        <f>IFERROR(__xludf.DUMMYFUNCTION("GOOGLETRANSLATE(A348, ""en"", ""hi"")"),"347")</f>
        <v>347</v>
      </c>
      <c r="G348" s="5" t="str">
        <f>IFERROR(__xludf.DUMMYFUNCTION("GOOGLETRANSLATE(B348, ""en"", ""hi"")"),"कौन सा ऐतिहासिक ग्रंथ मुष्टि युद्ध तकनीकों का वर्णन करता है?")</f>
        <v>कौन सा ऐतिहासिक ग्रंथ मुष्टि युद्ध तकनीकों का वर्णन करता है?</v>
      </c>
      <c r="H348" s="5" t="str">
        <f>IFERROR(__xludf.DUMMYFUNCTION("GOOGLETRANSLATE(C348, ""en"", ""hi"")"),"ए) कामसूत्र, बी) अर्थशास्त्र, सी) योग सूत्र, डी) पुराण")</f>
        <v>ए) कामसूत्र, बी) अर्थशास्त्र, सी) योग सूत्र, डी) पुराण</v>
      </c>
      <c r="I348" s="5" t="str">
        <f>IFERROR(__xludf.DUMMYFUNCTION("GOOGLETRANSLATE(D348, ""en"", ""hi"")"),"बी) अर्थशास्त्र")</f>
        <v>बी) अर्थशास्त्र</v>
      </c>
    </row>
    <row r="349" ht="22.5" customHeight="1">
      <c r="A349" s="7">
        <v>348.0</v>
      </c>
      <c r="B349" s="8" t="s">
        <v>3353</v>
      </c>
      <c r="C349" s="8" t="s">
        <v>3306</v>
      </c>
      <c r="D349" s="8" t="s">
        <v>3307</v>
      </c>
      <c r="F349" s="5" t="str">
        <f>IFERROR(__xludf.DUMMYFUNCTION("GOOGLETRANSLATE(A349, ""en"", ""hi"")"),"348")</f>
        <v>348</v>
      </c>
      <c r="G349" s="5" t="str">
        <f>IFERROR(__xludf.DUMMYFUNCTION("GOOGLETRANSLATE(B349, ""en"", ""hi"")"),"मुष्टि युद्ध में 'पद्म हस्त' किस पर जोर देता है?")</f>
        <v>मुष्टि युद्ध में 'पद्म हस्त' किस पर जोर देता है?</v>
      </c>
      <c r="H349" s="5" t="str">
        <f>IFERROR(__xludf.DUMMYFUNCTION("GOOGLETRANSLATE(C349, ""en"", ""hi"")"),"A) हाथ की तकनीक, B) पैर की तकनीक, C) संतुलन, D) गति")</f>
        <v>A) हाथ की तकनीक, B) पैर की तकनीक, C) संतुलन, D) गति</v>
      </c>
      <c r="I349" s="5" t="str">
        <f>IFERROR(__xludf.DUMMYFUNCTION("GOOGLETRANSLATE(D349, ""en"", ""hi"")"),"बी) पैर तकनीक")</f>
        <v>बी) पैर तकनीक</v>
      </c>
    </row>
    <row r="350" ht="22.5" customHeight="1">
      <c r="A350" s="7">
        <v>349.0</v>
      </c>
      <c r="B350" s="8" t="s">
        <v>3354</v>
      </c>
      <c r="C350" s="8" t="s">
        <v>3309</v>
      </c>
      <c r="D350" s="8" t="s">
        <v>3258</v>
      </c>
      <c r="F350" s="5" t="str">
        <f>IFERROR(__xludf.DUMMYFUNCTION("GOOGLETRANSLATE(A350, ""en"", ""hi"")"),"349")</f>
        <v>349</v>
      </c>
      <c r="G350" s="5" t="str">
        <f>IFERROR(__xludf.DUMMYFUNCTION("GOOGLETRANSLATE(B350, ""en"", ""hi"")"),"प्रतिद्वंद्वी की पकड़ तोड़ने के लिए किस तकनीक का उपयोग किया जाता है?")</f>
        <v>प्रतिद्वंद्वी की पकड़ तोड़ने के लिए किस तकनीक का उपयोग किया जाता है?</v>
      </c>
      <c r="H350" s="5" t="str">
        <f>IFERROR(__xludf.DUMMYFUNCTION("GOOGLETRANSLATE(C350, ""en"", ""hi"")"),"ए) व्यपद हस्त, बी) वज्र हस्त, सी) गति हस्त, डी) मुख हस्त")</f>
        <v>ए) व्यपद हस्त, बी) वज्र हस्त, सी) गति हस्त, डी) मुख हस्त</v>
      </c>
      <c r="I350" s="5" t="str">
        <f>IFERROR(__xludf.DUMMYFUNCTION("GOOGLETRANSLATE(D350, ""en"", ""hi"")"),"A) व्यापद हस्त")</f>
        <v>A) व्यापद हस्त</v>
      </c>
    </row>
    <row r="351" ht="22.5" customHeight="1">
      <c r="A351" s="7">
        <v>350.0</v>
      </c>
      <c r="B351" s="8" t="s">
        <v>3359</v>
      </c>
      <c r="C351" s="8" t="s">
        <v>3262</v>
      </c>
      <c r="D351" s="8" t="s">
        <v>3263</v>
      </c>
      <c r="F351" s="5" t="str">
        <f>IFERROR(__xludf.DUMMYFUNCTION("GOOGLETRANSLATE(A351, ""en"", ""hi"")"),"350")</f>
        <v>350</v>
      </c>
      <c r="G351" s="5" t="str">
        <f>IFERROR(__xludf.DUMMYFUNCTION("GOOGLETRANSLATE(B351, ""en"", ""hi"")"),"कौन सा महान व्यक्ति मुष्टि युद्ध में निपुणता के लिए जाना जाता है?")</f>
        <v>कौन सा महान व्यक्ति मुष्टि युद्ध में निपुणता के लिए जाना जाता है?</v>
      </c>
      <c r="H351" s="5" t="str">
        <f>IFERROR(__xludf.DUMMYFUNCTION("GOOGLETRANSLATE(C351, ""en"", ""hi"")"),"ए)महाराणा प्रताप,बी)चंद्रगुप्त मौर्य,सी)अशोक,डी)शिवाजी महाराज")</f>
        <v>ए)महाराणा प्रताप,बी)चंद्रगुप्त मौर्य,सी)अशोक,डी)शिवाजी महाराज</v>
      </c>
      <c r="I351" s="5" t="str">
        <f>IFERROR(__xludf.DUMMYFUNCTION("GOOGLETRANSLATE(D351, ""en"", ""hi"")"),"A) महाराणा प्रताप")</f>
        <v>A) महाराणा प्रताप</v>
      </c>
    </row>
    <row r="352" ht="22.5" customHeight="1">
      <c r="A352" s="7">
        <v>351.0</v>
      </c>
      <c r="B352" s="8" t="s">
        <v>3343</v>
      </c>
      <c r="C352" s="8" t="s">
        <v>3283</v>
      </c>
      <c r="D352" s="8" t="s">
        <v>3284</v>
      </c>
      <c r="F352" s="5" t="str">
        <f>IFERROR(__xludf.DUMMYFUNCTION("GOOGLETRANSLATE(A352, ""en"", ""hi"")"),"351")</f>
        <v>351</v>
      </c>
      <c r="G352" s="5" t="str">
        <f>IFERROR(__xludf.DUMMYFUNCTION("GOOGLETRANSLATE(B352, ""en"", ""hi"")"),"मुष्टि युद्ध में 'गरुड़ हस्त' किस पर जोर देता है?")</f>
        <v>मुष्टि युद्ध में 'गरुड़ हस्त' किस पर जोर देता है?</v>
      </c>
      <c r="H352" s="5" t="str">
        <f>IFERROR(__xludf.DUMMYFUNCTION("GOOGLETRANSLATE(C352, ""en"", ""hi"")"),"A) हाई स्ट्राइक, B) लो स्ट्राइक, C) साइड स्ट्राइक, D) सर्कुलर स्ट्राइक")</f>
        <v>A) हाई स्ट्राइक, B) लो स्ट्राइक, C) साइड स्ट्राइक, D) सर्कुलर स्ट्राइक</v>
      </c>
      <c r="I352" s="5" t="str">
        <f>IFERROR(__xludf.DUMMYFUNCTION("GOOGLETRANSLATE(D352, ""en"", ""hi"")"),"A) उच्च हमले")</f>
        <v>A) उच्च हमले</v>
      </c>
    </row>
    <row r="353" ht="22.5" customHeight="1">
      <c r="A353" s="7">
        <v>352.0</v>
      </c>
      <c r="B353" s="8" t="s">
        <v>3344</v>
      </c>
      <c r="C353" s="8" t="s">
        <v>3165</v>
      </c>
      <c r="D353" s="8" t="s">
        <v>3166</v>
      </c>
      <c r="F353" s="5" t="str">
        <f>IFERROR(__xludf.DUMMYFUNCTION("GOOGLETRANSLATE(A353, ""en"", ""hi"")"),"352")</f>
        <v>352</v>
      </c>
      <c r="G353" s="5" t="str">
        <f>IFERROR(__xludf.DUMMYFUNCTION("GOOGLETRANSLATE(B353, ""en"", ""hi"")"),"कौन से भारतीय संत मुष्टि युद्ध प्रशिक्षण से जुड़े हैं?")</f>
        <v>कौन से भारतीय संत मुष्टि युद्ध प्रशिक्षण से जुड़े हैं?</v>
      </c>
      <c r="H353" s="5" t="str">
        <f>IFERROR(__xludf.DUMMYFUNCTION("GOOGLETRANSLATE(C353, ""en"", ""hi"")"),"ए) तुलसीदास, बी) वाल्मिकी, सी) विद्यारण्य, डी) कबीर")</f>
        <v>ए) तुलसीदास, बी) वाल्मिकी, सी) विद्यारण्य, डी) कबीर</v>
      </c>
      <c r="I353" s="5" t="str">
        <f>IFERROR(__xludf.DUMMYFUNCTION("GOOGLETRANSLATE(D353, ""en"", ""hi"")"),"C) विद्यारण्य")</f>
        <v>C) विद्यारण्य</v>
      </c>
    </row>
    <row r="354" ht="22.5" customHeight="1">
      <c r="A354" s="7">
        <v>353.0</v>
      </c>
      <c r="B354" s="4" t="s">
        <v>3360</v>
      </c>
      <c r="C354" s="4" t="s">
        <v>3361</v>
      </c>
      <c r="D354" s="4" t="s">
        <v>3362</v>
      </c>
      <c r="F354" s="5" t="str">
        <f>IFERROR(__xludf.DUMMYFUNCTION("GOOGLETRANSLATE(A354, ""en"", ""hi"")"),"353")</f>
        <v>353</v>
      </c>
      <c r="G354" s="5" t="str">
        <f>IFERROR(__xludf.DUMMYFUNCTION("GOOGLETRANSLATE(B354, ""en"", ""hi"")"),"मुस्ति युद्ध किस देश की प्राचीन मार्शल आर्ट है?")</f>
        <v>मुस्ति युद्ध किस देश की प्राचीन मार्शल आर्ट है?</v>
      </c>
      <c r="H354" s="5" t="str">
        <f>IFERROR(__xludf.DUMMYFUNCTION("GOOGLETRANSLATE(C354, ""en"", ""hi"")"),"A) चीन, B) जापान, C) भारत, D) थाईलैंड")</f>
        <v>A) चीन, B) जापान, C) भारत, D) थाईलैंड</v>
      </c>
      <c r="I354" s="5" t="str">
        <f>IFERROR(__xludf.DUMMYFUNCTION("GOOGLETRANSLATE(D354, ""en"", ""hi"")"),"C) भारत")</f>
        <v>C) भारत</v>
      </c>
    </row>
    <row r="355" ht="22.5" customHeight="1">
      <c r="A355" s="7">
        <v>354.0</v>
      </c>
      <c r="B355" s="4" t="s">
        <v>3363</v>
      </c>
      <c r="C355" s="4" t="s">
        <v>3364</v>
      </c>
      <c r="D355" s="4" t="s">
        <v>3365</v>
      </c>
      <c r="F355" s="5" t="str">
        <f>IFERROR(__xludf.DUMMYFUNCTION("GOOGLETRANSLATE(A355, ""en"", ""hi"")"),"354")</f>
        <v>354</v>
      </c>
      <c r="G355" s="5" t="str">
        <f>IFERROR(__xludf.DUMMYFUNCTION("GOOGLETRANSLATE(B355, ""en"", ""hi"")"),"मुस्ति युद्ध का उल्लेख किस प्राचीन भारतीय ग्रंथ में किया गया है?")</f>
        <v>मुस्ति युद्ध का उल्लेख किस प्राचीन भारतीय ग्रंथ में किया गया है?</v>
      </c>
      <c r="H355" s="5" t="str">
        <f>IFERROR(__xludf.DUMMYFUNCTION("GOOGLETRANSLATE(C355, ""en"", ""hi"")"),"ए) महाभारत, बी) रामायण, सी) अर्थशास्त्र, डी) वेद")</f>
        <v>ए) महाभारत, बी) रामायण, सी) अर्थशास्त्र, डी) वेद</v>
      </c>
      <c r="I355" s="5" t="str">
        <f>IFERROR(__xludf.DUMMYFUNCTION("GOOGLETRANSLATE(D355, ""en"", ""hi"")"),"C) अर्थशास्त्र")</f>
        <v>C) अर्थशास्त्र</v>
      </c>
    </row>
    <row r="356" ht="22.5" customHeight="1">
      <c r="A356" s="7">
        <v>355.0</v>
      </c>
      <c r="B356" s="4" t="s">
        <v>3366</v>
      </c>
      <c r="C356" s="4" t="s">
        <v>3367</v>
      </c>
      <c r="D356" s="4" t="s">
        <v>2523</v>
      </c>
      <c r="F356" s="5" t="str">
        <f>IFERROR(__xludf.DUMMYFUNCTION("GOOGLETRANSLATE(A356, ""en"", ""hi"")"),"355")</f>
        <v>355</v>
      </c>
      <c r="G356" s="5" t="str">
        <f>IFERROR(__xludf.DUMMYFUNCTION("GOOGLETRANSLATE(B356, ""en"", ""hi"")"),"मुस्ति युद्ध मुख्य रूप से किस भारतीय शहर में प्रचलित था?")</f>
        <v>मुस्ति युद्ध मुख्य रूप से किस भारतीय शहर में प्रचलित था?</v>
      </c>
      <c r="H356" s="5" t="str">
        <f>IFERROR(__xludf.DUMMYFUNCTION("GOOGLETRANSLATE(C356, ""en"", ""hi"")"),"ए) वाराणसी, बी) पाटलिपुत्र, सी) उज्जैन, डी) मथुरा")</f>
        <v>ए) वाराणसी, बी) पाटलिपुत्र, सी) उज्जैन, डी) मथुरा</v>
      </c>
      <c r="I356" s="5" t="str">
        <f>IFERROR(__xludf.DUMMYFUNCTION("GOOGLETRANSLATE(D356, ""en"", ""hi"")"),"A) वाराणसी")</f>
        <v>A) वाराणसी</v>
      </c>
    </row>
    <row r="357" ht="22.5" customHeight="1">
      <c r="A357" s="7">
        <v>356.0</v>
      </c>
      <c r="B357" s="4" t="s">
        <v>3368</v>
      </c>
      <c r="C357" s="4" t="s">
        <v>3369</v>
      </c>
      <c r="D357" s="4" t="s">
        <v>3370</v>
      </c>
      <c r="F357" s="5" t="str">
        <f>IFERROR(__xludf.DUMMYFUNCTION("GOOGLETRANSLATE(A357, ""en"", ""hi"")"),"356")</f>
        <v>356</v>
      </c>
      <c r="G357" s="5" t="str">
        <f>IFERROR(__xludf.DUMMYFUNCTION("GOOGLETRANSLATE(B357, ""en"", ""hi"")"),"किस ऐतिहासिक भारतीय व्यक्ति के बारे में कहा जाता है कि उसने मुस्ति युद्ध किया था?")</f>
        <v>किस ऐतिहासिक भारतीय व्यक्ति के बारे में कहा जाता है कि उसने मुस्ति युद्ध किया था?</v>
      </c>
      <c r="H357" s="5" t="str">
        <f>IFERROR(__xludf.DUMMYFUNCTION("GOOGLETRANSLATE(C357, ""en"", ""hi"")"),"ए) चंद्रगुप्त मौर्य, बी) अशोक, सी) शिवाजी महाराज, डी) राणा प्रताप")</f>
        <v>ए) चंद्रगुप्त मौर्य, बी) अशोक, सी) शिवाजी महाराज, डी) राणा प्रताप</v>
      </c>
      <c r="I357" s="5" t="str">
        <f>IFERROR(__xludf.DUMMYFUNCTION("GOOGLETRANSLATE(D357, ""en"", ""hi"")"),"A) चंद्रगुप्त मौर्य")</f>
        <v>A) चंद्रगुप्त मौर्य</v>
      </c>
    </row>
    <row r="358" ht="22.5" customHeight="1">
      <c r="A358" s="7">
        <v>357.0</v>
      </c>
      <c r="B358" s="4" t="s">
        <v>3371</v>
      </c>
      <c r="C358" s="4" t="s">
        <v>3372</v>
      </c>
      <c r="D358" s="4" t="s">
        <v>3373</v>
      </c>
      <c r="F358" s="5" t="str">
        <f>IFERROR(__xludf.DUMMYFUNCTION("GOOGLETRANSLATE(A358, ""en"", ""hi"")"),"357")</f>
        <v>357</v>
      </c>
      <c r="G358" s="5" t="str">
        <f>IFERROR(__xludf.DUMMYFUNCTION("GOOGLETRANSLATE(B358, ""en"", ""hi"")"),"मुस्ति युद्ध में 'मुस्ति' का क्या अर्थ है?")</f>
        <v>मुस्ति युद्ध में 'मुस्ति' का क्या अर्थ है?</v>
      </c>
      <c r="H358" s="5" t="str">
        <f>IFERROR(__xludf.DUMMYFUNCTION("GOOGLETRANSLATE(C358, ""en"", ""hi"")"),"A) कोहनी, B) पंच, C) किक, D) ब्लॉक")</f>
        <v>A) कोहनी, B) पंच, C) किक, D) ब्लॉक</v>
      </c>
      <c r="I358" s="5" t="str">
        <f>IFERROR(__xludf.DUMMYFUNCTION("GOOGLETRANSLATE(D358, ""en"", ""hi"")"),"बी) पंच")</f>
        <v>बी) पंच</v>
      </c>
    </row>
    <row r="359" ht="22.5" customHeight="1">
      <c r="A359" s="7">
        <v>358.0</v>
      </c>
      <c r="B359" s="4" t="s">
        <v>3374</v>
      </c>
      <c r="C359" s="4" t="s">
        <v>3375</v>
      </c>
      <c r="D359" s="4" t="s">
        <v>3376</v>
      </c>
      <c r="F359" s="5" t="str">
        <f>IFERROR(__xludf.DUMMYFUNCTION("GOOGLETRANSLATE(A359, ""en"", ""hi"")"),"358")</f>
        <v>358</v>
      </c>
      <c r="G359" s="5" t="str">
        <f>IFERROR(__xludf.DUMMYFUNCTION("GOOGLETRANSLATE(B359, ""en"", ""hi"")"),"मुस्ति युद्ध किस शताब्दी का है?")</f>
        <v>मुस्ति युद्ध किस शताब्दी का है?</v>
      </c>
      <c r="H359" s="5" t="str">
        <f>IFERROR(__xludf.DUMMYFUNCTION("GOOGLETRANSLATE(C359, ""en"", ""hi"")"),"A) तीसरी शताब्दी ईसा पूर्व, B) 5वीं शताब्दी ईसा पूर्व, C) पहली शताब्दी ईस्वी, D) 10वीं शताब्दी ईस्वी")</f>
        <v>A) तीसरी शताब्दी ईसा पूर्व, B) 5वीं शताब्दी ईसा पूर्व, C) पहली शताब्दी ईस्वी, D) 10वीं शताब्दी ईस्वी</v>
      </c>
      <c r="I359" s="5" t="str">
        <f>IFERROR(__xludf.DUMMYFUNCTION("GOOGLETRANSLATE(D359, ""en"", ""hi"")"),"ए) तीसरी शताब्दी ईसा पूर्व")</f>
        <v>ए) तीसरी शताब्दी ईसा पूर्व</v>
      </c>
    </row>
    <row r="360" ht="22.5" customHeight="1">
      <c r="A360" s="7">
        <v>359.0</v>
      </c>
      <c r="B360" s="4" t="s">
        <v>3377</v>
      </c>
      <c r="C360" s="4" t="s">
        <v>3378</v>
      </c>
      <c r="D360" s="4" t="s">
        <v>110</v>
      </c>
      <c r="F360" s="5" t="str">
        <f>IFERROR(__xludf.DUMMYFUNCTION("GOOGLETRANSLATE(A360, ""en"", ""hi"")"),"359")</f>
        <v>359</v>
      </c>
      <c r="G360" s="5" t="str">
        <f>IFERROR(__xludf.DUMMYFUNCTION("GOOGLETRANSLATE(B360, ""en"", ""hi"")"),"कौन सा भारतीय राज्य मुस्ति युद्ध की परंपरा से सबसे अधिक जुड़ा हुआ है?")</f>
        <v>कौन सा भारतीय राज्य मुस्ति युद्ध की परंपरा से सबसे अधिक जुड़ा हुआ है?</v>
      </c>
      <c r="H360" s="5" t="str">
        <f>IFERROR(__xludf.DUMMYFUNCTION("GOOGLETRANSLATE(C360, ""en"", ""hi"")"),"ए) उत्तर प्रदेश, बी) महाराष्ट्र, सी) कर्नाटक, डी) पंजाब")</f>
        <v>ए) उत्तर प्रदेश, बी) महाराष्ट्र, सी) कर्नाटक, डी) पंजाब</v>
      </c>
      <c r="I360" s="5" t="str">
        <f>IFERROR(__xludf.DUMMYFUNCTION("GOOGLETRANSLATE(D360, ""en"", ""hi"")"),"A) उत्तर प्रदेश")</f>
        <v>A) उत्तर प्रदेश</v>
      </c>
    </row>
    <row r="361" ht="22.5" customHeight="1">
      <c r="A361" s="7">
        <v>360.0</v>
      </c>
      <c r="B361" s="4" t="s">
        <v>3379</v>
      </c>
      <c r="C361" s="4" t="s">
        <v>3380</v>
      </c>
      <c r="D361" s="4" t="s">
        <v>3381</v>
      </c>
      <c r="F361" s="5" t="str">
        <f>IFERROR(__xludf.DUMMYFUNCTION("GOOGLETRANSLATE(A361, ""en"", ""hi"")"),"360")</f>
        <v>360</v>
      </c>
      <c r="G361" s="5" t="str">
        <f>IFERROR(__xludf.DUMMYFUNCTION("GOOGLETRANSLATE(B361, ""en"", ""hi"")"),"मुस्ती युद्ध का प्रयोग किस प्राचीन भारतीय मनोरंजन में किया जाता था?")</f>
        <v>मुस्ती युद्ध का प्रयोग किस प्राचीन भारतीय मनोरंजन में किया जाता था?</v>
      </c>
      <c r="H361" s="5" t="str">
        <f>IFERROR(__xludf.DUMMYFUNCTION("GOOGLETRANSLATE(C361, ""en"", ""hi"")"),"A) नृत्य, B) नाटक, C) कुश्ती प्रतियोगिता, D) ग्लैडीएटोरियल मुकाबले")</f>
        <v>A) नृत्य, B) नाटक, C) कुश्ती प्रतियोगिता, D) ग्लैडीएटोरियल मुकाबले</v>
      </c>
      <c r="I361" s="5" t="str">
        <f>IFERROR(__xludf.DUMMYFUNCTION("GOOGLETRANSLATE(D361, ""en"", ""hi"")"),"C) कुश्ती टूर्नामेंट")</f>
        <v>C) कुश्ती टूर्नामेंट</v>
      </c>
    </row>
    <row r="362" ht="22.5" customHeight="1">
      <c r="A362" s="7">
        <v>361.0</v>
      </c>
      <c r="B362" s="4" t="s">
        <v>3382</v>
      </c>
      <c r="C362" s="4" t="s">
        <v>3383</v>
      </c>
      <c r="D362" s="4" t="s">
        <v>3384</v>
      </c>
      <c r="F362" s="5" t="str">
        <f>IFERROR(__xludf.DUMMYFUNCTION("GOOGLETRANSLATE(A362, ""en"", ""hi"")"),"361")</f>
        <v>361</v>
      </c>
      <c r="G362" s="5" t="str">
        <f>IFERROR(__xludf.DUMMYFUNCTION("GOOGLETRANSLATE(B362, ""en"", ""hi"")"),"मुस्ति युद्ध की कौन सी शैली मुट्ठियों और कोहनी से प्रहार पर केंद्रित है?")</f>
        <v>मुस्ति युद्ध की कौन सी शैली मुट्ठियों और कोहनी से प्रहार पर केंद्रित है?</v>
      </c>
      <c r="H362" s="5" t="str">
        <f>IFERROR(__xludf.DUMMYFUNCTION("GOOGLETRANSLATE(C362, ""en"", ""hi"")"),"ए) वज्र मुस्ती, बी) युद्ध मुस्ती, सी) समदुरा मुस्ती, डी) पहाड़ी मुस्ती")</f>
        <v>ए) वज्र मुस्ती, बी) युद्ध मुस्ती, सी) समदुरा मुस्ती, डी) पहाड़ी मुस्ती</v>
      </c>
      <c r="I362" s="5" t="str">
        <f>IFERROR(__xludf.DUMMYFUNCTION("GOOGLETRANSLATE(D362, ""en"", ""hi"")"),"A) वज्र मुस्ती")</f>
        <v>A) वज्र मुस्ती</v>
      </c>
    </row>
    <row r="363" ht="22.5" customHeight="1">
      <c r="A363" s="7">
        <v>362.0</v>
      </c>
      <c r="B363" s="4" t="s">
        <v>3385</v>
      </c>
      <c r="C363" s="4" t="s">
        <v>3386</v>
      </c>
      <c r="D363" s="4" t="s">
        <v>3387</v>
      </c>
      <c r="F363" s="5" t="str">
        <f>IFERROR(__xludf.DUMMYFUNCTION("GOOGLETRANSLATE(A363, ""en"", ""hi"")"),"362")</f>
        <v>362</v>
      </c>
      <c r="G363" s="5" t="str">
        <f>IFERROR(__xludf.DUMMYFUNCTION("GOOGLETRANSLATE(B363, ""en"", ""hi"")"),"मुस्ति युद्ध का उल्लेख करने वाले प्राचीन ग्रंथों को लिखने के लिए किस शास्त्रीय भारतीय भाषा का उपयोग किया गया था?")</f>
        <v>मुस्ति युद्ध का उल्लेख करने वाले प्राचीन ग्रंथों को लिखने के लिए किस शास्त्रीय भारतीय भाषा का उपयोग किया गया था?</v>
      </c>
      <c r="H363" s="5" t="str">
        <f>IFERROR(__xludf.DUMMYFUNCTION("GOOGLETRANSLATE(C363, ""en"", ""hi"")"),"ए) संस्कृत, बी) तमिल, सी) प्राकृत, डी) पाली")</f>
        <v>ए) संस्कृत, बी) तमिल, सी) प्राकृत, डी) पाली</v>
      </c>
      <c r="I363" s="5" t="str">
        <f>IFERROR(__xludf.DUMMYFUNCTION("GOOGLETRANSLATE(D363, ""en"", ""hi"")"),"A) संस्कृत")</f>
        <v>A) संस्कृत</v>
      </c>
    </row>
    <row r="364" ht="22.5" customHeight="1">
      <c r="A364" s="7">
        <v>363.0</v>
      </c>
      <c r="B364" s="4" t="s">
        <v>3388</v>
      </c>
      <c r="C364" s="4" t="s">
        <v>3389</v>
      </c>
      <c r="D364" s="4" t="s">
        <v>3390</v>
      </c>
      <c r="F364" s="5" t="str">
        <f>IFERROR(__xludf.DUMMYFUNCTION("GOOGLETRANSLATE(A364, ""en"", ""hi"")"),"363")</f>
        <v>363</v>
      </c>
      <c r="G364" s="5" t="str">
        <f>IFERROR(__xludf.DUMMYFUNCTION("GOOGLETRANSLATE(B364, ""en"", ""hi"")"),"भारतीय इतिहास में किस काल में मुस्ति युद्ध प्रथा पर प्रतिबंध लगाया गया था?")</f>
        <v>भारतीय इतिहास में किस काल में मुस्ति युद्ध प्रथा पर प्रतिबंध लगाया गया था?</v>
      </c>
      <c r="H364" s="5" t="str">
        <f>IFERROR(__xludf.DUMMYFUNCTION("GOOGLETRANSLATE(C364, ""en"", ""hi"")"),"A) ब्रिटिश औपनिवेशिक काल, B) मुगल काल, C) गुप्त काल, D) मराठा काल")</f>
        <v>A) ब्रिटिश औपनिवेशिक काल, B) मुगल काल, C) गुप्त काल, D) मराठा काल</v>
      </c>
      <c r="I364" s="5" t="str">
        <f>IFERROR(__xludf.DUMMYFUNCTION("GOOGLETRANSLATE(D364, ""en"", ""hi"")"),"A) ब्रिटिश औपनिवेशिक काल")</f>
        <v>A) ब्रिटिश औपनिवेशिक काल</v>
      </c>
    </row>
    <row r="365" ht="22.5" customHeight="1">
      <c r="A365" s="7">
        <v>364.0</v>
      </c>
      <c r="B365" s="4" t="s">
        <v>3391</v>
      </c>
      <c r="C365" s="4" t="s">
        <v>3392</v>
      </c>
      <c r="D365" s="4" t="s">
        <v>3393</v>
      </c>
      <c r="F365" s="5" t="str">
        <f>IFERROR(__xludf.DUMMYFUNCTION("GOOGLETRANSLATE(A365, ""en"", ""hi"")"),"364")</f>
        <v>364</v>
      </c>
      <c r="G365" s="5" t="str">
        <f>IFERROR(__xludf.DUMMYFUNCTION("GOOGLETRANSLATE(B365, ""en"", ""hi"")"),"मुस्ति युद्ध का कौन सा पहलू शारीरिक कंडीशनिंग पर केंद्रित है?")</f>
        <v>मुस्ति युद्ध का कौन सा पहलू शारीरिक कंडीशनिंग पर केंद्रित है?</v>
      </c>
      <c r="H365" s="5" t="str">
        <f>IFERROR(__xludf.DUMMYFUNCTION("GOOGLETRANSLATE(C365, ""en"", ""hi"")"),"ए) मल्ल, बी) शास्त्र, सी) व्यायाम, डी) पराक्रम")</f>
        <v>ए) मल्ल, बी) शास्त्र, सी) व्यायाम, डी) पराक्रम</v>
      </c>
      <c r="I365" s="5" t="str">
        <f>IFERROR(__xludf.DUMMYFUNCTION("GOOGLETRANSLATE(D365, ""en"", ""hi"")"),"C) व्यायाम")</f>
        <v>C) व्यायाम</v>
      </c>
    </row>
    <row r="366" ht="22.5" customHeight="1">
      <c r="A366" s="7">
        <v>365.0</v>
      </c>
      <c r="B366" s="4" t="s">
        <v>3394</v>
      </c>
      <c r="C366" s="4" t="s">
        <v>3395</v>
      </c>
      <c r="D366" s="4" t="s">
        <v>3396</v>
      </c>
      <c r="F366" s="5" t="str">
        <f>IFERROR(__xludf.DUMMYFUNCTION("GOOGLETRANSLATE(A366, ""en"", ""hi"")"),"365")</f>
        <v>365</v>
      </c>
      <c r="G366" s="5" t="str">
        <f>IFERROR(__xludf.DUMMYFUNCTION("GOOGLETRANSLATE(B366, ""en"", ""hi"")"),"मुस्ति युद्ध प्रायः किस धार्मिक उत्सव के साथ किया जाता था?")</f>
        <v>मुस्ति युद्ध प्रायः किस धार्मिक उत्सव के साथ किया जाता था?</v>
      </c>
      <c r="H366" s="5" t="str">
        <f>IFERROR(__xludf.DUMMYFUNCTION("GOOGLETRANSLATE(C366, ""en"", ""hi"")"),"ए) होली, बी) दिवाली, सी) कुंभ मेला, डी) दशहरा")</f>
        <v>ए) होली, बी) दिवाली, सी) कुंभ मेला, डी) दशहरा</v>
      </c>
      <c r="I366" s="5" t="str">
        <f>IFERROR(__xludf.DUMMYFUNCTION("GOOGLETRANSLATE(D366, ""en"", ""hi"")"),"C) कुंभ मेला")</f>
        <v>C) कुंभ मेला</v>
      </c>
    </row>
    <row r="367" ht="22.5" customHeight="1">
      <c r="A367" s="7">
        <v>366.0</v>
      </c>
      <c r="B367" s="4" t="s">
        <v>3397</v>
      </c>
      <c r="C367" s="4" t="s">
        <v>3398</v>
      </c>
      <c r="D367" s="4" t="s">
        <v>3399</v>
      </c>
      <c r="F367" s="5" t="str">
        <f>IFERROR(__xludf.DUMMYFUNCTION("GOOGLETRANSLATE(A367, ""en"", ""hi"")"),"366")</f>
        <v>366</v>
      </c>
      <c r="G367" s="5" t="str">
        <f>IFERROR(__xludf.DUMMYFUNCTION("GOOGLETRANSLATE(B367, ""en"", ""hi"")"),"किस हिंदू देवता को कभी-कभी उसके योद्धा गुणों के कारण मुस्ति युद्ध के साथ जोड़ा जाता है?")</f>
        <v>किस हिंदू देवता को कभी-कभी उसके योद्धा गुणों के कारण मुस्ति युद्ध के साथ जोड़ा जाता है?</v>
      </c>
      <c r="H367" s="5" t="str">
        <f>IFERROR(__xludf.DUMMYFUNCTION("GOOGLETRANSLATE(C367, ""en"", ""hi"")"),"A) विष्णु, B) हनुमान, C) शिव, D) गणेश")</f>
        <v>A) विष्णु, B) हनुमान, C) शिव, D) गणेश</v>
      </c>
      <c r="I367" s="5" t="str">
        <f>IFERROR(__xludf.DUMMYFUNCTION("GOOGLETRANSLATE(D367, ""en"", ""hi"")"),"B) हनुमान")</f>
        <v>B) हनुमान</v>
      </c>
    </row>
    <row r="368" ht="22.5" customHeight="1">
      <c r="A368" s="7">
        <v>367.0</v>
      </c>
      <c r="B368" s="4" t="s">
        <v>3400</v>
      </c>
      <c r="C368" s="4" t="s">
        <v>3401</v>
      </c>
      <c r="D368" s="4" t="s">
        <v>2571</v>
      </c>
      <c r="F368" s="5" t="str">
        <f>IFERROR(__xludf.DUMMYFUNCTION("GOOGLETRANSLATE(A368, ""en"", ""hi"")"),"367")</f>
        <v>367</v>
      </c>
      <c r="G368" s="5" t="str">
        <f>IFERROR(__xludf.DUMMYFUNCTION("GOOGLETRANSLATE(B368, ""en"", ""hi"")"),"निम्नलिखित में से कौन सा मुस्ति युद्ध में प्रयुक्त होने वाला प्राथमिक हथियार है?")</f>
        <v>निम्नलिखित में से कौन सा मुस्ति युद्ध में प्रयुक्त होने वाला प्राथमिक हथियार है?</v>
      </c>
      <c r="H368" s="5" t="str">
        <f>IFERROR(__xludf.DUMMYFUNCTION("GOOGLETRANSLATE(C368, ""en"", ""hi"")"),"A) तलवार, B) धनुष, C) मुट्ठी, D) भाला")</f>
        <v>A) तलवार, B) धनुष, C) मुट्ठी, D) भाला</v>
      </c>
      <c r="I368" s="5" t="str">
        <f>IFERROR(__xludf.DUMMYFUNCTION("GOOGLETRANSLATE(D368, ""en"", ""hi"")"),"सी) मुट्ठी")</f>
        <v>सी) मुट्ठी</v>
      </c>
    </row>
    <row r="369" ht="22.5" customHeight="1">
      <c r="A369" s="7">
        <v>368.0</v>
      </c>
      <c r="B369" s="4" t="s">
        <v>3402</v>
      </c>
      <c r="C369" s="4" t="s">
        <v>3403</v>
      </c>
      <c r="D369" s="4" t="s">
        <v>3404</v>
      </c>
      <c r="F369" s="5" t="str">
        <f>IFERROR(__xludf.DUMMYFUNCTION("GOOGLETRANSLATE(A369, ""en"", ""hi"")"),"368")</f>
        <v>368</v>
      </c>
      <c r="G369" s="5" t="str">
        <f>IFERROR(__xludf.DUMMYFUNCTION("GOOGLETRANSLATE(B369, ""en"", ""hi"")"),"मुस्ति युद्ध को पारंपरिक भारतीय मार्शल आर्ट की किस व्यापक श्रेणी का हिस्सा माना जाता है?")</f>
        <v>मुस्ति युद्ध को पारंपरिक भारतीय मार्शल आर्ट की किस व्यापक श्रेणी का हिस्सा माना जाता है?</v>
      </c>
      <c r="H369" s="5" t="str">
        <f>IFERROR(__xludf.DUMMYFUNCTION("GOOGLETRANSLATE(C369, ""en"", ""hi"")"),"ए) कलारीपयट्टु, बी) वज्र मुष्टी, सी) पहलवानी, डी) मल्ल युद्ध")</f>
        <v>ए) कलारीपयट्टु, बी) वज्र मुष्टी, सी) पहलवानी, डी) मल्ल युद्ध</v>
      </c>
      <c r="I369" s="5" t="str">
        <f>IFERROR(__xludf.DUMMYFUNCTION("GOOGLETRANSLATE(D369, ""en"", ""hi"")"),"D) मल्ल युद्ध")</f>
        <v>D) मल्ल युद्ध</v>
      </c>
    </row>
    <row r="370" ht="22.5" customHeight="1">
      <c r="A370" s="7">
        <v>369.0</v>
      </c>
      <c r="B370" s="4" t="s">
        <v>3405</v>
      </c>
      <c r="C370" s="4" t="s">
        <v>3406</v>
      </c>
      <c r="D370" s="4" t="s">
        <v>3407</v>
      </c>
      <c r="F370" s="5" t="str">
        <f>IFERROR(__xludf.DUMMYFUNCTION("GOOGLETRANSLATE(A370, ""en"", ""hi"")"),"369")</f>
        <v>369</v>
      </c>
      <c r="G370" s="5" t="str">
        <f>IFERROR(__xludf.DUMMYFUNCTION("GOOGLETRANSLATE(B370, ""en"", ""hi"")"),"मुस्ति युद्ध मुख्य रूप से किस प्रकार के युद्ध पर केंद्रित है?")</f>
        <v>मुस्ति युद्ध मुख्य रूप से किस प्रकार के युद्ध पर केंद्रित है?</v>
      </c>
      <c r="H370" s="5" t="str">
        <f>IFERROR(__xludf.DUMMYFUNCTION("GOOGLETRANSLATE(C370, ""en"", ""hi"")"),"A) सशस्त्र युद्ध, B) निहत्थे युद्ध, C) घुड़सवार युद्ध, D) तीरंदाजी")</f>
        <v>A) सशस्त्र युद्ध, B) निहत्थे युद्ध, C) घुड़सवार युद्ध, D) तीरंदाजी</v>
      </c>
      <c r="I370" s="5" t="str">
        <f>IFERROR(__xludf.DUMMYFUNCTION("GOOGLETRANSLATE(D370, ""en"", ""hi"")"),"बी) निहत्थे युद्ध")</f>
        <v>बी) निहत्थे युद्ध</v>
      </c>
    </row>
    <row r="371" ht="22.5" customHeight="1">
      <c r="A371" s="7">
        <v>370.0</v>
      </c>
      <c r="B371" s="4" t="s">
        <v>3408</v>
      </c>
      <c r="C371" s="4" t="s">
        <v>3409</v>
      </c>
      <c r="D371" s="4" t="s">
        <v>2556</v>
      </c>
      <c r="F371" s="5" t="str">
        <f>IFERROR(__xludf.DUMMYFUNCTION("GOOGLETRANSLATE(A371, ""en"", ""hi"")"),"370")</f>
        <v>370</v>
      </c>
      <c r="G371" s="5" t="str">
        <f>IFERROR(__xludf.DUMMYFUNCTION("GOOGLETRANSLATE(B371, ""en"", ""hi"")"),"ऐसा माना जाता है कि किस मुगल सम्राट ने मुस्ति युद्ध प्रतियोगिताएं देखी थीं?")</f>
        <v>ऐसा माना जाता है कि किस मुगल सम्राट ने मुस्ति युद्ध प्रतियोगिताएं देखी थीं?</v>
      </c>
      <c r="H371" s="5" t="str">
        <f>IFERROR(__xludf.DUMMYFUNCTION("GOOGLETRANSLATE(C371, ""en"", ""hi"")"),"A) अकबर, B) औरंगजेब, C) हुमायूँ, D) बाबर")</f>
        <v>A) अकबर, B) औरंगजेब, C) हुमायूँ, D) बाबर</v>
      </c>
      <c r="I371" s="5" t="str">
        <f>IFERROR(__xludf.DUMMYFUNCTION("GOOGLETRANSLATE(D371, ""en"", ""hi"")"),"A) अकबर")</f>
        <v>A) अकबर</v>
      </c>
    </row>
    <row r="372" ht="22.5" customHeight="1">
      <c r="A372" s="7">
        <v>371.0</v>
      </c>
      <c r="B372" s="4" t="s">
        <v>3410</v>
      </c>
      <c r="C372" s="4" t="s">
        <v>3411</v>
      </c>
      <c r="D372" s="4" t="s">
        <v>3412</v>
      </c>
      <c r="F372" s="5" t="str">
        <f>IFERROR(__xludf.DUMMYFUNCTION("GOOGLETRANSLATE(A372, ""en"", ""hi"")"),"371")</f>
        <v>371</v>
      </c>
      <c r="G372" s="5" t="str">
        <f>IFERROR(__xludf.DUMMYFUNCTION("GOOGLETRANSLATE(B372, ""en"", ""hi"")"),"मुस्ति युद्ध में 'युद्ध' शब्द का अनुवाद क्या है?")</f>
        <v>मुस्ति युद्ध में 'युद्ध' शब्द का अनुवाद क्या है?</v>
      </c>
      <c r="H372" s="5" t="str">
        <f>IFERROR(__xludf.DUMMYFUNCTION("GOOGLETRANSLATE(C372, ""en"", ""hi"")"),"A) युद्ध, B) योद्धा, C) रक्षा, D) तकनीक")</f>
        <v>A) युद्ध, B) योद्धा, C) रक्षा, D) तकनीक</v>
      </c>
      <c r="I372" s="5" t="str">
        <f>IFERROR(__xludf.DUMMYFUNCTION("GOOGLETRANSLATE(D372, ""en"", ""hi"")"),"युद्ध")</f>
        <v>युद्ध</v>
      </c>
    </row>
    <row r="373" ht="22.5" customHeight="1">
      <c r="A373" s="7">
        <v>372.0</v>
      </c>
      <c r="B373" s="4" t="s">
        <v>3413</v>
      </c>
      <c r="C373" s="4" t="s">
        <v>3414</v>
      </c>
      <c r="D373" s="4" t="s">
        <v>3415</v>
      </c>
      <c r="F373" s="5" t="str">
        <f>IFERROR(__xludf.DUMMYFUNCTION("GOOGLETRANSLATE(A373, ""en"", ""hi"")"),"372")</f>
        <v>372</v>
      </c>
      <c r="G373" s="5" t="str">
        <f>IFERROR(__xludf.DUMMYFUNCTION("GOOGLETRANSLATE(B373, ""en"", ""hi"")"),"प्राचीन भारत में मुस्ति युद्ध के अनुयायी पारंपरिक रूप से किस सामाजिक समूह से संबंधित थे?")</f>
        <v>प्राचीन भारत में मुस्ति युद्ध के अनुयायी पारंपरिक रूप से किस सामाजिक समूह से संबंधित थे?</v>
      </c>
      <c r="H373" s="5" t="str">
        <f>IFERROR(__xludf.DUMMYFUNCTION("GOOGLETRANSLATE(C373, ""en"", ""hi"")"),"ए) क्षत्रिय, बी) ब्राह्मण, सी) वैश्य, डी) शूद्र")</f>
        <v>ए) क्षत्रिय, बी) ब्राह्मण, सी) वैश्य, डी) शूद्र</v>
      </c>
      <c r="I373" s="5" t="str">
        <f>IFERROR(__xludf.DUMMYFUNCTION("GOOGLETRANSLATE(D373, ""en"", ""hi"")"),"A) क्षत्रिय")</f>
        <v>A) क्षत्रिय</v>
      </c>
    </row>
    <row r="374" ht="22.5" customHeight="1">
      <c r="A374" s="7">
        <v>373.0</v>
      </c>
      <c r="B374" s="4" t="s">
        <v>3416</v>
      </c>
      <c r="C374" s="4" t="s">
        <v>3417</v>
      </c>
      <c r="D374" s="4" t="s">
        <v>3418</v>
      </c>
      <c r="F374" s="5" t="str">
        <f>IFERROR(__xludf.DUMMYFUNCTION("GOOGLETRANSLATE(A374, ""en"", ""hi"")"),"373")</f>
        <v>373</v>
      </c>
      <c r="G374" s="5" t="str">
        <f>IFERROR(__xludf.DUMMYFUNCTION("GOOGLETRANSLATE(B374, ""en"", ""hi"")"),"मुस्ति युद्ध में मुख्यतः शरीर के किस अंग का उपयोग किया जाता है?")</f>
        <v>मुस्ति युद्ध में मुख्यतः शरीर के किस अंग का उपयोग किया जाता है?</v>
      </c>
      <c r="H374" s="5" t="str">
        <f>IFERROR(__xludf.DUMMYFUNCTION("GOOGLETRANSLATE(C374, ""en"", ""hi"")"),"A) पैर, B) सिर, C) भुजाएँ, D) धड़")</f>
        <v>A) पैर, B) सिर, C) भुजाएँ, D) धड़</v>
      </c>
      <c r="I374" s="5" t="str">
        <f>IFERROR(__xludf.DUMMYFUNCTION("GOOGLETRANSLATE(D374, ""en"", ""hi"")"),"सी) हथियार")</f>
        <v>सी) हथियार</v>
      </c>
    </row>
    <row r="375" ht="22.5" customHeight="1">
      <c r="A375" s="7">
        <v>374.0</v>
      </c>
      <c r="B375" s="4" t="s">
        <v>3419</v>
      </c>
      <c r="C375" s="4" t="s">
        <v>3420</v>
      </c>
      <c r="D375" s="4" t="s">
        <v>3421</v>
      </c>
      <c r="F375" s="5" t="str">
        <f>IFERROR(__xludf.DUMMYFUNCTION("GOOGLETRANSLATE(A375, ""en"", ""hi"")"),"374")</f>
        <v>374</v>
      </c>
      <c r="G375" s="5" t="str">
        <f>IFERROR(__xludf.DUMMYFUNCTION("GOOGLETRANSLATE(B375, ""en"", ""hi"")"),"मुस्ति युद्ध की लोकप्रियता में किस ऐतिहासिक काल में गिरावट आई?")</f>
        <v>मुस्ति युद्ध की लोकप्रियता में किस ऐतिहासिक काल में गिरावट आई?</v>
      </c>
      <c r="H375" s="5" t="str">
        <f>IFERROR(__xludf.DUMMYFUNCTION("GOOGLETRANSLATE(C375, ""en"", ""hi"")"),"A) मौर्य साम्राज्य, B) गुप्त साम्राज्य, C) मुगल साम्राज्य, D) ब्रिटिश राज")</f>
        <v>A) मौर्य साम्राज्य, B) गुप्त साम्राज्य, C) मुगल साम्राज्य, D) ब्रिटिश राज</v>
      </c>
      <c r="I375" s="5" t="str">
        <f>IFERROR(__xludf.DUMMYFUNCTION("GOOGLETRANSLATE(D375, ""en"", ""hi"")"),"D) ब्रिटिश राज")</f>
        <v>D) ब्रिटिश राज</v>
      </c>
    </row>
    <row r="376" ht="22.5" customHeight="1">
      <c r="A376" s="7">
        <v>375.0</v>
      </c>
      <c r="B376" s="4" t="s">
        <v>3422</v>
      </c>
      <c r="C376" s="4" t="s">
        <v>3423</v>
      </c>
      <c r="D376" s="4" t="s">
        <v>3424</v>
      </c>
      <c r="F376" s="5" t="str">
        <f>IFERROR(__xludf.DUMMYFUNCTION("GOOGLETRANSLATE(A376, ""en"", ""hi"")"),"375")</f>
        <v>375</v>
      </c>
      <c r="G376" s="5" t="str">
        <f>IFERROR(__xludf.DUMMYFUNCTION("GOOGLETRANSLATE(B376, ""en"", ""hi"")"),"कौन सा शहर ऐतिहासिक रूप से मुस्टी युद्ध प्रतियोगिताओं के केंद्र के रूप में जाना जाता था?")</f>
        <v>कौन सा शहर ऐतिहासिक रूप से मुस्टी युद्ध प्रतियोगिताओं के केंद्र के रूप में जाना जाता था?</v>
      </c>
      <c r="H376" s="5" t="str">
        <f>IFERROR(__xludf.DUMMYFUNCTION("GOOGLETRANSLATE(C376, ""en"", ""hi"")"),"A) काशी, B) दिल्ली, C) मुंबई, D) लखनऊ")</f>
        <v>A) काशी, B) दिल्ली, C) मुंबई, D) लखनऊ</v>
      </c>
      <c r="I376" s="5" t="str">
        <f>IFERROR(__xludf.DUMMYFUNCTION("GOOGLETRANSLATE(D376, ""en"", ""hi"")"),"A) काशी")</f>
        <v>A) काशी</v>
      </c>
    </row>
    <row r="377" ht="22.5" customHeight="1">
      <c r="A377" s="7">
        <v>376.0</v>
      </c>
      <c r="B377" s="4" t="s">
        <v>3425</v>
      </c>
      <c r="C377" s="4" t="s">
        <v>3426</v>
      </c>
      <c r="D377" s="4" t="s">
        <v>3427</v>
      </c>
      <c r="F377" s="5" t="str">
        <f>IFERROR(__xludf.DUMMYFUNCTION("GOOGLETRANSLATE(A377, ""en"", ""hi"")"),"376")</f>
        <v>376</v>
      </c>
      <c r="G377" s="5" t="str">
        <f>IFERROR(__xludf.DUMMYFUNCTION("GOOGLETRANSLATE(B377, ""en"", ""hi"")"),"मुस्ति युद्ध का प्राथमिक उद्देश्य क्या है?")</f>
        <v>मुस्ति युद्ध का प्राथमिक उद्देश्य क्या है?</v>
      </c>
      <c r="H377" s="5" t="str">
        <f>IFERROR(__xludf.DUMMYFUNCTION("GOOGLETRANSLATE(C377, ""en"", ""hi"")"),"A) क्षेत्र की रक्षा करना, B) कुश्ती में प्रतिद्वंद्वी को हराना, C) प्रतिद्वंद्वी को नॉकआउट करना, D) शारीरिक शक्ति का प्रदर्शन करना")</f>
        <v>A) क्षेत्र की रक्षा करना, B) कुश्ती में प्रतिद्वंद्वी को हराना, C) प्रतिद्वंद्वी को नॉकआउट करना, D) शारीरिक शक्ति का प्रदर्शन करना</v>
      </c>
      <c r="I377" s="5" t="str">
        <f>IFERROR(__xludf.DUMMYFUNCTION("GOOGLETRANSLATE(D377, ""en"", ""hi"")"),"C) नॉकआउट प्रतिद्वंद्वी")</f>
        <v>C) नॉकआउट प्रतिद्वंद्वी</v>
      </c>
    </row>
    <row r="378" ht="22.5" customHeight="1">
      <c r="A378" s="7">
        <v>377.0</v>
      </c>
      <c r="B378" s="4" t="s">
        <v>3428</v>
      </c>
      <c r="C378" s="4" t="s">
        <v>3429</v>
      </c>
      <c r="D378" s="4" t="s">
        <v>3430</v>
      </c>
      <c r="F378" s="5" t="str">
        <f>IFERROR(__xludf.DUMMYFUNCTION("GOOGLETRANSLATE(A378, ""en"", ""hi"")"),"377")</f>
        <v>377</v>
      </c>
      <c r="G378" s="5" t="str">
        <f>IFERROR(__xludf.DUMMYFUNCTION("GOOGLETRANSLATE(B378, ""en"", ""hi"")"),"निम्नलिखित में से कौन सा ऐतिहासिक ग्रंथ मुस्ति युद्ध का प्रारंभिक संदर्भ प्रदान करता है?")</f>
        <v>निम्नलिखित में से कौन सा ऐतिहासिक ग्रंथ मुस्ति युद्ध का प्रारंभिक संदर्भ प्रदान करता है?</v>
      </c>
      <c r="H378" s="5" t="str">
        <f>IFERROR(__xludf.DUMMYFUNCTION("GOOGLETRANSLATE(C378, ""en"", ""hi"")"),"ए) ऋग्वेद, बी) मनुस्मृति, सी) महाभारत, डी) अर्थशास्त्र")</f>
        <v>ए) ऋग्वेद, बी) मनुस्मृति, सी) महाभारत, डी) अर्थशास्त्र</v>
      </c>
      <c r="I378" s="5" t="str">
        <f>IFERROR(__xludf.DUMMYFUNCTION("GOOGLETRANSLATE(D378, ""en"", ""hi"")"),"D) अर्थशास्त्र")</f>
        <v>D) अर्थशास्त्र</v>
      </c>
    </row>
    <row r="379" ht="22.5" customHeight="1">
      <c r="A379" s="7">
        <v>378.0</v>
      </c>
      <c r="B379" s="4" t="s">
        <v>3431</v>
      </c>
      <c r="C379" s="4" t="s">
        <v>3432</v>
      </c>
      <c r="D379" s="4" t="s">
        <v>3433</v>
      </c>
      <c r="F379" s="5" t="str">
        <f>IFERROR(__xludf.DUMMYFUNCTION("GOOGLETRANSLATE(A379, ""en"", ""hi"")"),"378")</f>
        <v>378</v>
      </c>
      <c r="G379" s="5" t="str">
        <f>IFERROR(__xludf.DUMMYFUNCTION("GOOGLETRANSLATE(B379, ""en"", ""hi"")"),"प्राचीन भारतीय उत्सवों के दौरान मुस्ति युद्ध अक्सर किसका एक रूप होता था?")</f>
        <v>प्राचीन भारतीय उत्सवों के दौरान मुस्ति युद्ध अक्सर किसका एक रूप होता था?</v>
      </c>
      <c r="H379" s="5" t="str">
        <f>IFERROR(__xludf.DUMMYFUNCTION("GOOGLETRANSLATE(C379, ""en"", ""hi"")"),"A) प्रशिक्षण, B) अनुष्ठान, C) मनोरंजन, D) ध्यान")</f>
        <v>A) प्रशिक्षण, B) अनुष्ठान, C) मनोरंजन, D) ध्यान</v>
      </c>
      <c r="I379" s="5" t="str">
        <f>IFERROR(__xludf.DUMMYFUNCTION("GOOGLETRANSLATE(D379, ""en"", ""hi"")"),"सी) मनोरंजन")</f>
        <v>सी) मनोरंजन</v>
      </c>
    </row>
    <row r="380" ht="22.5" customHeight="1">
      <c r="A380" s="7">
        <v>379.0</v>
      </c>
      <c r="B380" s="4" t="s">
        <v>3434</v>
      </c>
      <c r="C380" s="4" t="s">
        <v>3435</v>
      </c>
      <c r="D380" s="4" t="s">
        <v>3436</v>
      </c>
      <c r="F380" s="5" t="str">
        <f>IFERROR(__xludf.DUMMYFUNCTION("GOOGLETRANSLATE(A380, ""en"", ""hi"")"),"379")</f>
        <v>379</v>
      </c>
      <c r="G380" s="5" t="str">
        <f>IFERROR(__xludf.DUMMYFUNCTION("GOOGLETRANSLATE(B380, ""en"", ""hi"")"),"प्राचीन भारत में मुस्ति युद्ध को किसकी परीक्षा माना जाता था?")</f>
        <v>प्राचीन भारत में मुस्ति युद्ध को किसकी परीक्षा माना जाता था?</v>
      </c>
      <c r="H380" s="5" t="str">
        <f>IFERROR(__xludf.DUMMYFUNCTION("GOOGLETRANSLATE(C380, ""en"", ""hi"")"),"A) साहस, B) बुद्धि, C) विश्वास, D) धैर्य")</f>
        <v>A) साहस, B) बुद्धि, C) विश्वास, D) धैर्य</v>
      </c>
      <c r="I380" s="5" t="str">
        <f>IFERROR(__xludf.DUMMYFUNCTION("GOOGLETRANSLATE(D380, ""en"", ""hi"")"),"क) साहस")</f>
        <v>क) साहस</v>
      </c>
    </row>
    <row r="381" ht="22.5" customHeight="1">
      <c r="A381" s="7">
        <v>380.0</v>
      </c>
      <c r="B381" s="4" t="s">
        <v>3437</v>
      </c>
      <c r="C381" s="4" t="s">
        <v>3438</v>
      </c>
      <c r="D381" s="4" t="s">
        <v>3439</v>
      </c>
      <c r="F381" s="5" t="str">
        <f>IFERROR(__xludf.DUMMYFUNCTION("GOOGLETRANSLATE(A381, ""en"", ""hi"")"),"380")</f>
        <v>380</v>
      </c>
      <c r="G381" s="5" t="str">
        <f>IFERROR(__xludf.DUMMYFUNCTION("GOOGLETRANSLATE(B381, ""en"", ""hi"")"),"20वीं सदी में किस भारतीय आंदोलन के दौरान मुस्ति युद्ध को पुनर्जीवित किया गया था?")</f>
        <v>20वीं सदी में किस भारतीय आंदोलन के दौरान मुस्ति युद्ध को पुनर्जीवित किया गया था?</v>
      </c>
      <c r="H381" s="5" t="str">
        <f>IFERROR(__xludf.DUMMYFUNCTION("GOOGLETRANSLATE(C381, ""en"", ""hi"")"),"A) भारत छोड़ो आंदोलन, B) स्वदेशी आंदोलन, C) असहयोग आंदोलन, D) भारतीय मार्शल पुनर्जागरण")</f>
        <v>A) भारत छोड़ो आंदोलन, B) स्वदेशी आंदोलन, C) असहयोग आंदोलन, D) भारतीय मार्शल पुनर्जागरण</v>
      </c>
      <c r="I381" s="5" t="str">
        <f>IFERROR(__xludf.DUMMYFUNCTION("GOOGLETRANSLATE(D381, ""en"", ""hi"")"),"B) स्वदेशी आंदोलन")</f>
        <v>B) स्वदेशी आंदोलन</v>
      </c>
    </row>
    <row r="382" ht="22.5" customHeight="1">
      <c r="A382" s="7">
        <v>381.0</v>
      </c>
      <c r="B382" s="4" t="s">
        <v>3440</v>
      </c>
      <c r="C382" s="4" t="s">
        <v>3441</v>
      </c>
      <c r="D382" s="4" t="s">
        <v>3442</v>
      </c>
      <c r="F382" s="5" t="str">
        <f>IFERROR(__xludf.DUMMYFUNCTION("GOOGLETRANSLATE(A382, ""en"", ""hi"")"),"381")</f>
        <v>381</v>
      </c>
      <c r="G382" s="5" t="str">
        <f>IFERROR(__xludf.DUMMYFUNCTION("GOOGLETRANSLATE(B382, ""en"", ""hi"")"),"किस मुगल इतिहासकार ने अपने संस्मरणों में मुस्टी युद्ध के बारे में लिखा है?")</f>
        <v>किस मुगल इतिहासकार ने अपने संस्मरणों में मुस्टी युद्ध के बारे में लिखा है?</v>
      </c>
      <c r="H382" s="5" t="str">
        <f>IFERROR(__xludf.DUMMYFUNCTION("GOOGLETRANSLATE(C382, ""en"", ""hi"")"),"ए) अबुल-फ़ज़ल, बी) बाबर, सी) जहांगीर, डी) इब्न बतूता")</f>
        <v>ए) अबुल-फ़ज़ल, बी) बाबर, सी) जहांगीर, डी) इब्न बतूता</v>
      </c>
      <c r="I382" s="5" t="str">
        <f>IFERROR(__xludf.DUMMYFUNCTION("GOOGLETRANSLATE(D382, ""en"", ""hi"")"),"B) बाबर")</f>
        <v>B) बाबर</v>
      </c>
    </row>
    <row r="383" ht="22.5" customHeight="1">
      <c r="A383" s="7">
        <v>382.0</v>
      </c>
      <c r="B383" s="4" t="s">
        <v>3443</v>
      </c>
      <c r="C383" s="4" t="s">
        <v>3444</v>
      </c>
      <c r="D383" s="4" t="s">
        <v>3445</v>
      </c>
      <c r="F383" s="5" t="str">
        <f>IFERROR(__xludf.DUMMYFUNCTION("GOOGLETRANSLATE(A383, ""en"", ""hi"")"),"382")</f>
        <v>382</v>
      </c>
      <c r="G383" s="5" t="str">
        <f>IFERROR(__xludf.DUMMYFUNCTION("GOOGLETRANSLATE(B383, ""en"", ""hi"")"),"मुस्ति युद्ध वाराणसी में मनाए जाने वाले किस हिंदू त्योहार से जुड़ा हुआ है?")</f>
        <v>मुस्ति युद्ध वाराणसी में मनाए जाने वाले किस हिंदू त्योहार से जुड़ा हुआ है?</v>
      </c>
      <c r="H383" s="5" t="str">
        <f>IFERROR(__xludf.DUMMYFUNCTION("GOOGLETRANSLATE(C383, ""en"", ""hi"")"),"ए) होली, बी) शिवरात्रि, सी) कुंभ मेला, डी) नाग पंचमी")</f>
        <v>ए) होली, बी) शिवरात्रि, सी) कुंभ मेला, डी) नाग पंचमी</v>
      </c>
      <c r="I383" s="5" t="str">
        <f>IFERROR(__xludf.DUMMYFUNCTION("GOOGLETRANSLATE(D383, ""en"", ""hi"")"),"D) नाग पंचमी")</f>
        <v>D) नाग पंचमी</v>
      </c>
    </row>
    <row r="384" ht="22.5" customHeight="1">
      <c r="A384" s="7">
        <v>383.0</v>
      </c>
      <c r="B384" s="4" t="s">
        <v>3446</v>
      </c>
      <c r="C384" s="4" t="s">
        <v>3447</v>
      </c>
      <c r="D384" s="4" t="s">
        <v>3448</v>
      </c>
      <c r="F384" s="5" t="str">
        <f>IFERROR(__xludf.DUMMYFUNCTION("GOOGLETRANSLATE(A384, ""en"", ""hi"")"),"383")</f>
        <v>383</v>
      </c>
      <c r="G384" s="5" t="str">
        <f>IFERROR(__xludf.DUMMYFUNCTION("GOOGLETRANSLATE(B384, ""en"", ""hi"")"),"कौन सी प्रमुख तकनीक मुस्ति युद्ध को अन्य भारतीय मार्शल आर्ट से अलग करती है?")</f>
        <v>कौन सी प्रमुख तकनीक मुस्ति युद्ध को अन्य भारतीय मार्शल आर्ट से अलग करती है?</v>
      </c>
      <c r="H384" s="5" t="str">
        <f>IFERROR(__xludf.DUMMYFUNCTION("GOOGLETRANSLATE(C384, ""en"", ""hi"")"),"A) हाथापाई, B) मुट्ठियों से प्रहार, C) हथियार का प्रयोग, D) ज़मीनी लड़ाई")</f>
        <v>A) हाथापाई, B) मुट्ठियों से प्रहार, C) हथियार का प्रयोग, D) ज़मीनी लड़ाई</v>
      </c>
      <c r="I384" s="5" t="str">
        <f>IFERROR(__xludf.DUMMYFUNCTION("GOOGLETRANSLATE(D384, ""en"", ""hi"")"),"बी) मुट्ठियों से प्रहार करना")</f>
        <v>बी) मुट्ठियों से प्रहार करना</v>
      </c>
    </row>
    <row r="385" ht="22.5" customHeight="1">
      <c r="A385" s="7">
        <v>384.0</v>
      </c>
      <c r="B385" s="4" t="s">
        <v>3449</v>
      </c>
      <c r="C385" s="4" t="s">
        <v>3450</v>
      </c>
      <c r="D385" s="4" t="s">
        <v>3451</v>
      </c>
      <c r="F385" s="5" t="str">
        <f>IFERROR(__xludf.DUMMYFUNCTION("GOOGLETRANSLATE(A385, ""en"", ""hi"")"),"384")</f>
        <v>384</v>
      </c>
      <c r="G385" s="5" t="str">
        <f>IFERROR(__xludf.DUMMYFUNCTION("GOOGLETRANSLATE(B385, ""en"", ""hi"")"),"ऐसा माना जाता है कि प्राचीन भारत के दरबारों में मुस्ति युद्ध को किसने लोकप्रिय बनाया था?")</f>
        <v>ऐसा माना जाता है कि प्राचीन भारत के दरबारों में मुस्ति युद्ध को किसने लोकप्रिय बनाया था?</v>
      </c>
      <c r="H385" s="5" t="str">
        <f>IFERROR(__xludf.DUMMYFUNCTION("GOOGLETRANSLATE(C385, ""en"", ""hi"")"),"ए)चाणक्य,बी)अशोक,सी)हर्ष,डी)विक्रमादित्य")</f>
        <v>ए)चाणक्य,बी)अशोक,सी)हर्ष,डी)विक्रमादित्य</v>
      </c>
      <c r="I385" s="5" t="str">
        <f>IFERROR(__xludf.DUMMYFUNCTION("GOOGLETRANSLATE(D385, ""en"", ""hi"")"),"A) चाणक्य")</f>
        <v>A) चाणक्य</v>
      </c>
    </row>
    <row r="386" ht="22.5" customHeight="1">
      <c r="A386" s="7">
        <v>385.0</v>
      </c>
      <c r="B386" s="4" t="s">
        <v>3452</v>
      </c>
      <c r="C386" s="4" t="s">
        <v>3453</v>
      </c>
      <c r="D386" s="4" t="s">
        <v>3454</v>
      </c>
      <c r="F386" s="5" t="str">
        <f>IFERROR(__xludf.DUMMYFUNCTION("GOOGLETRANSLATE(A386, ""en"", ""hi"")"),"385")</f>
        <v>385</v>
      </c>
      <c r="G386" s="5" t="str">
        <f>IFERROR(__xludf.DUMMYFUNCTION("GOOGLETRANSLATE(B386, ""en"", ""hi"")"),"प्राचीन भारतीय सैन्य प्रशिक्षण में मुस्ति युद्ध की क्या भूमिका थी?")</f>
        <v>प्राचीन भारतीय सैन्य प्रशिक्षण में मुस्ति युद्ध की क्या भूमिका थी?</v>
      </c>
      <c r="H386" s="5" t="str">
        <f>IFERROR(__xludf.DUMMYFUNCTION("GOOGLETRANSLATE(C386, ""en"", ""hi"")"),"ए) पैदल सेना अभ्यास, बी) निकट-युद्ध प्रशिक्षण, सी) घुड़सवार सेना रणनीति, डी) लंबी दूरी की तीरंदाजी")</f>
        <v>ए) पैदल सेना अभ्यास, बी) निकट-युद्ध प्रशिक्षण, सी) घुड़सवार सेना रणनीति, डी) लंबी दूरी की तीरंदाजी</v>
      </c>
      <c r="I386" s="5" t="str">
        <f>IFERROR(__xludf.DUMMYFUNCTION("GOOGLETRANSLATE(D386, ""en"", ""hi"")"),"बी) निकट-युद्ध प्रशिक्षण")</f>
        <v>बी) निकट-युद्ध प्रशिक्षण</v>
      </c>
    </row>
    <row r="387" ht="22.5" customHeight="1">
      <c r="A387" s="7">
        <v>386.0</v>
      </c>
      <c r="B387" s="4" t="s">
        <v>3455</v>
      </c>
      <c r="C387" s="4" t="s">
        <v>3456</v>
      </c>
      <c r="D387" s="4" t="s">
        <v>3457</v>
      </c>
      <c r="F387" s="5" t="str">
        <f>IFERROR(__xludf.DUMMYFUNCTION("GOOGLETRANSLATE(A387, ""en"", ""hi"")"),"386")</f>
        <v>386</v>
      </c>
      <c r="G387" s="5" t="str">
        <f>IFERROR(__xludf.DUMMYFUNCTION("GOOGLETRANSLATE(B387, ""en"", ""hi"")"),"मुस्ति युद्ध में रक्षात्मक मुद्रा का वर्णन किस शब्द से किया जाता है?")</f>
        <v>मुस्ति युद्ध में रक्षात्मक मुद्रा का वर्णन किस शब्द से किया जाता है?</v>
      </c>
      <c r="H387" s="5" t="str">
        <f>IFERROR(__xludf.DUMMYFUNCTION("GOOGLETRANSLATE(C387, ""en"", ""hi"")"),"ए) आसन, बी) रक्षा, सी) गदा, डी) खड्ग")</f>
        <v>ए) आसन, बी) रक्षा, सी) गदा, डी) खड्ग</v>
      </c>
      <c r="I387" s="5" t="str">
        <f>IFERROR(__xludf.DUMMYFUNCTION("GOOGLETRANSLATE(D387, ""en"", ""hi"")"),"बी) रक्षा")</f>
        <v>बी) रक्षा</v>
      </c>
    </row>
    <row r="388" ht="22.5" customHeight="1">
      <c r="A388" s="7">
        <v>387.0</v>
      </c>
      <c r="B388" s="4" t="s">
        <v>3458</v>
      </c>
      <c r="C388" s="4" t="s">
        <v>3459</v>
      </c>
      <c r="D388" s="4" t="s">
        <v>3460</v>
      </c>
      <c r="F388" s="5" t="str">
        <f>IFERROR(__xludf.DUMMYFUNCTION("GOOGLETRANSLATE(A388, ""en"", ""hi"")"),"387")</f>
        <v>387</v>
      </c>
      <c r="G388" s="5" t="str">
        <f>IFERROR(__xludf.DUMMYFUNCTION("GOOGLETRANSLATE(B388, ""en"", ""hi"")"),"कौन सा ऐतिहासिक भारतीय राज्य मुस्ति युद्ध मैचों के आयोजन के लिए जाना जाता है?")</f>
        <v>कौन सा ऐतिहासिक भारतीय राज्य मुस्ति युद्ध मैचों के आयोजन के लिए जाना जाता है?</v>
      </c>
      <c r="H388" s="5" t="str">
        <f>IFERROR(__xludf.DUMMYFUNCTION("GOOGLETRANSLATE(C388, ""en"", ""hi"")"),"ए) मगध, बी) विजयनगर, सी) कलिंग, डी) कुषाण")</f>
        <v>ए) मगध, बी) विजयनगर, सी) कलिंग, डी) कुषाण</v>
      </c>
      <c r="I388" s="5" t="str">
        <f>IFERROR(__xludf.DUMMYFUNCTION("GOOGLETRANSLATE(D388, ""en"", ""hi"")"),"A) मगध")</f>
        <v>A) मगध</v>
      </c>
    </row>
    <row r="389" ht="22.5" customHeight="1">
      <c r="A389" s="7">
        <v>388.0</v>
      </c>
      <c r="B389" s="4" t="s">
        <v>3461</v>
      </c>
      <c r="C389" s="4" t="s">
        <v>3462</v>
      </c>
      <c r="D389" s="4" t="s">
        <v>3463</v>
      </c>
      <c r="F389" s="5" t="str">
        <f>IFERROR(__xludf.DUMMYFUNCTION("GOOGLETRANSLATE(A389, ""en"", ""hi"")"),"388")</f>
        <v>388</v>
      </c>
      <c r="G389" s="5" t="str">
        <f>IFERROR(__xludf.DUMMYFUNCTION("GOOGLETRANSLATE(B389, ""en"", ""hi"")"),"मुस्ति युद्ध कला की तुलना किस आधुनिक खेल से की जा सकती है?")</f>
        <v>मुस्ति युद्ध कला की तुलना किस आधुनिक खेल से की जा सकती है?</v>
      </c>
      <c r="H389" s="5" t="str">
        <f>IFERROR(__xludf.DUMMYFUNCTION("GOOGLETRANSLATE(C389, ""en"", ""hi"")"),"A) मुक्केबाजी, B) जूडो, C) ताइक्वांडो, D) कुश्ती")</f>
        <v>A) मुक्केबाजी, B) जूडो, C) ताइक्वांडो, D) कुश्ती</v>
      </c>
      <c r="I389" s="5" t="str">
        <f>IFERROR(__xludf.DUMMYFUNCTION("GOOGLETRANSLATE(D389, ""en"", ""hi"")"),"ए) मुक्केबाजी")</f>
        <v>ए) मुक्केबाजी</v>
      </c>
    </row>
    <row r="390" ht="22.5" customHeight="1">
      <c r="A390" s="7">
        <v>389.0</v>
      </c>
      <c r="B390" s="4" t="s">
        <v>3464</v>
      </c>
      <c r="C390" s="4" t="s">
        <v>3465</v>
      </c>
      <c r="D390" s="4" t="s">
        <v>3466</v>
      </c>
      <c r="F390" s="5" t="str">
        <f>IFERROR(__xludf.DUMMYFUNCTION("GOOGLETRANSLATE(A390, ""en"", ""hi"")"),"389")</f>
        <v>389</v>
      </c>
      <c r="G390" s="5" t="str">
        <f>IFERROR(__xludf.DUMMYFUNCTION("GOOGLETRANSLATE(B390, ""en"", ""hi"")"),"प्राचीन भारतीय समाज में मुस्ति युद्ध को किसका प्रतीक माना जाता था?")</f>
        <v>प्राचीन भारतीय समाज में मुस्ति युद्ध को किसका प्रतीक माना जाता था?</v>
      </c>
      <c r="H390" s="5" t="str">
        <f>IFERROR(__xludf.DUMMYFUNCTION("GOOGLETRANSLATE(C390, ""en"", ""hi"")"),"A) धन, B) आध्यात्मिकता, C) पुरुषत्व, D) शिक्षा")</f>
        <v>A) धन, B) आध्यात्मिकता, C) पुरुषत्व, D) शिक्षा</v>
      </c>
      <c r="I390" s="5" t="str">
        <f>IFERROR(__xludf.DUMMYFUNCTION("GOOGLETRANSLATE(D390, ""en"", ""hi"")"),"C) पुरुषत्व")</f>
        <v>C) पुरुषत्व</v>
      </c>
    </row>
    <row r="391" ht="22.5" customHeight="1">
      <c r="A391" s="7">
        <v>390.0</v>
      </c>
      <c r="B391" s="4" t="s">
        <v>3467</v>
      </c>
      <c r="C391" s="4" t="s">
        <v>3468</v>
      </c>
      <c r="D391" s="4" t="s">
        <v>3469</v>
      </c>
      <c r="F391" s="5" t="str">
        <f>IFERROR(__xludf.DUMMYFUNCTION("GOOGLETRANSLATE(A391, ""en"", ""hi"")"),"390")</f>
        <v>390</v>
      </c>
      <c r="G391" s="5" t="str">
        <f>IFERROR(__xludf.DUMMYFUNCTION("GOOGLETRANSLATE(B391, ""en"", ""hi"")"),"प्राचीन भारत में मुस्ति युद्ध मैचों के दर्शक आमतौर पर कौन होते थे?")</f>
        <v>प्राचीन भारत में मुस्ति युद्ध मैचों के दर्शक आमतौर पर कौन होते थे?</v>
      </c>
      <c r="H391" s="5" t="str">
        <f>IFERROR(__xludf.DUMMYFUNCTION("GOOGLETRANSLATE(C391, ""en"", ""hi"")"),"A) सैनिक, B) कुलीन, C) आम लोग, D) ब्राह्मण")</f>
        <v>A) सैनिक, B) कुलीन, C) आम लोग, D) ब्राह्मण</v>
      </c>
      <c r="I391" s="5" t="str">
        <f>IFERROR(__xludf.DUMMYFUNCTION("GOOGLETRANSLATE(D391, ""en"", ""hi"")"),"बी) कुलीनता")</f>
        <v>बी) कुलीनता</v>
      </c>
    </row>
    <row r="392" ht="22.5" customHeight="1">
      <c r="A392" s="7">
        <v>391.0</v>
      </c>
      <c r="B392" s="4" t="s">
        <v>3470</v>
      </c>
      <c r="C392" s="4" t="s">
        <v>3471</v>
      </c>
      <c r="D392" s="4" t="s">
        <v>3472</v>
      </c>
      <c r="F392" s="5" t="str">
        <f>IFERROR(__xludf.DUMMYFUNCTION("GOOGLETRANSLATE(A392, ""en"", ""hi"")"),"391")</f>
        <v>391</v>
      </c>
      <c r="G392" s="5" t="str">
        <f>IFERROR(__xludf.DUMMYFUNCTION("GOOGLETRANSLATE(B392, ""en"", ""hi"")"),"मुस्ति युद्ध में 'वज्र मुस्ति' नाम किस अवधारणा को संदर्भित करता है?")</f>
        <v>मुस्ति युद्ध में 'वज्र मुस्ति' नाम किस अवधारणा को संदर्भित करता है?</v>
      </c>
      <c r="H392" s="5" t="str">
        <f>IFERROR(__xludf.DUMMYFUNCTION("GOOGLETRANSLATE(C392, ""en"", ""hi"")"),"A) बिजली की मुट्ठी, B) दिव्य शक्ति, C) अटूट मुट्ठी, D) पावर पंच")</f>
        <v>A) बिजली की मुट्ठी, B) दिव्य शक्ति, C) अटूट मुट्ठी, D) पावर पंच</v>
      </c>
      <c r="I392" s="5" t="str">
        <f>IFERROR(__xludf.DUMMYFUNCTION("GOOGLETRANSLATE(D392, ""en"", ""hi"")"),"सी) अटूट मुट्ठी")</f>
        <v>सी) अटूट मुट्ठी</v>
      </c>
    </row>
    <row r="393" ht="22.5" customHeight="1">
      <c r="A393" s="7">
        <v>392.0</v>
      </c>
      <c r="B393" s="4" t="s">
        <v>3473</v>
      </c>
      <c r="C393" s="4" t="s">
        <v>3474</v>
      </c>
      <c r="D393" s="4" t="s">
        <v>3475</v>
      </c>
      <c r="F393" s="5" t="str">
        <f>IFERROR(__xludf.DUMMYFUNCTION("GOOGLETRANSLATE(A393, ""en"", ""hi"")"),"392")</f>
        <v>392</v>
      </c>
      <c r="G393" s="5" t="str">
        <f>IFERROR(__xludf.DUMMYFUNCTION("GOOGLETRANSLATE(B393, ""en"", ""hi"")"),"मुस्ती युद्ध के विपरीत, कौन सी पारंपरिक भारतीय युद्ध कला प्रहार की अपेक्षा हाथापाई पर अधिक केंद्रित है?")</f>
        <v>मुस्ती युद्ध के विपरीत, कौन सी पारंपरिक भारतीय युद्ध कला प्रहार की अपेक्षा हाथापाई पर अधिक केंद्रित है?</v>
      </c>
      <c r="H393" s="5" t="str">
        <f>IFERROR(__xludf.DUMMYFUNCTION("GOOGLETRANSLATE(C393, ""en"", ""hi"")"),"ए) पहलवानी, बी) कलारीपयट्टु, सी) सिलंबम, डी) गतका")</f>
        <v>ए) पहलवानी, बी) कलारीपयट्टु, सी) सिलंबम, डी) गतका</v>
      </c>
      <c r="I393" s="5" t="str">
        <f>IFERROR(__xludf.DUMMYFUNCTION("GOOGLETRANSLATE(D393, ""en"", ""hi"")"),"A) पहलवानी")</f>
        <v>A) पहलवानी</v>
      </c>
    </row>
    <row r="394" ht="22.5" customHeight="1">
      <c r="A394" s="7">
        <v>393.0</v>
      </c>
      <c r="B394" s="4" t="s">
        <v>3476</v>
      </c>
      <c r="C394" s="4" t="s">
        <v>3477</v>
      </c>
      <c r="D394" s="4" t="s">
        <v>3478</v>
      </c>
      <c r="F394" s="5" t="str">
        <f>IFERROR(__xludf.DUMMYFUNCTION("GOOGLETRANSLATE(A394, ""en"", ""hi"")"),"393")</f>
        <v>393</v>
      </c>
      <c r="G394" s="5" t="str">
        <f>IFERROR(__xludf.DUMMYFUNCTION("GOOGLETRANSLATE(B394, ""en"", ""hi"")"),"मुस्ति युद्ध में आम लड़ाई की मुद्रा को क्या कहा जाता है?")</f>
        <v>मुस्ति युद्ध में आम लड़ाई की मुद्रा को क्या कहा जाता है?</v>
      </c>
      <c r="H394" s="5" t="str">
        <f>IFERROR(__xludf.DUMMYFUNCTION("GOOGLETRANSLATE(C394, ""en"", ""hi"")"),"ए) मल्ल, बी) संकट, सी) युद्ध, डी) आहार")</f>
        <v>ए) मल्ल, बी) संकट, सी) युद्ध, डी) आहार</v>
      </c>
      <c r="I394" s="5" t="str">
        <f>IFERROR(__xludf.DUMMYFUNCTION("GOOGLETRANSLATE(D394, ""en"", ""hi"")"),"बी) संकटा")</f>
        <v>बी) संकटा</v>
      </c>
    </row>
    <row r="395" ht="22.5" customHeight="1">
      <c r="A395" s="7">
        <v>394.0</v>
      </c>
      <c r="B395" s="4" t="s">
        <v>3479</v>
      </c>
      <c r="C395" s="4" t="s">
        <v>3480</v>
      </c>
      <c r="D395" s="4" t="s">
        <v>3481</v>
      </c>
      <c r="F395" s="5" t="str">
        <f>IFERROR(__xludf.DUMMYFUNCTION("GOOGLETRANSLATE(A395, ""en"", ""hi"")"),"394")</f>
        <v>394</v>
      </c>
      <c r="G395" s="5" t="str">
        <f>IFERROR(__xludf.DUMMYFUNCTION("GOOGLETRANSLATE(B395, ""en"", ""hi"")"),"प्राचीन काल में मुस्ति युद्ध मैच आमतौर पर किस प्रकार के स्थान पर आयोजित किए जाते थे?")</f>
        <v>प्राचीन काल में मुस्ति युद्ध मैच आमतौर पर किस प्रकार के स्थान पर आयोजित किए जाते थे?</v>
      </c>
      <c r="H395" s="5" t="str">
        <f>IFERROR(__xludf.DUMMYFUNCTION("GOOGLETRANSLATE(C395, ""en"", ""hi"")"),"A) मंदिर, B) खुले मैदान, C) अखाड़े, D) शाही दरबार")</f>
        <v>A) मंदिर, B) खुले मैदान, C) अखाड़े, D) शाही दरबार</v>
      </c>
      <c r="I395" s="5" t="str">
        <f>IFERROR(__xludf.DUMMYFUNCTION("GOOGLETRANSLATE(D395, ""en"", ""hi"")"),"D) शाही दरबार")</f>
        <v>D) शाही दरबार</v>
      </c>
    </row>
    <row r="396" ht="22.5" customHeight="1">
      <c r="A396" s="7">
        <v>395.0</v>
      </c>
      <c r="B396" s="4" t="s">
        <v>3482</v>
      </c>
      <c r="C396" s="4" t="s">
        <v>3483</v>
      </c>
      <c r="D396" s="4" t="s">
        <v>3484</v>
      </c>
      <c r="F396" s="5" t="str">
        <f>IFERROR(__xludf.DUMMYFUNCTION("GOOGLETRANSLATE(A396, ""en"", ""hi"")"),"395")</f>
        <v>395</v>
      </c>
      <c r="G396" s="5" t="str">
        <f>IFERROR(__xludf.DUMMYFUNCTION("GOOGLETRANSLATE(B396, ""en"", ""hi"")"),"कौन सा धार्मिक ग्रंथ अप्रत्यक्ष रूप से मुस्ति युद्ध के सिद्धांतों का संदर्भ देता है?")</f>
        <v>कौन सा धार्मिक ग्रंथ अप्रत्यक्ष रूप से मुस्ति युद्ध के सिद्धांतों का संदर्भ देता है?</v>
      </c>
      <c r="H396" s="5" t="str">
        <f>IFERROR(__xludf.DUMMYFUNCTION("GOOGLETRANSLATE(C396, ""en"", ""hi"")"),"ए) भगवद गीता, बी) रामचरितमानस, सी) अर्थशास्त्र, डी) मनुस्मृति")</f>
        <v>ए) भगवद गीता, बी) रामचरितमानस, सी) अर्थशास्त्र, डी) मनुस्मृति</v>
      </c>
      <c r="I396" s="5" t="str">
        <f>IFERROR(__xludf.DUMMYFUNCTION("GOOGLETRANSLATE(D396, ""en"", ""hi"")"),"A) भगवद गीता")</f>
        <v>A) भगवद गीता</v>
      </c>
    </row>
    <row r="397" ht="22.5" customHeight="1">
      <c r="A397" s="7">
        <v>396.0</v>
      </c>
      <c r="B397" s="4" t="s">
        <v>3485</v>
      </c>
      <c r="C397" s="4" t="s">
        <v>3486</v>
      </c>
      <c r="D397" s="4" t="s">
        <v>3487</v>
      </c>
      <c r="F397" s="5" t="str">
        <f>IFERROR(__xludf.DUMMYFUNCTION("GOOGLETRANSLATE(A397, ""en"", ""hi"")"),"396")</f>
        <v>396</v>
      </c>
      <c r="G397" s="5" t="str">
        <f>IFERROR(__xludf.DUMMYFUNCTION("GOOGLETRANSLATE(B397, ""en"", ""hi"")"),"मुस्ति युद्ध प्राचीन भारत की किस दार्शनिक अवधारणा से संबंधित है?")</f>
        <v>मुस्ति युद्ध प्राचीन भारत की किस दार्शनिक अवधारणा से संबंधित है?</v>
      </c>
      <c r="H397" s="5" t="str">
        <f>IFERROR(__xludf.DUMMYFUNCTION("GOOGLETRANSLATE(C397, ""en"", ""hi"")"),"A) अहिंसा, B) धर्म, C) कर्म, D) मोक्ष")</f>
        <v>A) अहिंसा, B) धर्म, C) कर्म, D) मोक्ष</v>
      </c>
      <c r="I397" s="5" t="str">
        <f>IFERROR(__xludf.DUMMYFUNCTION("GOOGLETRANSLATE(D397, ""en"", ""hi"")"),"बी) धर्म")</f>
        <v>बी) धर्म</v>
      </c>
    </row>
    <row r="398" ht="22.5" customHeight="1">
      <c r="A398" s="7">
        <v>397.0</v>
      </c>
      <c r="B398" s="4" t="s">
        <v>3488</v>
      </c>
      <c r="C398" s="4" t="s">
        <v>3489</v>
      </c>
      <c r="D398" s="4" t="s">
        <v>3490</v>
      </c>
      <c r="F398" s="5" t="str">
        <f>IFERROR(__xludf.DUMMYFUNCTION("GOOGLETRANSLATE(A398, ""en"", ""hi"")"),"397")</f>
        <v>397</v>
      </c>
      <c r="G398" s="5" t="str">
        <f>IFERROR(__xludf.DUMMYFUNCTION("GOOGLETRANSLATE(B398, ""en"", ""hi"")"),"आधुनिक भारत में मुस्ति युद्ध को किस सांस्कृतिक आंदोलन के भाग के रूप में पुनर्जीवित किया गया है?")</f>
        <v>आधुनिक भारत में मुस्ति युद्ध को किस सांस्कृतिक आंदोलन के भाग के रूप में पुनर्जीवित किया गया है?</v>
      </c>
      <c r="H398" s="5" t="str">
        <f>IFERROR(__xludf.DUMMYFUNCTION("GOOGLETRANSLATE(C398, ""en"", ""hi"")"),"A) भारतीय पुनर्जागरण, B) स्वदेशी आंदोलन, C) राष्ट्रीय मार्शल आर्ट पुनरुद्धार, D) भारतीय सांस्कृतिक उत्सव")</f>
        <v>A) भारतीय पुनर्जागरण, B) स्वदेशी आंदोलन, C) राष्ट्रीय मार्शल आर्ट पुनरुद्धार, D) भारतीय सांस्कृतिक उत्सव</v>
      </c>
      <c r="I398" s="5" t="str">
        <f>IFERROR(__xludf.DUMMYFUNCTION("GOOGLETRANSLATE(D398, ""en"", ""hi"")"),"C) राष्ट्रीय मार्शल आर्ट पुनरुद्धार")</f>
        <v>C) राष्ट्रीय मार्शल आर्ट पुनरुद्धार</v>
      </c>
    </row>
    <row r="399" ht="22.5" customHeight="1">
      <c r="A399" s="7">
        <v>398.0</v>
      </c>
      <c r="B399" s="4" t="s">
        <v>3491</v>
      </c>
      <c r="C399" s="4" t="s">
        <v>3492</v>
      </c>
      <c r="D399" s="4" t="s">
        <v>2544</v>
      </c>
      <c r="F399" s="5" t="str">
        <f>IFERROR(__xludf.DUMMYFUNCTION("GOOGLETRANSLATE(A399, ""en"", ""hi"")"),"398")</f>
        <v>398</v>
      </c>
      <c r="G399" s="5" t="str">
        <f>IFERROR(__xludf.DUMMYFUNCTION("GOOGLETRANSLATE(B399, ""en"", ""hi"")"),"ऐसा माना जाता है कि किस प्राचीन भारतीय महाकाव्य में मुस्ति युद्ध जैसी तकनीकों का उल्लेख है?")</f>
        <v>ऐसा माना जाता है कि किस प्राचीन भारतीय महाकाव्य में मुस्ति युद्ध जैसी तकनीकों का उल्लेख है?</v>
      </c>
      <c r="H399" s="5" t="str">
        <f>IFERROR(__xludf.DUMMYFUNCTION("GOOGLETRANSLATE(C399, ""en"", ""hi"")"),"ए) रामायण, बी) महाभारत, सी) हरिवंश, डी) कालिदास की रचनाएँ")</f>
        <v>ए) रामायण, बी) महाभारत, सी) हरिवंश, डी) कालिदास की रचनाएँ</v>
      </c>
      <c r="I399" s="5" t="str">
        <f>IFERROR(__xludf.DUMMYFUNCTION("GOOGLETRANSLATE(D399, ""en"", ""hi"")"),"बी) महाभारत")</f>
        <v>बी) महाभारत</v>
      </c>
    </row>
    <row r="400" ht="22.5" customHeight="1">
      <c r="A400" s="7">
        <v>399.0</v>
      </c>
      <c r="B400" s="4" t="s">
        <v>3493</v>
      </c>
      <c r="C400" s="4" t="s">
        <v>3494</v>
      </c>
      <c r="D400" s="4" t="s">
        <v>3495</v>
      </c>
      <c r="F400" s="5" t="str">
        <f>IFERROR(__xludf.DUMMYFUNCTION("GOOGLETRANSLATE(A400, ""en"", ""hi"")"),"399")</f>
        <v>399</v>
      </c>
      <c r="G400" s="5" t="str">
        <f>IFERROR(__xludf.DUMMYFUNCTION("GOOGLETRANSLATE(B400, ""en"", ""hi"")"),"किस प्राचीन भारतीय साम्राज्य के बारे में कहा जाता है कि उसने मुस्ति युद्ध की प्रथा को प्रोत्साहित किया था?")</f>
        <v>किस प्राचीन भारतीय साम्राज्य के बारे में कहा जाता है कि उसने मुस्ति युद्ध की प्रथा को प्रोत्साहित किया था?</v>
      </c>
      <c r="H400" s="5" t="str">
        <f>IFERROR(__xludf.DUMMYFUNCTION("GOOGLETRANSLATE(C400, ""en"", ""hi"")"),"A) गुप्त साम्राज्य, B) मौर्य साम्राज्य, C) चोल साम्राज्य, D) मुगल साम्राज्य")</f>
        <v>A) गुप्त साम्राज्य, B) मौर्य साम्राज्य, C) चोल साम्राज्य, D) मुगल साम्राज्य</v>
      </c>
      <c r="I400" s="5" t="str">
        <f>IFERROR(__xludf.DUMMYFUNCTION("GOOGLETRANSLATE(D400, ""en"", ""hi"")"),"बी) मौर्य साम्राज्य")</f>
        <v>बी) मौर्य साम्राज्य</v>
      </c>
    </row>
    <row r="401" ht="22.5" customHeight="1">
      <c r="A401" s="7">
        <v>400.0</v>
      </c>
      <c r="B401" s="4" t="s">
        <v>3496</v>
      </c>
      <c r="C401" s="4" t="s">
        <v>3497</v>
      </c>
      <c r="D401" s="4" t="s">
        <v>2765</v>
      </c>
      <c r="F401" s="5" t="str">
        <f>IFERROR(__xludf.DUMMYFUNCTION("GOOGLETRANSLATE(A401, ""en"", ""hi"")"),"400")</f>
        <v>400</v>
      </c>
      <c r="G401" s="5" t="str">
        <f>IFERROR(__xludf.DUMMYFUNCTION("GOOGLETRANSLATE(B401, ""en"", ""hi"")"),"ऐतिहासिक रूप से मुस्ति युद्ध को किस प्रकार की मार्शल प्रैक्टिस माना जाता था?")</f>
        <v>ऐतिहासिक रूप से मुस्ति युद्ध को किस प्रकार की मार्शल प्रैक्टिस माना जाता था?</v>
      </c>
      <c r="H401" s="5" t="str">
        <f>IFERROR(__xludf.DUMMYFUNCTION("GOOGLETRANSLATE(C401, ""en"", ""hi"")"),"A) सशस्त्र युद्ध, B) शारीरिक प्रशिक्षण, C) सैन्य प्रशिक्षण, D) धार्मिक अभ्यास")</f>
        <v>A) सशस्त्र युद्ध, B) शारीरिक प्रशिक्षण, C) सैन्य प्रशिक्षण, D) धार्मिक अभ्यास</v>
      </c>
      <c r="I401" s="5" t="str">
        <f>IFERROR(__xludf.DUMMYFUNCTION("GOOGLETRANSLATE(D401, ""en"", ""hi"")"),"C) सैन्य प्रशिक्षण")</f>
        <v>C) सैन्य प्रशिक्षण</v>
      </c>
    </row>
    <row r="402" ht="22.5" customHeight="1">
      <c r="A402" s="7">
        <v>401.0</v>
      </c>
      <c r="B402" s="4" t="s">
        <v>3498</v>
      </c>
      <c r="C402" s="4" t="s">
        <v>3499</v>
      </c>
      <c r="D402" s="4" t="s">
        <v>3500</v>
      </c>
      <c r="F402" s="5" t="str">
        <f>IFERROR(__xludf.DUMMYFUNCTION("GOOGLETRANSLATE(A402, ""en"", ""hi"")"),"401")</f>
        <v>401</v>
      </c>
      <c r="G402" s="5" t="str">
        <f>IFERROR(__xludf.DUMMYFUNCTION("GOOGLETRANSLATE(B402, ""en"", ""hi"")"),"किस शताब्दी में विदेशी प्रभाव के कारण मुस्ति युद्ध में गिरावट देखी गई?")</f>
        <v>किस शताब्दी में विदेशी प्रभाव के कारण मुस्ति युद्ध में गिरावट देखी गई?</v>
      </c>
      <c r="H402" s="5" t="str">
        <f>IFERROR(__xludf.DUMMYFUNCTION("GOOGLETRANSLATE(C402, ""en"", ""hi"")"),"A) 12वीं शताब्दी, B) 18वीं शताब्दी, C) 16वीं शताब्दी, D) 14वीं शताब्दी")</f>
        <v>A) 12वीं शताब्दी, B) 18वीं शताब्दी, C) 16वीं शताब्दी, D) 14वीं शताब्दी</v>
      </c>
      <c r="I402" s="5" t="str">
        <f>IFERROR(__xludf.DUMMYFUNCTION("GOOGLETRANSLATE(D402, ""en"", ""hi"")"),"बी) 18वीं शताब्दी")</f>
        <v>बी) 18वीं शताब्दी</v>
      </c>
    </row>
    <row r="403" ht="22.5" customHeight="1">
      <c r="A403" s="7">
        <v>402.0</v>
      </c>
      <c r="B403" s="4" t="s">
        <v>3501</v>
      </c>
      <c r="C403" s="4" t="s">
        <v>3502</v>
      </c>
      <c r="D403" s="4" t="s">
        <v>3503</v>
      </c>
      <c r="F403" s="5" t="str">
        <f>IFERROR(__xludf.DUMMYFUNCTION("GOOGLETRANSLATE(A403, ""en"", ""hi"")"),"402")</f>
        <v>402</v>
      </c>
      <c r="G403" s="5" t="str">
        <f>IFERROR(__xludf.DUMMYFUNCTION("GOOGLETRANSLATE(B403, ""en"", ""hi"")"),"किस भारतीय राजा को अपने दरबार में मुस्ति युद्ध टूर्नामेंट प्रायोजित करने के लिए जाना जाता है?")</f>
        <v>किस भारतीय राजा को अपने दरबार में मुस्ति युद्ध टूर्नामेंट प्रायोजित करने के लिए जाना जाता है?</v>
      </c>
      <c r="H403" s="5" t="str">
        <f>IFERROR(__xludf.DUMMYFUNCTION("GOOGLETRANSLATE(C403, ""en"", ""hi"")"),"ए) कृष्ण देवराय, बी) अशोक, सी) चंद्रगुप्त, डी) पृथ्वीराज चौहान")</f>
        <v>ए) कृष्ण देवराय, बी) अशोक, सी) चंद्रगुप्त, डी) पृथ्वीराज चौहान</v>
      </c>
      <c r="I403" s="5" t="str">
        <f>IFERROR(__xludf.DUMMYFUNCTION("GOOGLETRANSLATE(D403, ""en"", ""hi"")"),"A) कृष्ण देवराय")</f>
        <v>A) कृष्ण देवराय</v>
      </c>
    </row>
    <row r="404" ht="22.5" customHeight="1">
      <c r="A404" s="7">
        <v>403.0</v>
      </c>
      <c r="B404" s="4" t="s">
        <v>3504</v>
      </c>
      <c r="C404" s="4" t="s">
        <v>3505</v>
      </c>
      <c r="D404" s="4" t="s">
        <v>3506</v>
      </c>
      <c r="F404" s="5" t="str">
        <f>IFERROR(__xludf.DUMMYFUNCTION("GOOGLETRANSLATE(A404, ""en"", ""hi"")"),"403")</f>
        <v>403</v>
      </c>
      <c r="G404" s="5" t="str">
        <f>IFERROR(__xludf.DUMMYFUNCTION("GOOGLETRANSLATE(B404, ""en"", ""hi"")"),"मुस्ति युद्ध की युद्ध शैली किस प्रकार की तकनीकों पर जोर देती है?")</f>
        <v>मुस्ति युद्ध की युद्ध शैली किस प्रकार की तकनीकों पर जोर देती है?</v>
      </c>
      <c r="H404" s="5" t="str">
        <f>IFERROR(__xludf.DUMMYFUNCTION("GOOGLETRANSLATE(C404, ""en"", ""hi"")"),"ए) रक्षात्मक चालें, बी) ग्रैपलिंग चालें, सी) प्रहार चालें, डी) हवाई तकनीकें")</f>
        <v>ए) रक्षात्मक चालें, बी) ग्रैपलिंग चालें, सी) प्रहार चालें, डी) हवाई तकनीकें</v>
      </c>
      <c r="I404" s="5" t="str">
        <f>IFERROR(__xludf.DUMMYFUNCTION("GOOGLETRANSLATE(D404, ""en"", ""hi"")"),"C) हड़ताली चालें")</f>
        <v>C) हड़ताली चालें</v>
      </c>
    </row>
    <row r="405" ht="22.5" customHeight="1">
      <c r="A405" s="7">
        <v>404.0</v>
      </c>
      <c r="B405" s="4" t="s">
        <v>3507</v>
      </c>
      <c r="C405" s="4" t="s">
        <v>3508</v>
      </c>
      <c r="D405" s="4" t="s">
        <v>3509</v>
      </c>
      <c r="F405" s="5" t="str">
        <f>IFERROR(__xludf.DUMMYFUNCTION("GOOGLETRANSLATE(A405, ""en"", ""hi"")"),"404")</f>
        <v>404</v>
      </c>
      <c r="G405" s="5" t="str">
        <f>IFERROR(__xludf.DUMMYFUNCTION("GOOGLETRANSLATE(B405, ""en"", ""hi"")"),"प्राचीन भारतीय समाज में मुस्ति युद्ध सबसे अधिक किस समूह द्वारा किया जाता था?")</f>
        <v>प्राचीन भारतीय समाज में मुस्ति युद्ध सबसे अधिक किस समूह द्वारा किया जाता था?</v>
      </c>
      <c r="H405" s="5" t="str">
        <f>IFERROR(__xludf.DUMMYFUNCTION("GOOGLETRANSLATE(C405, ""en"", ""hi"")"),"A) किसान, B) क्षत्रिय योद्धा, C) ब्राह्मण पुजारी, D) व्यापारी")</f>
        <v>A) किसान, B) क्षत्रिय योद्धा, C) ब्राह्मण पुजारी, D) व्यापारी</v>
      </c>
      <c r="I405" s="5" t="str">
        <f>IFERROR(__xludf.DUMMYFUNCTION("GOOGLETRANSLATE(D405, ""en"", ""hi"")"),"बी) क्षत्रिय योद्धा")</f>
        <v>बी) क्षत्रिय योद्धा</v>
      </c>
    </row>
    <row r="406" ht="22.5" customHeight="1">
      <c r="A406" s="7">
        <v>405.0</v>
      </c>
      <c r="B406" s="4" t="s">
        <v>3510</v>
      </c>
      <c r="C406" s="4" t="s">
        <v>3511</v>
      </c>
      <c r="D406" s="4" t="s">
        <v>3512</v>
      </c>
      <c r="F406" s="5" t="str">
        <f>IFERROR(__xludf.DUMMYFUNCTION("GOOGLETRANSLATE(A406, ""en"", ""hi"")"),"405")</f>
        <v>405</v>
      </c>
      <c r="G406" s="5" t="str">
        <f>IFERROR(__xludf.DUMMYFUNCTION("GOOGLETRANSLATE(B406, ""en"", ""hi"")"),"प्राचीन भारत में किस प्रकार के आयोजनों के दौरान मुस्ति युद्ध प्रतियोगिताएं आयोजित की जाती थीं?")</f>
        <v>प्राचीन भारत में किस प्रकार के आयोजनों के दौरान मुस्ति युद्ध प्रतियोगिताएं आयोजित की जाती थीं?</v>
      </c>
      <c r="H406" s="5" t="str">
        <f>IFERROR(__xludf.DUMMYFUNCTION("GOOGLETRANSLATE(C406, ""en"", ""hi"")"),"A) धार्मिक त्यौहार, B) राजनीतिक सभाएँ, C) शाही विवाह, D) फसल का मौसम")</f>
        <v>A) धार्मिक त्यौहार, B) राजनीतिक सभाएँ, C) शाही विवाह, D) फसल का मौसम</v>
      </c>
      <c r="I406" s="5" t="str">
        <f>IFERROR(__xludf.DUMMYFUNCTION("GOOGLETRANSLATE(D406, ""en"", ""hi"")"),"A) धार्मिक त्यौहार")</f>
        <v>A) धार्मिक त्यौहार</v>
      </c>
    </row>
    <row r="407" ht="22.5" customHeight="1">
      <c r="A407" s="7">
        <v>406.0</v>
      </c>
      <c r="B407" s="4" t="s">
        <v>3513</v>
      </c>
      <c r="C407" s="4" t="s">
        <v>3514</v>
      </c>
      <c r="D407" s="4" t="s">
        <v>3515</v>
      </c>
      <c r="F407" s="5" t="str">
        <f>IFERROR(__xludf.DUMMYFUNCTION("GOOGLETRANSLATE(A407, ""en"", ""hi"")"),"406")</f>
        <v>406</v>
      </c>
      <c r="G407" s="5" t="str">
        <f>IFERROR(__xludf.DUMMYFUNCTION("GOOGLETRANSLATE(B407, ""en"", ""hi"")"),"मुस्ति युद्ध में, हमले का प्राथमिक रूप शरीर के किस भाग से संबंधित था?")</f>
        <v>मुस्ति युद्ध में, हमले का प्राथमिक रूप शरीर के किस भाग से संबंधित था?</v>
      </c>
      <c r="H407" s="5" t="str">
        <f>IFERROR(__xludf.DUMMYFUNCTION("GOOGLETRANSLATE(C407, ""en"", ""hi"")"),"A) कोहनियाँ, B) घुटने, C) मुट्ठियाँ, D) पैर")</f>
        <v>A) कोहनियाँ, B) घुटने, C) मुट्ठियाँ, D) पैर</v>
      </c>
      <c r="I407" s="5" t="str">
        <f>IFERROR(__xludf.DUMMYFUNCTION("GOOGLETRANSLATE(D407, ""en"", ""hi"")"),"सी) मुट्ठियाँ")</f>
        <v>सी) मुट्ठियाँ</v>
      </c>
    </row>
    <row r="408" ht="22.5" customHeight="1">
      <c r="A408" s="7">
        <v>407.0</v>
      </c>
      <c r="B408" s="4" t="s">
        <v>3516</v>
      </c>
      <c r="C408" s="4" t="s">
        <v>3517</v>
      </c>
      <c r="D408" s="4" t="s">
        <v>3404</v>
      </c>
      <c r="F408" s="5" t="str">
        <f>IFERROR(__xludf.DUMMYFUNCTION("GOOGLETRANSLATE(A408, ""en"", ""hi"")"),"407")</f>
        <v>407</v>
      </c>
      <c r="G408" s="5" t="str">
        <f>IFERROR(__xludf.DUMMYFUNCTION("GOOGLETRANSLATE(B408, ""en"", ""hi"")"),"कौन सी भारतीय मार्शल आर्ट हाथ से हाथ की लड़ाई के मामले में मुस्ति युद्ध के समान होने के लिए जानी जाती है?")</f>
        <v>कौन सी भारतीय मार्शल आर्ट हाथ से हाथ की लड़ाई के मामले में मुस्ति युद्ध के समान होने के लिए जानी जाती है?</v>
      </c>
      <c r="H408" s="5" t="str">
        <f>IFERROR(__xludf.DUMMYFUNCTION("GOOGLETRANSLATE(C408, ""en"", ""hi"")"),"ए) गतका, बी) कलारीपयट्टु, सी) सिलंबम, डी) मल्ल युद्ध")</f>
        <v>ए) गतका, बी) कलारीपयट्टु, सी) सिलंबम, डी) मल्ल युद्ध</v>
      </c>
      <c r="I408" s="5" t="str">
        <f>IFERROR(__xludf.DUMMYFUNCTION("GOOGLETRANSLATE(D408, ""en"", ""hi"")"),"D) मल्ल युद्ध")</f>
        <v>D) मल्ल युद्ध</v>
      </c>
    </row>
    <row r="409" ht="22.5" customHeight="1">
      <c r="A409" s="7">
        <v>408.0</v>
      </c>
      <c r="B409" s="4" t="s">
        <v>3518</v>
      </c>
      <c r="C409" s="4" t="s">
        <v>3519</v>
      </c>
      <c r="D409" s="4" t="s">
        <v>3520</v>
      </c>
      <c r="F409" s="5" t="str">
        <f>IFERROR(__xludf.DUMMYFUNCTION("GOOGLETRANSLATE(A409, ""en"", ""hi"")"),"408")</f>
        <v>408</v>
      </c>
      <c r="G409" s="5" t="str">
        <f>IFERROR(__xludf.DUMMYFUNCTION("GOOGLETRANSLATE(B409, ""en"", ""hi"")"),"त्योहारों के दौरान मुस्ति युद्ध किस हिंदू देवता के सम्मान में किया जाता था?")</f>
        <v>त्योहारों के दौरान मुस्ति युद्ध किस हिंदू देवता के सम्मान में किया जाता था?</v>
      </c>
      <c r="H409" s="5" t="str">
        <f>IFERROR(__xludf.DUMMYFUNCTION("GOOGLETRANSLATE(C409, ""en"", ""hi"")"),"A) विष्णु, B) दुर्गा, C) शिव, D) कृष्ण")</f>
        <v>A) विष्णु, B) दुर्गा, C) शिव, D) कृष्ण</v>
      </c>
      <c r="I409" s="5" t="str">
        <f>IFERROR(__xludf.DUMMYFUNCTION("GOOGLETRANSLATE(D409, ""en"", ""hi"")"),"C) शिव")</f>
        <v>C) शिव</v>
      </c>
    </row>
    <row r="410" ht="22.5" customHeight="1">
      <c r="A410" s="7">
        <v>409.0</v>
      </c>
      <c r="B410" s="4" t="s">
        <v>3521</v>
      </c>
      <c r="C410" s="4" t="s">
        <v>3522</v>
      </c>
      <c r="D410" s="4" t="s">
        <v>3523</v>
      </c>
      <c r="F410" s="5" t="str">
        <f>IFERROR(__xludf.DUMMYFUNCTION("GOOGLETRANSLATE(A410, ""en"", ""hi"")"),"409")</f>
        <v>409</v>
      </c>
      <c r="G410" s="5" t="str">
        <f>IFERROR(__xludf.DUMMYFUNCTION("GOOGLETRANSLATE(B410, ""en"", ""hi"")"),"पारंपरिक मुस्ति युद्ध मैच का प्राथमिक लक्ष्य क्या था?")</f>
        <v>पारंपरिक मुस्ति युद्ध मैच का प्राथमिक लक्ष्य क्या था?</v>
      </c>
      <c r="H410" s="5" t="str">
        <f>IFERROR(__xludf.DUMMYFUNCTION("GOOGLETRANSLATE(C410, ""en"", ""hi"")"),"A) अंकों से जीतना, B) प्रतिद्वंद्वी को नॉकआउट करना, C) प्रतिद्वंद्वी से जूझना और उसे पराजित करना, D) कलाबाजियां करना")</f>
        <v>A) अंकों से जीतना, B) प्रतिद्वंद्वी को नॉकआउट करना, C) प्रतिद्वंद्वी से जूझना और उसे पराजित करना, D) कलाबाजियां करना</v>
      </c>
      <c r="I410" s="5" t="str">
        <f>IFERROR(__xludf.DUMMYFUNCTION("GOOGLETRANSLATE(D410, ""en"", ""hi"")"),"बी) प्रतिद्वंद्वी को नॉकआउट करना")</f>
        <v>बी) प्रतिद्वंद्वी को नॉकआउट करना</v>
      </c>
    </row>
    <row r="411" ht="22.5" customHeight="1">
      <c r="A411" s="7">
        <v>410.0</v>
      </c>
      <c r="B411" s="4" t="s">
        <v>3524</v>
      </c>
      <c r="C411" s="4" t="s">
        <v>3525</v>
      </c>
      <c r="D411" s="4" t="s">
        <v>2994</v>
      </c>
      <c r="F411" s="5" t="str">
        <f>IFERROR(__xludf.DUMMYFUNCTION("GOOGLETRANSLATE(A411, ""en"", ""hi"")"),"410")</f>
        <v>410</v>
      </c>
      <c r="G411" s="5" t="str">
        <f>IFERROR(__xludf.DUMMYFUNCTION("GOOGLETRANSLATE(B411, ""en"", ""hi"")"),"मुस्ति युद्ध की तकनीकों की तुलना अक्सर किस आधुनिक युद्ध खेल से की जाती है?")</f>
        <v>मुस्ति युद्ध की तकनीकों की तुलना अक्सर किस आधुनिक युद्ध खेल से की जाती है?</v>
      </c>
      <c r="H411" s="5" t="str">
        <f>IFERROR(__xludf.DUMMYFUNCTION("GOOGLETRANSLATE(C411, ""en"", ""hi"")"),"A) मय थाई, B) मुक्केबाजी, C) जूडो, D) ब्राज़ीलियाई जिउ-जित्सु")</f>
        <v>A) मय थाई, B) मुक्केबाजी, C) जूडो, D) ब्राज़ीलियाई जिउ-जित्सु</v>
      </c>
      <c r="I411" s="5" t="str">
        <f>IFERROR(__xludf.DUMMYFUNCTION("GOOGLETRANSLATE(D411, ""en"", ""hi"")"),"बी) मुक्केबाजी")</f>
        <v>बी) मुक्केबाजी</v>
      </c>
    </row>
    <row r="412" ht="22.5" customHeight="1">
      <c r="A412" s="7">
        <v>411.0</v>
      </c>
      <c r="B412" s="4" t="s">
        <v>3526</v>
      </c>
      <c r="C412" s="4" t="s">
        <v>3527</v>
      </c>
      <c r="D412" s="4" t="s">
        <v>3528</v>
      </c>
      <c r="F412" s="5" t="str">
        <f>IFERROR(__xludf.DUMMYFUNCTION("GOOGLETRANSLATE(A412, ""en"", ""hi"")"),"411")</f>
        <v>411</v>
      </c>
      <c r="G412" s="5" t="str">
        <f>IFERROR(__xludf.DUMMYFUNCTION("GOOGLETRANSLATE(B412, ""en"", ""hi"")"),"मुस्ति युद्ध किस प्राचीन भारतीय शहर में प्रचलित था, जिसे सांस्कृतिक और धार्मिक केंद्र के रूप में जाना जाता है?")</f>
        <v>मुस्ति युद्ध किस प्राचीन भारतीय शहर में प्रचलित था, जिसे सांस्कृतिक और धार्मिक केंद्र के रूप में जाना जाता है?</v>
      </c>
      <c r="H412" s="5" t="str">
        <f>IFERROR(__xludf.DUMMYFUNCTION("GOOGLETRANSLATE(C412, ""en"", ""hi"")"),"ए) अयोध्या, बी) काशी (वाराणसी), सी) हस्तिनापुर, डी) द्वारका")</f>
        <v>ए) अयोध्या, बी) काशी (वाराणसी), सी) हस्तिनापुर, डी) द्वारका</v>
      </c>
      <c r="I412" s="5" t="str">
        <f>IFERROR(__xludf.DUMMYFUNCTION("GOOGLETRANSLATE(D412, ""en"", ""hi"")"),"B) काशी (वाराणसी)")</f>
        <v>B) काशी (वाराणसी)</v>
      </c>
    </row>
    <row r="413" ht="22.5" customHeight="1">
      <c r="A413" s="7">
        <v>412.0</v>
      </c>
      <c r="B413" s="4" t="s">
        <v>3529</v>
      </c>
      <c r="C413" s="4" t="s">
        <v>3530</v>
      </c>
      <c r="D413" s="4" t="s">
        <v>3531</v>
      </c>
      <c r="F413" s="5" t="str">
        <f>IFERROR(__xludf.DUMMYFUNCTION("GOOGLETRANSLATE(A413, ""en"", ""hi"")"),"412")</f>
        <v>412</v>
      </c>
      <c r="G413" s="5" t="str">
        <f>IFERROR(__xludf.DUMMYFUNCTION("GOOGLETRANSLATE(B413, ""en"", ""hi"")"),"निम्नलिखित में से कौन सा भारतीय राजवंश मुस्ति युद्ध जैसी मार्शल आर्ट के अभ्यास को प्रोत्साहित करने के लिए जाना जाता था?")</f>
        <v>निम्नलिखित में से कौन सा भारतीय राजवंश मुस्ति युद्ध जैसी मार्शल आर्ट के अभ्यास को प्रोत्साहित करने के लिए जाना जाता था?</v>
      </c>
      <c r="H413" s="5" t="str">
        <f>IFERROR(__xludf.DUMMYFUNCTION("GOOGLETRANSLATE(C413, ""en"", ""hi"")"),"ए) गुप्त राजवंश, बी) सातवाहन राजवंश, सी) कुषाण राजवंश, डी) पाल राजवंश")</f>
        <v>ए) गुप्त राजवंश, बी) सातवाहन राजवंश, सी) कुषाण राजवंश, डी) पाल राजवंश</v>
      </c>
      <c r="I413" s="5" t="str">
        <f>IFERROR(__xludf.DUMMYFUNCTION("GOOGLETRANSLATE(D413, ""en"", ""hi"")"),"A) गुप्त वंश")</f>
        <v>A) गुप्त वंश</v>
      </c>
    </row>
    <row r="414" ht="22.5" customHeight="1">
      <c r="A414" s="7">
        <v>413.0</v>
      </c>
      <c r="B414" s="4" t="s">
        <v>3532</v>
      </c>
      <c r="C414" s="4" t="s">
        <v>3533</v>
      </c>
      <c r="D414" s="4" t="s">
        <v>3534</v>
      </c>
      <c r="F414" s="5" t="str">
        <f>IFERROR(__xludf.DUMMYFUNCTION("GOOGLETRANSLATE(A414, ""en"", ""hi"")"),"413")</f>
        <v>413</v>
      </c>
      <c r="G414" s="5" t="str">
        <f>IFERROR(__xludf.DUMMYFUNCTION("GOOGLETRANSLATE(B414, ""en"", ""hi"")"),"वज्र मुष्टि युद्ध में 'वज्र' शब्द किसको संदर्भित करता है?")</f>
        <v>वज्र मुष्टि युद्ध में 'वज्र' शब्द किसको संदर्भित करता है?</v>
      </c>
      <c r="H414" s="5" t="str">
        <f>IFERROR(__xludf.DUMMYFUNCTION("GOOGLETRANSLATE(C414, ""en"", ""hi"")"),"A) वज्र, B) तलवार, C) लौह मुट्ठी, D) विजय")</f>
        <v>A) वज्र, B) तलवार, C) लौह मुट्ठी, D) विजय</v>
      </c>
      <c r="I414" s="5" t="str">
        <f>IFERROR(__xludf.DUMMYFUNCTION("GOOGLETRANSLATE(D414, ""en"", ""hi"")"),"ए) थंडरबोल्ट")</f>
        <v>ए) थंडरबोल्ट</v>
      </c>
    </row>
    <row r="415" ht="22.5" customHeight="1">
      <c r="A415" s="7">
        <v>414.0</v>
      </c>
      <c r="B415" s="4" t="s">
        <v>3535</v>
      </c>
      <c r="C415" s="4" t="s">
        <v>3536</v>
      </c>
      <c r="D415" s="4" t="s">
        <v>3537</v>
      </c>
      <c r="F415" s="5" t="str">
        <f>IFERROR(__xludf.DUMMYFUNCTION("GOOGLETRANSLATE(A415, ""en"", ""hi"")"),"414")</f>
        <v>414</v>
      </c>
      <c r="G415" s="5" t="str">
        <f>IFERROR(__xludf.DUMMYFUNCTION("GOOGLETRANSLATE(B415, ""en"", ""hi"")"),"ऐसा माना जाता है कि किस प्राचीन भारतीय योद्धा राजा ने अपनी सेना में मुस्ति युद्ध सेनानियों को नियुक्त किया था?")</f>
        <v>ऐसा माना जाता है कि किस प्राचीन भारतीय योद्धा राजा ने अपनी सेना में मुस्ति युद्ध सेनानियों को नियुक्त किया था?</v>
      </c>
      <c r="H415" s="5" t="str">
        <f>IFERROR(__xludf.DUMMYFUNCTION("GOOGLETRANSLATE(C415, ""en"", ""hi"")"),"ए) चंद्रगुप्त मौर्य, बी) हर्षवर्द्धन, सी) समुद्रगुप्त, डी) राजेंद्र चोल")</f>
        <v>ए) चंद्रगुप्त मौर्य, बी) हर्षवर्द्धन, सी) समुद्रगुप्त, डी) राजेंद्र चोल</v>
      </c>
      <c r="I415" s="5" t="str">
        <f>IFERROR(__xludf.DUMMYFUNCTION("GOOGLETRANSLATE(D415, ""en"", ""hi"")"),"C) समुद्रगुप्त")</f>
        <v>C) समुद्रगुप्त</v>
      </c>
    </row>
    <row r="416" ht="22.5" customHeight="1">
      <c r="A416" s="7">
        <v>415.0</v>
      </c>
      <c r="B416" s="4" t="s">
        <v>3538</v>
      </c>
      <c r="C416" s="4" t="s">
        <v>3539</v>
      </c>
      <c r="D416" s="4" t="s">
        <v>3540</v>
      </c>
      <c r="F416" s="5" t="str">
        <f>IFERROR(__xludf.DUMMYFUNCTION("GOOGLETRANSLATE(A416, ""en"", ""hi"")"),"415")</f>
        <v>415</v>
      </c>
      <c r="G416" s="5" t="str">
        <f>IFERROR(__xludf.DUMMYFUNCTION("GOOGLETRANSLATE(B416, ""en"", ""hi"")"),"मुस्ति युद्ध अभ्यासकर्ताओं को अक्सर किस अन्य भारतीय युद्ध प्रणाली के विशेषज्ञों के साथ प्रशिक्षण दिया जाता है?")</f>
        <v>मुस्ति युद्ध अभ्यासकर्ताओं को अक्सर किस अन्य भारतीय युद्ध प्रणाली के विशेषज्ञों के साथ प्रशिक्षण दिया जाता है?</v>
      </c>
      <c r="H416" s="5" t="str">
        <f>IFERROR(__xludf.DUMMYFUNCTION("GOOGLETRANSLATE(C416, ""en"", ""hi"")"),"A) तीरंदाजी, B) तलवारबाजी, C) कुश्ती, D) भाला युद्ध")</f>
        <v>A) तीरंदाजी, B) तलवारबाजी, C) कुश्ती, D) भाला युद्ध</v>
      </c>
      <c r="I416" s="5" t="str">
        <f>IFERROR(__xludf.DUMMYFUNCTION("GOOGLETRANSLATE(D416, ""en"", ""hi"")"),"सी) कुश्ती")</f>
        <v>सी) कुश्ती</v>
      </c>
    </row>
    <row r="417" ht="22.5" customHeight="1">
      <c r="A417" s="7">
        <v>416.0</v>
      </c>
      <c r="B417" s="4" t="s">
        <v>3541</v>
      </c>
      <c r="C417" s="4" t="s">
        <v>3542</v>
      </c>
      <c r="D417" s="4" t="s">
        <v>3543</v>
      </c>
      <c r="F417" s="5" t="str">
        <f>IFERROR(__xludf.DUMMYFUNCTION("GOOGLETRANSLATE(A417, ""en"", ""hi"")"),"416")</f>
        <v>416</v>
      </c>
      <c r="G417" s="5" t="str">
        <f>IFERROR(__xludf.DUMMYFUNCTION("GOOGLETRANSLATE(B417, ""en"", ""hi"")"),"मुस्ति युद्ध सेनानियों को रक्षा के लिए कौन सी हाथ की स्थिति का उपयोग करने के लिए जाना जाता था?")</f>
        <v>मुस्ति युद्ध सेनानियों को रक्षा के लिए कौन सी हाथ की स्थिति का उपयोग करने के लिए जाना जाता था?</v>
      </c>
      <c r="H417" s="5" t="str">
        <f>IFERROR(__xludf.DUMMYFUNCTION("GOOGLETRANSLATE(C417, ""en"", ""hi"")"),"A) खुली हथेलियाँ, B) मुट्ठियाँ भींचना, C) बाहें क्रॉस करना, D) एक हाथ ऊपर उठाना")</f>
        <v>A) खुली हथेलियाँ, B) मुट्ठियाँ भींचना, C) बाहें क्रॉस करना, D) एक हाथ ऊपर उठाना</v>
      </c>
      <c r="I417" s="5" t="str">
        <f>IFERROR(__xludf.DUMMYFUNCTION("GOOGLETRANSLATE(D417, ""en"", ""hi"")"),"बी) भींची हुई मुट्ठियाँ")</f>
        <v>बी) भींची हुई मुट्ठियाँ</v>
      </c>
    </row>
    <row r="418" ht="22.5" customHeight="1">
      <c r="A418" s="7">
        <v>417.0</v>
      </c>
      <c r="B418" s="4" t="s">
        <v>3544</v>
      </c>
      <c r="C418" s="4" t="s">
        <v>3545</v>
      </c>
      <c r="D418" s="4" t="s">
        <v>3546</v>
      </c>
      <c r="F418" s="5" t="str">
        <f>IFERROR(__xludf.DUMMYFUNCTION("GOOGLETRANSLATE(A418, ""en"", ""hi"")"),"417")</f>
        <v>417</v>
      </c>
      <c r="G418" s="5" t="str">
        <f>IFERROR(__xludf.DUMMYFUNCTION("GOOGLETRANSLATE(B418, ""en"", ""hi"")"),"ब्रिटिश शासन के दौरान मुस्ति युद्ध का पतन आंशिक रूप से किस पश्चिमी खेल के प्रचार के कारण हुआ था?")</f>
        <v>ब्रिटिश शासन के दौरान मुस्ति युद्ध का पतन आंशिक रूप से किस पश्चिमी खेल के प्रचार के कारण हुआ था?</v>
      </c>
      <c r="H418" s="5" t="str">
        <f>IFERROR(__xludf.DUMMYFUNCTION("GOOGLETRANSLATE(C418, ""en"", ""hi"")"),"A) क्रिकेट, B) फुटबॉल, C) मुक्केबाजी, D) रग्बी")</f>
        <v>A) क्रिकेट, B) फुटबॉल, C) मुक्केबाजी, D) रग्बी</v>
      </c>
      <c r="I418" s="5" t="str">
        <f>IFERROR(__xludf.DUMMYFUNCTION("GOOGLETRANSLATE(D418, ""en"", ""hi"")"),"सी) मुक्केबाजी")</f>
        <v>सी) मुक्केबाजी</v>
      </c>
    </row>
    <row r="419" ht="22.5" customHeight="1">
      <c r="A419" s="7">
        <v>418.0</v>
      </c>
      <c r="B419" s="4" t="s">
        <v>3547</v>
      </c>
      <c r="C419" s="4" t="s">
        <v>3548</v>
      </c>
      <c r="D419" s="4" t="s">
        <v>3549</v>
      </c>
      <c r="F419" s="5" t="str">
        <f>IFERROR(__xludf.DUMMYFUNCTION("GOOGLETRANSLATE(A419, ""en"", ""hi"")"),"418")</f>
        <v>418</v>
      </c>
      <c r="G419" s="5" t="str">
        <f>IFERROR(__xludf.DUMMYFUNCTION("GOOGLETRANSLATE(B419, ""en"", ""hi"")"),"प्राचीन भारत में मुस्ति युद्ध सेनानियों को प्रायः किस प्रकार के वातावरण में प्रशिक्षित किया जाता था?")</f>
        <v>प्राचीन भारत में मुस्ति युद्ध सेनानियों को प्रायः किस प्रकार के वातावरण में प्रशिक्षित किया जाता था?</v>
      </c>
      <c r="H419" s="5" t="str">
        <f>IFERROR(__xludf.DUMMYFUNCTION("GOOGLETRANSLATE(C419, ""en"", ""hi"")"),"A) खुले मैदान, B) मंदिर परिसर, C) शाही दरबार, D) सैन्य शिविर")</f>
        <v>A) खुले मैदान, B) मंदिर परिसर, C) शाही दरबार, D) सैन्य शिविर</v>
      </c>
      <c r="I419" s="5" t="str">
        <f>IFERROR(__xludf.DUMMYFUNCTION("GOOGLETRANSLATE(D419, ""en"", ""hi"")"),"C) शाही दरबार")</f>
        <v>C) शाही दरबार</v>
      </c>
    </row>
    <row r="420" ht="22.5" customHeight="1">
      <c r="A420" s="7">
        <v>419.0</v>
      </c>
      <c r="B420" s="4" t="s">
        <v>3550</v>
      </c>
      <c r="C420" s="4" t="s">
        <v>3551</v>
      </c>
      <c r="D420" s="4" t="s">
        <v>3552</v>
      </c>
      <c r="F420" s="5" t="str">
        <f>IFERROR(__xludf.DUMMYFUNCTION("GOOGLETRANSLATE(A420, ""en"", ""hi"")"),"419")</f>
        <v>419</v>
      </c>
      <c r="G420" s="5" t="str">
        <f>IFERROR(__xludf.DUMMYFUNCTION("GOOGLETRANSLATE(B420, ""en"", ""hi"")"),"प्राचीन भारतीय योद्धाओं द्वारा मुस्ति युद्ध तकनीक का प्रयोग मुख्यतः किस प्रकार के युद्ध में किया जाता था?")</f>
        <v>प्राचीन भारतीय योद्धाओं द्वारा मुस्ति युद्ध तकनीक का प्रयोग मुख्यतः किस प्रकार के युद्ध में किया जाता था?</v>
      </c>
      <c r="H420" s="5" t="str">
        <f>IFERROR(__xludf.DUMMYFUNCTION("GOOGLETRANSLATE(C420, ""en"", ""hi"")"),"A) नौसैनिक युद्ध, B) पैदल सेना की लड़ाई, C) घुड़सवार सेना के हमले, D) घेराबंदी युद्ध")</f>
        <v>A) नौसैनिक युद्ध, B) पैदल सेना की लड़ाई, C) घुड़सवार सेना के हमले, D) घेराबंदी युद्ध</v>
      </c>
      <c r="I420" s="5" t="str">
        <f>IFERROR(__xludf.DUMMYFUNCTION("GOOGLETRANSLATE(D420, ""en"", ""hi"")"),"बी) पैदल सेना की लड़ाई")</f>
        <v>बी) पैदल सेना की लड़ाई</v>
      </c>
    </row>
    <row r="421" ht="22.5" customHeight="1">
      <c r="A421" s="7">
        <v>420.0</v>
      </c>
      <c r="B421" s="4" t="s">
        <v>3553</v>
      </c>
      <c r="C421" s="4" t="s">
        <v>3554</v>
      </c>
      <c r="D421" s="4" t="s">
        <v>2616</v>
      </c>
      <c r="F421" s="5" t="str">
        <f>IFERROR(__xludf.DUMMYFUNCTION("GOOGLETRANSLATE(A421, ""en"", ""hi"")"),"420")</f>
        <v>420</v>
      </c>
      <c r="G421" s="5" t="str">
        <f>IFERROR(__xludf.DUMMYFUNCTION("GOOGLETRANSLATE(B421, ""en"", ""hi"")"),"किस प्राचीन भारतीय ग्रंथ में मुस्ति युद्ध सहित युद्ध के लिए दिशानिर्देश दिए गए थे?")</f>
        <v>किस प्राचीन भारतीय ग्रंथ में मुस्ति युद्ध सहित युद्ध के लिए दिशानिर्देश दिए गए थे?</v>
      </c>
      <c r="H421" s="5" t="str">
        <f>IFERROR(__xludf.DUMMYFUNCTION("GOOGLETRANSLATE(C421, ""en"", ""hi"")"),"ए) अर्थशास्त्र, बी) मनुस्मृति, सी) रामायण, डी) ऋग्वेद")</f>
        <v>ए) अर्थशास्त्र, बी) मनुस्मृति, सी) रामायण, डी) ऋग्वेद</v>
      </c>
      <c r="I421" s="5" t="str">
        <f>IFERROR(__xludf.DUMMYFUNCTION("GOOGLETRANSLATE(D421, ""en"", ""hi"")"),"A) अर्थशास्त्र")</f>
        <v>A) अर्थशास्त्र</v>
      </c>
    </row>
    <row r="422" ht="22.5" customHeight="1">
      <c r="A422" s="7">
        <v>421.0</v>
      </c>
      <c r="B422" s="4" t="s">
        <v>3555</v>
      </c>
      <c r="C422" s="4" t="s">
        <v>3556</v>
      </c>
      <c r="D422" s="4" t="s">
        <v>3557</v>
      </c>
      <c r="F422" s="5" t="str">
        <f>IFERROR(__xludf.DUMMYFUNCTION("GOOGLETRANSLATE(A422, ""en"", ""hi"")"),"421")</f>
        <v>421</v>
      </c>
      <c r="G422" s="5" t="str">
        <f>IFERROR(__xludf.DUMMYFUNCTION("GOOGLETRANSLATE(B422, ""en"", ""hi"")"),"मुस्ति युद्ध में 'वज्र' का प्रयोग किस प्रकार की शक्ति का प्रतीक है?")</f>
        <v>मुस्ति युद्ध में 'वज्र' का प्रयोग किस प्रकार की शक्ति का प्रतीक है?</v>
      </c>
      <c r="H422" s="5" t="str">
        <f>IFERROR(__xludf.DUMMYFUNCTION("GOOGLETRANSLATE(C422, ""en"", ""hi"")"),"A) आध्यात्मिक शक्ति, B) शारीरिक शक्ति, C) गति, D) सहनशक्ति")</f>
        <v>A) आध्यात्मिक शक्ति, B) शारीरिक शक्ति, C) गति, D) सहनशक्ति</v>
      </c>
      <c r="I422" s="5" t="str">
        <f>IFERROR(__xludf.DUMMYFUNCTION("GOOGLETRANSLATE(D422, ""en"", ""hi"")"),"बी) शारीरिक शक्ति")</f>
        <v>बी) शारीरिक शक्ति</v>
      </c>
    </row>
    <row r="423" ht="22.5" customHeight="1">
      <c r="A423" s="7">
        <v>422.0</v>
      </c>
      <c r="B423" s="4" t="s">
        <v>3558</v>
      </c>
      <c r="C423" s="4" t="s">
        <v>3559</v>
      </c>
      <c r="D423" s="4" t="s">
        <v>3560</v>
      </c>
      <c r="F423" s="5" t="str">
        <f>IFERROR(__xludf.DUMMYFUNCTION("GOOGLETRANSLATE(A423, ""en"", ""hi"")"),"422")</f>
        <v>422</v>
      </c>
      <c r="G423" s="5" t="str">
        <f>IFERROR(__xludf.DUMMYFUNCTION("GOOGLETRANSLATE(B423, ""en"", ""hi"")"),"कौन सा प्राचीन भारतीय त्यौहार मुस्ति युद्ध मैचों के प्रदर्शन से जुड़ा था?")</f>
        <v>कौन सा प्राचीन भारतीय त्यौहार मुस्ति युद्ध मैचों के प्रदर्शन से जुड़ा था?</v>
      </c>
      <c r="H423" s="5" t="str">
        <f>IFERROR(__xludf.DUMMYFUNCTION("GOOGLETRANSLATE(C423, ""en"", ""hi"")"),"ए) दिवाली, बी) होली, सी) नाग पंचमी, डी) रक्षा बंधन")</f>
        <v>ए) दिवाली, बी) होली, सी) नाग पंचमी, डी) रक्षा बंधन</v>
      </c>
      <c r="I423" s="5" t="str">
        <f>IFERROR(__xludf.DUMMYFUNCTION("GOOGLETRANSLATE(D423, ""en"", ""hi"")"),"C) नाग पंचमी")</f>
        <v>C) नाग पंचमी</v>
      </c>
    </row>
    <row r="424" ht="22.5" customHeight="1">
      <c r="A424" s="7">
        <v>423.0</v>
      </c>
      <c r="B424" s="4" t="s">
        <v>3561</v>
      </c>
      <c r="C424" s="4" t="s">
        <v>3562</v>
      </c>
      <c r="D424" s="4" t="s">
        <v>3563</v>
      </c>
      <c r="F424" s="5" t="str">
        <f>IFERROR(__xludf.DUMMYFUNCTION("GOOGLETRANSLATE(A424, ""en"", ""hi"")"),"423")</f>
        <v>423</v>
      </c>
      <c r="G424" s="5" t="str">
        <f>IFERROR(__xludf.DUMMYFUNCTION("GOOGLETRANSLATE(B424, ""en"", ""hi"")"),"प्राचीन भारतीय युद्ध में 'धर्म युद्ध' की अवधारणा मुस्ति युद्ध के किस सिद्धांत के समान है?")</f>
        <v>प्राचीन भारतीय युद्ध में 'धर्म युद्ध' की अवधारणा मुस्ति युद्ध के किस सिद्धांत के समान है?</v>
      </c>
      <c r="H424" s="5" t="str">
        <f>IFERROR(__xludf.DUMMYFUNCTION("GOOGLETRANSLATE(C424, ""en"", ""hi"")"),"A) निष्पक्ष मुकाबला, B) गोपनीयता, C) शक्ति प्रशिक्षण, D) टीम वर्क")</f>
        <v>A) निष्पक्ष मुकाबला, B) गोपनीयता, C) शक्ति प्रशिक्षण, D) टीम वर्क</v>
      </c>
      <c r="I424" s="5" t="str">
        <f>IFERROR(__xludf.DUMMYFUNCTION("GOOGLETRANSLATE(D424, ""en"", ""hi"")"),"ए) निष्पक्ष मुकाबला")</f>
        <v>ए) निष्पक्ष मुकाबला</v>
      </c>
    </row>
    <row r="425" ht="22.5" customHeight="1">
      <c r="A425" s="7">
        <v>424.0</v>
      </c>
      <c r="B425" s="4" t="s">
        <v>3564</v>
      </c>
      <c r="C425" s="4" t="s">
        <v>3565</v>
      </c>
      <c r="D425" s="4" t="s">
        <v>3566</v>
      </c>
      <c r="F425" s="5" t="str">
        <f>IFERROR(__xludf.DUMMYFUNCTION("GOOGLETRANSLATE(A425, ""en"", ""hi"")"),"424")</f>
        <v>424</v>
      </c>
      <c r="G425" s="5" t="str">
        <f>IFERROR(__xludf.DUMMYFUNCTION("GOOGLETRANSLATE(B425, ""en"", ""hi"")"),"किस मुगल सम्राट को मुस्तैदी युद्ध मैचों का आयोजन करने के लिए जाना जाता है?")</f>
        <v>किस मुगल सम्राट को मुस्तैदी युद्ध मैचों का आयोजन करने के लिए जाना जाता है?</v>
      </c>
      <c r="H425" s="5" t="str">
        <f>IFERROR(__xludf.DUMMYFUNCTION("GOOGLETRANSLATE(C425, ""en"", ""hi"")"),"A) बाबर, B) अकबर, C) शाहजहाँ, D) औरंगज़ेब")</f>
        <v>A) बाबर, B) अकबर, C) शाहजहाँ, D) औरंगज़ेब</v>
      </c>
      <c r="I425" s="5" t="str">
        <f>IFERROR(__xludf.DUMMYFUNCTION("GOOGLETRANSLATE(D425, ""en"", ""hi"")"),"बी) अकबर")</f>
        <v>बी) अकबर</v>
      </c>
    </row>
    <row r="426" ht="22.5" customHeight="1">
      <c r="A426" s="7">
        <v>425.0</v>
      </c>
      <c r="B426" s="4" t="s">
        <v>3567</v>
      </c>
      <c r="C426" s="4" t="s">
        <v>3568</v>
      </c>
      <c r="D426" s="4" t="s">
        <v>3569</v>
      </c>
      <c r="F426" s="5" t="str">
        <f>IFERROR(__xludf.DUMMYFUNCTION("GOOGLETRANSLATE(A426, ""en"", ""hi"")"),"425")</f>
        <v>425</v>
      </c>
      <c r="G426" s="5" t="str">
        <f>IFERROR(__xludf.DUMMYFUNCTION("GOOGLETRANSLATE(B426, ""en"", ""hi"")"),"प्राचीन काल में धार्मिक अनुष्ठानों में मुस्ति युद्ध की क्या भूमिका थी?")</f>
        <v>प्राचीन काल में धार्मिक अनुष्ठानों में मुस्ति युद्ध की क्या भूमिका थी?</v>
      </c>
      <c r="H426" s="5" t="str">
        <f>IFERROR(__xludf.DUMMYFUNCTION("GOOGLETRANSLATE(C426, ""en"", ""hi"")"),"A) ध्यान, B) देवताओं को अर्पण, C) शारीरिक कौशल का प्रदर्शन, D) शांति का प्रतीक")</f>
        <v>A) ध्यान, B) देवताओं को अर्पण, C) शारीरिक कौशल का प्रदर्शन, D) शांति का प्रतीक</v>
      </c>
      <c r="I426" s="5" t="str">
        <f>IFERROR(__xludf.DUMMYFUNCTION("GOOGLETRANSLATE(D426, ""en"", ""hi"")"),"C) शारीरिक कौशल का प्रदर्शन")</f>
        <v>C) शारीरिक कौशल का प्रदर्शन</v>
      </c>
    </row>
    <row r="427" ht="22.5" customHeight="1">
      <c r="A427" s="7">
        <v>426.0</v>
      </c>
      <c r="B427" s="4" t="s">
        <v>3570</v>
      </c>
      <c r="C427" s="4" t="s">
        <v>3571</v>
      </c>
      <c r="D427" s="4" t="s">
        <v>2577</v>
      </c>
      <c r="F427" s="5" t="str">
        <f>IFERROR(__xludf.DUMMYFUNCTION("GOOGLETRANSLATE(A427, ""en"", ""hi"")"),"426")</f>
        <v>426</v>
      </c>
      <c r="G427" s="5" t="str">
        <f>IFERROR(__xludf.DUMMYFUNCTION("GOOGLETRANSLATE(B427, ""en"", ""hi"")"),"प्राचीन भारत में, मुस्ति युद्ध सेनानियों की तुलना अक्सर किस पौराणिक शक्ति से की जाती थी?")</f>
        <v>प्राचीन भारत में, मुस्ति युद्ध सेनानियों की तुलना अक्सर किस पौराणिक शक्ति से की जाती थी?</v>
      </c>
      <c r="H427" s="5" t="str">
        <f>IFERROR(__xludf.DUMMYFUNCTION("GOOGLETRANSLATE(C427, ""en"", ""hi"")"),"A) इंद्र, B) हनुमान, C) भीम, D) कृष्ण")</f>
        <v>A) इंद्र, B) हनुमान, C) भीम, D) कृष्ण</v>
      </c>
      <c r="I427" s="5" t="str">
        <f>IFERROR(__xludf.DUMMYFUNCTION("GOOGLETRANSLATE(D427, ""en"", ""hi"")"),"C) भीम")</f>
        <v>C) भीम</v>
      </c>
    </row>
    <row r="428" ht="22.5" customHeight="1">
      <c r="A428" s="7">
        <v>427.0</v>
      </c>
      <c r="B428" s="4" t="s">
        <v>3572</v>
      </c>
      <c r="C428" s="4" t="s">
        <v>3573</v>
      </c>
      <c r="D428" s="4" t="s">
        <v>2574</v>
      </c>
      <c r="F428" s="5" t="str">
        <f>IFERROR(__xludf.DUMMYFUNCTION("GOOGLETRANSLATE(A428, ""en"", ""hi"")"),"427")</f>
        <v>427</v>
      </c>
      <c r="G428" s="5" t="str">
        <f>IFERROR(__xludf.DUMMYFUNCTION("GOOGLETRANSLATE(B428, ""en"", ""hi"")"),"भारत का कौन सा क्षेत्र मुस्ति युद्ध अभ्यासियों की उच्च संख्या के लिए जाना जाता था?")</f>
        <v>भारत का कौन सा क्षेत्र मुस्ति युद्ध अभ्यासियों की उच्च संख्या के लिए जाना जाता था?</v>
      </c>
      <c r="H428" s="5" t="str">
        <f>IFERROR(__xludf.DUMMYFUNCTION("GOOGLETRANSLATE(C428, ""en"", ""hi"")"),"ए) राजस्थान, बी) केरल, सी) उत्तर प्रदेश, डी) महाराष्ट्र")</f>
        <v>ए) राजस्थान, बी) केरल, सी) उत्तर प्रदेश, डी) महाराष्ट्र</v>
      </c>
      <c r="I428" s="5" t="str">
        <f>IFERROR(__xludf.DUMMYFUNCTION("GOOGLETRANSLATE(D428, ""en"", ""hi"")"),"C) उत्तर प्रदेश")</f>
        <v>C) उत्तर प्रदेश</v>
      </c>
    </row>
    <row r="429" ht="22.5" customHeight="1">
      <c r="A429" s="7">
        <v>428.0</v>
      </c>
      <c r="B429" s="4" t="s">
        <v>3574</v>
      </c>
      <c r="C429" s="4" t="s">
        <v>3575</v>
      </c>
      <c r="D429" s="4" t="s">
        <v>3576</v>
      </c>
      <c r="F429" s="5" t="str">
        <f>IFERROR(__xludf.DUMMYFUNCTION("GOOGLETRANSLATE(A429, ""en"", ""hi"")"),"428")</f>
        <v>428</v>
      </c>
      <c r="G429" s="5" t="str">
        <f>IFERROR(__xludf.DUMMYFUNCTION("GOOGLETRANSLATE(B429, ""en"", ""hi"")"),"ऐतिहासिक रूप से मुस्ति युद्ध किस प्रकार के दर्शकों के सामने प्रस्तुत किया जाता था?")</f>
        <v>ऐतिहासिक रूप से मुस्ति युद्ध किस प्रकार के दर्शकों के सामने प्रस्तुत किया जाता था?</v>
      </c>
      <c r="H429" s="5" t="str">
        <f>IFERROR(__xludf.DUMMYFUNCTION("GOOGLETRANSLATE(C429, ""en"", ""hi"")"),"A) आम लोग, B) सैनिक, C) कुलीन वर्ग, D) पुजारी")</f>
        <v>A) आम लोग, B) सैनिक, C) कुलीन वर्ग, D) पुजारी</v>
      </c>
      <c r="I429" s="5" t="str">
        <f>IFERROR(__xludf.DUMMYFUNCTION("GOOGLETRANSLATE(D429, ""en"", ""hi"")"),"C) कुलीनता")</f>
        <v>C) कुलीनता</v>
      </c>
    </row>
    <row r="430" ht="22.5" customHeight="1">
      <c r="A430" s="7">
        <v>429.0</v>
      </c>
      <c r="B430" s="4" t="s">
        <v>3577</v>
      </c>
      <c r="C430" s="4" t="s">
        <v>3578</v>
      </c>
      <c r="D430" s="4" t="s">
        <v>3579</v>
      </c>
      <c r="F430" s="5" t="str">
        <f>IFERROR(__xludf.DUMMYFUNCTION("GOOGLETRANSLATE(A430, ""en"", ""hi"")"),"429")</f>
        <v>429</v>
      </c>
      <c r="G430" s="5" t="str">
        <f>IFERROR(__xludf.DUMMYFUNCTION("GOOGLETRANSLATE(B430, ""en"", ""hi"")"),"मुस्ति युद्ध की कला मुख्यतः किस विधि द्वारा पीढ़ी दर पीढ़ी हस्तांतरित होती रही?")</f>
        <v>मुस्ति युद्ध की कला मुख्यतः किस विधि द्वारा पीढ़ी दर पीढ़ी हस्तांतरित होती रही?</v>
      </c>
      <c r="H430" s="5" t="str">
        <f>IFERROR(__xludf.DUMMYFUNCTION("GOOGLETRANSLATE(C430, ""en"", ""hi"")"),"A) मौखिक परंपरा, B) लिखित पांडुलिपियाँ, C) मंदिर, D) सैन्य अकादमियाँ")</f>
        <v>A) मौखिक परंपरा, B) लिखित पांडुलिपियाँ, C) मंदिर, D) सैन्य अकादमियाँ</v>
      </c>
      <c r="I430" s="5" t="str">
        <f>IFERROR(__xludf.DUMMYFUNCTION("GOOGLETRANSLATE(D430, ""en"", ""hi"")"),"A) मौखिक परंपरा")</f>
        <v>A) मौखिक परंपरा</v>
      </c>
    </row>
    <row r="431" ht="22.5" customHeight="1">
      <c r="A431" s="7">
        <v>430.0</v>
      </c>
      <c r="B431" s="4" t="s">
        <v>3580</v>
      </c>
      <c r="C431" s="4" t="s">
        <v>3581</v>
      </c>
      <c r="D431" s="4" t="s">
        <v>3582</v>
      </c>
      <c r="F431" s="5" t="str">
        <f>IFERROR(__xludf.DUMMYFUNCTION("GOOGLETRANSLATE(A431, ""en"", ""hi"")"),"430")</f>
        <v>430</v>
      </c>
      <c r="G431" s="5" t="str">
        <f>IFERROR(__xludf.DUMMYFUNCTION("GOOGLETRANSLATE(B431, ""en"", ""hi"")"),"मुस्ति युद्ध किस गुप्त सम्राट के शासनकाल में विशेष रूप से लोकप्रिय था?")</f>
        <v>मुस्ति युद्ध किस गुप्त सम्राट के शासनकाल में विशेष रूप से लोकप्रिय था?</v>
      </c>
      <c r="H431" s="5" t="str">
        <f>IFERROR(__xludf.DUMMYFUNCTION("GOOGLETRANSLATE(C431, ""en"", ""hi"")"),"ए) चंद्रगुप्त द्वितीय, बी) स्कंदगुप्त, सी) कुमारगुप्त, डी) समुद्रगुप्त")</f>
        <v>ए) चंद्रगुप्त द्वितीय, बी) स्कंदगुप्त, सी) कुमारगुप्त, डी) समुद्रगुप्त</v>
      </c>
      <c r="I431" s="5" t="str">
        <f>IFERROR(__xludf.DUMMYFUNCTION("GOOGLETRANSLATE(D431, ""en"", ""hi"")"),"D) समुद्रगुप्त")</f>
        <v>D) समुद्रगुप्त</v>
      </c>
    </row>
    <row r="432" ht="22.5" customHeight="1">
      <c r="A432" s="7">
        <v>431.0</v>
      </c>
      <c r="B432" s="4" t="s">
        <v>3583</v>
      </c>
      <c r="C432" s="4" t="s">
        <v>3584</v>
      </c>
      <c r="D432" s="4" t="s">
        <v>3585</v>
      </c>
      <c r="F432" s="5" t="str">
        <f>IFERROR(__xludf.DUMMYFUNCTION("GOOGLETRANSLATE(A432, ""en"", ""hi"")"),"431")</f>
        <v>431</v>
      </c>
      <c r="G432" s="5" t="str">
        <f>IFERROR(__xludf.DUMMYFUNCTION("GOOGLETRANSLATE(B432, ""en"", ""hi"")"),"कौन सा मार्शल दर्शन अपने अभ्यास के दौरान मुस्ति युद्ध से निकटता से जुड़ा हुआ था?")</f>
        <v>कौन सा मार्शल दर्शन अपने अभ्यास के दौरान मुस्ति युद्ध से निकटता से जुड़ा हुआ था?</v>
      </c>
      <c r="H432" s="5" t="str">
        <f>IFERROR(__xludf.DUMMYFUNCTION("GOOGLETRANSLATE(C432, ""en"", ""hi"")"),"A) ज़ेन बौद्ध धर्म, B) शैव धर्म, C) जैन धर्म, D) अद्वैत वेदांत")</f>
        <v>A) ज़ेन बौद्ध धर्म, B) शैव धर्म, C) जैन धर्म, D) अद्वैत वेदांत</v>
      </c>
      <c r="I432" s="5" t="str">
        <f>IFERROR(__xludf.DUMMYFUNCTION("GOOGLETRANSLATE(D432, ""en"", ""hi"")"),"बी) शैववाद")</f>
        <v>बी) शैववाद</v>
      </c>
    </row>
    <row r="433" ht="22.5" customHeight="1">
      <c r="A433" s="7">
        <v>432.0</v>
      </c>
      <c r="B433" s="4" t="s">
        <v>3586</v>
      </c>
      <c r="C433" s="4" t="s">
        <v>3587</v>
      </c>
      <c r="D433" s="4" t="s">
        <v>2940</v>
      </c>
      <c r="F433" s="5" t="str">
        <f>IFERROR(__xludf.DUMMYFUNCTION("GOOGLETRANSLATE(A433, ""en"", ""hi"")"),"432")</f>
        <v>432</v>
      </c>
      <c r="G433" s="5" t="str">
        <f>IFERROR(__xludf.DUMMYFUNCTION("GOOGLETRANSLATE(B433, ""en"", ""hi"")"),"मुस्ति युद्ध में किस अन्य भारतीय मार्शल आर्ट की तकनीकों को शामिल किया गया?")</f>
        <v>मुस्ति युद्ध में किस अन्य भारतीय मार्शल आर्ट की तकनीकों को शामिल किया गया?</v>
      </c>
      <c r="H433" s="5" t="str">
        <f>IFERROR(__xludf.DUMMYFUNCTION("GOOGLETRANSLATE(C433, ""en"", ""hi"")"),"ए) कलारीपयट्टु, बी) सिलंबम, सी) थांग-ता, डी) पहलवानी")</f>
        <v>ए) कलारीपयट्टु, बी) सिलंबम, सी) थांग-ता, डी) पहलवानी</v>
      </c>
      <c r="I433" s="5" t="str">
        <f>IFERROR(__xludf.DUMMYFUNCTION("GOOGLETRANSLATE(D433, ""en"", ""hi"")"),"D) पहलवानी")</f>
        <v>D) पहलवानी</v>
      </c>
    </row>
    <row r="434" ht="22.5" customHeight="1">
      <c r="A434" s="7">
        <v>433.0</v>
      </c>
      <c r="B434" s="4" t="s">
        <v>3588</v>
      </c>
      <c r="C434" s="4" t="s">
        <v>3589</v>
      </c>
      <c r="D434" s="4" t="s">
        <v>3590</v>
      </c>
      <c r="F434" s="5" t="str">
        <f>IFERROR(__xludf.DUMMYFUNCTION("GOOGLETRANSLATE(A434, ""en"", ""hi"")"),"433")</f>
        <v>433</v>
      </c>
      <c r="G434" s="5" t="str">
        <f>IFERROR(__xludf.DUMMYFUNCTION("GOOGLETRANSLATE(B434, ""en"", ""hi"")"),"भारत में मुस्ति युद्ध का पतन किस औपनिवेशिक शक्ति के उदय के साथ हुआ?")</f>
        <v>भारत में मुस्ति युद्ध का पतन किस औपनिवेशिक शक्ति के उदय के साथ हुआ?</v>
      </c>
      <c r="H434" s="5" t="str">
        <f>IFERROR(__xludf.DUMMYFUNCTION("GOOGLETRANSLATE(C434, ""en"", ""hi"")"),"A) फ्रांसीसी, B) डच, C) पुर्तगाली, D) ब्रिटिश")</f>
        <v>A) फ्रांसीसी, B) डच, C) पुर्तगाली, D) ब्रिटिश</v>
      </c>
      <c r="I434" s="5" t="str">
        <f>IFERROR(__xludf.DUMMYFUNCTION("GOOGLETRANSLATE(D434, ""en"", ""hi"")"),"D) ब्रिटिश")</f>
        <v>D) ब्रिटिश</v>
      </c>
    </row>
    <row r="435" ht="22.5" customHeight="1">
      <c r="A435" s="7">
        <v>434.0</v>
      </c>
      <c r="B435" s="4" t="s">
        <v>3591</v>
      </c>
      <c r="C435" s="4" t="s">
        <v>3592</v>
      </c>
      <c r="D435" s="4" t="s">
        <v>3593</v>
      </c>
      <c r="F435" s="5" t="str">
        <f>IFERROR(__xludf.DUMMYFUNCTION("GOOGLETRANSLATE(A435, ""en"", ""hi"")"),"434")</f>
        <v>434</v>
      </c>
      <c r="G435" s="5" t="str">
        <f>IFERROR(__xludf.DUMMYFUNCTION("GOOGLETRANSLATE(B435, ""en"", ""hi"")"),"मुस्ति युद्ध में सेनानियों को प्रायः किस अभ्यास के माध्यम से मानसिक अनुशासन का प्रशिक्षण दिया जाता था?")</f>
        <v>मुस्ति युद्ध में सेनानियों को प्रायः किस अभ्यास के माध्यम से मानसिक अनुशासन का प्रशिक्षण दिया जाता था?</v>
      </c>
      <c r="H435" s="5" t="str">
        <f>IFERROR(__xludf.DUMMYFUNCTION("GOOGLETRANSLATE(C435, ""en"", ""hi"")"),"A) योग, B) ध्यान, C) मंत्र जप, D) अनुष्ठान उपवास")</f>
        <v>A) योग, B) ध्यान, C) मंत्र जप, D) अनुष्ठान उपवास</v>
      </c>
      <c r="I435" s="5" t="str">
        <f>IFERROR(__xludf.DUMMYFUNCTION("GOOGLETRANSLATE(D435, ""en"", ""hi"")"),"बी) ध्यान")</f>
        <v>बी) ध्यान</v>
      </c>
    </row>
    <row r="436" ht="22.5" customHeight="1">
      <c r="A436" s="7">
        <v>435.0</v>
      </c>
      <c r="B436" s="4" t="s">
        <v>3594</v>
      </c>
      <c r="C436" s="4" t="s">
        <v>3595</v>
      </c>
      <c r="D436" s="4" t="s">
        <v>3596</v>
      </c>
      <c r="F436" s="5" t="str">
        <f>IFERROR(__xludf.DUMMYFUNCTION("GOOGLETRANSLATE(A436, ""en"", ""hi"")"),"435")</f>
        <v>435</v>
      </c>
      <c r="G436" s="5" t="str">
        <f>IFERROR(__xludf.DUMMYFUNCTION("GOOGLETRANSLATE(B436, ""en"", ""hi"")"),"प्राचीन भारत में मुस्ति युद्ध को आमतौर पर किस अन्य शिक्षा पद्धति के साथ पढ़ाया जाता था?")</f>
        <v>प्राचीन भारत में मुस्ति युद्ध को आमतौर पर किस अन्य शिक्षा पद्धति के साथ पढ़ाया जाता था?</v>
      </c>
      <c r="H436" s="5" t="str">
        <f>IFERROR(__xludf.DUMMYFUNCTION("GOOGLETRANSLATE(C436, ""en"", ""hi"")"),"A) वैदिक शिक्षा, B) संगीत, C) ज्योतिष, D) वास्तुकला")</f>
        <v>A) वैदिक शिक्षा, B) संगीत, C) ज्योतिष, D) वास्तुकला</v>
      </c>
      <c r="I436" s="5" t="str">
        <f>IFERROR(__xludf.DUMMYFUNCTION("GOOGLETRANSLATE(D436, ""en"", ""hi"")"),"A) वैदिक शिक्षा")</f>
        <v>A) वैदिक शिक्षा</v>
      </c>
    </row>
    <row r="437" ht="22.5" customHeight="1">
      <c r="A437" s="7">
        <v>436.0</v>
      </c>
      <c r="B437" s="4" t="s">
        <v>3597</v>
      </c>
      <c r="C437" s="4" t="s">
        <v>3598</v>
      </c>
      <c r="D437" s="4" t="s">
        <v>3599</v>
      </c>
      <c r="F437" s="5" t="str">
        <f>IFERROR(__xludf.DUMMYFUNCTION("GOOGLETRANSLATE(A437, ""en"", ""hi"")"),"436")</f>
        <v>436</v>
      </c>
      <c r="G437" s="5" t="str">
        <f>IFERROR(__xludf.DUMMYFUNCTION("GOOGLETRANSLATE(B437, ""en"", ""hi"")"),"मुस्ति युद्ध में विजय का प्राथमिक तरीका निम्नलिखित में से क्या हासिल करना था?")</f>
        <v>मुस्ति युद्ध में विजय का प्राथमिक तरीका निम्नलिखित में से क्या हासिल करना था?</v>
      </c>
      <c r="H437" s="5" t="str">
        <f>IFERROR(__xludf.DUMMYFUNCTION("GOOGLETRANSLATE(C437, ""en"", ""hi"")"),"ए) सबमिशन, बी) अंक, सी) नॉकआउट, डी) अयोग्यता")</f>
        <v>ए) सबमिशन, बी) अंक, सी) नॉकआउट, डी) अयोग्यता</v>
      </c>
      <c r="I437" s="5" t="str">
        <f>IFERROR(__xludf.DUMMYFUNCTION("GOOGLETRANSLATE(D437, ""en"", ""hi"")"),"सी) नॉकआउट")</f>
        <v>सी) नॉकआउट</v>
      </c>
    </row>
    <row r="438" ht="22.5" customHeight="1">
      <c r="A438" s="7">
        <v>437.0</v>
      </c>
      <c r="B438" s="4" t="s">
        <v>3600</v>
      </c>
      <c r="C438" s="4" t="s">
        <v>3601</v>
      </c>
      <c r="D438" s="4" t="s">
        <v>3602</v>
      </c>
      <c r="F438" s="5" t="str">
        <f>IFERROR(__xludf.DUMMYFUNCTION("GOOGLETRANSLATE(A438, ""en"", ""hi"")"),"437")</f>
        <v>437</v>
      </c>
      <c r="G438" s="5" t="str">
        <f>IFERROR(__xludf.DUMMYFUNCTION("GOOGLETRANSLATE(B438, ""en"", ""hi"")"),"किस मुगल ग्रंथ में मुस्ती युद्ध के समान हाथ से हाथ की लड़ाई का उल्लेख है?")</f>
        <v>किस मुगल ग्रंथ में मुस्ती युद्ध के समान हाथ से हाथ की लड़ाई का उल्लेख है?</v>
      </c>
      <c r="H438" s="5" t="str">
        <f>IFERROR(__xludf.DUMMYFUNCTION("GOOGLETRANSLATE(C438, ""en"", ""hi"")"),"ए) अकबरनामा, बी) तुज़क-ए-जहाँगीरी, सी) आईन-ए-अकबरी, डी) बाबरनामा")</f>
        <v>ए) अकबरनामा, बी) तुज़क-ए-जहाँगीरी, सी) आईन-ए-अकबरी, डी) बाबरनामा</v>
      </c>
      <c r="I438" s="5" t="str">
        <f>IFERROR(__xludf.DUMMYFUNCTION("GOOGLETRANSLATE(D438, ""en"", ""hi"")"),"C) आइन-ए-अकबरी")</f>
        <v>C) आइन-ए-अकबरी</v>
      </c>
    </row>
    <row r="439" ht="22.5" customHeight="1">
      <c r="A439" s="7">
        <v>438.0</v>
      </c>
      <c r="B439" s="4" t="s">
        <v>3603</v>
      </c>
      <c r="C439" s="4" t="s">
        <v>3604</v>
      </c>
      <c r="D439" s="4" t="s">
        <v>3605</v>
      </c>
      <c r="F439" s="5" t="str">
        <f>IFERROR(__xludf.DUMMYFUNCTION("GOOGLETRANSLATE(A439, ""en"", ""hi"")"),"438")</f>
        <v>438</v>
      </c>
      <c r="G439" s="5" t="str">
        <f>IFERROR(__xludf.DUMMYFUNCTION("GOOGLETRANSLATE(B439, ""en"", ""hi"")"),"प्राचीन भारत में मुस्ती युद्ध के साथ अक्सर कौन सा पारंपरिक हथियार जोड़ा जाता था?")</f>
        <v>प्राचीन भारत में मुस्ती युद्ध के साथ अक्सर कौन सा पारंपरिक हथियार जोड़ा जाता था?</v>
      </c>
      <c r="H439" s="5" t="str">
        <f>IFERROR(__xludf.DUMMYFUNCTION("GOOGLETRANSLATE(C439, ""en"", ""hi"")"),"A) तलवार, B) खंजर, C) गदा, D) भाला")</f>
        <v>A) तलवार, B) खंजर, C) गदा, D) भाला</v>
      </c>
      <c r="I439" s="5" t="str">
        <f>IFERROR(__xludf.DUMMYFUNCTION("GOOGLETRANSLATE(D439, ""en"", ""hi"")"),"C) गदा (गदा)")</f>
        <v>C) गदा (गदा)</v>
      </c>
    </row>
    <row r="440" ht="22.5" customHeight="1">
      <c r="A440" s="7">
        <v>439.0</v>
      </c>
      <c r="B440" s="4" t="s">
        <v>3606</v>
      </c>
      <c r="C440" s="4" t="s">
        <v>3607</v>
      </c>
      <c r="D440" s="4" t="s">
        <v>3608</v>
      </c>
      <c r="F440" s="5" t="str">
        <f>IFERROR(__xludf.DUMMYFUNCTION("GOOGLETRANSLATE(A440, ""en"", ""hi"")"),"439")</f>
        <v>439</v>
      </c>
      <c r="G440" s="5" t="str">
        <f>IFERROR(__xludf.DUMMYFUNCTION("GOOGLETRANSLATE(B440, ""en"", ""hi"")"),"राज्याभिषेक समारोहों के दौरान कभी-कभी मुस्ति युद्ध मैच किस उद्देश्य से आयोजित किए जाते थे?")</f>
        <v>राज्याभिषेक समारोहों के दौरान कभी-कभी मुस्ति युद्ध मैच किस उद्देश्य से आयोजित किए जाते थे?</v>
      </c>
      <c r="H440" s="5" t="str">
        <f>IFERROR(__xludf.DUMMYFUNCTION("GOOGLETRANSLATE(C440, ""en"", ""hi"")"),"A) मनोरंजन, B) शक्ति प्रदर्शन, C) धार्मिक आशीर्वाद, D) स्मरणोत्सव")</f>
        <v>A) मनोरंजन, B) शक्ति प्रदर्शन, C) धार्मिक आशीर्वाद, D) स्मरणोत्सव</v>
      </c>
      <c r="I440" s="5" t="str">
        <f>IFERROR(__xludf.DUMMYFUNCTION("GOOGLETRANSLATE(D440, ""en"", ""hi"")"),"बी) शक्ति का प्रदर्शन")</f>
        <v>बी) शक्ति का प्रदर्शन</v>
      </c>
    </row>
    <row r="441" ht="22.5" customHeight="1">
      <c r="A441" s="7">
        <v>440.0</v>
      </c>
      <c r="B441" s="4" t="s">
        <v>3609</v>
      </c>
      <c r="C441" s="4" t="s">
        <v>3610</v>
      </c>
      <c r="D441" s="4" t="s">
        <v>3611</v>
      </c>
      <c r="F441" s="5" t="str">
        <f>IFERROR(__xludf.DUMMYFUNCTION("GOOGLETRANSLATE(A441, ""en"", ""hi"")"),"440")</f>
        <v>440</v>
      </c>
      <c r="G441" s="5" t="str">
        <f>IFERROR(__xludf.DUMMYFUNCTION("GOOGLETRANSLATE(B441, ""en"", ""hi"")"),"सैन्य युद्ध को बढ़ाने के लिए मुस्ति युद्ध तकनीक को किस भारतीय शाही राजवंश द्वारा परिष्कृत किया गया था?")</f>
        <v>सैन्य युद्ध को बढ़ाने के लिए मुस्ति युद्ध तकनीक को किस भारतीय शाही राजवंश द्वारा परिष्कृत किया गया था?</v>
      </c>
      <c r="H441" s="5" t="str">
        <f>IFERROR(__xludf.DUMMYFUNCTION("GOOGLETRANSLATE(C441, ""en"", ""hi"")"),"A) चोल वंश, B) मराठा साम्राज्य, C) विजयनगर साम्राज्य, D) राजपूताना")</f>
        <v>A) चोल वंश, B) मराठा साम्राज्य, C) विजयनगर साम्राज्य, D) राजपूताना</v>
      </c>
      <c r="I441" s="5" t="str">
        <f>IFERROR(__xludf.DUMMYFUNCTION("GOOGLETRANSLATE(D441, ""en"", ""hi"")"),"बी) मराठा साम्राज्य")</f>
        <v>बी) मराठा साम्राज्य</v>
      </c>
    </row>
    <row r="442" ht="22.5" customHeight="1">
      <c r="A442" s="7">
        <v>441.0</v>
      </c>
      <c r="B442" s="4" t="s">
        <v>3612</v>
      </c>
      <c r="C442" s="4" t="s">
        <v>3613</v>
      </c>
      <c r="D442" s="4" t="s">
        <v>110</v>
      </c>
      <c r="F442" s="5" t="str">
        <f>IFERROR(__xludf.DUMMYFUNCTION("GOOGLETRANSLATE(A442, ""en"", ""hi"")"),"441")</f>
        <v>441</v>
      </c>
      <c r="G442" s="5" t="str">
        <f>IFERROR(__xludf.DUMMYFUNCTION("GOOGLETRANSLATE(B442, ""en"", ""hi"")"),"आधुनिक भारत के किस क्षेत्र में मुस्ति युद्ध सबसे अधिक प्रचलित था?")</f>
        <v>आधुनिक भारत के किस क्षेत्र में मुस्ति युद्ध सबसे अधिक प्रचलित था?</v>
      </c>
      <c r="H442" s="5" t="str">
        <f>IFERROR(__xludf.DUMMYFUNCTION("GOOGLETRANSLATE(C442, ""en"", ""hi"")"),"ए) उत्तर प्रदेश, बी) राजस्थान, सी) बिहार, डी) तमिलनाडु")</f>
        <v>ए) उत्तर प्रदेश, बी) राजस्थान, सी) बिहार, डी) तमिलनाडु</v>
      </c>
      <c r="I442" s="5" t="str">
        <f>IFERROR(__xludf.DUMMYFUNCTION("GOOGLETRANSLATE(D442, ""en"", ""hi"")"),"A) उत्तर प्रदेश")</f>
        <v>A) उत्तर प्रदेश</v>
      </c>
    </row>
    <row r="443" ht="22.5" customHeight="1">
      <c r="A443" s="7">
        <v>442.0</v>
      </c>
      <c r="B443" s="4" t="s">
        <v>3614</v>
      </c>
      <c r="C443" s="4" t="s">
        <v>3615</v>
      </c>
      <c r="D443" s="4" t="s">
        <v>3616</v>
      </c>
      <c r="F443" s="5" t="str">
        <f>IFERROR(__xludf.DUMMYFUNCTION("GOOGLETRANSLATE(A443, ""en"", ""hi"")"),"442")</f>
        <v>442</v>
      </c>
      <c r="G443" s="5" t="str">
        <f>IFERROR(__xludf.DUMMYFUNCTION("GOOGLETRANSLATE(B443, ""en"", ""hi"")"),"प्राचीन भारत में मुस्ति युद्ध योद्धाओं को प्रायः किस नाम से जाना जाता था?")</f>
        <v>प्राचीन भारत में मुस्ति युद्ध योद्धाओं को प्रायः किस नाम से जाना जाता था?</v>
      </c>
      <c r="H443" s="5" t="str">
        <f>IFERROR(__xludf.DUMMYFUNCTION("GOOGLETRANSLATE(C443, ""en"", ""hi"")"),"ए) योद्धा, बी) सम्राट, सी) सेनापति, डी) क्षत्रिय")</f>
        <v>ए) योद्धा, बी) सम्राट, सी) सेनापति, डी) क्षत्रिय</v>
      </c>
      <c r="I443" s="5" t="str">
        <f>IFERROR(__xludf.DUMMYFUNCTION("GOOGLETRANSLATE(D443, ""en"", ""hi"")"),"A) योद्धा")</f>
        <v>A) योद्धा</v>
      </c>
    </row>
    <row r="444" ht="22.5" customHeight="1">
      <c r="A444" s="7">
        <v>443.0</v>
      </c>
      <c r="B444" s="4" t="s">
        <v>3617</v>
      </c>
      <c r="C444" s="4" t="s">
        <v>3618</v>
      </c>
      <c r="D444" s="4" t="s">
        <v>3619</v>
      </c>
      <c r="F444" s="5" t="str">
        <f>IFERROR(__xludf.DUMMYFUNCTION("GOOGLETRANSLATE(A444, ""en"", ""hi"")"),"443")</f>
        <v>443</v>
      </c>
      <c r="G444" s="5" t="str">
        <f>IFERROR(__xludf.DUMMYFUNCTION("GOOGLETRANSLATE(B444, ""en"", ""hi"")"),"मुस्ति युद्ध की उत्पत्ति किस प्राचीन भारतीय सभ्यता से मानी जाती है?")</f>
        <v>मुस्ति युद्ध की उत्पत्ति किस प्राचीन भारतीय सभ्यता से मानी जाती है?</v>
      </c>
      <c r="H444" s="5" t="str">
        <f>IFERROR(__xludf.DUMMYFUNCTION("GOOGLETRANSLATE(C444, ""en"", ""hi"")"),"A) हड़प्पा सभ्यता, B) वैदिक सभ्यता, C) मौर्य साम्राज्य, D) कुषाण साम्राज्य")</f>
        <v>A) हड़प्पा सभ्यता, B) वैदिक सभ्यता, C) मौर्य साम्राज्य, D) कुषाण साम्राज्य</v>
      </c>
      <c r="I444" s="5" t="str">
        <f>IFERROR(__xludf.DUMMYFUNCTION("GOOGLETRANSLATE(D444, ""en"", ""hi"")"),"बी) वैदिक सभ्यता")</f>
        <v>बी) वैदिक सभ्यता</v>
      </c>
    </row>
    <row r="445" ht="22.5" customHeight="1">
      <c r="A445" s="7">
        <v>444.0</v>
      </c>
      <c r="B445" s="4" t="s">
        <v>3620</v>
      </c>
      <c r="C445" s="4" t="s">
        <v>3621</v>
      </c>
      <c r="D445" s="4" t="s">
        <v>2723</v>
      </c>
      <c r="F445" s="5" t="str">
        <f>IFERROR(__xludf.DUMMYFUNCTION("GOOGLETRANSLATE(A445, ""en"", ""hi"")"),"444")</f>
        <v>444</v>
      </c>
      <c r="G445" s="5" t="str">
        <f>IFERROR(__xludf.DUMMYFUNCTION("GOOGLETRANSLATE(B445, ""en"", ""hi"")"),"'मुस्ति युद्ध' नाम संस्कृत शब्द 'मुस्ति' से लिया गया है, जो किसको संदर्भित करता है?")</f>
        <v>'मुस्ति युद्ध' नाम संस्कृत शब्द 'मुस्ति' से लिया गया है, जो किसको संदर्भित करता है?</v>
      </c>
      <c r="H445" s="5" t="str">
        <f>IFERROR(__xludf.DUMMYFUNCTION("GOOGLETRANSLATE(C445, ""en"", ""hi"")"),"A) मुट्ठी, B) हथियार, C) योद्धा, D) लड़ाई")</f>
        <v>A) मुट्ठी, B) हथियार, C) योद्धा, D) लड़ाई</v>
      </c>
      <c r="I445" s="5" t="str">
        <f>IFERROR(__xludf.DUMMYFUNCTION("GOOGLETRANSLATE(D445, ""en"", ""hi"")"),"एक मुट्ठी")</f>
        <v>एक मुट्ठी</v>
      </c>
    </row>
    <row r="446" ht="22.5" customHeight="1">
      <c r="A446" s="7">
        <v>445.0</v>
      </c>
      <c r="B446" s="4" t="s">
        <v>3622</v>
      </c>
      <c r="C446" s="4" t="s">
        <v>3623</v>
      </c>
      <c r="D446" s="4" t="s">
        <v>3624</v>
      </c>
      <c r="F446" s="5" t="str">
        <f>IFERROR(__xludf.DUMMYFUNCTION("GOOGLETRANSLATE(A446, ""en"", ""hi"")"),"445")</f>
        <v>445</v>
      </c>
      <c r="G446" s="5" t="str">
        <f>IFERROR(__xludf.DUMMYFUNCTION("GOOGLETRANSLATE(B446, ""en"", ""hi"")"),"किस काल में मुस्ति युद्ध की लोकप्रियता चरम पर थी?")</f>
        <v>किस काल में मुस्ति युद्ध की लोकप्रियता चरम पर थी?</v>
      </c>
      <c r="H446" s="5" t="str">
        <f>IFERROR(__xludf.DUMMYFUNCTION("GOOGLETRANSLATE(C446, ""en"", ""hi"")"),"A) मध्यकालीन भारत, B) गुप्त काल, C) मुगल काल, D) ब्रिटिश भारत")</f>
        <v>A) मध्यकालीन भारत, B) गुप्त काल, C) मुगल काल, D) ब्रिटिश भारत</v>
      </c>
      <c r="I446" s="5" t="str">
        <f>IFERROR(__xludf.DUMMYFUNCTION("GOOGLETRANSLATE(D446, ""en"", ""hi"")"),"बी) गुप्त काल")</f>
        <v>बी) गुप्त काल</v>
      </c>
    </row>
    <row r="447" ht="22.5" customHeight="1">
      <c r="A447" s="7">
        <v>446.0</v>
      </c>
      <c r="B447" s="4" t="s">
        <v>3625</v>
      </c>
      <c r="C447" s="4" t="s">
        <v>3626</v>
      </c>
      <c r="D447" s="4" t="s">
        <v>2574</v>
      </c>
      <c r="F447" s="5" t="str">
        <f>IFERROR(__xludf.DUMMYFUNCTION("GOOGLETRANSLATE(A447, ""en"", ""hi"")"),"446")</f>
        <v>446</v>
      </c>
      <c r="G447" s="5" t="str">
        <f>IFERROR(__xludf.DUMMYFUNCTION("GOOGLETRANSLATE(B447, ""en"", ""hi"")"),"प्राचीन काल में भारत के किस क्षेत्र में मुस्ति युद्ध सबसे अधिक प्रचलित था?")</f>
        <v>प्राचीन काल में भारत के किस क्षेत्र में मुस्ति युद्ध सबसे अधिक प्रचलित था?</v>
      </c>
      <c r="H447" s="5" t="str">
        <f>IFERROR(__xludf.DUMMYFUNCTION("GOOGLETRANSLATE(C447, ""en"", ""hi"")"),"ए) राजस्थान, बी) बिहार, सी) उत्तर प्रदेश, डी) केरल")</f>
        <v>ए) राजस्थान, बी) बिहार, सी) उत्तर प्रदेश, डी) केरल</v>
      </c>
      <c r="I447" s="5" t="str">
        <f>IFERROR(__xludf.DUMMYFUNCTION("GOOGLETRANSLATE(D447, ""en"", ""hi"")"),"C) उत्तर प्रदेश")</f>
        <v>C) उत्तर प्रदेश</v>
      </c>
    </row>
    <row r="448" ht="22.5" customHeight="1">
      <c r="A448" s="7">
        <v>447.0</v>
      </c>
      <c r="B448" s="4" t="s">
        <v>3627</v>
      </c>
      <c r="C448" s="4" t="s">
        <v>2534</v>
      </c>
      <c r="D448" s="4" t="s">
        <v>2535</v>
      </c>
      <c r="F448" s="5" t="str">
        <f>IFERROR(__xludf.DUMMYFUNCTION("GOOGLETRANSLATE(A448, ""en"", ""hi"")"),"447")</f>
        <v>447</v>
      </c>
      <c r="G448" s="5" t="str">
        <f>IFERROR(__xludf.DUMMYFUNCTION("GOOGLETRANSLATE(B448, ""en"", ""hi"")"),"प्राचीन भारत में मुस्ति युद्ध किस वर्ग के लिए प्रशिक्षण का एक महत्वपूर्ण रूप माना जाता था?")</f>
        <v>प्राचीन भारत में मुस्ति युद्ध किस वर्ग के लिए प्रशिक्षण का एक महत्वपूर्ण रूप माना जाता था?</v>
      </c>
      <c r="H448" s="5" t="str">
        <f>IFERROR(__xludf.DUMMYFUNCTION("GOOGLETRANSLATE(C448, ""en"", ""hi"")"),"ए) ब्राह्मण, बी) क्षत्रिय, सी) वैश्य, डी) शूद्र")</f>
        <v>ए) ब्राह्मण, बी) क्षत्रिय, सी) वैश्य, डी) शूद्र</v>
      </c>
      <c r="I448" s="5" t="str">
        <f>IFERROR(__xludf.DUMMYFUNCTION("GOOGLETRANSLATE(D448, ""en"", ""hi"")"),"बी) क्षत्रिय")</f>
        <v>बी) क्षत्रिय</v>
      </c>
    </row>
    <row r="449" ht="22.5" customHeight="1">
      <c r="A449" s="7">
        <v>448.0</v>
      </c>
      <c r="B449" s="4" t="s">
        <v>3628</v>
      </c>
      <c r="C449" s="4" t="s">
        <v>3629</v>
      </c>
      <c r="D449" s="4" t="s">
        <v>3630</v>
      </c>
      <c r="F449" s="5" t="str">
        <f>IFERROR(__xludf.DUMMYFUNCTION("GOOGLETRANSLATE(A449, ""en"", ""hi"")"),"448")</f>
        <v>448</v>
      </c>
      <c r="G449" s="5" t="str">
        <f>IFERROR(__xludf.DUMMYFUNCTION("GOOGLETRANSLATE(B449, ""en"", ""hi"")"),"भारतीय मार्शल आर्ट के इतिहास में, मुस्ति युद्ध मुख्य रूप से किस युद्ध शैली का एक रूप था?")</f>
        <v>भारतीय मार्शल आर्ट के इतिहास में, मुस्ति युद्ध मुख्य रूप से किस युद्ध शैली का एक रूप था?</v>
      </c>
      <c r="H449" s="5" t="str">
        <f>IFERROR(__xludf.DUMMYFUNCTION("GOOGLETRANSLATE(C449, ""en"", ""hi"")"),"A) कुश्ती, B) सशस्त्र युद्ध, C) नंगे हाथों से लड़ाई, D) घुड़सवार युद्ध")</f>
        <v>A) कुश्ती, B) सशस्त्र युद्ध, C) नंगे हाथों से लड़ाई, D) घुड़सवार युद्ध</v>
      </c>
      <c r="I449" s="5" t="str">
        <f>IFERROR(__xludf.DUMMYFUNCTION("GOOGLETRANSLATE(D449, ""en"", ""hi"")"),"सी) नंगे हाथों से लड़ाई")</f>
        <v>सी) नंगे हाथों से लड़ाई</v>
      </c>
    </row>
    <row r="450" ht="22.5" customHeight="1">
      <c r="A450" s="7">
        <v>449.0</v>
      </c>
      <c r="B450" s="4" t="s">
        <v>3631</v>
      </c>
      <c r="C450" s="4" t="s">
        <v>3632</v>
      </c>
      <c r="D450" s="4" t="s">
        <v>3633</v>
      </c>
      <c r="F450" s="5" t="str">
        <f>IFERROR(__xludf.DUMMYFUNCTION("GOOGLETRANSLATE(A450, ""en"", ""hi"")"),"449")</f>
        <v>449</v>
      </c>
      <c r="G450" s="5" t="str">
        <f>IFERROR(__xludf.DUMMYFUNCTION("GOOGLETRANSLATE(B450, ""en"", ""hi"")"),"मुस्ति युद्ध भारतीय युद्ध प्रशिक्षण की किस बड़ी परंपरा का हिस्सा था?")</f>
        <v>मुस्ति युद्ध भारतीय युद्ध प्रशिक्षण की किस बड़ी परंपरा का हिस्सा था?</v>
      </c>
      <c r="H450" s="5" t="str">
        <f>IFERROR(__xludf.DUMMYFUNCTION("GOOGLETRANSLATE(C450, ""en"", ""hi"")"),"ए) गतका, बी) कलारीपयट्टु, सी) मल्ल युद्ध, डी) वज्र मुष्टि")</f>
        <v>ए) गतका, बी) कलारीपयट्टु, सी) मल्ल युद्ध, डी) वज्र मुष्टि</v>
      </c>
      <c r="I450" s="5" t="str">
        <f>IFERROR(__xludf.DUMMYFUNCTION("GOOGLETRANSLATE(D450, ""en"", ""hi"")"),"D) वज्र मुष्टि")</f>
        <v>D) वज्र मुष्टि</v>
      </c>
    </row>
    <row r="451" ht="22.5" customHeight="1">
      <c r="A451" s="7">
        <v>450.0</v>
      </c>
      <c r="B451" s="4" t="s">
        <v>3634</v>
      </c>
      <c r="C451" s="4" t="s">
        <v>3635</v>
      </c>
      <c r="D451" s="4" t="s">
        <v>222</v>
      </c>
      <c r="F451" s="5" t="str">
        <f>IFERROR(__xludf.DUMMYFUNCTION("GOOGLETRANSLATE(A451, ""en"", ""hi"")"),"450")</f>
        <v>450</v>
      </c>
      <c r="G451" s="5" t="str">
        <f>IFERROR(__xludf.DUMMYFUNCTION("GOOGLETRANSLATE(B451, ""en"", ""hi"")"),"ऐसा माना जाता है कि किस प्राचीन भारतीय ग्रंथ में मुस्ति युद्ध का उल्लेख है?")</f>
        <v>ऐसा माना जाता है कि किस प्राचीन भारतीय ग्रंथ में मुस्ति युद्ध का उल्लेख है?</v>
      </c>
      <c r="H451" s="5" t="str">
        <f>IFERROR(__xludf.DUMMYFUNCTION("GOOGLETRANSLATE(C451, ""en"", ""hi"")"),"ए) महाभारत, बी) रामायण, सी) अर्थशास्त्र, डी) भगवद गीता")</f>
        <v>ए) महाभारत, बी) रामायण, सी) अर्थशास्त्र, डी) भगवद गीता</v>
      </c>
      <c r="I451" s="5" t="str">
        <f>IFERROR(__xludf.DUMMYFUNCTION("GOOGLETRANSLATE(D451, ""en"", ""hi"")"),"A) महाभारत")</f>
        <v>A) महाभारत</v>
      </c>
    </row>
    <row r="452" ht="22.5" customHeight="1">
      <c r="A452" s="7">
        <v>451.0</v>
      </c>
      <c r="B452" s="4" t="s">
        <v>3636</v>
      </c>
      <c r="C452" s="4" t="s">
        <v>3637</v>
      </c>
      <c r="D452" s="4" t="s">
        <v>3537</v>
      </c>
      <c r="F452" s="5" t="str">
        <f>IFERROR(__xludf.DUMMYFUNCTION("GOOGLETRANSLATE(A452, ""en"", ""hi"")"),"451")</f>
        <v>451</v>
      </c>
      <c r="G452" s="5" t="str">
        <f>IFERROR(__xludf.DUMMYFUNCTION("GOOGLETRANSLATE(B452, ""en"", ""hi"")"),"ऐसा माना जाता है कि किस प्राचीन भारतीय राजा ने मुस्ति युद्ध प्रथा का समर्थन किया था?")</f>
        <v>ऐसा माना जाता है कि किस प्राचीन भारतीय राजा ने मुस्ति युद्ध प्रथा का समर्थन किया था?</v>
      </c>
      <c r="H452" s="5" t="str">
        <f>IFERROR(__xludf.DUMMYFUNCTION("GOOGLETRANSLATE(C452, ""en"", ""hi"")"),"ए) चंद्रगुप्त मौर्य, बी) अशोक, सी) समुद्रगुप्त, डी) हर्ष")</f>
        <v>ए) चंद्रगुप्त मौर्य, बी) अशोक, सी) समुद्रगुप्त, डी) हर्ष</v>
      </c>
      <c r="I452" s="5" t="str">
        <f>IFERROR(__xludf.DUMMYFUNCTION("GOOGLETRANSLATE(D452, ""en"", ""hi"")"),"C) समुद्रगुप्त")</f>
        <v>C) समुद्रगुप्त</v>
      </c>
    </row>
    <row r="453" ht="22.5" customHeight="1">
      <c r="A453" s="7">
        <v>452.0</v>
      </c>
      <c r="B453" s="4" t="s">
        <v>3638</v>
      </c>
      <c r="C453" s="4" t="s">
        <v>3639</v>
      </c>
      <c r="D453" s="4" t="s">
        <v>3460</v>
      </c>
      <c r="F453" s="5" t="str">
        <f>IFERROR(__xludf.DUMMYFUNCTION("GOOGLETRANSLATE(A453, ""en"", ""hi"")"),"452")</f>
        <v>452</v>
      </c>
      <c r="G453" s="5" t="str">
        <f>IFERROR(__xludf.DUMMYFUNCTION("GOOGLETRANSLATE(B453, ""en"", ""hi"")"),"मुस्ति युद्ध मुख्य रूप से किस प्राचीन भारतीय राज्य में प्रचलित था?")</f>
        <v>मुस्ति युद्ध मुख्य रूप से किस प्राचीन भारतीय राज्य में प्रचलित था?</v>
      </c>
      <c r="H453" s="5" t="str">
        <f>IFERROR(__xludf.DUMMYFUNCTION("GOOGLETRANSLATE(C453, ""en"", ""hi"")"),"ए) मगध, बी) कलिंग, सी) कोसल, डी) वत्स")</f>
        <v>ए) मगध, बी) कलिंग, सी) कोसल, डी) वत्स</v>
      </c>
      <c r="I453" s="5" t="str">
        <f>IFERROR(__xludf.DUMMYFUNCTION("GOOGLETRANSLATE(D453, ""en"", ""hi"")"),"A) मगध")</f>
        <v>A) मगध</v>
      </c>
    </row>
    <row r="454" ht="22.5" customHeight="1">
      <c r="A454" s="7">
        <v>453.0</v>
      </c>
      <c r="B454" s="4" t="s">
        <v>3640</v>
      </c>
      <c r="C454" s="4" t="s">
        <v>3641</v>
      </c>
      <c r="D454" s="4" t="s">
        <v>3642</v>
      </c>
      <c r="F454" s="5" t="str">
        <f>IFERROR(__xludf.DUMMYFUNCTION("GOOGLETRANSLATE(A454, ""en"", ""hi"")"),"453")</f>
        <v>453</v>
      </c>
      <c r="G454" s="5" t="str">
        <f>IFERROR(__xludf.DUMMYFUNCTION("GOOGLETRANSLATE(B454, ""en"", ""hi"")"),"प्राचीन भारत में मुस्ति युद्ध मैच आमतौर पर किस प्रकार के आयोजन के दौरान आयोजित किए जाते थे?")</f>
        <v>प्राचीन भारत में मुस्ति युद्ध मैच आमतौर पर किस प्रकार के आयोजन के दौरान आयोजित किए जाते थे?</v>
      </c>
      <c r="H454" s="5" t="str">
        <f>IFERROR(__xludf.DUMMYFUNCTION("GOOGLETRANSLATE(C454, ""en"", ""hi"")"),"A) फसल उत्सव, B) राज्याभिषेक, C) विवाह समारोह, D) धार्मिक उत्सव")</f>
        <v>A) फसल उत्सव, B) राज्याभिषेक, C) विवाह समारोह, D) धार्मिक उत्सव</v>
      </c>
      <c r="I454" s="5" t="str">
        <f>IFERROR(__xludf.DUMMYFUNCTION("GOOGLETRANSLATE(D454, ""en"", ""hi"")"),"D) धार्मिक त्यौहार")</f>
        <v>D) धार्मिक त्यौहार</v>
      </c>
    </row>
    <row r="455" ht="22.5" customHeight="1">
      <c r="A455" s="7">
        <v>454.0</v>
      </c>
      <c r="B455" s="4" t="s">
        <v>3643</v>
      </c>
      <c r="C455" s="4" t="s">
        <v>3644</v>
      </c>
      <c r="D455" s="4" t="s">
        <v>3540</v>
      </c>
      <c r="F455" s="5" t="str">
        <f>IFERROR(__xludf.DUMMYFUNCTION("GOOGLETRANSLATE(A455, ""en"", ""hi"")"),"454")</f>
        <v>454</v>
      </c>
      <c r="G455" s="5" t="str">
        <f>IFERROR(__xludf.DUMMYFUNCTION("GOOGLETRANSLATE(B455, ""en"", ""hi"")"),"मुस्ति युद्ध में योद्धा प्रायः युद्ध के किस अतिरिक्त रूप में कुशल होते थे?")</f>
        <v>मुस्ति युद्ध में योद्धा प्रायः युद्ध के किस अतिरिक्त रूप में कुशल होते थे?</v>
      </c>
      <c r="H455" s="5" t="str">
        <f>IFERROR(__xludf.DUMMYFUNCTION("GOOGLETRANSLATE(C455, ""en"", ""hi"")"),"A) तीरंदाजी, B) तलवारबाजी, C) कुश्ती, D) भाला फेंक")</f>
        <v>A) तीरंदाजी, B) तलवारबाजी, C) कुश्ती, D) भाला फेंक</v>
      </c>
      <c r="I455" s="5" t="str">
        <f>IFERROR(__xludf.DUMMYFUNCTION("GOOGLETRANSLATE(D455, ""en"", ""hi"")"),"सी) कुश्ती")</f>
        <v>सी) कुश्ती</v>
      </c>
    </row>
    <row r="456" ht="22.5" customHeight="1">
      <c r="A456" s="7">
        <v>455.0</v>
      </c>
      <c r="B456" s="4" t="s">
        <v>3645</v>
      </c>
      <c r="C456" s="4" t="s">
        <v>3646</v>
      </c>
      <c r="D456" s="4" t="s">
        <v>3647</v>
      </c>
      <c r="F456" s="5" t="str">
        <f>IFERROR(__xludf.DUMMYFUNCTION("GOOGLETRANSLATE(A456, ""en"", ""hi"")"),"455")</f>
        <v>455</v>
      </c>
      <c r="G456" s="5" t="str">
        <f>IFERROR(__xludf.DUMMYFUNCTION("GOOGLETRANSLATE(B456, ""en"", ""hi"")"),"प्राचीन भारत में मुस्ति युद्ध सामान्यतः किस अन्य मार्शल परंपरा के साथ प्रचलित था?")</f>
        <v>प्राचीन भारत में मुस्ति युद्ध सामान्यतः किस अन्य मार्शल परंपरा के साथ प्रचलित था?</v>
      </c>
      <c r="H456" s="5" t="str">
        <f>IFERROR(__xludf.DUMMYFUNCTION("GOOGLETRANSLATE(C456, ""en"", ""hi"")"),"ए) सिलंबम, बी) गतका, सी) पहलवानी, डी) कलारीपयट्टू")</f>
        <v>ए) सिलंबम, बी) गतका, सी) पहलवानी, डी) कलारीपयट्टू</v>
      </c>
      <c r="I456" s="5" t="str">
        <f>IFERROR(__xludf.DUMMYFUNCTION("GOOGLETRANSLATE(D456, ""en"", ""hi"")"),"C) पहलवानी")</f>
        <v>C) पहलवानी</v>
      </c>
    </row>
    <row r="457" ht="22.5" customHeight="1">
      <c r="A457" s="7">
        <v>456.0</v>
      </c>
      <c r="B457" s="4" t="s">
        <v>3648</v>
      </c>
      <c r="C457" s="4" t="s">
        <v>3649</v>
      </c>
      <c r="D457" s="4" t="s">
        <v>3650</v>
      </c>
      <c r="F457" s="5" t="str">
        <f>IFERROR(__xludf.DUMMYFUNCTION("GOOGLETRANSLATE(A457, ""en"", ""hi"")"),"456")</f>
        <v>456</v>
      </c>
      <c r="G457" s="5" t="str">
        <f>IFERROR(__xludf.DUMMYFUNCTION("GOOGLETRANSLATE(B457, ""en"", ""hi"")"),"ऐसा माना जाता है कि किस प्राचीन भारतीय साम्राज्य ने सैन्य प्रशिक्षण के भाग के रूप में मुस्ति युद्ध टूर्नामेंट का आयोजन किया था?")</f>
        <v>ऐसा माना जाता है कि किस प्राचीन भारतीय साम्राज्य ने सैन्य प्रशिक्षण के भाग के रूप में मुस्ति युद्ध टूर्नामेंट का आयोजन किया था?</v>
      </c>
      <c r="H457" s="5" t="str">
        <f>IFERROR(__xludf.DUMMYFUNCTION("GOOGLETRANSLATE(C457, ""en"", ""hi"")"),"A) गुप्त साम्राज्य, B) मुगल साम्राज्य, C) मौर्य साम्राज्य, D) चोल साम्राज्य")</f>
        <v>A) गुप्त साम्राज्य, B) मुगल साम्राज्य, C) मौर्य साम्राज्य, D) चोल साम्राज्य</v>
      </c>
      <c r="I457" s="5" t="str">
        <f>IFERROR(__xludf.DUMMYFUNCTION("GOOGLETRANSLATE(D457, ""en"", ""hi"")"),"C) मौर्य साम्राज्य")</f>
        <v>C) मौर्य साम्राज्य</v>
      </c>
    </row>
    <row r="458" ht="22.5" customHeight="1">
      <c r="A458" s="7">
        <v>457.0</v>
      </c>
      <c r="B458" s="4" t="s">
        <v>3651</v>
      </c>
      <c r="C458" s="4" t="s">
        <v>3652</v>
      </c>
      <c r="D458" s="4" t="s">
        <v>3653</v>
      </c>
      <c r="F458" s="5" t="str">
        <f>IFERROR(__xludf.DUMMYFUNCTION("GOOGLETRANSLATE(A458, ""en"", ""hi"")"),"457")</f>
        <v>457</v>
      </c>
      <c r="G458" s="5" t="str">
        <f>IFERROR(__xludf.DUMMYFUNCTION("GOOGLETRANSLATE(B458, ""en"", ""hi"")"),"प्राचीन भारतीय योद्धा भीम, जो अपनी शारीरिक शक्ति के लिए जाने जाते थे, को अक्सर युद्ध के किस रूप से जोड़ा जाता है जिसमें मुस्ति युद्ध भी शामिल है?")</f>
        <v>प्राचीन भारतीय योद्धा भीम, जो अपनी शारीरिक शक्ति के लिए जाने जाते थे, को अक्सर युद्ध के किस रूप से जोड़ा जाता है जिसमें मुस्ति युद्ध भी शामिल है?</v>
      </c>
      <c r="H458" s="5" t="str">
        <f>IFERROR(__xludf.DUMMYFUNCTION("GOOGLETRANSLATE(C458, ""en"", ""hi"")"),"ए) वज्र मुष्टि, बी) कलारीपयट्टु, सी) धनुर्वेद, डी) मल्लयुद्ध")</f>
        <v>ए) वज्र मुष्टि, बी) कलारीपयट्टु, सी) धनुर्वेद, डी) मल्लयुद्ध</v>
      </c>
      <c r="I458" s="5" t="str">
        <f>IFERROR(__xludf.DUMMYFUNCTION("GOOGLETRANSLATE(D458, ""en"", ""hi"")"),"A) वज्र मुष्टि")</f>
        <v>A) वज्र मुष्टि</v>
      </c>
    </row>
    <row r="459" ht="22.5" customHeight="1">
      <c r="A459" s="7">
        <v>458.0</v>
      </c>
      <c r="B459" s="4" t="s">
        <v>3654</v>
      </c>
      <c r="C459" s="4" t="s">
        <v>3655</v>
      </c>
      <c r="D459" s="4" t="s">
        <v>3656</v>
      </c>
      <c r="F459" s="5" t="str">
        <f>IFERROR(__xludf.DUMMYFUNCTION("GOOGLETRANSLATE(A459, ""en"", ""hi"")"),"458")</f>
        <v>458</v>
      </c>
      <c r="G459" s="5" t="str">
        <f>IFERROR(__xludf.DUMMYFUNCTION("GOOGLETRANSLATE(B459, ""en"", ""hi"")"),"प्राचीन भारत में कौन से धार्मिक संप्रदाय शारीरिक और आध्यात्मिक प्रशिक्षण के रूप में मुस्ति युद्ध को बढ़ावा देने के लिए जाने जाते थे?")</f>
        <v>प्राचीन भारत में कौन से धार्मिक संप्रदाय शारीरिक और आध्यात्मिक प्रशिक्षण के रूप में मुस्ति युद्ध को बढ़ावा देने के लिए जाने जाते थे?</v>
      </c>
      <c r="H459" s="5" t="str">
        <f>IFERROR(__xludf.DUMMYFUNCTION("GOOGLETRANSLATE(C459, ""en"", ""hi"")"),"A) शैव और वैष्णव, B) बौद्ध और जैन, C) तांत्रिक और योगी, D) वेदांती और न्याय")</f>
        <v>A) शैव और वैष्णव, B) बौद्ध और जैन, C) तांत्रिक और योगी, D) वेदांती और न्याय</v>
      </c>
      <c r="I459" s="5" t="str">
        <f>IFERROR(__xludf.DUMMYFUNCTION("GOOGLETRANSLATE(D459, ""en"", ""hi"")"),"C) तांत्रिक और योगी")</f>
        <v>C) तांत्रिक और योगी</v>
      </c>
    </row>
    <row r="460" ht="22.5" customHeight="1">
      <c r="A460" s="7">
        <v>459.0</v>
      </c>
      <c r="B460" s="4" t="s">
        <v>3657</v>
      </c>
      <c r="C460" s="4" t="s">
        <v>3658</v>
      </c>
      <c r="D460" s="4" t="s">
        <v>2544</v>
      </c>
      <c r="F460" s="5" t="str">
        <f>IFERROR(__xludf.DUMMYFUNCTION("GOOGLETRANSLATE(A460, ""en"", ""hi"")"),"459")</f>
        <v>459</v>
      </c>
      <c r="G460" s="5" t="str">
        <f>IFERROR(__xludf.DUMMYFUNCTION("GOOGLETRANSLATE(B460, ""en"", ""hi"")"),"किस प्राचीन भारतीय महाकाव्य में आत्मरक्षा और व्यक्तिगत लड़ाई के रूप में मुस्ति युद्ध का अभ्यास किया गया था?")</f>
        <v>किस प्राचीन भारतीय महाकाव्य में आत्मरक्षा और व्यक्तिगत लड़ाई के रूप में मुस्ति युद्ध का अभ्यास किया गया था?</v>
      </c>
      <c r="H460" s="5" t="str">
        <f>IFERROR(__xludf.DUMMYFUNCTION("GOOGLETRANSLATE(C460, ""en"", ""hi"")"),"ए) रामायण, बी) महाभारत, सी) अर्थशास्त्र, डी) ऋग्वेद")</f>
        <v>ए) रामायण, बी) महाभारत, सी) अर्थशास्त्र, डी) ऋग्वेद</v>
      </c>
      <c r="I460" s="5" t="str">
        <f>IFERROR(__xludf.DUMMYFUNCTION("GOOGLETRANSLATE(D460, ""en"", ""hi"")"),"बी) महाभारत")</f>
        <v>बी) महाभारत</v>
      </c>
    </row>
    <row r="461" ht="22.5" customHeight="1">
      <c r="A461" s="7">
        <v>460.0</v>
      </c>
      <c r="B461" s="4" t="s">
        <v>3659</v>
      </c>
      <c r="C461" s="4" t="s">
        <v>3660</v>
      </c>
      <c r="D461" s="4" t="s">
        <v>2529</v>
      </c>
      <c r="F461" s="5" t="str">
        <f>IFERROR(__xludf.DUMMYFUNCTION("GOOGLETRANSLATE(A461, ""en"", ""hi"")"),"460")</f>
        <v>460</v>
      </c>
      <c r="G461" s="5" t="str">
        <f>IFERROR(__xludf.DUMMYFUNCTION("GOOGLETRANSLATE(B461, ""en"", ""hi"")"),"मुस्ति युद्ध में सेनानियों को शरीर के किस भाग का उपयोग करके सटीकता से प्रहार करने का प्रशिक्षण दिया गया था?")</f>
        <v>मुस्ति युद्ध में सेनानियों को शरीर के किस भाग का उपयोग करके सटीकता से प्रहार करने का प्रशिक्षण दिया गया था?</v>
      </c>
      <c r="H461" s="5" t="str">
        <f>IFERROR(__xludf.DUMMYFUNCTION("GOOGLETRANSLATE(C461, ""en"", ""hi"")"),"A) कोहनियाँ, B) मुट्ठियाँ, C) घुटने, D) कंधे")</f>
        <v>A) कोहनियाँ, B) मुट्ठियाँ, C) घुटने, D) कंधे</v>
      </c>
      <c r="I461" s="5" t="str">
        <f>IFERROR(__xludf.DUMMYFUNCTION("GOOGLETRANSLATE(D461, ""en"", ""hi"")"),"बी) मुट्ठियाँ")</f>
        <v>बी) मुट्ठियाँ</v>
      </c>
    </row>
    <row r="462" ht="22.5" customHeight="1">
      <c r="A462" s="7">
        <v>461.0</v>
      </c>
      <c r="B462" s="4" t="s">
        <v>3661</v>
      </c>
      <c r="C462" s="4" t="s">
        <v>3662</v>
      </c>
      <c r="D462" s="4" t="s">
        <v>2937</v>
      </c>
      <c r="F462" s="5" t="str">
        <f>IFERROR(__xludf.DUMMYFUNCTION("GOOGLETRANSLATE(A462, ""en"", ""hi"")"),"461")</f>
        <v>461</v>
      </c>
      <c r="G462" s="5" t="str">
        <f>IFERROR(__xludf.DUMMYFUNCTION("GOOGLETRANSLATE(B462, ""en"", ""hi"")"),"महाभारत का कौन सा योद्धा मुस्ति युद्ध में प्रयुक्त युद्ध तकनीकों से सबसे अधिक निकटता से जुड़ा हुआ है?")</f>
        <v>महाभारत का कौन सा योद्धा मुस्ति युद्ध में प्रयुक्त युद्ध तकनीकों से सबसे अधिक निकटता से जुड़ा हुआ है?</v>
      </c>
      <c r="H462" s="5" t="str">
        <f>IFERROR(__xludf.DUMMYFUNCTION("GOOGLETRANSLATE(C462, ""en"", ""hi"")"),"ए) कर्ण, बी) भीम, सी) अर्जुन, डी) दुर्योधन")</f>
        <v>ए) कर्ण, बी) भीम, सी) अर्जुन, डी) दुर्योधन</v>
      </c>
      <c r="I462" s="5" t="str">
        <f>IFERROR(__xludf.DUMMYFUNCTION("GOOGLETRANSLATE(D462, ""en"", ""hi"")"),"बी) भीम")</f>
        <v>बी) भीम</v>
      </c>
    </row>
    <row r="463" ht="22.5" customHeight="1">
      <c r="A463" s="7">
        <v>462.0</v>
      </c>
      <c r="B463" s="4" t="s">
        <v>3663</v>
      </c>
      <c r="C463" s="4" t="s">
        <v>3664</v>
      </c>
      <c r="D463" s="4" t="s">
        <v>3665</v>
      </c>
      <c r="F463" s="5" t="str">
        <f>IFERROR(__xludf.DUMMYFUNCTION("GOOGLETRANSLATE(A463, ""en"", ""hi"")"),"462")</f>
        <v>462</v>
      </c>
      <c r="G463" s="5" t="str">
        <f>IFERROR(__xludf.DUMMYFUNCTION("GOOGLETRANSLATE(B463, ""en"", ""hi"")"),"मुस्ति युद्ध को पारंपरिक रूप से प्राचीन भारतीय योद्धाओं के किन गुणों के प्रदर्शन के रूप में देखा जाता था?")</f>
        <v>मुस्ति युद्ध को पारंपरिक रूप से प्राचीन भारतीय योद्धाओं के किन गुणों के प्रदर्शन के रूप में देखा जाता था?</v>
      </c>
      <c r="H463" s="5" t="str">
        <f>IFERROR(__xludf.DUMMYFUNCTION("GOOGLETRANSLATE(C463, ""en"", ""hi"")"),"A) गति और चपलता, B) बुद्धि और ज्ञान, C) शक्ति और सहनशक्ति, D) रणनीति और दूरदर्शिता")</f>
        <v>A) गति और चपलता, B) बुद्धि और ज्ञान, C) शक्ति और सहनशक्ति, D) रणनीति और दूरदर्शिता</v>
      </c>
      <c r="I463" s="5" t="str">
        <f>IFERROR(__xludf.DUMMYFUNCTION("GOOGLETRANSLATE(D463, ""en"", ""hi"")"),"सी) शक्ति और सहनशक्ति")</f>
        <v>सी) शक्ति और सहनशक्ति</v>
      </c>
    </row>
    <row r="464" ht="22.5" customHeight="1">
      <c r="A464" s="7">
        <v>463.0</v>
      </c>
      <c r="B464" s="4" t="s">
        <v>3666</v>
      </c>
      <c r="C464" s="4" t="s">
        <v>3667</v>
      </c>
      <c r="D464" s="4" t="s">
        <v>3668</v>
      </c>
      <c r="F464" s="5" t="str">
        <f>IFERROR(__xludf.DUMMYFUNCTION("GOOGLETRANSLATE(A464, ""en"", ""hi"")"),"463")</f>
        <v>463</v>
      </c>
      <c r="G464" s="5" t="str">
        <f>IFERROR(__xludf.DUMMYFUNCTION("GOOGLETRANSLATE(B464, ""en"", ""hi"")"),"मुस्ति युद्ध में, आमतौर पर प्रतिद्वंद्वी के साथ क्या करके जीत हासिल की जाती थी?")</f>
        <v>मुस्ति युद्ध में, आमतौर पर प्रतिद्वंद्वी के साथ क्या करके जीत हासिल की जाती थी?</v>
      </c>
      <c r="H464" s="5" t="str">
        <f>IFERROR(__xludf.DUMMYFUNCTION("GOOGLETRANSLATE(C464, ""en"", ""hi"")"),"A) उन्हें स्थिर करना, B) समर्पण के लिए मजबूर करना, C) उन्हें बाहर करना, D) अंक अर्जित करना")</f>
        <v>A) उन्हें स्थिर करना, B) समर्पण के लिए मजबूर करना, C) उन्हें बाहर करना, D) अंक अर्जित करना</v>
      </c>
      <c r="I464" s="5" t="str">
        <f>IFERROR(__xludf.DUMMYFUNCTION("GOOGLETRANSLATE(D464, ""en"", ""hi"")"),"C) उन्हें बाहर निकालना")</f>
        <v>C) उन्हें बाहर निकालना</v>
      </c>
    </row>
    <row r="465" ht="22.5" customHeight="1">
      <c r="A465" s="7">
        <v>464.0</v>
      </c>
      <c r="B465" s="4" t="s">
        <v>3669</v>
      </c>
      <c r="C465" s="4" t="s">
        <v>3670</v>
      </c>
      <c r="D465" s="4" t="s">
        <v>3671</v>
      </c>
      <c r="F465" s="5" t="str">
        <f>IFERROR(__xludf.DUMMYFUNCTION("GOOGLETRANSLATE(A465, ""en"", ""hi"")"),"464")</f>
        <v>464</v>
      </c>
      <c r="G465" s="5" t="str">
        <f>IFERROR(__xludf.DUMMYFUNCTION("GOOGLETRANSLATE(B465, ""en"", ""hi"")"),"मुस्ति युद्ध की प्रथा किस प्राचीन भारतीय दार्शनिक प्रणाली से निकटता से जुड़ी थी?")</f>
        <v>मुस्ति युद्ध की प्रथा किस प्राचीन भारतीय दार्शनिक प्रणाली से निकटता से जुड़ी थी?</v>
      </c>
      <c r="H465" s="5" t="str">
        <f>IFERROR(__xludf.DUMMYFUNCTION("GOOGLETRANSLATE(C465, ""en"", ""hi"")"),"ए) वेदांत, बी) योग, सी) तंत्र, डी) सांख्य")</f>
        <v>ए) वेदांत, बी) योग, सी) तंत्र, डी) सांख्य</v>
      </c>
      <c r="I465" s="5" t="str">
        <f>IFERROR(__xludf.DUMMYFUNCTION("GOOGLETRANSLATE(D465, ""en"", ""hi"")"),"बी) योग")</f>
        <v>बी) योग</v>
      </c>
    </row>
    <row r="466" ht="22.5" customHeight="1">
      <c r="A466" s="7">
        <v>465.0</v>
      </c>
      <c r="B466" s="4" t="s">
        <v>3672</v>
      </c>
      <c r="C466" s="4" t="s">
        <v>3673</v>
      </c>
      <c r="D466" s="4" t="s">
        <v>2577</v>
      </c>
      <c r="F466" s="5" t="str">
        <f>IFERROR(__xludf.DUMMYFUNCTION("GOOGLETRANSLATE(A466, ""en"", ""hi"")"),"465")</f>
        <v>465</v>
      </c>
      <c r="G466" s="5" t="str">
        <f>IFERROR(__xludf.DUMMYFUNCTION("GOOGLETRANSLATE(B466, ""en"", ""hi"")"),"हिंदू पौराणिक कथाओं में किस महान व्यक्ति के बारे में कहा जाता है कि वह मुस्ति युद्ध में शामिल था?")</f>
        <v>हिंदू पौराणिक कथाओं में किस महान व्यक्ति के बारे में कहा जाता है कि वह मुस्ति युद्ध में शामिल था?</v>
      </c>
      <c r="H466" s="5" t="str">
        <f>IFERROR(__xludf.DUMMYFUNCTION("GOOGLETRANSLATE(C466, ""en"", ""hi"")"),"A) हनुमान, B) कृष्ण, C) भीम, D) इंद्र")</f>
        <v>A) हनुमान, B) कृष्ण, C) भीम, D) इंद्र</v>
      </c>
      <c r="I466" s="5" t="str">
        <f>IFERROR(__xludf.DUMMYFUNCTION("GOOGLETRANSLATE(D466, ""en"", ""hi"")"),"C) भीम")</f>
        <v>C) भीम</v>
      </c>
    </row>
    <row r="467" ht="22.5" customHeight="1">
      <c r="A467" s="7">
        <v>466.0</v>
      </c>
      <c r="B467" s="4" t="s">
        <v>3674</v>
      </c>
      <c r="C467" s="4" t="s">
        <v>3675</v>
      </c>
      <c r="D467" s="4" t="s">
        <v>3676</v>
      </c>
      <c r="F467" s="5" t="str">
        <f>IFERROR(__xludf.DUMMYFUNCTION("GOOGLETRANSLATE(A467, ""en"", ""hi"")"),"466")</f>
        <v>466</v>
      </c>
      <c r="G467" s="5" t="str">
        <f>IFERROR(__xludf.DUMMYFUNCTION("GOOGLETRANSLATE(B467, ""en"", ""hi"")"),"निम्नलिखित में से कौन सा राज्य अपने शाही दरबारों में मुस्ति युद्ध कार्यक्रम आयोजित करने के लिए जाना जाता था?")</f>
        <v>निम्नलिखित में से कौन सा राज्य अपने शाही दरबारों में मुस्ति युद्ध कार्यक्रम आयोजित करने के लिए जाना जाता था?</v>
      </c>
      <c r="H467" s="5" t="str">
        <f>IFERROR(__xludf.DUMMYFUNCTION("GOOGLETRANSLATE(C467, ""en"", ""hi"")"),"ए) मगध, बी) विजयनगर, सी) पल्लव, डी) मौर्य")</f>
        <v>ए) मगध, बी) विजयनगर, सी) पल्लव, डी) मौर्य</v>
      </c>
      <c r="I467" s="5" t="str">
        <f>IFERROR(__xludf.DUMMYFUNCTION("GOOGLETRANSLATE(D467, ""en"", ""hi"")"),"D) मौर्य")</f>
        <v>D) मौर्य</v>
      </c>
    </row>
    <row r="468" ht="22.5" customHeight="1">
      <c r="A468" s="7">
        <v>467.0</v>
      </c>
      <c r="B468" s="4" t="s">
        <v>3677</v>
      </c>
      <c r="C468" s="4" t="s">
        <v>3678</v>
      </c>
      <c r="D468" s="4" t="s">
        <v>3679</v>
      </c>
      <c r="F468" s="5" t="str">
        <f>IFERROR(__xludf.DUMMYFUNCTION("GOOGLETRANSLATE(A468, ""en"", ""hi"")"),"467")</f>
        <v>467</v>
      </c>
      <c r="G468" s="5" t="str">
        <f>IFERROR(__xludf.DUMMYFUNCTION("GOOGLETRANSLATE(B468, ""en"", ""hi"")"),"वज्र मुस्ति युद्ध में 'वज्र', मुस्ति युद्ध की एक शैली, युद्ध के किस तत्व का प्रतीक है?")</f>
        <v>वज्र मुस्ति युद्ध में 'वज्र', मुस्ति युद्ध की एक शैली, युद्ध के किस तत्व का प्रतीक है?</v>
      </c>
      <c r="H468" s="5" t="str">
        <f>IFERROR(__xludf.DUMMYFUNCTION("GOOGLETRANSLATE(C468, ""en"", ""hi"")"),"A) आग, B) बिजली, C) वज्र, D) भूकंप")</f>
        <v>A) आग, B) बिजली, C) वज्र, D) भूकंप</v>
      </c>
      <c r="I468" s="5" t="str">
        <f>IFERROR(__xludf.DUMMYFUNCTION("GOOGLETRANSLATE(D468, ""en"", ""hi"")"),"C) थंडरबोल्ट")</f>
        <v>C) थंडरबोल्ट</v>
      </c>
    </row>
    <row r="469" ht="22.5" customHeight="1">
      <c r="A469" s="7">
        <v>468.0</v>
      </c>
      <c r="B469" s="4" t="s">
        <v>3680</v>
      </c>
      <c r="C469" s="4" t="s">
        <v>3681</v>
      </c>
      <c r="D469" s="4" t="s">
        <v>3682</v>
      </c>
      <c r="F469" s="5" t="str">
        <f>IFERROR(__xludf.DUMMYFUNCTION("GOOGLETRANSLATE(A469, ""en"", ""hi"")"),"468")</f>
        <v>468</v>
      </c>
      <c r="G469" s="5" t="str">
        <f>IFERROR(__xludf.DUMMYFUNCTION("GOOGLETRANSLATE(B469, ""en"", ""hi"")"),"किस प्राचीन भारतीय दार्शनिक की शिक्षाओं को अक्सर मुस्ति युद्ध में आवश्यक अनुशासन से जोड़ा जाता है?")</f>
        <v>किस प्राचीन भारतीय दार्शनिक की शिक्षाओं को अक्सर मुस्ति युद्ध में आवश्यक अनुशासन से जोड़ा जाता है?</v>
      </c>
      <c r="H469" s="5" t="str">
        <f>IFERROR(__xludf.DUMMYFUNCTION("GOOGLETRANSLATE(C469, ""en"", ""hi"")"),"ए) चाणक्य, बी) पतंजलि, सी) पाणिनि, डी) व्यास")</f>
        <v>ए) चाणक्य, बी) पतंजलि, सी) पाणिनि, डी) व्यास</v>
      </c>
      <c r="I469" s="5" t="str">
        <f>IFERROR(__xludf.DUMMYFUNCTION("GOOGLETRANSLATE(D469, ""en"", ""hi"")"),"बी) पतंजलि")</f>
        <v>बी) पतंजलि</v>
      </c>
    </row>
    <row r="470" ht="22.5" customHeight="1">
      <c r="A470" s="7">
        <v>469.0</v>
      </c>
      <c r="B470" s="4" t="s">
        <v>3683</v>
      </c>
      <c r="C470" s="4" t="s">
        <v>3684</v>
      </c>
      <c r="D470" s="4" t="s">
        <v>3685</v>
      </c>
      <c r="F470" s="5" t="str">
        <f>IFERROR(__xludf.DUMMYFUNCTION("GOOGLETRANSLATE(A470, ""en"", ""hi"")"),"469")</f>
        <v>469</v>
      </c>
      <c r="G470" s="5" t="str">
        <f>IFERROR(__xludf.DUMMYFUNCTION("GOOGLETRANSLATE(B470, ""en"", ""hi"")"),"प्राचीन भारत में, मुस्ति युद्ध प्रशिक्षण में शारीरिक, मानसिक और अन्य किस प्रकार की तैयारी शामिल थी?")</f>
        <v>प्राचीन भारत में, मुस्ति युद्ध प्रशिक्षण में शारीरिक, मानसिक और अन्य किस प्रकार की तैयारी शामिल थी?</v>
      </c>
      <c r="H470" s="5" t="str">
        <f>IFERROR(__xludf.DUMMYFUNCTION("GOOGLETRANSLATE(C470, ""en"", ""hi"")"),"A) आध्यात्मिक, B) सामरिक, C) वित्तीय, D) राजनीतिक")</f>
        <v>A) आध्यात्मिक, B) सामरिक, C) वित्तीय, D) राजनीतिक</v>
      </c>
      <c r="I470" s="5" t="str">
        <f>IFERROR(__xludf.DUMMYFUNCTION("GOOGLETRANSLATE(D470, ""en"", ""hi"")"),"ए) आध्यात्मिक")</f>
        <v>ए) आध्यात्मिक</v>
      </c>
    </row>
    <row r="471" ht="22.5" customHeight="1">
      <c r="A471" s="7">
        <v>470.0</v>
      </c>
      <c r="B471" s="4" t="s">
        <v>3686</v>
      </c>
      <c r="C471" s="4" t="s">
        <v>3687</v>
      </c>
      <c r="D471" s="4" t="s">
        <v>3415</v>
      </c>
      <c r="F471" s="5" t="str">
        <f>IFERROR(__xludf.DUMMYFUNCTION("GOOGLETRANSLATE(A471, ""en"", ""hi"")"),"470")</f>
        <v>470</v>
      </c>
      <c r="G471" s="5" t="str">
        <f>IFERROR(__xludf.DUMMYFUNCTION("GOOGLETRANSLATE(B471, ""en"", ""hi"")"),"प्राचीन भारतीय समाज में मुस्ति युद्ध मुख्य रूप से किस वर्ग द्वारा किया जाता था?")</f>
        <v>प्राचीन भारतीय समाज में मुस्ति युद्ध मुख्य रूप से किस वर्ग द्वारा किया जाता था?</v>
      </c>
      <c r="H471" s="5" t="str">
        <f>IFERROR(__xludf.DUMMYFUNCTION("GOOGLETRANSLATE(C471, ""en"", ""hi"")"),"ए) क्षत्रिय, बी) वैश्य, सी) ब्राह्मण, डी) शूद्र")</f>
        <v>ए) क्षत्रिय, बी) वैश्य, सी) ब्राह्मण, डी) शूद्र</v>
      </c>
      <c r="I471" s="5" t="str">
        <f>IFERROR(__xludf.DUMMYFUNCTION("GOOGLETRANSLATE(D471, ""en"", ""hi"")"),"A) क्षत्रिय")</f>
        <v>A) क्षत्रिय</v>
      </c>
    </row>
    <row r="472" ht="22.5" customHeight="1">
      <c r="A472" s="7">
        <v>471.0</v>
      </c>
      <c r="B472" s="4" t="s">
        <v>3688</v>
      </c>
      <c r="C472" s="4" t="s">
        <v>3689</v>
      </c>
      <c r="D472" s="4" t="s">
        <v>2693</v>
      </c>
      <c r="F472" s="5" t="str">
        <f>IFERROR(__xludf.DUMMYFUNCTION("GOOGLETRANSLATE(A472, ""en"", ""hi"")"),"471")</f>
        <v>471</v>
      </c>
      <c r="G472" s="5" t="str">
        <f>IFERROR(__xludf.DUMMYFUNCTION("GOOGLETRANSLATE(B472, ""en"", ""hi"")"),"किस प्राचीन भारतीय ग्रंथ में मुस्ति युद्ध में लड़ने के नियमों और तकनीकों का वर्णन किया गया है?")</f>
        <v>किस प्राचीन भारतीय ग्रंथ में मुस्ति युद्ध में लड़ने के नियमों और तकनीकों का वर्णन किया गया है?</v>
      </c>
      <c r="H472" s="5" t="str">
        <f>IFERROR(__xludf.DUMMYFUNCTION("GOOGLETRANSLATE(C472, ""en"", ""hi"")"),"ए) अर्थशास्त्र, बी) मनुस्मृति, सी) न्याय सूत्र, डी) धनुर्वेद")</f>
        <v>ए) अर्थशास्त्र, बी) मनुस्मृति, सी) न्याय सूत्र, डी) धनुर्वेद</v>
      </c>
      <c r="I472" s="5" t="str">
        <f>IFERROR(__xludf.DUMMYFUNCTION("GOOGLETRANSLATE(D472, ""en"", ""hi"")"),"D) धनुर्वेद")</f>
        <v>D) धनुर्वेद</v>
      </c>
    </row>
    <row r="473" ht="22.5" customHeight="1">
      <c r="A473" s="7">
        <v>472.0</v>
      </c>
      <c r="B473" s="4" t="s">
        <v>3690</v>
      </c>
      <c r="C473" s="4" t="s">
        <v>3691</v>
      </c>
      <c r="D473" s="4" t="s">
        <v>3692</v>
      </c>
      <c r="F473" s="5" t="str">
        <f>IFERROR(__xludf.DUMMYFUNCTION("GOOGLETRANSLATE(A473, ""en"", ""hi"")"),"472")</f>
        <v>472</v>
      </c>
      <c r="G473" s="5" t="str">
        <f>IFERROR(__xludf.DUMMYFUNCTION("GOOGLETRANSLATE(B473, ""en"", ""hi"")"),"मुस्ति युद्ध मुख्यतः किस भौगोलिक क्षेत्र में मार्शल आर्ट के रूप में प्रचलित था?")</f>
        <v>मुस्ति युद्ध मुख्यतः किस भौगोलिक क्षेत्र में मार्शल आर्ट के रूप में प्रचलित था?</v>
      </c>
      <c r="H473" s="5" t="str">
        <f>IFERROR(__xludf.DUMMYFUNCTION("GOOGLETRANSLATE(C473, ""en"", ""hi"")"),"A) उत्तरी भारत, B) दक्षिणी भारत, C) पूर्वी भारत, D) पश्चिमी भारत")</f>
        <v>A) उत्तरी भारत, B) दक्षिणी भारत, C) पूर्वी भारत, D) पश्चिमी भारत</v>
      </c>
      <c r="I473" s="5" t="str">
        <f>IFERROR(__xludf.DUMMYFUNCTION("GOOGLETRANSLATE(D473, ""en"", ""hi"")"),"A) उत्तरी भारत")</f>
        <v>A) उत्तरी भारत</v>
      </c>
    </row>
    <row r="474" ht="22.5" customHeight="1">
      <c r="A474" s="7">
        <v>473.0</v>
      </c>
      <c r="B474" s="4" t="s">
        <v>3693</v>
      </c>
      <c r="C474" s="4" t="s">
        <v>3694</v>
      </c>
      <c r="D474" s="4" t="s">
        <v>3549</v>
      </c>
      <c r="F474" s="5" t="str">
        <f>IFERROR(__xludf.DUMMYFUNCTION("GOOGLETRANSLATE(A474, ""en"", ""hi"")"),"473")</f>
        <v>473</v>
      </c>
      <c r="G474" s="5" t="str">
        <f>IFERROR(__xludf.DUMMYFUNCTION("GOOGLETRANSLATE(B474, ""en"", ""hi"")"),"प्राचीन भारत में मुस्ति युद्ध मैच अक्सर किस परिवेश में आयोजित किए जाते थे?")</f>
        <v>प्राचीन भारत में मुस्ति युद्ध मैच अक्सर किस परिवेश में आयोजित किए जाते थे?</v>
      </c>
      <c r="H474" s="5" t="str">
        <f>IFERROR(__xludf.DUMMYFUNCTION("GOOGLETRANSLATE(C474, ""en"", ""hi"")"),"A) खुले मैदान, B) मंदिर, C) शाही दरबार, D) प्रशिक्षण क्षेत्र")</f>
        <v>A) खुले मैदान, B) मंदिर, C) शाही दरबार, D) प्रशिक्षण क्षेत्र</v>
      </c>
      <c r="I474" s="5" t="str">
        <f>IFERROR(__xludf.DUMMYFUNCTION("GOOGLETRANSLATE(D474, ""en"", ""hi"")"),"C) शाही दरबार")</f>
        <v>C) शाही दरबार</v>
      </c>
    </row>
    <row r="475" ht="22.5" customHeight="1">
      <c r="A475" s="7">
        <v>474.0</v>
      </c>
      <c r="B475" s="4" t="s">
        <v>3695</v>
      </c>
      <c r="C475" s="4" t="s">
        <v>3696</v>
      </c>
      <c r="D475" s="4" t="s">
        <v>3697</v>
      </c>
      <c r="F475" s="5" t="str">
        <f>IFERROR(__xludf.DUMMYFUNCTION("GOOGLETRANSLATE(A475, ""en"", ""hi"")"),"474")</f>
        <v>474</v>
      </c>
      <c r="G475" s="5" t="str">
        <f>IFERROR(__xludf.DUMMYFUNCTION("GOOGLETRANSLATE(B475, ""en"", ""hi"")"),"प्राचीन भारतीय इतिहास में किस युद्ध को मुस्ति युद्ध शैली का युद्ध माना जाता है?")</f>
        <v>प्राचीन भारतीय इतिहास में किस युद्ध को मुस्ति युद्ध शैली का युद्ध माना जाता है?</v>
      </c>
      <c r="H475" s="5" t="str">
        <f>IFERROR(__xludf.DUMMYFUNCTION("GOOGLETRANSLATE(C475, ""en"", ""hi"")"),"ए) कुरूक्षेत्र की लड़ाई, बी) हाइडेस्पेस की लड़ाई, सी) कलिंग की लड़ाई, डी) तराइन की लड़ाई")</f>
        <v>ए) कुरूक्षेत्र की लड़ाई, बी) हाइडेस्पेस की लड़ाई, सी) कलिंग की लड़ाई, डी) तराइन की लड़ाई</v>
      </c>
      <c r="I475" s="5" t="str">
        <f>IFERROR(__xludf.DUMMYFUNCTION("GOOGLETRANSLATE(D475, ""en"", ""hi"")"),"A) कुरुक्षेत्र का युद्ध")</f>
        <v>A) कुरुक्षेत्र का युद्ध</v>
      </c>
    </row>
    <row r="476" ht="22.5" customHeight="1">
      <c r="A476" s="7">
        <v>475.0</v>
      </c>
      <c r="B476" s="4" t="s">
        <v>3698</v>
      </c>
      <c r="C476" s="4" t="s">
        <v>3699</v>
      </c>
      <c r="D476" s="4" t="s">
        <v>3700</v>
      </c>
      <c r="F476" s="5" t="str">
        <f>IFERROR(__xludf.DUMMYFUNCTION("GOOGLETRANSLATE(A476, ""en"", ""hi"")"),"475")</f>
        <v>475</v>
      </c>
      <c r="G476" s="5" t="str">
        <f>IFERROR(__xludf.DUMMYFUNCTION("GOOGLETRANSLATE(B476, ""en"", ""hi"")"),"मुस्ति युद्ध को सामान्यतः युद्ध के किस अन्य रूप के साथ सिखाया जाता था?")</f>
        <v>मुस्ति युद्ध को सामान्यतः युद्ध के किस अन्य रूप के साथ सिखाया जाता था?</v>
      </c>
      <c r="H476" s="5" t="str">
        <f>IFERROR(__xludf.DUMMYFUNCTION("GOOGLETRANSLATE(C476, ""en"", ""hi"")"),"A) तलवारबाजी, B) तीरंदाजी, C) भालाबाजी, D) कुश्ती")</f>
        <v>A) तलवारबाजी, B) तीरंदाजी, C) भालाबाजी, D) कुश्ती</v>
      </c>
      <c r="I476" s="5" t="str">
        <f>IFERROR(__xludf.DUMMYFUNCTION("GOOGLETRANSLATE(D476, ""en"", ""hi"")"),"डी) कुश्ती")</f>
        <v>डी) कुश्ती</v>
      </c>
    </row>
    <row r="477" ht="22.5" customHeight="1">
      <c r="A477" s="7">
        <v>476.0</v>
      </c>
      <c r="B477" s="4" t="s">
        <v>3701</v>
      </c>
      <c r="C477" s="4" t="s">
        <v>3702</v>
      </c>
      <c r="D477" s="4" t="s">
        <v>3703</v>
      </c>
      <c r="F477" s="5" t="str">
        <f>IFERROR(__xludf.DUMMYFUNCTION("GOOGLETRANSLATE(A477, ""en"", ""hi"")"),"476")</f>
        <v>476</v>
      </c>
      <c r="G477" s="5" t="str">
        <f>IFERROR(__xludf.DUMMYFUNCTION("GOOGLETRANSLATE(B477, ""en"", ""hi"")"),"भारत में मुस्ति युद्ध का पतन किस विदेशी शक्ति के प्रभाव के साथ हुआ?")</f>
        <v>भारत में मुस्ति युद्ध का पतन किस विदेशी शक्ति के प्रभाव के साथ हुआ?</v>
      </c>
      <c r="H477" s="5" t="str">
        <f>IFERROR(__xludf.DUMMYFUNCTION("GOOGLETRANSLATE(C477, ""en"", ""hi"")"),"A) मुगल, B) ब्रिटिश, C) पुर्तगाली, D) फ्रांसीसी")</f>
        <v>A) मुगल, B) ब्रिटिश, C) पुर्तगाली, D) फ्रांसीसी</v>
      </c>
      <c r="I477" s="5" t="str">
        <f>IFERROR(__xludf.DUMMYFUNCTION("GOOGLETRANSLATE(D477, ""en"", ""hi"")"),"बी) ब्रिटिश")</f>
        <v>बी) ब्रिटिश</v>
      </c>
    </row>
    <row r="478" ht="22.5" customHeight="1">
      <c r="A478" s="7">
        <v>477.0</v>
      </c>
      <c r="B478" s="4" t="s">
        <v>3704</v>
      </c>
      <c r="C478" s="4" t="s">
        <v>3705</v>
      </c>
      <c r="D478" s="4" t="s">
        <v>3706</v>
      </c>
      <c r="F478" s="5" t="str">
        <f>IFERROR(__xludf.DUMMYFUNCTION("GOOGLETRANSLATE(A478, ""en"", ""hi"")"),"477")</f>
        <v>477</v>
      </c>
      <c r="G478" s="5" t="str">
        <f>IFERROR(__xludf.DUMMYFUNCTION("GOOGLETRANSLATE(B478, ""en"", ""hi"")"),"19वीं शताब्दी में भारत में ब्रिटिश मुक्केबाजी के आगमन से किस देशी मार्शल आर्ट के प्रचलन में गिरावट आई?")</f>
        <v>19वीं शताब्दी में भारत में ब्रिटिश मुक्केबाजी के आगमन से किस देशी मार्शल आर्ट के प्रचलन में गिरावट आई?</v>
      </c>
      <c r="H478" s="5" t="str">
        <f>IFERROR(__xludf.DUMMYFUNCTION("GOOGLETRANSLATE(C478, ""en"", ""hi"")"),"ए) कलारीपयट्टू, बी) पहलवानी, सी) मुस्ती युद्ध, डी) वज्र मुष्टि")</f>
        <v>ए) कलारीपयट्टू, बी) पहलवानी, सी) मुस्ती युद्ध, डी) वज्र मुष्टि</v>
      </c>
      <c r="I478" s="5" t="str">
        <f>IFERROR(__xludf.DUMMYFUNCTION("GOOGLETRANSLATE(D478, ""en"", ""hi"")"),"C) मुस्ति युद्ध")</f>
        <v>C) मुस्ति युद्ध</v>
      </c>
    </row>
    <row r="479" ht="22.5" customHeight="1">
      <c r="A479" s="7">
        <v>478.0</v>
      </c>
      <c r="B479" s="4" t="s">
        <v>3707</v>
      </c>
      <c r="C479" s="4" t="s">
        <v>3708</v>
      </c>
      <c r="D479" s="4" t="s">
        <v>3709</v>
      </c>
      <c r="F479" s="5" t="str">
        <f>IFERROR(__xludf.DUMMYFUNCTION("GOOGLETRANSLATE(A479, ""en"", ""hi"")"),"478")</f>
        <v>478</v>
      </c>
      <c r="G479" s="5" t="str">
        <f>IFERROR(__xludf.DUMMYFUNCTION("GOOGLETRANSLATE(B479, ""en"", ""hi"")"),"प्राचीन भारत में मनोरंजन का कौन सा रूप अक्सर मुस्ति युद्ध प्रदर्शनों के साथ होता था?")</f>
        <v>प्राचीन भारत में मनोरंजन का कौन सा रूप अक्सर मुस्ति युद्ध प्रदर्शनों के साथ होता था?</v>
      </c>
      <c r="H479" s="5" t="str">
        <f>IFERROR(__xludf.DUMMYFUNCTION("GOOGLETRANSLATE(C479, ""en"", ""hi"")"),"A) संगीत समारोह, B) कहानी सुनाने के सत्र, C) नृत्य प्रदर्शन, D) कुश्ती मुकाबले")</f>
        <v>A) संगीत समारोह, B) कहानी सुनाने के सत्र, C) नृत्य प्रदर्शन, D) कुश्ती मुकाबले</v>
      </c>
      <c r="I479" s="5" t="str">
        <f>IFERROR(__xludf.DUMMYFUNCTION("GOOGLETRANSLATE(D479, ""en"", ""hi"")"),"D) कुश्ती मैच")</f>
        <v>D) कुश्ती मैच</v>
      </c>
    </row>
    <row r="480" ht="22.5" customHeight="1">
      <c r="A480" s="7">
        <v>479.0</v>
      </c>
      <c r="B480" s="4" t="s">
        <v>3710</v>
      </c>
      <c r="C480" s="4" t="s">
        <v>3711</v>
      </c>
      <c r="D480" s="4" t="s">
        <v>3712</v>
      </c>
      <c r="F480" s="5" t="str">
        <f>IFERROR(__xludf.DUMMYFUNCTION("GOOGLETRANSLATE(A480, ""en"", ""hi"")"),"479")</f>
        <v>479</v>
      </c>
      <c r="G480" s="5" t="str">
        <f>IFERROR(__xludf.DUMMYFUNCTION("GOOGLETRANSLATE(B480, ""en"", ""hi"")"),"कौन सा वैदिक देवता प्रायः प्रतीकात्मक रूप से मुस्ति युद्ध में प्रदर्शित शक्ति और सामर्थ्य से जुड़ा हुआ है?")</f>
        <v>कौन सा वैदिक देवता प्रायः प्रतीकात्मक रूप से मुस्ति युद्ध में प्रदर्शित शक्ति और सामर्थ्य से जुड़ा हुआ है?</v>
      </c>
      <c r="H480" s="5" t="str">
        <f>IFERROR(__xludf.DUMMYFUNCTION("GOOGLETRANSLATE(C480, ""en"", ""hi"")"),"A) विष्णु, B) इंद्र, C) अग्नि, D) रुद्र")</f>
        <v>A) विष्णु, B) इंद्र, C) अग्नि, D) रुद्र</v>
      </c>
      <c r="I480" s="5" t="str">
        <f>IFERROR(__xludf.DUMMYFUNCTION("GOOGLETRANSLATE(D480, ""en"", ""hi"")"),"बी) इंद्र")</f>
        <v>बी) इंद्र</v>
      </c>
    </row>
    <row r="481" ht="22.5" customHeight="1">
      <c r="A481" s="7">
        <v>480.0</v>
      </c>
      <c r="B481" s="4" t="s">
        <v>3713</v>
      </c>
      <c r="C481" s="4" t="s">
        <v>3714</v>
      </c>
      <c r="D481" s="4" t="s">
        <v>3715</v>
      </c>
      <c r="F481" s="5" t="str">
        <f>IFERROR(__xludf.DUMMYFUNCTION("GOOGLETRANSLATE(A481, ""en"", ""hi"")"),"480")</f>
        <v>480</v>
      </c>
      <c r="G481" s="5" t="str">
        <f>IFERROR(__xludf.DUMMYFUNCTION("GOOGLETRANSLATE(B481, ""en"", ""hi"")"),"मुस्ति युद्ध किस प्राचीन भारतीय साम्राज्य के सैन्य प्रशिक्षण कार्यक्रम में शामिल था?")</f>
        <v>मुस्ति युद्ध किस प्राचीन भारतीय साम्राज्य के सैन्य प्रशिक्षण कार्यक्रम में शामिल था?</v>
      </c>
      <c r="H481" s="5" t="str">
        <f>IFERROR(__xludf.DUMMYFUNCTION("GOOGLETRANSLATE(C481, ""en"", ""hi"")"),"A) चोल साम्राज्य, B) गुप्त साम्राज्य, C) मुगल साम्राज्य, D) मौर्य साम्राज्य")</f>
        <v>A) चोल साम्राज्य, B) गुप्त साम्राज्य, C) मुगल साम्राज्य, D) मौर्य साम्राज्य</v>
      </c>
      <c r="I481" s="5" t="str">
        <f>IFERROR(__xludf.DUMMYFUNCTION("GOOGLETRANSLATE(D481, ""en"", ""hi"")"),"D) मौर्य साम्राज्य")</f>
        <v>D) मौर्य साम्राज्य</v>
      </c>
    </row>
    <row r="482" ht="22.5" customHeight="1">
      <c r="A482" s="7">
        <v>481.0</v>
      </c>
      <c r="B482" s="4" t="s">
        <v>3716</v>
      </c>
      <c r="C482" s="4" t="s">
        <v>3717</v>
      </c>
      <c r="D482" s="4" t="s">
        <v>110</v>
      </c>
      <c r="F482" s="5" t="str">
        <f>IFERROR(__xludf.DUMMYFUNCTION("GOOGLETRANSLATE(A482, ""en"", ""hi"")"),"481")</f>
        <v>481</v>
      </c>
      <c r="G482" s="5" t="str">
        <f>IFERROR(__xludf.DUMMYFUNCTION("GOOGLETRANSLATE(B482, ""en"", ""hi"")"),"आधुनिक भारत में कौन सा क्षेत्र 19वीं शताब्दी तक मुस्ति युद्ध परम्पराओं को बनाए रखने के लिए जाना जाता है?")</f>
        <v>आधुनिक भारत में कौन सा क्षेत्र 19वीं शताब्दी तक मुस्ति युद्ध परम्पराओं को बनाए रखने के लिए जाना जाता है?</v>
      </c>
      <c r="H482" s="5" t="str">
        <f>IFERROR(__xludf.DUMMYFUNCTION("GOOGLETRANSLATE(C482, ""en"", ""hi"")"),"ए) उत्तर प्रदेश, बी) बिहार, सी) राजस्थान, डी) महाराष्ट्र")</f>
        <v>ए) उत्तर प्रदेश, बी) बिहार, सी) राजस्थान, डी) महाराष्ट्र</v>
      </c>
      <c r="I482" s="5" t="str">
        <f>IFERROR(__xludf.DUMMYFUNCTION("GOOGLETRANSLATE(D482, ""en"", ""hi"")"),"A) उत्तर प्रदेश")</f>
        <v>A) उत्तर प्रदेश</v>
      </c>
    </row>
    <row r="483" ht="22.5" customHeight="1">
      <c r="A483" s="7">
        <v>482.0</v>
      </c>
      <c r="B483" s="4" t="s">
        <v>3718</v>
      </c>
      <c r="C483" s="4" t="s">
        <v>3719</v>
      </c>
      <c r="D483" s="4" t="s">
        <v>3720</v>
      </c>
      <c r="F483" s="5" t="str">
        <f>IFERROR(__xludf.DUMMYFUNCTION("GOOGLETRANSLATE(A483, ""en"", ""hi"")"),"482")</f>
        <v>482</v>
      </c>
      <c r="G483" s="5" t="str">
        <f>IFERROR(__xludf.DUMMYFUNCTION("GOOGLETRANSLATE(B483, ""en"", ""hi"")"),"मुस्ति युद्ध की उत्पत्ति प्राचीन भारतीय मार्शल दर्शन की किस शाखा में हुई है?")</f>
        <v>मुस्ति युद्ध की उत्पत्ति प्राचीन भारतीय मार्शल दर्शन की किस शाखा में हुई है?</v>
      </c>
      <c r="H483" s="5" t="str">
        <f>IFERROR(__xludf.DUMMYFUNCTION("GOOGLETRANSLATE(C483, ""en"", ""hi"")"),"ए) धनुर्वेद, बी) न्याय सूत्र, सी) उपनिषद, डी) सांख्य")</f>
        <v>ए) धनुर्वेद, बी) न्याय सूत्र, सी) उपनिषद, डी) सांख्य</v>
      </c>
      <c r="I483" s="5" t="str">
        <f>IFERROR(__xludf.DUMMYFUNCTION("GOOGLETRANSLATE(D483, ""en"", ""hi"")"),"A) धनुर्वेद")</f>
        <v>A) धनुर्वेद</v>
      </c>
    </row>
    <row r="484" ht="22.5" customHeight="1">
      <c r="A484" s="7">
        <v>483.0</v>
      </c>
      <c r="B484" s="4" t="s">
        <v>3721</v>
      </c>
      <c r="C484" s="4" t="s">
        <v>3722</v>
      </c>
      <c r="D484" s="4" t="s">
        <v>3723</v>
      </c>
      <c r="F484" s="5" t="str">
        <f>IFERROR(__xludf.DUMMYFUNCTION("GOOGLETRANSLATE(A484, ""en"", ""hi"")"),"483")</f>
        <v>483</v>
      </c>
      <c r="G484" s="5" t="str">
        <f>IFERROR(__xludf.DUMMYFUNCTION("GOOGLETRANSLATE(B484, ""en"", ""hi"")"),"मुस्ति युद्ध के नियमों का उल्लंघन करने वालों को कभी-कभी किस प्रकार की सजा दी जाती थी?")</f>
        <v>मुस्ति युद्ध के नियमों का उल्लंघन करने वालों को कभी-कभी किस प्रकार की सजा दी जाती थी?</v>
      </c>
      <c r="H484" s="5" t="str">
        <f>IFERROR(__xludf.DUMMYFUNCTION("GOOGLETRANSLATE(C484, ""en"", ""hi"")"),"A) निर्वासन, B) जुर्माना, C) निर्वासन, D) सार्वजनिक अपमान")</f>
        <v>A) निर्वासन, B) जुर्माना, C) निर्वासन, D) सार्वजनिक अपमान</v>
      </c>
      <c r="I484" s="5" t="str">
        <f>IFERROR(__xludf.DUMMYFUNCTION("GOOGLETRANSLATE(D484, ""en"", ""hi"")"),"सी) निर्वासन")</f>
        <v>सी) निर्वासन</v>
      </c>
    </row>
    <row r="485" ht="22.5" customHeight="1">
      <c r="A485" s="7">
        <v>484.0</v>
      </c>
      <c r="B485" s="4" t="s">
        <v>3724</v>
      </c>
      <c r="C485" s="4" t="s">
        <v>3725</v>
      </c>
      <c r="D485" s="4" t="s">
        <v>2994</v>
      </c>
      <c r="F485" s="5" t="str">
        <f>IFERROR(__xludf.DUMMYFUNCTION("GOOGLETRANSLATE(A485, ""en"", ""hi"")"),"484")</f>
        <v>484</v>
      </c>
      <c r="G485" s="5" t="str">
        <f>IFERROR(__xludf.DUMMYFUNCTION("GOOGLETRANSLATE(B485, ""en"", ""hi"")"),"ब्रिटिश शासन के दौरान अंततः किस आयातित युद्ध खेल ने मुस्ति युद्ध को फीका कर दिया?")</f>
        <v>ब्रिटिश शासन के दौरान अंततः किस आयातित युद्ध खेल ने मुस्ति युद्ध को फीका कर दिया?</v>
      </c>
      <c r="H485" s="5" t="str">
        <f>IFERROR(__xludf.DUMMYFUNCTION("GOOGLETRANSLATE(C485, ""en"", ""hi"")"),"A) जूडो, B) मुक्केबाजी, C) कराटे, D) कुश्ती")</f>
        <v>A) जूडो, B) मुक्केबाजी, C) कराटे, D) कुश्ती</v>
      </c>
      <c r="I485" s="5" t="str">
        <f>IFERROR(__xludf.DUMMYFUNCTION("GOOGLETRANSLATE(D485, ""en"", ""hi"")"),"बी) मुक्केबाजी")</f>
        <v>बी) मुक्केबाजी</v>
      </c>
    </row>
    <row r="486" ht="22.5" customHeight="1">
      <c r="A486" s="7">
        <v>485.0</v>
      </c>
      <c r="B486" s="4" t="s">
        <v>3726</v>
      </c>
      <c r="C486" s="4" t="s">
        <v>3727</v>
      </c>
      <c r="D486" s="4" t="s">
        <v>3728</v>
      </c>
      <c r="F486" s="5" t="str">
        <f>IFERROR(__xludf.DUMMYFUNCTION("GOOGLETRANSLATE(A486, ""en"", ""hi"")"),"485")</f>
        <v>485</v>
      </c>
      <c r="G486" s="5" t="str">
        <f>IFERROR(__xludf.DUMMYFUNCTION("GOOGLETRANSLATE(B486, ""en"", ""hi"")"),"प्राचीन भारत में किस सामाजिक और सांस्कृतिक गतिविधि में कभी-कभी मुस्ति युद्ध प्रदर्शन शामिल होते थे?")</f>
        <v>प्राचीन भारत में किस सामाजिक और सांस्कृतिक गतिविधि में कभी-कभी मुस्ति युद्ध प्रदर्शन शामिल होते थे?</v>
      </c>
      <c r="H486" s="5" t="str">
        <f>IFERROR(__xludf.DUMMYFUNCTION("GOOGLETRANSLATE(C486, ""en"", ""hi"")"),"A) धार्मिक समारोह, B) शाही समारोह, C) फसल उत्सव, D) विवाह")</f>
        <v>A) धार्मिक समारोह, B) शाही समारोह, C) फसल उत्सव, D) विवाह</v>
      </c>
      <c r="I486" s="5" t="str">
        <f>IFERROR(__xludf.DUMMYFUNCTION("GOOGLETRANSLATE(D486, ""en"", ""hi"")"),"बी) शाही समारोह")</f>
        <v>बी) शाही समारोह</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9.75"/>
    <col customWidth="1" min="7" max="8" width="37.63"/>
    <col customWidth="1" min="9" max="9" width="13.5"/>
  </cols>
  <sheetData>
    <row r="1" ht="22.5" customHeight="1">
      <c r="A1" s="1" t="s">
        <v>0</v>
      </c>
      <c r="B1" s="1" t="s">
        <v>1</v>
      </c>
      <c r="C1" s="1" t="s">
        <v>2</v>
      </c>
      <c r="D1" s="1" t="s">
        <v>3</v>
      </c>
      <c r="F1" s="2" t="s">
        <v>4</v>
      </c>
      <c r="G1" s="2" t="s">
        <v>5</v>
      </c>
      <c r="H1" s="2" t="s">
        <v>6</v>
      </c>
      <c r="I1" s="2" t="s">
        <v>7</v>
      </c>
    </row>
    <row r="2" ht="22.5" customHeight="1">
      <c r="A2" s="3">
        <v>1.0</v>
      </c>
      <c r="B2" s="4" t="s">
        <v>3729</v>
      </c>
      <c r="C2" s="4" t="s">
        <v>3730</v>
      </c>
      <c r="D2" s="4" t="s">
        <v>3731</v>
      </c>
      <c r="F2" s="5" t="str">
        <f>IFERROR(__xludf.DUMMYFUNCTION("GOOGLETRANSLATE(A2, ""en"", ""hi"")"),"1")</f>
        <v>1</v>
      </c>
      <c r="G2" s="5" t="str">
        <f>IFERROR(__xludf.DUMMYFUNCTION("GOOGLETRANSLATE(B2, ""en"", ""hi"")"),"लागोरी, जिसे सात पत्थर के नाम से भी जाना जाता है, पारंपरिक रूप से भारत के किस क्षेत्र से जुड़ा हुआ है?")</f>
        <v>लागोरी, जिसे सात पत्थर के नाम से भी जाना जाता है, पारंपरिक रूप से भारत के किस क्षेत्र से जुड़ा हुआ है?</v>
      </c>
      <c r="H2" s="5" t="str">
        <f>IFERROR(__xludf.DUMMYFUNCTION("GOOGLETRANSLATE(C2, ""en"", ""hi"")"),"A) उत्तर भारत, B) दक्षिण भारत, C) पश्चिमी भारत, D) पूर्वी भारत")</f>
        <v>A) उत्तर भारत, B) दक्षिण भारत, C) पश्चिमी भारत, D) पूर्वी भारत</v>
      </c>
      <c r="I2" s="5" t="str">
        <f>IFERROR(__xludf.DUMMYFUNCTION("GOOGLETRANSLATE(D2, ""en"", ""hi"")"),"बी) दक्षिण भारत")</f>
        <v>बी) दक्षिण भारत</v>
      </c>
    </row>
    <row r="3" ht="22.5" customHeight="1">
      <c r="A3" s="3">
        <v>2.0</v>
      </c>
      <c r="B3" s="4" t="s">
        <v>3732</v>
      </c>
      <c r="C3" s="4" t="s">
        <v>3733</v>
      </c>
      <c r="D3" s="4" t="s">
        <v>3365</v>
      </c>
      <c r="F3" s="5" t="str">
        <f>IFERROR(__xludf.DUMMYFUNCTION("GOOGLETRANSLATE(A3, ""en"", ""hi"")"),"2")</f>
        <v>2</v>
      </c>
      <c r="G3" s="5" t="str">
        <f>IFERROR(__xludf.DUMMYFUNCTION("GOOGLETRANSLATE(B3, ""en"", ""hi"")"),"किस प्राचीन ग्रंथ में लागोरी के समान सात पत्थरों से खेले जाने वाले खेल का उल्लेख है?")</f>
        <v>किस प्राचीन ग्रंथ में लागोरी के समान सात पत्थरों से खेले जाने वाले खेल का उल्लेख है?</v>
      </c>
      <c r="H3" s="5" t="str">
        <f>IFERROR(__xludf.DUMMYFUNCTION("GOOGLETRANSLATE(C3, ""en"", ""hi"")"),"ए) महाभारत, बी) रामायण, सी) अर्थशास्त्र, डी) मनुस्मृति")</f>
        <v>ए) महाभारत, बी) रामायण, सी) अर्थशास्त्र, डी) मनुस्मृति</v>
      </c>
      <c r="I3" s="5" t="str">
        <f>IFERROR(__xludf.DUMMYFUNCTION("GOOGLETRANSLATE(D3, ""en"", ""hi"")"),"C) अर्थशास्त्र")</f>
        <v>C) अर्थशास्त्र</v>
      </c>
    </row>
    <row r="4" ht="22.5" customHeight="1">
      <c r="A4" s="3">
        <v>3.0</v>
      </c>
      <c r="B4" s="4" t="s">
        <v>3734</v>
      </c>
      <c r="C4" s="4" t="s">
        <v>3735</v>
      </c>
      <c r="D4" s="4" t="s">
        <v>3736</v>
      </c>
      <c r="F4" s="5" t="str">
        <f>IFERROR(__xludf.DUMMYFUNCTION("GOOGLETRANSLATE(A4, ""en"", ""hi"")"),"3")</f>
        <v>3</v>
      </c>
      <c r="G4" s="5" t="str">
        <f>IFERROR(__xludf.DUMMYFUNCTION("GOOGLETRANSLATE(B4, ""en"", ""hi"")"),"किस शताब्दी में लागोरी ग्रामीण भारत में व्यापक रूप से लोकप्रिय हो गई?")</f>
        <v>किस शताब्दी में लागोरी ग्रामीण भारत में व्यापक रूप से लोकप्रिय हो गई?</v>
      </c>
      <c r="H4" s="5" t="str">
        <f>IFERROR(__xludf.DUMMYFUNCTION("GOOGLETRANSLATE(C4, ""en"", ""hi"")"),"A) 16वीं शताब्दी, B) 18वीं शताब्दी, C) 19वीं शताब्दी, D) 20वीं शताब्दी")</f>
        <v>A) 16वीं शताब्दी, B) 18वीं शताब्दी, C) 19वीं शताब्दी, D) 20वीं शताब्दी</v>
      </c>
      <c r="I4" s="5" t="str">
        <f>IFERROR(__xludf.DUMMYFUNCTION("GOOGLETRANSLATE(D4, ""en"", ""hi"")"),"सी) 19वीं शताब्दी")</f>
        <v>सी) 19वीं शताब्दी</v>
      </c>
    </row>
    <row r="5" ht="22.5" customHeight="1">
      <c r="A5" s="3">
        <v>4.0</v>
      </c>
      <c r="B5" s="4" t="s">
        <v>3737</v>
      </c>
      <c r="C5" s="4" t="s">
        <v>3738</v>
      </c>
      <c r="D5" s="4" t="s">
        <v>2893</v>
      </c>
      <c r="F5" s="5" t="str">
        <f>IFERROR(__xludf.DUMMYFUNCTION("GOOGLETRANSLATE(A5, ""en"", ""hi"")"),"4")</f>
        <v>4</v>
      </c>
      <c r="G5" s="5" t="str">
        <f>IFERROR(__xludf.DUMMYFUNCTION("GOOGLETRANSLATE(B5, ""en"", ""hi"")"),"लागोरी को अक्सर भारत के किस पारंपरिक त्यौहार से जोड़ा जाता है?")</f>
        <v>लागोरी को अक्सर भारत के किस पारंपरिक त्यौहार से जोड़ा जाता है?</v>
      </c>
      <c r="H5" s="5" t="str">
        <f>IFERROR(__xludf.DUMMYFUNCTION("GOOGLETRANSLATE(C5, ""en"", ""hi"")"),"ए) होली, बी) दिवाली, सी) पोंगल, डी) मकर संक्रांति")</f>
        <v>ए) होली, बी) दिवाली, सी) पोंगल, डी) मकर संक्रांति</v>
      </c>
      <c r="I5" s="5" t="str">
        <f>IFERROR(__xludf.DUMMYFUNCTION("GOOGLETRANSLATE(D5, ""en"", ""hi"")"),"D) मकर संक्रांति")</f>
        <v>D) मकर संक्रांति</v>
      </c>
    </row>
    <row r="6" ht="22.5" customHeight="1">
      <c r="A6" s="3">
        <v>5.0</v>
      </c>
      <c r="B6" s="4" t="s">
        <v>3739</v>
      </c>
      <c r="C6" s="4" t="s">
        <v>3740</v>
      </c>
      <c r="D6" s="4" t="s">
        <v>3741</v>
      </c>
      <c r="F6" s="5" t="str">
        <f>IFERROR(__xludf.DUMMYFUNCTION("GOOGLETRANSLATE(A6, ""en"", ""hi"")"),"5")</f>
        <v>5</v>
      </c>
      <c r="G6" s="5" t="str">
        <f>IFERROR(__xludf.DUMMYFUNCTION("GOOGLETRANSLATE(B6, ""en"", ""hi"")"),"ऐसा कहा जाता है कि किस प्रसिद्ध भारतीय शासक को बचपन में लागोरी खेलने में आनंद आता था?")</f>
        <v>ऐसा कहा जाता है कि किस प्रसिद्ध भारतीय शासक को बचपन में लागोरी खेलने में आनंद आता था?</v>
      </c>
      <c r="H6" s="5" t="str">
        <f>IFERROR(__xludf.DUMMYFUNCTION("GOOGLETRANSLATE(C6, ""en"", ""hi"")"),"ए) शिवाजी, बी) अकबर, सी) टीपू सुल्तान, डी) रानी लक्ष्मीबाई")</f>
        <v>ए) शिवाजी, बी) अकबर, सी) टीपू सुल्तान, डी) रानी लक्ष्मीबाई</v>
      </c>
      <c r="I6" s="5" t="str">
        <f>IFERROR(__xludf.DUMMYFUNCTION("GOOGLETRANSLATE(D6, ""en"", ""hi"")"),"C) टीपू सुल्तान")</f>
        <v>C) टीपू सुल्तान</v>
      </c>
    </row>
    <row r="7" ht="22.5" customHeight="1">
      <c r="A7" s="3">
        <v>6.0</v>
      </c>
      <c r="B7" s="4" t="s">
        <v>3742</v>
      </c>
      <c r="C7" s="4" t="s">
        <v>3743</v>
      </c>
      <c r="D7" s="4" t="s">
        <v>3744</v>
      </c>
      <c r="F7" s="5" t="str">
        <f>IFERROR(__xludf.DUMMYFUNCTION("GOOGLETRANSLATE(A7, ""en"", ""hi"")"),"6")</f>
        <v>6</v>
      </c>
      <c r="G7" s="5" t="str">
        <f>IFERROR(__xludf.DUMMYFUNCTION("GOOGLETRANSLATE(B7, ""en"", ""hi"")"),"'लागोरी' नाम किस भाषा के शब्द से लिया गया है?")</f>
        <v>'लागोरी' नाम किस भाषा के शब्द से लिया गया है?</v>
      </c>
      <c r="H7" s="5" t="str">
        <f>IFERROR(__xludf.DUMMYFUNCTION("GOOGLETRANSLATE(C7, ""en"", ""hi"")"),"ए) हिंदी, बी) तमिल, सी) कन्नड़, डी) तेलुगु")</f>
        <v>ए) हिंदी, बी) तमिल, सी) कन्नड़, डी) तेलुगु</v>
      </c>
      <c r="I7" s="5" t="str">
        <f>IFERROR(__xludf.DUMMYFUNCTION("GOOGLETRANSLATE(D7, ""en"", ""hi"")"),"C) कन्नड़")</f>
        <v>C) कन्नड़</v>
      </c>
    </row>
    <row r="8" ht="22.5" customHeight="1">
      <c r="A8" s="3">
        <v>7.0</v>
      </c>
      <c r="B8" s="4" t="s">
        <v>3745</v>
      </c>
      <c r="C8" s="4" t="s">
        <v>3746</v>
      </c>
      <c r="D8" s="4" t="s">
        <v>3747</v>
      </c>
      <c r="F8" s="5" t="str">
        <f>IFERROR(__xludf.DUMMYFUNCTION("GOOGLETRANSLATE(A8, ""en"", ""hi"")"),"7")</f>
        <v>7</v>
      </c>
      <c r="G8" s="5" t="str">
        <f>IFERROR(__xludf.DUMMYFUNCTION("GOOGLETRANSLATE(B8, ""en"", ""hi"")"),"लागोरी के समान कौन सा पारंपरिक खेल प्राचीन यूनानी बच्चों द्वारा खेला जाता था?")</f>
        <v>लागोरी के समान कौन सा पारंपरिक खेल प्राचीन यूनानी बच्चों द्वारा खेला जाता था?</v>
      </c>
      <c r="H8" s="5" t="str">
        <f>IFERROR(__xludf.DUMMYFUNCTION("GOOGLETRANSLATE(C8, ""en"", ""hi"")"),"A) इफेड्रिस्मोस, B) पेंटाथलॉन, C) हॉप्लोमाचिया, D) कोट्टाबोस")</f>
        <v>A) इफेड्रिस्मोस, B) पेंटाथलॉन, C) हॉप्लोमाचिया, D) कोट्टाबोस</v>
      </c>
      <c r="I8" s="5" t="str">
        <f>IFERROR(__xludf.DUMMYFUNCTION("GOOGLETRANSLATE(D8, ""en"", ""hi"")"),"A) एफेड्रिस्मोस")</f>
        <v>A) एफेड्रिस्मोस</v>
      </c>
    </row>
    <row r="9" ht="22.5" customHeight="1">
      <c r="A9" s="3">
        <v>8.0</v>
      </c>
      <c r="B9" s="4" t="s">
        <v>3748</v>
      </c>
      <c r="C9" s="4" t="s">
        <v>3749</v>
      </c>
      <c r="D9" s="4" t="s">
        <v>1836</v>
      </c>
      <c r="F9" s="5" t="str">
        <f>IFERROR(__xludf.DUMMYFUNCTION("GOOGLETRANSLATE(A9, ""en"", ""hi"")"),"8")</f>
        <v>8</v>
      </c>
      <c r="G9" s="5" t="str">
        <f>IFERROR(__xludf.DUMMYFUNCTION("GOOGLETRANSLATE(B9, ""en"", ""hi"")"),"आधुनिक भारत में पहला लागोरी टूर्नामेंट किस वर्ष आयोजित किया गया था?")</f>
        <v>आधुनिक भारत में पहला लागोरी टूर्नामेंट किस वर्ष आयोजित किया गया था?</v>
      </c>
      <c r="H9" s="5" t="str">
        <f>IFERROR(__xludf.DUMMYFUNCTION("GOOGLETRANSLATE(C9, ""en"", ""hi"")"),"ए) 1947, बी) 1955, सी) 1962, डी) 1978")</f>
        <v>ए) 1947, बी) 1955, सी) 1962, डी) 1978</v>
      </c>
      <c r="I9" s="5" t="str">
        <f>IFERROR(__xludf.DUMMYFUNCTION("GOOGLETRANSLATE(D9, ""en"", ""hi"")"),"बी) 1955")</f>
        <v>बी) 1955</v>
      </c>
    </row>
    <row r="10" ht="22.5" customHeight="1">
      <c r="A10" s="3">
        <v>9.0</v>
      </c>
      <c r="B10" s="4" t="s">
        <v>3750</v>
      </c>
      <c r="C10" s="4" t="s">
        <v>3751</v>
      </c>
      <c r="D10" s="4" t="s">
        <v>3752</v>
      </c>
      <c r="F10" s="5" t="str">
        <f>IFERROR(__xludf.DUMMYFUNCTION("GOOGLETRANSLATE(A10, ""en"", ""hi"")"),"9")</f>
        <v>9</v>
      </c>
      <c r="G10" s="5" t="str">
        <f>IFERROR(__xludf.DUMMYFUNCTION("GOOGLETRANSLATE(B10, ""en"", ""hi"")"),"महिलाओं द्वारा खेला जाने वाला कौन सा पारंपरिक भारतीय खेल लागोरी से निकटता से संबंधित है?")</f>
        <v>महिलाओं द्वारा खेला जाने वाला कौन सा पारंपरिक भारतीय खेल लागोरी से निकटता से संबंधित है?</v>
      </c>
      <c r="H10" s="5" t="str">
        <f>IFERROR(__xludf.DUMMYFUNCTION("GOOGLETRANSLATE(C10, ""en"", ""hi"")"),"ए) कबडडी, बी) खो-खो, सी) आत्या-पात्या, डी) थोडा")</f>
        <v>ए) कबडडी, बी) खो-खो, सी) आत्या-पात्या, डी) थोडा</v>
      </c>
      <c r="I10" s="5" t="str">
        <f>IFERROR(__xludf.DUMMYFUNCTION("GOOGLETRANSLATE(D10, ""en"", ""hi"")"),"C) अत्या-पत्या")</f>
        <v>C) अत्या-पत्या</v>
      </c>
    </row>
    <row r="11" ht="22.5" customHeight="1">
      <c r="A11" s="3">
        <v>10.0</v>
      </c>
      <c r="B11" s="4" t="s">
        <v>3753</v>
      </c>
      <c r="C11" s="4" t="s">
        <v>3754</v>
      </c>
      <c r="D11" s="4" t="s">
        <v>3755</v>
      </c>
      <c r="F11" s="5" t="str">
        <f>IFERROR(__xludf.DUMMYFUNCTION("GOOGLETRANSLATE(A11, ""en"", ""hi"")"),"10")</f>
        <v>10</v>
      </c>
      <c r="G11" s="5" t="str">
        <f>IFERROR(__xludf.DUMMYFUNCTION("GOOGLETRANSLATE(B11, ""en"", ""hi"")"),"प्राचीन भारत में, लागोरी में पत्थर बनाने के लिए प्राथमिक सामग्री क्या थी?")</f>
        <v>प्राचीन भारत में, लागोरी में पत्थर बनाने के लिए प्राथमिक सामग्री क्या थी?</v>
      </c>
      <c r="H11" s="5" t="str">
        <f>IFERROR(__xludf.DUMMYFUNCTION("GOOGLETRANSLATE(C11, ""en"", ""hi"")"),"A) मिट्टी, B) पत्थर, C) लकड़ी, D) धातु")</f>
        <v>A) मिट्टी, B) पत्थर, C) लकड़ी, D) धातु</v>
      </c>
      <c r="I11" s="5" t="str">
        <f>IFERROR(__xludf.DUMMYFUNCTION("GOOGLETRANSLATE(D11, ""en"", ""hi"")"),"बी) पत्थर")</f>
        <v>बी) पत्थर</v>
      </c>
    </row>
    <row r="12" ht="22.5" customHeight="1">
      <c r="A12" s="3">
        <v>11.0</v>
      </c>
      <c r="B12" s="4" t="s">
        <v>3756</v>
      </c>
      <c r="C12" s="4" t="s">
        <v>3757</v>
      </c>
      <c r="D12" s="4" t="s">
        <v>3758</v>
      </c>
      <c r="F12" s="5" t="str">
        <f>IFERROR(__xludf.DUMMYFUNCTION("GOOGLETRANSLATE(A12, ""en"", ""hi"")"),"11")</f>
        <v>11</v>
      </c>
      <c r="G12" s="5" t="str">
        <f>IFERROR(__xludf.DUMMYFUNCTION("GOOGLETRANSLATE(B12, ""en"", ""hi"")"),"ऐसा माना जाता है कि किस मुगल सम्राट ने इसकी लोकप्रियता के कारण अपने दरबार में लागोरी पर प्रतिबंध लगा दिया था?")</f>
        <v>ऐसा माना जाता है कि किस मुगल सम्राट ने इसकी लोकप्रियता के कारण अपने दरबार में लागोरी पर प्रतिबंध लगा दिया था?</v>
      </c>
      <c r="H12" s="5" t="str">
        <f>IFERROR(__xludf.DUMMYFUNCTION("GOOGLETRANSLATE(C12, ""en"", ""hi"")"),"A) औरंगजेब, B) जहांगीर, C) शाहजहाँ, D) बाबर")</f>
        <v>A) औरंगजेब, B) जहांगीर, C) शाहजहाँ, D) बाबर</v>
      </c>
      <c r="I12" s="5" t="str">
        <f>IFERROR(__xludf.DUMMYFUNCTION("GOOGLETRANSLATE(D12, ""en"", ""hi"")"),"A) औरंगजेब")</f>
        <v>A) औरंगजेब</v>
      </c>
    </row>
    <row r="13" ht="22.5" customHeight="1">
      <c r="A13" s="3">
        <v>12.0</v>
      </c>
      <c r="B13" s="4" t="s">
        <v>3759</v>
      </c>
      <c r="C13" s="4" t="s">
        <v>3760</v>
      </c>
      <c r="D13" s="4" t="s">
        <v>3761</v>
      </c>
      <c r="F13" s="5" t="str">
        <f>IFERROR(__xludf.DUMMYFUNCTION("GOOGLETRANSLATE(A13, ""en"", ""hi"")"),"12")</f>
        <v>12</v>
      </c>
      <c r="G13" s="5" t="str">
        <f>IFERROR(__xludf.DUMMYFUNCTION("GOOGLETRANSLATE(B13, ""en"", ""hi"")"),"लागोरी में आक्रमणकारी टीम का पारंपरिक उद्देश्य क्या है?")</f>
        <v>लागोरी में आक्रमणकारी टीम का पारंपरिक उद्देश्य क्या है?</v>
      </c>
      <c r="H13" s="5" t="str">
        <f>IFERROR(__xludf.DUMMYFUNCTION("GOOGLETRANSLATE(C13, ""en"", ""hi"")"),"A) पत्थरों के ढेर को गिराना, B) प्रतिद्वंद्वी के झंडे पर कब्जा करना, C) प्रतिद्वंद्वी के बेस तक पहुंचना, D) टैग होने से बचना")</f>
        <v>A) पत्थरों के ढेर को गिराना, B) प्रतिद्वंद्वी के झंडे पर कब्जा करना, C) प्रतिद्वंद्वी के बेस तक पहुंचना, D) टैग होने से बचना</v>
      </c>
      <c r="I13" s="5" t="str">
        <f>IFERROR(__xludf.DUMMYFUNCTION("GOOGLETRANSLATE(D13, ""en"", ""hi"")"),"A) पत्थरों के ढेर को गिराना")</f>
        <v>A) पत्थरों के ढेर को गिराना</v>
      </c>
    </row>
    <row r="14" ht="22.5" customHeight="1">
      <c r="A14" s="3">
        <v>13.0</v>
      </c>
      <c r="B14" s="4" t="s">
        <v>3762</v>
      </c>
      <c r="C14" s="4" t="s">
        <v>3763</v>
      </c>
      <c r="D14" s="4" t="s">
        <v>3764</v>
      </c>
      <c r="F14" s="5" t="str">
        <f>IFERROR(__xludf.DUMMYFUNCTION("GOOGLETRANSLATE(A14, ""en"", ""hi"")"),"13")</f>
        <v>13</v>
      </c>
      <c r="G14" s="5" t="str">
        <f>IFERROR(__xludf.DUMMYFUNCTION("GOOGLETRANSLATE(B14, ""en"", ""hi"")"),"लागोरी के इतिहास में, कौन सा भारतीय राज्य सबसे बड़े लागोरी टूर्नामेंट की मेजबानी के लिए जाना जाता है?")</f>
        <v>लागोरी के इतिहास में, कौन सा भारतीय राज्य सबसे बड़े लागोरी टूर्नामेंट की मेजबानी के लिए जाना जाता है?</v>
      </c>
      <c r="H14" s="5" t="str">
        <f>IFERROR(__xludf.DUMMYFUNCTION("GOOGLETRANSLATE(C14, ""en"", ""hi"")"),"ए) तमिलनाडु, बी) कर्नाटक, सी) महाराष्ट्र, डी) आंध्र प्रदेश")</f>
        <v>ए) तमिलनाडु, बी) कर्नाटक, सी) महाराष्ट्र, डी) आंध्र प्रदेश</v>
      </c>
      <c r="I14" s="5" t="str">
        <f>IFERROR(__xludf.DUMMYFUNCTION("GOOGLETRANSLATE(D14, ""en"", ""hi"")"),"बी) कर्नाटक")</f>
        <v>बी) कर्नाटक</v>
      </c>
    </row>
    <row r="15" ht="22.5" customHeight="1">
      <c r="A15" s="3">
        <v>14.0</v>
      </c>
      <c r="B15" s="4" t="s">
        <v>3765</v>
      </c>
      <c r="C15" s="4" t="s">
        <v>3766</v>
      </c>
      <c r="D15" s="4" t="s">
        <v>3767</v>
      </c>
      <c r="F15" s="5" t="str">
        <f>IFERROR(__xludf.DUMMYFUNCTION("GOOGLETRANSLATE(A15, ""en"", ""hi"")"),"14")</f>
        <v>14</v>
      </c>
      <c r="G15" s="5" t="str">
        <f>IFERROR(__xludf.DUMMYFUNCTION("GOOGLETRANSLATE(B15, ""en"", ""hi"")"),"लागोरी का खेल पारंपरिक रूप से प्रत्येक टीम में कितने खिलाड़ियों द्वारा खेला जाता है?")</f>
        <v>लागोरी का खेल पारंपरिक रूप से प्रत्येक टीम में कितने खिलाड़ियों द्वारा खेला जाता है?</v>
      </c>
      <c r="H15" s="5" t="str">
        <f>IFERROR(__xludf.DUMMYFUNCTION("GOOGLETRANSLATE(C15, ""en"", ""hi"")"),"ए) 5, बी) 7, सी) 9, डी) 11")</f>
        <v>ए) 5, बी) 7, सी) 9, डी) 11</v>
      </c>
      <c r="I15" s="5" t="str">
        <f>IFERROR(__xludf.DUMMYFUNCTION("GOOGLETRANSLATE(D15, ""en"", ""hi"")"),"बी) 7")</f>
        <v>बी) 7</v>
      </c>
    </row>
    <row r="16" ht="22.5" customHeight="1">
      <c r="A16" s="3">
        <v>15.0</v>
      </c>
      <c r="B16" s="4" t="s">
        <v>3768</v>
      </c>
      <c r="C16" s="4" t="s">
        <v>3769</v>
      </c>
      <c r="D16" s="4" t="s">
        <v>3770</v>
      </c>
      <c r="F16" s="5" t="str">
        <f>IFERROR(__xludf.DUMMYFUNCTION("GOOGLETRANSLATE(A16, ""en"", ""hi"")"),"15")</f>
        <v>15</v>
      </c>
      <c r="G16" s="5" t="str">
        <f>IFERROR(__xludf.DUMMYFUNCTION("GOOGLETRANSLATE(B16, ""en"", ""hi"")"),"किस भारतीय खेल शासी निकाय ने लागोरी को आधिकारिक खेल के रूप में मान्यता दी?")</f>
        <v>किस भारतीय खेल शासी निकाय ने लागोरी को आधिकारिक खेल के रूप में मान्यता दी?</v>
      </c>
      <c r="H16" s="5" t="str">
        <f>IFERROR(__xludf.DUMMYFUNCTION("GOOGLETRANSLATE(C16, ""en"", ""hi"")"),"A) भारतीय ओलंपिक संघ, B) भारतीय खेल प्राधिकरण, C) अखिल भारतीय खेल महासंघ, D) राष्ट्रीय खेल समिति")</f>
        <v>A) भारतीय ओलंपिक संघ, B) भारतीय खेल प्राधिकरण, C) अखिल भारतीय खेल महासंघ, D) राष्ट्रीय खेल समिति</v>
      </c>
      <c r="I16" s="5" t="str">
        <f>IFERROR(__xludf.DUMMYFUNCTION("GOOGLETRANSLATE(D16, ""en"", ""hi"")"),"C) अखिल भारतीय लगोरी महासंघ")</f>
        <v>C) अखिल भारतीय लगोरी महासंघ</v>
      </c>
    </row>
    <row r="17" ht="22.5" customHeight="1">
      <c r="A17" s="3">
        <v>16.0</v>
      </c>
      <c r="B17" s="4" t="s">
        <v>3771</v>
      </c>
      <c r="C17" s="4" t="s">
        <v>3772</v>
      </c>
      <c r="D17" s="4" t="s">
        <v>3773</v>
      </c>
      <c r="F17" s="5" t="str">
        <f>IFERROR(__xludf.DUMMYFUNCTION("GOOGLETRANSLATE(A17, ""en"", ""hi"")"),"16")</f>
        <v>16</v>
      </c>
      <c r="G17" s="5" t="str">
        <f>IFERROR(__xludf.DUMMYFUNCTION("GOOGLETRANSLATE(B17, ""en"", ""hi"")"),"लागोरी ने भारत के राष्ट्रीय खेलों में पहली बार किस वर्ष भाग लिया?")</f>
        <v>लागोरी ने भारत के राष्ट्रीय खेलों में पहली बार किस वर्ष भाग लिया?</v>
      </c>
      <c r="H17" s="5" t="str">
        <f>IFERROR(__xludf.DUMMYFUNCTION("GOOGLETRANSLATE(C17, ""en"", ""hi"")"),"ए) 1985, बी) 1992, सी) 2001, डी) 2015")</f>
        <v>ए) 1985, बी) 1992, सी) 2001, डी) 2015</v>
      </c>
      <c r="I17" s="5" t="str">
        <f>IFERROR(__xludf.DUMMYFUNCTION("GOOGLETRANSLATE(D17, ""en"", ""hi"")"),"डी) 2015")</f>
        <v>डी) 2015</v>
      </c>
    </row>
    <row r="18" ht="22.5" customHeight="1">
      <c r="A18" s="3">
        <v>17.0</v>
      </c>
      <c r="B18" s="4" t="s">
        <v>3774</v>
      </c>
      <c r="C18" s="4" t="s">
        <v>3775</v>
      </c>
      <c r="D18" s="4" t="s">
        <v>3776</v>
      </c>
      <c r="F18" s="5" t="str">
        <f>IFERROR(__xludf.DUMMYFUNCTION("GOOGLETRANSLATE(A18, ""en"", ""hi"")"),"17")</f>
        <v>17</v>
      </c>
      <c r="G18" s="5" t="str">
        <f>IFERROR(__xludf.DUMMYFUNCTION("GOOGLETRANSLATE(B18, ""en"", ""hi"")"),"लागोरी अक्सर गेंद से खेला जाता है। प्राचीन काल में इस गेंद के लिए पारंपरिक रूप से किस सामग्री का उपयोग किया जाता था?")</f>
        <v>लागोरी अक्सर गेंद से खेला जाता है। प्राचीन काल में इस गेंद के लिए पारंपरिक रूप से किस सामग्री का उपयोग किया जाता था?</v>
      </c>
      <c r="H18" s="5" t="str">
        <f>IFERROR(__xludf.DUMMYFUNCTION("GOOGLETRANSLATE(C18, ""en"", ""hi"")"),"A) चमड़ा, B) कपड़ा, C) रबर, D) लकड़ी")</f>
        <v>A) चमड़ा, B) कपड़ा, C) रबर, D) लकड़ी</v>
      </c>
      <c r="I18" s="5" t="str">
        <f>IFERROR(__xludf.DUMMYFUNCTION("GOOGLETRANSLATE(D18, ""en"", ""hi"")"),"बी) कपड़ा")</f>
        <v>बी) कपड़ा</v>
      </c>
    </row>
    <row r="19" ht="22.5" customHeight="1">
      <c r="A19" s="3">
        <v>18.0</v>
      </c>
      <c r="B19" s="4" t="s">
        <v>3777</v>
      </c>
      <c r="C19" s="4" t="s">
        <v>3778</v>
      </c>
      <c r="D19" s="4" t="s">
        <v>3779</v>
      </c>
      <c r="F19" s="5" t="str">
        <f>IFERROR(__xludf.DUMMYFUNCTION("GOOGLETRANSLATE(A19, ""en"", ""hi"")"),"18")</f>
        <v>18</v>
      </c>
      <c r="G19" s="5" t="str">
        <f>IFERROR(__xludf.DUMMYFUNCTION("GOOGLETRANSLATE(B19, ""en"", ""hi"")"),"कौन सा भारतीय त्यौहार अपने उत्सव में पारंपरिक खेल के रूप में लागोरी को शामिल करता है?")</f>
        <v>कौन सा भारतीय त्यौहार अपने उत्सव में पारंपरिक खेल के रूप में लागोरी को शामिल करता है?</v>
      </c>
      <c r="H19" s="5" t="str">
        <f>IFERROR(__xludf.DUMMYFUNCTION("GOOGLETRANSLATE(C19, ""en"", ""hi"")"),"ए) ओणम, बी) पोंगल, सी) बैसाखी, डी) नवरात्रि")</f>
        <v>ए) ओणम, बी) पोंगल, सी) बैसाखी, डी) नवरात्रि</v>
      </c>
      <c r="I19" s="5" t="str">
        <f>IFERROR(__xludf.DUMMYFUNCTION("GOOGLETRANSLATE(D19, ""en"", ""hi"")"),"बी) पोंगल")</f>
        <v>बी) पोंगल</v>
      </c>
    </row>
    <row r="20" ht="22.5" customHeight="1">
      <c r="A20" s="3">
        <v>19.0</v>
      </c>
      <c r="B20" s="4" t="s">
        <v>3780</v>
      </c>
      <c r="C20" s="4" t="s">
        <v>3781</v>
      </c>
      <c r="D20" s="4" t="s">
        <v>3782</v>
      </c>
      <c r="F20" s="5" t="str">
        <f>IFERROR(__xludf.DUMMYFUNCTION("GOOGLETRANSLATE(A20, ""en"", ""hi"")"),"19")</f>
        <v>19</v>
      </c>
      <c r="G20" s="5" t="str">
        <f>IFERROR(__xludf.DUMMYFUNCTION("GOOGLETRANSLATE(B20, ""en"", ""hi"")"),"प्राचीन भारतीय युद्ध प्रशिक्षण में लागोरी की क्या भूमिका थी?")</f>
        <v>प्राचीन भारतीय युद्ध प्रशिक्षण में लागोरी की क्या भूमिका थी?</v>
      </c>
      <c r="H20" s="5" t="str">
        <f>IFERROR(__xludf.DUMMYFUNCTION("GOOGLETRANSLATE(C20, ""en"", ""hi"")"),"A) चपलता बढ़ाना, B) भुजाओं को मजबूत करना, C) समन्वय में सुधार करना, D) सजगता को तेज करना")</f>
        <v>A) चपलता बढ़ाना, B) भुजाओं को मजबूत करना, C) समन्वय में सुधार करना, D) सजगता को तेज करना</v>
      </c>
      <c r="I20" s="5" t="str">
        <f>IFERROR(__xludf.DUMMYFUNCTION("GOOGLETRANSLATE(D20, ""en"", ""hi"")"),"C) समन्वय में सुधार")</f>
        <v>C) समन्वय में सुधार</v>
      </c>
    </row>
    <row r="21" ht="22.5" customHeight="1">
      <c r="A21" s="3">
        <v>20.0</v>
      </c>
      <c r="B21" s="4" t="s">
        <v>3783</v>
      </c>
      <c r="C21" s="4" t="s">
        <v>3784</v>
      </c>
      <c r="D21" s="4" t="s">
        <v>3785</v>
      </c>
      <c r="F21" s="5" t="str">
        <f>IFERROR(__xludf.DUMMYFUNCTION("GOOGLETRANSLATE(A21, ""en"", ""hi"")"),"20")</f>
        <v>20</v>
      </c>
      <c r="G21" s="5" t="str">
        <f>IFERROR(__xludf.DUMMYFUNCTION("GOOGLETRANSLATE(B21, ""en"", ""hi"")"),"किस भारतीय राज्य ने सबसे पहले अपने स्कूल खेल पाठ्यक्रम में लागोरी को शामिल किया?")</f>
        <v>किस भारतीय राज्य ने सबसे पहले अपने स्कूल खेल पाठ्यक्रम में लागोरी को शामिल किया?</v>
      </c>
      <c r="H21" s="5" t="str">
        <f>IFERROR(__xludf.DUMMYFUNCTION("GOOGLETRANSLATE(C21, ""en"", ""hi"")"),"A) केरल, B) आंध्र प्रदेश, C) तमिलनाडु, D) कर्नाटक")</f>
        <v>A) केरल, B) आंध्र प्रदेश, C) तमिलनाडु, D) कर्नाटक</v>
      </c>
      <c r="I21" s="5" t="str">
        <f>IFERROR(__xludf.DUMMYFUNCTION("GOOGLETRANSLATE(D21, ""en"", ""hi"")"),"D) कर्नाटक")</f>
        <v>D) कर्नाटक</v>
      </c>
    </row>
    <row r="22" ht="22.5" customHeight="1">
      <c r="A22" s="3">
        <v>21.0</v>
      </c>
      <c r="B22" s="4" t="s">
        <v>3786</v>
      </c>
      <c r="C22" s="4" t="s">
        <v>3787</v>
      </c>
      <c r="D22" s="4" t="s">
        <v>3788</v>
      </c>
      <c r="F22" s="5" t="str">
        <f>IFERROR(__xludf.DUMMYFUNCTION("GOOGLETRANSLATE(A22, ""en"", ""hi"")"),"21")</f>
        <v>21</v>
      </c>
      <c r="G22" s="5" t="str">
        <f>IFERROR(__xludf.DUMMYFUNCTION("GOOGLETRANSLATE(B22, ""en"", ""hi"")"),"लागोरी में पत्थरों के गिर जाने के बाद बचाव दल की क्या भूमिका होती है?")</f>
        <v>लागोरी में पत्थरों के गिर जाने के बाद बचाव दल की क्या भूमिका होती है?</v>
      </c>
      <c r="H22" s="5" t="str">
        <f>IFERROR(__xludf.DUMMYFUNCTION("GOOGLETRANSLATE(C22, ""en"", ""hi"")"),"A) हमलावरों का पीछा करना और गेंद से मारना, B) पत्थर के ढेर को फिर से बनाना, C) पत्थर के ढेर की रक्षा करना, D) टैग होने से बचना")</f>
        <v>A) हमलावरों का पीछा करना और गेंद से मारना, B) पत्थर के ढेर को फिर से बनाना, C) पत्थर के ढेर की रक्षा करना, D) टैग होने से बचना</v>
      </c>
      <c r="I22" s="5" t="str">
        <f>IFERROR(__xludf.DUMMYFUNCTION("GOOGLETRANSLATE(D22, ""en"", ""hi"")"),"A) हमलावरों का पीछा करना और गेंद से उन पर प्रहार करना")</f>
        <v>A) हमलावरों का पीछा करना और गेंद से उन पर प्रहार करना</v>
      </c>
    </row>
    <row r="23" ht="22.5" customHeight="1">
      <c r="A23" s="3">
        <v>22.0</v>
      </c>
      <c r="B23" s="4" t="s">
        <v>3789</v>
      </c>
      <c r="C23" s="4" t="s">
        <v>3790</v>
      </c>
      <c r="D23" s="4" t="s">
        <v>3791</v>
      </c>
      <c r="F23" s="5" t="str">
        <f>IFERROR(__xludf.DUMMYFUNCTION("GOOGLETRANSLATE(A23, ""en"", ""hi"")"),"22")</f>
        <v>22</v>
      </c>
      <c r="G23" s="5" t="str">
        <f>IFERROR(__xludf.DUMMYFUNCTION("GOOGLETRANSLATE(B23, ""en"", ""hi"")"),"किस ऐतिहासिक व्यक्ति को युवाओं में शारीरिक फिटनेस को प्रोत्साहित करने के लिए लागोरी को बढ़ावा देने के लिए जाना जाता है?")</f>
        <v>किस ऐतिहासिक व्यक्ति को युवाओं में शारीरिक फिटनेस को प्रोत्साहित करने के लिए लागोरी को बढ़ावा देने के लिए जाना जाता है?</v>
      </c>
      <c r="H23" s="5" t="str">
        <f>IFERROR(__xludf.DUMMYFUNCTION("GOOGLETRANSLATE(C23, ""en"", ""hi"")"),"ए) स्वामी विवेकानन्द, बी) महात्मा गांधी, सी) सुभाष चन्द्र बोस, डी) रवीन्द्रनाथ टैगोर")</f>
        <v>ए) स्वामी विवेकानन्द, बी) महात्मा गांधी, सी) सुभाष चन्द्र बोस, डी) रवीन्द्रनाथ टैगोर</v>
      </c>
      <c r="I23" s="5" t="str">
        <f>IFERROR(__xludf.DUMMYFUNCTION("GOOGLETRANSLATE(D23, ""en"", ""hi"")"),"बी) महात्मा गांधी")</f>
        <v>बी) महात्मा गांधी</v>
      </c>
    </row>
    <row r="24" ht="22.5" customHeight="1">
      <c r="A24" s="3">
        <v>23.0</v>
      </c>
      <c r="B24" s="4" t="s">
        <v>3792</v>
      </c>
      <c r="C24" s="4" t="s">
        <v>3494</v>
      </c>
      <c r="D24" s="4" t="s">
        <v>3793</v>
      </c>
      <c r="F24" s="5" t="str">
        <f>IFERROR(__xludf.DUMMYFUNCTION("GOOGLETRANSLATE(A24, ""en"", ""hi"")"),"23")</f>
        <v>23</v>
      </c>
      <c r="G24" s="5" t="str">
        <f>IFERROR(__xludf.DUMMYFUNCTION("GOOGLETRANSLATE(B24, ""en"", ""hi"")"),"ऐसा माना जाता है कि किस प्राचीन भारतीय साम्राज्य ने अपने क्षेत्रों में लागोरी को लोकप्रिय बनाया था?")</f>
        <v>ऐसा माना जाता है कि किस प्राचीन भारतीय साम्राज्य ने अपने क्षेत्रों में लागोरी को लोकप्रिय बनाया था?</v>
      </c>
      <c r="H24" s="5" t="str">
        <f>IFERROR(__xludf.DUMMYFUNCTION("GOOGLETRANSLATE(C24, ""en"", ""hi"")"),"A) गुप्त साम्राज्य, B) मौर्य साम्राज्य, C) चोल साम्राज्य, D) मुगल साम्राज्य")</f>
        <v>A) गुप्त साम्राज्य, B) मौर्य साम्राज्य, C) चोल साम्राज्य, D) मुगल साम्राज्य</v>
      </c>
      <c r="I24" s="5" t="str">
        <f>IFERROR(__xludf.DUMMYFUNCTION("GOOGLETRANSLATE(D24, ""en"", ""hi"")"),"C) चोल साम्राज्य")</f>
        <v>C) चोल साम्राज्य</v>
      </c>
    </row>
    <row r="25" ht="22.5" customHeight="1">
      <c r="A25" s="3">
        <v>24.0</v>
      </c>
      <c r="B25" s="4" t="s">
        <v>3794</v>
      </c>
      <c r="C25" s="4" t="s">
        <v>3795</v>
      </c>
      <c r="D25" s="4" t="s">
        <v>3796</v>
      </c>
      <c r="F25" s="5" t="str">
        <f>IFERROR(__xludf.DUMMYFUNCTION("GOOGLETRANSLATE(A25, ""en"", ""hi"")"),"24")</f>
        <v>24</v>
      </c>
      <c r="G25" s="5" t="str">
        <f>IFERROR(__xludf.DUMMYFUNCTION("GOOGLETRANSLATE(B25, ""en"", ""hi"")"),"लागोरी का खेल ऐतिहासिक रूप से किस भारतीय त्यौहार के दौरान एक टीम खेल के रूप में खेला जाता था?")</f>
        <v>लागोरी का खेल ऐतिहासिक रूप से किस भारतीय त्यौहार के दौरान एक टीम खेल के रूप में खेला जाता था?</v>
      </c>
      <c r="H25" s="5" t="str">
        <f>IFERROR(__xludf.DUMMYFUNCTION("GOOGLETRANSLATE(C25, ""en"", ""hi"")"),"ए) होली, बी) दिवाली, सी) पोंगल, डी) ओणम")</f>
        <v>ए) होली, बी) दिवाली, सी) पोंगल, डी) ओणम</v>
      </c>
      <c r="I25" s="5" t="str">
        <f>IFERROR(__xludf.DUMMYFUNCTION("GOOGLETRANSLATE(D25, ""en"", ""hi"")"),"C) पोंगल")</f>
        <v>C) पोंगल</v>
      </c>
    </row>
    <row r="26" ht="22.5" customHeight="1">
      <c r="A26" s="3">
        <v>25.0</v>
      </c>
      <c r="B26" s="4" t="s">
        <v>3797</v>
      </c>
      <c r="C26" s="4" t="s">
        <v>3798</v>
      </c>
      <c r="D26" s="4" t="s">
        <v>3799</v>
      </c>
      <c r="F26" s="5" t="str">
        <f>IFERROR(__xludf.DUMMYFUNCTION("GOOGLETRANSLATE(A26, ""en"", ""hi"")"),"25")</f>
        <v>25</v>
      </c>
      <c r="G26" s="5" t="str">
        <f>IFERROR(__xludf.DUMMYFUNCTION("GOOGLETRANSLATE(B26, ""en"", ""hi"")"),"ऐतिहासिक संदर्भ में, किस क्षेत्र के योद्धा अपने प्रशिक्षण के भाग के रूप में लागोरी का उपयोग करने के लिए जाने जाते थे?")</f>
        <v>ऐतिहासिक संदर्भ में, किस क्षेत्र के योद्धा अपने प्रशिक्षण के भाग के रूप में लागोरी का उपयोग करने के लिए जाने जाते थे?</v>
      </c>
      <c r="H26" s="5" t="str">
        <f>IFERROR(__xludf.DUMMYFUNCTION("GOOGLETRANSLATE(C26, ""en"", ""hi"")"),"ए) मराठा, बी) राजपूत, सी) निज़ाम, डी) गोरखा")</f>
        <v>ए) मराठा, बी) राजपूत, सी) निज़ाम, डी) गोरखा</v>
      </c>
      <c r="I26" s="5" t="str">
        <f>IFERROR(__xludf.DUMMYFUNCTION("GOOGLETRANSLATE(D26, ""en"", ""hi"")"),"बी) राजपूत")</f>
        <v>बी) राजपूत</v>
      </c>
    </row>
    <row r="27" ht="22.5" customHeight="1">
      <c r="A27" s="3">
        <v>26.0</v>
      </c>
      <c r="B27" s="4" t="s">
        <v>3800</v>
      </c>
      <c r="C27" s="4" t="s">
        <v>3801</v>
      </c>
      <c r="D27" s="4" t="s">
        <v>3802</v>
      </c>
      <c r="F27" s="5" t="str">
        <f>IFERROR(__xludf.DUMMYFUNCTION("GOOGLETRANSLATE(A27, ""en"", ""hi"")"),"26")</f>
        <v>26</v>
      </c>
      <c r="G27" s="5" t="str">
        <f>IFERROR(__xludf.DUMMYFUNCTION("GOOGLETRANSLATE(B27, ""en"", ""hi"")"),"कौन सी ऐतिहासिक कलाकृति प्राचीन भारत में लागोरी खेले जाने का प्रमाण प्रदान करती है?")</f>
        <v>कौन सी ऐतिहासिक कलाकृति प्राचीन भारत में लागोरी खेले जाने का प्रमाण प्रदान करती है?</v>
      </c>
      <c r="H27" s="5" t="str">
        <f>IFERROR(__xludf.DUMMYFUNCTION("GOOGLETRANSLATE(C27, ""en"", ""hi"")"),"A) टेराकोटा मूर्तियाँ, B) मंदिर की नक्काशी, C) ताड़-पत्ता पांडुलिपियाँ, D) तांबे की प्लेटें")</f>
        <v>A) टेराकोटा मूर्तियाँ, B) मंदिर की नक्काशी, C) ताड़-पत्ता पांडुलिपियाँ, D) तांबे की प्लेटें</v>
      </c>
      <c r="I27" s="5" t="str">
        <f>IFERROR(__xludf.DUMMYFUNCTION("GOOGLETRANSLATE(D27, ""en"", ""hi"")"),"बी) मंदिर की नक्काशी")</f>
        <v>बी) मंदिर की नक्काशी</v>
      </c>
    </row>
    <row r="28" ht="22.5" customHeight="1">
      <c r="A28" s="3">
        <v>27.0</v>
      </c>
      <c r="B28" s="4" t="s">
        <v>3803</v>
      </c>
      <c r="C28" s="4" t="s">
        <v>3804</v>
      </c>
      <c r="D28" s="4" t="s">
        <v>3805</v>
      </c>
      <c r="F28" s="5" t="str">
        <f>IFERROR(__xludf.DUMMYFUNCTION("GOOGLETRANSLATE(A28, ""en"", ""hi"")"),"27")</f>
        <v>27</v>
      </c>
      <c r="G28" s="5" t="str">
        <f>IFERROR(__xludf.DUMMYFUNCTION("GOOGLETRANSLATE(B28, ""en"", ""hi"")"),"प्राचीन भारतीय गांवों में लागोरी खेलने का प्राथमिक उद्देश्य क्या था?")</f>
        <v>प्राचीन भारतीय गांवों में लागोरी खेलने का प्राथमिक उद्देश्य क्या था?</v>
      </c>
      <c r="H28" s="5" t="str">
        <f>IFERROR(__xludf.DUMMYFUNCTION("GOOGLETRANSLATE(C28, ""en"", ""hi"")"),"A) मनोरंजन, B) सामाजिक बंधन, C) शारीरिक व्यायाम, D) अनुष्ठान अभ्यास")</f>
        <v>A) मनोरंजन, B) सामाजिक बंधन, C) शारीरिक व्यायाम, D) अनुष्ठान अभ्यास</v>
      </c>
      <c r="I28" s="5" t="str">
        <f>IFERROR(__xludf.DUMMYFUNCTION("GOOGLETRANSLATE(D28, ""en"", ""hi"")"),"बी) सामाजिक बंधन")</f>
        <v>बी) सामाजिक बंधन</v>
      </c>
    </row>
    <row r="29" ht="22.5" customHeight="1">
      <c r="A29" s="3">
        <v>28.0</v>
      </c>
      <c r="B29" s="4" t="s">
        <v>3806</v>
      </c>
      <c r="C29" s="4" t="s">
        <v>3807</v>
      </c>
      <c r="D29" s="4" t="s">
        <v>222</v>
      </c>
      <c r="F29" s="5" t="str">
        <f>IFERROR(__xludf.DUMMYFUNCTION("GOOGLETRANSLATE(A29, ""en"", ""hi"")"),"28")</f>
        <v>28</v>
      </c>
      <c r="G29" s="5" t="str">
        <f>IFERROR(__xludf.DUMMYFUNCTION("GOOGLETRANSLATE(B29, ""en"", ""hi"")"),"किस प्रसिद्ध महाकाव्य में पांडवों द्वारा खेले जाने वाले लागोरी जैसे खेल का उल्लेख है?")</f>
        <v>किस प्रसिद्ध महाकाव्य में पांडवों द्वारा खेले जाने वाले लागोरी जैसे खेल का उल्लेख है?</v>
      </c>
      <c r="H29" s="5" t="str">
        <f>IFERROR(__xludf.DUMMYFUNCTION("GOOGLETRANSLATE(C29, ""en"", ""hi"")"),"ए) महाभारत, बी) रामायण, सी) विष्णु पुराण, डी) भगवद गीता")</f>
        <v>ए) महाभारत, बी) रामायण, सी) विष्णु पुराण, डी) भगवद गीता</v>
      </c>
      <c r="I29" s="5" t="str">
        <f>IFERROR(__xludf.DUMMYFUNCTION("GOOGLETRANSLATE(D29, ""en"", ""hi"")"),"A) महाभारत")</f>
        <v>A) महाभारत</v>
      </c>
    </row>
    <row r="30" ht="22.5" customHeight="1">
      <c r="A30" s="3">
        <v>29.0</v>
      </c>
      <c r="B30" s="4" t="s">
        <v>3808</v>
      </c>
      <c r="C30" s="4" t="s">
        <v>3809</v>
      </c>
      <c r="D30" s="4" t="s">
        <v>116</v>
      </c>
      <c r="F30" s="5" t="str">
        <f>IFERROR(__xludf.DUMMYFUNCTION("GOOGLETRANSLATE(A30, ""en"", ""hi"")"),"29")</f>
        <v>29</v>
      </c>
      <c r="G30" s="5" t="str">
        <f>IFERROR(__xludf.DUMMYFUNCTION("GOOGLETRANSLATE(B30, ""en"", ""hi"")"),"किस भारतीय राज्य सरकार ने आधिकारिक तौर पर लागोरी को पारंपरिक खेल के रूप में मान्यता दी है?")</f>
        <v>किस भारतीय राज्य सरकार ने आधिकारिक तौर पर लागोरी को पारंपरिक खेल के रूप में मान्यता दी है?</v>
      </c>
      <c r="H30" s="5" t="str">
        <f>IFERROR(__xludf.DUMMYFUNCTION("GOOGLETRANSLATE(C30, ""en"", ""hi"")"),"ए) कर्नाटक, बी) केरल, सी) महाराष्ट्र, डी) आंध्र प्रदेश")</f>
        <v>ए) कर्नाटक, बी) केरल, सी) महाराष्ट्र, डी) आंध्र प्रदेश</v>
      </c>
      <c r="I30" s="5" t="str">
        <f>IFERROR(__xludf.DUMMYFUNCTION("GOOGLETRANSLATE(D30, ""en"", ""hi"")"),"A) कर्नाटक")</f>
        <v>A) कर्नाटक</v>
      </c>
    </row>
    <row r="31" ht="22.5" customHeight="1">
      <c r="A31" s="3">
        <v>30.0</v>
      </c>
      <c r="B31" s="4" t="s">
        <v>3810</v>
      </c>
      <c r="C31" s="4" t="s">
        <v>3811</v>
      </c>
      <c r="D31" s="4" t="s">
        <v>3812</v>
      </c>
      <c r="F31" s="5" t="str">
        <f>IFERROR(__xludf.DUMMYFUNCTION("GOOGLETRANSLATE(A31, ""en"", ""hi"")"),"30")</f>
        <v>30</v>
      </c>
      <c r="G31" s="5" t="str">
        <f>IFERROR(__xludf.DUMMYFUNCTION("GOOGLETRANSLATE(B31, ""en"", ""hi"")"),"पारंपरिक लागोरी में आक्रमणकारी और बचाव करने वाली टीमों का निर्णय किससे किया जाता था?")</f>
        <v>पारंपरिक लागोरी में आक्रमणकारी और बचाव करने वाली टीमों का निर्णय किससे किया जाता था?</v>
      </c>
      <c r="H31" s="5" t="str">
        <f>IFERROR(__xludf.DUMMYFUNCTION("GOOGLETRANSLATE(C31, ""en"", ""hi"")"),"A) सिक्का उछालना, B) स्टिक ड्रॉ, C) पासा फेंकना, D) टीम की सहमति")</f>
        <v>A) सिक्का उछालना, B) स्टिक ड्रॉ, C) पासा फेंकना, D) टीम की सहमति</v>
      </c>
      <c r="I31" s="5" t="str">
        <f>IFERROR(__xludf.DUMMYFUNCTION("GOOGLETRANSLATE(D31, ""en"", ""hi"")"),"बी) स्टिक ड्रॉ")</f>
        <v>बी) स्टिक ड्रॉ</v>
      </c>
    </row>
    <row r="32" ht="22.5" customHeight="1">
      <c r="A32" s="3">
        <v>31.0</v>
      </c>
      <c r="B32" s="4" t="s">
        <v>3813</v>
      </c>
      <c r="C32" s="4" t="s">
        <v>3814</v>
      </c>
      <c r="D32" s="4" t="s">
        <v>3752</v>
      </c>
      <c r="F32" s="5" t="str">
        <f>IFERROR(__xludf.DUMMYFUNCTION("GOOGLETRANSLATE(A32, ""en"", ""hi"")"),"31")</f>
        <v>31</v>
      </c>
      <c r="G32" s="5" t="str">
        <f>IFERROR(__xludf.DUMMYFUNCTION("GOOGLETRANSLATE(B32, ""en"", ""hi"")"),"किस पारंपरिक भारतीय खेल को अक्सर आधुनिक लागोरी का अग्रदूत माना जाता है?")</f>
        <v>किस पारंपरिक भारतीय खेल को अक्सर आधुनिक लागोरी का अग्रदूत माना जाता है?</v>
      </c>
      <c r="H32" s="5" t="str">
        <f>IFERROR(__xludf.DUMMYFUNCTION("GOOGLETRANSLATE(C32, ""en"", ""hi"")"),"ए) कांचा, बी) गिल्ली-डंडा, सी) आत्या-पात्या, डी) मल्लखंभ")</f>
        <v>ए) कांचा, बी) गिल्ली-डंडा, सी) आत्या-पात्या, डी) मल्लखंभ</v>
      </c>
      <c r="I32" s="5" t="str">
        <f>IFERROR(__xludf.DUMMYFUNCTION("GOOGLETRANSLATE(D32, ""en"", ""hi"")"),"C) अत्या-पत्या")</f>
        <v>C) अत्या-पत्या</v>
      </c>
    </row>
    <row r="33" ht="22.5" customHeight="1">
      <c r="A33" s="3">
        <v>32.0</v>
      </c>
      <c r="B33" s="4" t="s">
        <v>3815</v>
      </c>
      <c r="C33" s="4" t="s">
        <v>3816</v>
      </c>
      <c r="D33" s="4" t="s">
        <v>3817</v>
      </c>
      <c r="F33" s="5" t="str">
        <f>IFERROR(__xludf.DUMMYFUNCTION("GOOGLETRANSLATE(A33, ""en"", ""hi"")"),"32")</f>
        <v>32</v>
      </c>
      <c r="G33" s="5" t="str">
        <f>IFERROR(__xludf.DUMMYFUNCTION("GOOGLETRANSLATE(B33, ""en"", ""hi"")"),"किस प्रसिद्ध भारतीय खेल व्यक्तित्व ने लागोरी के पुनरुद्धार की वकालत की है?")</f>
        <v>किस प्रसिद्ध भारतीय खेल व्यक्तित्व ने लागोरी के पुनरुद्धार की वकालत की है?</v>
      </c>
      <c r="H33" s="5" t="str">
        <f>IFERROR(__xludf.DUMMYFUNCTION("GOOGLETRANSLATE(C33, ""en"", ""hi"")"),"ए) सचिन तेंदुलकर, बी) पुलेला गोपीचंद, सी) अंजू बॉबी जॉर्ज, डी) बाइचुंग भूटिया")</f>
        <v>ए) सचिन तेंदुलकर, बी) पुलेला गोपीचंद, सी) अंजू बॉबी जॉर्ज, डी) बाइचुंग भूटिया</v>
      </c>
      <c r="I33" s="5" t="str">
        <f>IFERROR(__xludf.DUMMYFUNCTION("GOOGLETRANSLATE(D33, ""en"", ""hi"")"),"B) पुलेला गोपीचंद")</f>
        <v>B) पुलेला गोपीचंद</v>
      </c>
    </row>
    <row r="34" ht="22.5" customHeight="1">
      <c r="A34" s="3">
        <v>33.0</v>
      </c>
      <c r="B34" s="4" t="s">
        <v>3818</v>
      </c>
      <c r="C34" s="4" t="s">
        <v>3819</v>
      </c>
      <c r="D34" s="4" t="s">
        <v>3820</v>
      </c>
      <c r="F34" s="5" t="str">
        <f>IFERROR(__xludf.DUMMYFUNCTION("GOOGLETRANSLATE(A34, ""en"", ""hi"")"),"33")</f>
        <v>33</v>
      </c>
      <c r="G34" s="5" t="str">
        <f>IFERROR(__xludf.DUMMYFUNCTION("GOOGLETRANSLATE(B34, ""en"", ""hi"")"),"पश्चिमी देशों में लागोरी का आधुनिक समकक्ष क्या है?")</f>
        <v>पश्चिमी देशों में लागोरी का आधुनिक समकक्ष क्या है?</v>
      </c>
      <c r="H34" s="5" t="str">
        <f>IFERROR(__xludf.DUMMYFUNCTION("GOOGLETRANSLATE(C34, ""en"", ""hi"")"),"A) डॉजबॉल, B) कैप्चर द फ्लैग, C) टैग, D) हॉपस्कॉच")</f>
        <v>A) डॉजबॉल, B) कैप्चर द फ्लैग, C) टैग, D) हॉपस्कॉच</v>
      </c>
      <c r="I34" s="5" t="str">
        <f>IFERROR(__xludf.DUMMYFUNCTION("GOOGLETRANSLATE(D34, ""en"", ""hi"")"),"ए) डॉजबॉल")</f>
        <v>ए) डॉजबॉल</v>
      </c>
    </row>
    <row r="35" ht="22.5" customHeight="1">
      <c r="A35" s="3">
        <v>34.0</v>
      </c>
      <c r="B35" s="4" t="s">
        <v>3821</v>
      </c>
      <c r="C35" s="4" t="s">
        <v>3822</v>
      </c>
      <c r="D35" s="4" t="s">
        <v>3365</v>
      </c>
      <c r="F35" s="5" t="str">
        <f>IFERROR(__xludf.DUMMYFUNCTION("GOOGLETRANSLATE(A35, ""en"", ""hi"")"),"34")</f>
        <v>34</v>
      </c>
      <c r="G35" s="5" t="str">
        <f>IFERROR(__xludf.DUMMYFUNCTION("GOOGLETRANSLATE(B35, ""en"", ""hi"")"),"कौन सा ऐतिहासिक भारतीय ग्रंथ लागोरी जैसे खेल के नियमों का वर्णन करता है?")</f>
        <v>कौन सा ऐतिहासिक भारतीय ग्रंथ लागोरी जैसे खेल के नियमों का वर्णन करता है?</v>
      </c>
      <c r="H35" s="5" t="str">
        <f>IFERROR(__xludf.DUMMYFUNCTION("GOOGLETRANSLATE(C35, ""en"", ""hi"")"),"ए) मनुस्मृति, बी) महाभारत, सी) अर्थशास्त्र, डी) कामसूत्र")</f>
        <v>ए) मनुस्मृति, बी) महाभारत, सी) अर्थशास्त्र, डी) कामसूत्र</v>
      </c>
      <c r="I35" s="5" t="str">
        <f>IFERROR(__xludf.DUMMYFUNCTION("GOOGLETRANSLATE(D35, ""en"", ""hi"")"),"C) अर्थशास्त्र")</f>
        <v>C) अर्थशास्त्र</v>
      </c>
    </row>
    <row r="36" ht="22.5" customHeight="1">
      <c r="A36" s="3">
        <v>35.0</v>
      </c>
      <c r="B36" s="4" t="s">
        <v>3823</v>
      </c>
      <c r="C36" s="4" t="s">
        <v>3824</v>
      </c>
      <c r="D36" s="4" t="s">
        <v>3825</v>
      </c>
      <c r="F36" s="5" t="str">
        <f>IFERROR(__xludf.DUMMYFUNCTION("GOOGLETRANSLATE(A36, ""en"", ""hi"")"),"35")</f>
        <v>35</v>
      </c>
      <c r="G36" s="5" t="str">
        <f>IFERROR(__xludf.DUMMYFUNCTION("GOOGLETRANSLATE(B36, ""en"", ""hi"")"),"दक्षिण भारत के शाही परिवारों में लागोरी को किस युग में लोकप्रियता मिली?")</f>
        <v>दक्षिण भारत के शाही परिवारों में लागोरी को किस युग में लोकप्रियता मिली?</v>
      </c>
      <c r="H36" s="5" t="str">
        <f>IFERROR(__xludf.DUMMYFUNCTION("GOOGLETRANSLATE(C36, ""en"", ""hi"")"),"A) वैदिक काल, B) संगम काल, C) मध्यकाल, D) ब्रिटिश औपनिवेशिक काल")</f>
        <v>A) वैदिक काल, B) संगम काल, C) मध्यकाल, D) ब्रिटिश औपनिवेशिक काल</v>
      </c>
      <c r="I36" s="5" t="str">
        <f>IFERROR(__xludf.DUMMYFUNCTION("GOOGLETRANSLATE(D36, ""en"", ""hi"")"),"बी) संगम काल")</f>
        <v>बी) संगम काल</v>
      </c>
    </row>
    <row r="37" ht="22.5" customHeight="1">
      <c r="A37" s="3">
        <v>36.0</v>
      </c>
      <c r="B37" s="4" t="s">
        <v>3826</v>
      </c>
      <c r="C37" s="4" t="s">
        <v>3827</v>
      </c>
      <c r="D37" s="4" t="s">
        <v>3828</v>
      </c>
      <c r="F37" s="5" t="str">
        <f>IFERROR(__xludf.DUMMYFUNCTION("GOOGLETRANSLATE(A37, ""en"", ""hi"")"),"36")</f>
        <v>36</v>
      </c>
      <c r="G37" s="5" t="str">
        <f>IFERROR(__xludf.DUMMYFUNCTION("GOOGLETRANSLATE(B37, ""en"", ""hi"")"),"गांव के त्यौहारों के दौरान लागोरी के साथ अक्सर कौन सा भारतीय पारंपरिक खेल खेला जाता है?")</f>
        <v>गांव के त्यौहारों के दौरान लागोरी के साथ अक्सर कौन सा भारतीय पारंपरिक खेल खेला जाता है?</v>
      </c>
      <c r="H37" s="5" t="str">
        <f>IFERROR(__xludf.DUMMYFUNCTION("GOOGLETRANSLATE(C37, ""en"", ""hi"")"),"ए) कबड्डी, बी) खो-खो, सी) रस्साकशी, डी) गिल्ली-डंडा")</f>
        <v>ए) कबड्डी, बी) खो-खो, सी) रस्साकशी, डी) गिल्ली-डंडा</v>
      </c>
      <c r="I37" s="5" t="str">
        <f>IFERROR(__xludf.DUMMYFUNCTION("GOOGLETRANSLATE(D37, ""en"", ""hi"")"),"D) गिल्ली-डंडा")</f>
        <v>D) गिल्ली-डंडा</v>
      </c>
    </row>
    <row r="38" ht="22.5" customHeight="1">
      <c r="A38" s="3">
        <v>37.0</v>
      </c>
      <c r="B38" s="4" t="s">
        <v>3829</v>
      </c>
      <c r="C38" s="4" t="s">
        <v>3830</v>
      </c>
      <c r="D38" s="4" t="s">
        <v>3831</v>
      </c>
      <c r="F38" s="5" t="str">
        <f>IFERROR(__xludf.DUMMYFUNCTION("GOOGLETRANSLATE(A38, ""en"", ""hi"")"),"37")</f>
        <v>37</v>
      </c>
      <c r="G38" s="5" t="str">
        <f>IFERROR(__xludf.DUMMYFUNCTION("GOOGLETRANSLATE(B38, ""en"", ""hi"")"),"किस भारतीय स्वतंत्रता सेनानी को ग्रामीणों को एकजुट करने के लिए लागोरी खेल आयोजित करने के लिए जाना जाता है?")</f>
        <v>किस भारतीय स्वतंत्रता सेनानी को ग्रामीणों को एकजुट करने के लिए लागोरी खेल आयोजित करने के लिए जाना जाता है?</v>
      </c>
      <c r="H38" s="5" t="str">
        <f>IFERROR(__xludf.DUMMYFUNCTION("GOOGLETRANSLATE(C38, ""en"", ""hi"")"),"ए) भगत सिंह, बी) सरदार वल्लभभाई पटेल, सी) लाला लाजपत राय, डी) बाल गंगाधर तिलक")</f>
        <v>ए) भगत सिंह, बी) सरदार वल्लभभाई पटेल, सी) लाला लाजपत राय, डी) बाल गंगाधर तिलक</v>
      </c>
      <c r="I38" s="5" t="str">
        <f>IFERROR(__xludf.DUMMYFUNCTION("GOOGLETRANSLATE(D38, ""en"", ""hi"")"),"D) बाल गंगाधर तिलक")</f>
        <v>D) बाल गंगाधर तिलक</v>
      </c>
    </row>
    <row r="39" ht="22.5" customHeight="1">
      <c r="A39" s="3">
        <v>38.0</v>
      </c>
      <c r="B39" s="4" t="s">
        <v>3832</v>
      </c>
      <c r="C39" s="4" t="s">
        <v>3833</v>
      </c>
      <c r="D39" s="4" t="s">
        <v>3834</v>
      </c>
      <c r="F39" s="5" t="str">
        <f>IFERROR(__xludf.DUMMYFUNCTION("GOOGLETRANSLATE(A39, ""en"", ""hi"")"),"38")</f>
        <v>38</v>
      </c>
      <c r="G39" s="5" t="str">
        <f>IFERROR(__xludf.DUMMYFUNCTION("GOOGLETRANSLATE(B39, ""en"", ""hi"")"),"लागोरी में पत्थर के ढेर को मारने में असफल रहने वाले खिलाड़ी के लिए पारंपरिक दंड क्या है?")</f>
        <v>लागोरी में पत्थर के ढेर को मारने में असफल रहने वाले खिलाड़ी के लिए पारंपरिक दंड क्या है?</v>
      </c>
      <c r="H39" s="5" t="str">
        <f>IFERROR(__xludf.DUMMYFUNCTION("GOOGLETRANSLATE(C39, ""en"", ""hi"")"),"A) एक राउंड से बाहर बैठना, B) एक अंक खोना, C) कोई शारीरिक कार्य करना, D) जुर्माना भरना")</f>
        <v>A) एक राउंड से बाहर बैठना, B) एक अंक खोना, C) कोई शारीरिक कार्य करना, D) जुर्माना भरना</v>
      </c>
      <c r="I39" s="5" t="str">
        <f>IFERROR(__xludf.DUMMYFUNCTION("GOOGLETRANSLATE(D39, ""en"", ""hi"")"),"C) कोई शारीरिक कार्य करना")</f>
        <v>C) कोई शारीरिक कार्य करना</v>
      </c>
    </row>
    <row r="40" ht="22.5" customHeight="1">
      <c r="A40" s="3">
        <v>39.0</v>
      </c>
      <c r="B40" s="4" t="s">
        <v>3835</v>
      </c>
      <c r="C40" s="4" t="s">
        <v>3836</v>
      </c>
      <c r="D40" s="4" t="s">
        <v>3837</v>
      </c>
      <c r="F40" s="5" t="str">
        <f>IFERROR(__xludf.DUMMYFUNCTION("GOOGLETRANSLATE(A40, ""en"", ""hi"")"),"39")</f>
        <v>39</v>
      </c>
      <c r="G40" s="5" t="str">
        <f>IFERROR(__xludf.DUMMYFUNCTION("GOOGLETRANSLATE(B40, ""en"", ""hi"")"),"लागोरी के संदर्भ में, 'लागोरी' शब्द विशेष रूप से किसको संदर्भित करता है?")</f>
        <v>लागोरी के संदर्भ में, 'लागोरी' शब्द विशेष रूप से किसको संदर्भित करता है?</v>
      </c>
      <c r="H40" s="5" t="str">
        <f>IFERROR(__xludf.DUMMYFUNCTION("GOOGLETRANSLATE(C40, ""en"", ""hi"")"),"A) खेल में प्रयुक्त गेंद, B) पत्थरों को एक साथ रखने की क्रिया, C) सात पत्थर, D) टीम का नेता")</f>
        <v>A) खेल में प्रयुक्त गेंद, B) पत्थरों को एक साथ रखने की क्रिया, C) सात पत्थर, D) टीम का नेता</v>
      </c>
      <c r="I40" s="5" t="str">
        <f>IFERROR(__xludf.DUMMYFUNCTION("GOOGLETRANSLATE(D40, ""en"", ""hi"")"),"C) सात पत्थर")</f>
        <v>C) सात पत्थर</v>
      </c>
    </row>
    <row r="41" ht="22.5" customHeight="1">
      <c r="A41" s="3">
        <v>40.0</v>
      </c>
      <c r="B41" s="4" t="s">
        <v>3838</v>
      </c>
      <c r="C41" s="4" t="s">
        <v>3839</v>
      </c>
      <c r="D41" s="4" t="s">
        <v>3840</v>
      </c>
      <c r="F41" s="5" t="str">
        <f>IFERROR(__xludf.DUMMYFUNCTION("GOOGLETRANSLATE(A41, ""en"", ""hi"")"),"40")</f>
        <v>40</v>
      </c>
      <c r="G41" s="5" t="str">
        <f>IFERROR(__xludf.DUMMYFUNCTION("GOOGLETRANSLATE(B41, ""en"", ""hi"")"),"कौन सा ऐतिहासिक दस्तावेज़ प्राचीन फारस में लागोरी के समान खेल के अस्तित्व को दर्ज करता है?")</f>
        <v>कौन सा ऐतिहासिक दस्तावेज़ प्राचीन फारस में लागोरी के समान खेल के अस्तित्व को दर्ज करता है?</v>
      </c>
      <c r="H41" s="5" t="str">
        <f>IFERROR(__xludf.DUMMYFUNCTION("GOOGLETRANSLATE(C41, ""en"", ""hi"")"),"ए) ज़ेंद अवेस्ता, बी) शाहनामा, सी) रुबैयत, डी) दीवान-ए-हाफ़ेज़")</f>
        <v>ए) ज़ेंद अवेस्ता, बी) शाहनामा, सी) रुबैयत, डी) दीवान-ए-हाफ़ेज़</v>
      </c>
      <c r="I41" s="5" t="str">
        <f>IFERROR(__xludf.DUMMYFUNCTION("GOOGLETRANSLATE(D41, ""en"", ""hi"")"),"बी) शाहनामा")</f>
        <v>बी) शाहनामा</v>
      </c>
    </row>
    <row r="42" ht="22.5" customHeight="1">
      <c r="A42" s="3">
        <v>41.0</v>
      </c>
      <c r="B42" s="4" t="s">
        <v>3841</v>
      </c>
      <c r="C42" s="4" t="s">
        <v>3842</v>
      </c>
      <c r="D42" s="4" t="s">
        <v>3843</v>
      </c>
      <c r="F42" s="5" t="str">
        <f>IFERROR(__xludf.DUMMYFUNCTION("GOOGLETRANSLATE(A42, ""en"", ""hi"")"),"41")</f>
        <v>41</v>
      </c>
      <c r="G42" s="5" t="str">
        <f>IFERROR(__xludf.DUMMYFUNCTION("GOOGLETRANSLATE(B42, ""en"", ""hi"")"),"दक्षिण भारत में लागोरी के पूरक के रूप में अक्सर कौन सा पारंपरिक भारतीय खेल खेला जाता है?")</f>
        <v>दक्षिण भारत में लागोरी के पूरक के रूप में अक्सर कौन सा पारंपरिक भारतीय खेल खेला जाता है?</v>
      </c>
      <c r="H42" s="5" t="str">
        <f>IFERROR(__xludf.DUMMYFUNCTION("GOOGLETRANSLATE(C42, ""en"", ""hi"")"),"ए) पलंगुझी, बी) कबड्डी, सी) चतुरंगा, डी) थायम")</f>
        <v>ए) पलंगुझी, बी) कबड्डी, सी) चतुरंगा, डी) थायम</v>
      </c>
      <c r="I42" s="5" t="str">
        <f>IFERROR(__xludf.DUMMYFUNCTION("GOOGLETRANSLATE(D42, ""en"", ""hi"")"),"A) पल्लंगुझी")</f>
        <v>A) पल्लंगुझी</v>
      </c>
    </row>
    <row r="43" ht="22.5" customHeight="1">
      <c r="A43" s="3">
        <v>42.0</v>
      </c>
      <c r="B43" s="4" t="s">
        <v>3844</v>
      </c>
      <c r="C43" s="4" t="s">
        <v>3845</v>
      </c>
      <c r="D43" s="4" t="s">
        <v>3846</v>
      </c>
      <c r="F43" s="5" t="str">
        <f>IFERROR(__xludf.DUMMYFUNCTION("GOOGLETRANSLATE(A43, ""en"", ""hi"")"),"42")</f>
        <v>42</v>
      </c>
      <c r="G43" s="5" t="str">
        <f>IFERROR(__xludf.DUMMYFUNCTION("GOOGLETRANSLATE(B43, ""en"", ""hi"")"),"प्राचीन भारतीय गांवों में, लागोरी खेलों के आयोजन के लिए आमतौर पर कौन जिम्मेदार होता था?")</f>
        <v>प्राचीन भारतीय गांवों में, लागोरी खेलों के आयोजन के लिए आमतौर पर कौन जिम्मेदार होता था?</v>
      </c>
      <c r="H43" s="5" t="str">
        <f>IFERROR(__xludf.DUMMYFUNCTION("GOOGLETRANSLATE(C43, ""en"", ""hi"")"),"A) ग्राम प्रधान, B) स्कूल शिक्षक, C) पुजारी, D) गाँव का बुजुर्ग")</f>
        <v>A) ग्राम प्रधान, B) स्कूल शिक्षक, C) पुजारी, D) गाँव का बुजुर्ग</v>
      </c>
      <c r="I43" s="5" t="str">
        <f>IFERROR(__xludf.DUMMYFUNCTION("GOOGLETRANSLATE(D43, ""en"", ""hi"")"),"D) गाँव के बुजुर्ग")</f>
        <v>D) गाँव के बुजुर्ग</v>
      </c>
    </row>
    <row r="44" ht="22.5" customHeight="1">
      <c r="A44" s="3">
        <v>43.0</v>
      </c>
      <c r="B44" s="4" t="s">
        <v>3847</v>
      </c>
      <c r="C44" s="4" t="s">
        <v>3848</v>
      </c>
      <c r="D44" s="4" t="s">
        <v>3849</v>
      </c>
      <c r="F44" s="5" t="str">
        <f>IFERROR(__xludf.DUMMYFUNCTION("GOOGLETRANSLATE(A44, ""en"", ""hi"")"),"43")</f>
        <v>43</v>
      </c>
      <c r="G44" s="5" t="str">
        <f>IFERROR(__xludf.DUMMYFUNCTION("GOOGLETRANSLATE(B44, ""en"", ""hi"")"),"किस मुगल इतिहासकार ने मुगल दरबार के बच्चों द्वारा खेले जाने वाले लागोरी जैसे खेल का उल्लेख किया है?")</f>
        <v>किस मुगल इतिहासकार ने मुगल दरबार के बच्चों द्वारा खेले जाने वाले लागोरी जैसे खेल का उल्लेख किया है?</v>
      </c>
      <c r="H44" s="5" t="str">
        <f>IFERROR(__xludf.DUMMYFUNCTION("GOOGLETRANSLATE(C44, ""en"", ""hi"")"),"ए) अबुल फजल, बी) बदौनी, सी) इब्न बतूता, डी) अमीर खुसरो")</f>
        <v>ए) अबुल फजल, बी) बदौनी, सी) इब्न बतूता, डी) अमीर खुसरो</v>
      </c>
      <c r="I44" s="5" t="str">
        <f>IFERROR(__xludf.DUMMYFUNCTION("GOOGLETRANSLATE(D44, ""en"", ""hi"")"),"A) अबुल फजल")</f>
        <v>A) अबुल फजल</v>
      </c>
    </row>
    <row r="45" ht="22.5" customHeight="1">
      <c r="A45" s="3">
        <v>44.0</v>
      </c>
      <c r="B45" s="4" t="s">
        <v>3850</v>
      </c>
      <c r="C45" s="4" t="s">
        <v>3851</v>
      </c>
      <c r="D45" s="4" t="s">
        <v>3852</v>
      </c>
      <c r="F45" s="5" t="str">
        <f>IFERROR(__xludf.DUMMYFUNCTION("GOOGLETRANSLATE(A45, ""en"", ""hi"")"),"44")</f>
        <v>44</v>
      </c>
      <c r="G45" s="5" t="str">
        <f>IFERROR(__xludf.DUMMYFUNCTION("GOOGLETRANSLATE(B45, ""en"", ""hi"")"),"भारत के बाहर किस प्राचीन सभ्यता में लागोरी जैसा खेल था?")</f>
        <v>भारत के बाहर किस प्राचीन सभ्यता में लागोरी जैसा खेल था?</v>
      </c>
      <c r="H45" s="5" t="str">
        <f>IFERROR(__xludf.DUMMYFUNCTION("GOOGLETRANSLATE(C45, ""en"", ""hi"")"),"A) मेसोपोटामिया, B) मिस्र, C) रोमन, D) मायान")</f>
        <v>A) मेसोपोटामिया, B) मिस्र, C) रोमन, D) मायान</v>
      </c>
      <c r="I45" s="5" t="str">
        <f>IFERROR(__xludf.DUMMYFUNCTION("GOOGLETRANSLATE(D45, ""en"", ""hi"")"),"C) रोमन")</f>
        <v>C) रोमन</v>
      </c>
    </row>
    <row r="46" ht="22.5" customHeight="1">
      <c r="A46" s="3">
        <v>45.0</v>
      </c>
      <c r="B46" s="4" t="s">
        <v>3853</v>
      </c>
      <c r="C46" s="4" t="s">
        <v>3854</v>
      </c>
      <c r="D46" s="4" t="s">
        <v>3855</v>
      </c>
      <c r="F46" s="5" t="str">
        <f>IFERROR(__xludf.DUMMYFUNCTION("GOOGLETRANSLATE(A46, ""en"", ""hi"")"),"45")</f>
        <v>45</v>
      </c>
      <c r="G46" s="5" t="str">
        <f>IFERROR(__xludf.DUMMYFUNCTION("GOOGLETRANSLATE(B46, ""en"", ""hi"")"),"किस ऐतिहासिक भारतीय हस्ती को बच्चों को लागोरी खेलना सिखाने का श्रेय दिया जाता है?")</f>
        <v>किस ऐतिहासिक भारतीय हस्ती को बच्चों को लागोरी खेलना सिखाने का श्रेय दिया जाता है?</v>
      </c>
      <c r="H46" s="5" t="str">
        <f>IFERROR(__xludf.DUMMYFUNCTION("GOOGLETRANSLATE(C46, ""en"", ""hi"")"),"ए)चाणक्य,बी)गुरु गोबिंद सिंह,सी)स्वामी विवेकानन्द,डी)महात्मा गांधी")</f>
        <v>ए)चाणक्य,बी)गुरु गोबिंद सिंह,सी)स्वामी विवेकानन्द,डी)महात्मा गांधी</v>
      </c>
      <c r="I46" s="5" t="str">
        <f>IFERROR(__xludf.DUMMYFUNCTION("GOOGLETRANSLATE(D46, ""en"", ""hi"")"),"C) स्वामी विवेकानंद")</f>
        <v>C) स्वामी विवेकानंद</v>
      </c>
    </row>
    <row r="47" ht="22.5" customHeight="1">
      <c r="A47" s="3">
        <v>46.0</v>
      </c>
      <c r="B47" s="4" t="s">
        <v>3856</v>
      </c>
      <c r="C47" s="4" t="s">
        <v>3857</v>
      </c>
      <c r="D47" s="4" t="s">
        <v>2544</v>
      </c>
      <c r="F47" s="5" t="str">
        <f>IFERROR(__xludf.DUMMYFUNCTION("GOOGLETRANSLATE(A47, ""en"", ""hi"")"),"46")</f>
        <v>46</v>
      </c>
      <c r="G47" s="5" t="str">
        <f>IFERROR(__xludf.DUMMYFUNCTION("GOOGLETRANSLATE(B47, ""en"", ""hi"")"),"किस प्राचीन भारतीय ग्रंथ में लगोरी खेल को 'सतोलिया' कहा गया है?")</f>
        <v>किस प्राचीन भारतीय ग्रंथ में लगोरी खेल को 'सतोलिया' कहा गया है?</v>
      </c>
      <c r="H47" s="5" t="str">
        <f>IFERROR(__xludf.DUMMYFUNCTION("GOOGLETRANSLATE(C47, ""en"", ""hi"")"),"ए) रामायण, बी) महाभारत, सी) अर्थशास्त्र, डी) विष्णु पुराण")</f>
        <v>ए) रामायण, बी) महाभारत, सी) अर्थशास्त्र, डी) विष्णु पुराण</v>
      </c>
      <c r="I47" s="5" t="str">
        <f>IFERROR(__xludf.DUMMYFUNCTION("GOOGLETRANSLATE(D47, ""en"", ""hi"")"),"बी) महाभारत")</f>
        <v>बी) महाभारत</v>
      </c>
    </row>
    <row r="48" ht="22.5" customHeight="1">
      <c r="A48" s="3">
        <v>47.0</v>
      </c>
      <c r="B48" s="4" t="s">
        <v>3858</v>
      </c>
      <c r="C48" s="4" t="s">
        <v>3859</v>
      </c>
      <c r="D48" s="4" t="s">
        <v>3860</v>
      </c>
      <c r="F48" s="5" t="str">
        <f>IFERROR(__xludf.DUMMYFUNCTION("GOOGLETRANSLATE(A48, ""en"", ""hi"")"),"47")</f>
        <v>47</v>
      </c>
      <c r="G48" s="5" t="str">
        <f>IFERROR(__xludf.DUMMYFUNCTION("GOOGLETRANSLATE(B48, ""en"", ""hi"")"),"ऐसा माना जाता है कि किस मध्यकालीन भारतीय राजवंश ने लागोरी को दरबारी मनोरंजन के रूप में संरक्षण दिया था?")</f>
        <v>ऐसा माना जाता है कि किस मध्यकालीन भारतीय राजवंश ने लागोरी को दरबारी मनोरंजन के रूप में संरक्षण दिया था?</v>
      </c>
      <c r="H48" s="5" t="str">
        <f>IFERROR(__xludf.DUMMYFUNCTION("GOOGLETRANSLATE(C48, ""en"", ""hi"")"),"ए) विजयनगर, बी) चोल, सी) पाल, डी) राजपूत")</f>
        <v>ए) विजयनगर, बी) चोल, सी) पाल, डी) राजपूत</v>
      </c>
      <c r="I48" s="5" t="str">
        <f>IFERROR(__xludf.DUMMYFUNCTION("GOOGLETRANSLATE(D48, ""en"", ""hi"")"),"A) विजयनगर")</f>
        <v>A) विजयनगर</v>
      </c>
    </row>
    <row r="49" ht="22.5" customHeight="1">
      <c r="A49" s="3">
        <v>48.0</v>
      </c>
      <c r="B49" s="4" t="s">
        <v>3861</v>
      </c>
      <c r="C49" s="4" t="s">
        <v>3862</v>
      </c>
      <c r="D49" s="4" t="s">
        <v>3863</v>
      </c>
      <c r="F49" s="5" t="str">
        <f>IFERROR(__xludf.DUMMYFUNCTION("GOOGLETRANSLATE(A49, ""en"", ""hi"")"),"48")</f>
        <v>48</v>
      </c>
      <c r="G49" s="5" t="str">
        <f>IFERROR(__xludf.DUMMYFUNCTION("GOOGLETRANSLATE(B49, ""en"", ""hi"")"),"किस भारतीय दार्शनिक ने अपने लेखन में युवाओं के लिए लागोरी खेलने के लाभों का उल्लेख किया?")</f>
        <v>किस भारतीय दार्शनिक ने अपने लेखन में युवाओं के लिए लागोरी खेलने के लाभों का उल्लेख किया?</v>
      </c>
      <c r="H49" s="5" t="str">
        <f>IFERROR(__xludf.DUMMYFUNCTION("GOOGLETRANSLATE(C49, ""en"", ""hi"")"),"ए) आदि शंकराचार्य, बी) रामानुज, सी) चाणक्य, डी) कबीर")</f>
        <v>ए) आदि शंकराचार्य, बी) रामानुज, सी) चाणक्य, डी) कबीर</v>
      </c>
      <c r="I49" s="5" t="str">
        <f>IFERROR(__xludf.DUMMYFUNCTION("GOOGLETRANSLATE(D49, ""en"", ""hi"")"),"C) चाणक्य")</f>
        <v>C) चाणक्य</v>
      </c>
    </row>
    <row r="50" ht="22.5" customHeight="1">
      <c r="A50" s="3">
        <v>49.0</v>
      </c>
      <c r="B50" s="4" t="s">
        <v>3864</v>
      </c>
      <c r="C50" s="4" t="s">
        <v>3865</v>
      </c>
      <c r="D50" s="4" t="s">
        <v>3752</v>
      </c>
      <c r="F50" s="5" t="str">
        <f>IFERROR(__xludf.DUMMYFUNCTION("GOOGLETRANSLATE(A50, ""en"", ""hi"")"),"49")</f>
        <v>49</v>
      </c>
      <c r="G50" s="5" t="str">
        <f>IFERROR(__xludf.DUMMYFUNCTION("GOOGLETRANSLATE(B50, ""en"", ""hi"")"),"किस पारंपरिक भारतीय खेल में उद्देश्य लागोरी के समान है?")</f>
        <v>किस पारंपरिक भारतीय खेल में उद्देश्य लागोरी के समान है?</v>
      </c>
      <c r="H50" s="5" t="str">
        <f>IFERROR(__xludf.DUMMYFUNCTION("GOOGLETRANSLATE(C50, ""en"", ""hi"")"),"ए)कबड्डी, बी)खो-खो,सी)आत्या-पात्या,डी)कांचा")</f>
        <v>ए)कबड्डी, बी)खो-खो,सी)आत्या-पात्या,डी)कांचा</v>
      </c>
      <c r="I50" s="5" t="str">
        <f>IFERROR(__xludf.DUMMYFUNCTION("GOOGLETRANSLATE(D50, ""en"", ""hi"")"),"C) अत्या-पत्या")</f>
        <v>C) अत्या-पत्या</v>
      </c>
    </row>
    <row r="51" ht="22.5" customHeight="1">
      <c r="A51" s="3">
        <v>50.0</v>
      </c>
      <c r="B51" s="4" t="s">
        <v>3866</v>
      </c>
      <c r="C51" s="4" t="s">
        <v>3763</v>
      </c>
      <c r="D51" s="4" t="s">
        <v>3764</v>
      </c>
      <c r="F51" s="5" t="str">
        <f>IFERROR(__xludf.DUMMYFUNCTION("GOOGLETRANSLATE(A51, ""en"", ""hi"")"),"50")</f>
        <v>50</v>
      </c>
      <c r="G51" s="5" t="str">
        <f>IFERROR(__xludf.DUMMYFUNCTION("GOOGLETRANSLATE(B51, ""en"", ""hi"")"),"किस आधुनिक भारतीय राज्य में पंजीकृत लागोरी खिलाड़ियों की संख्या सबसे अधिक है?")</f>
        <v>किस आधुनिक भारतीय राज्य में पंजीकृत लागोरी खिलाड़ियों की संख्या सबसे अधिक है?</v>
      </c>
      <c r="H51" s="5" t="str">
        <f>IFERROR(__xludf.DUMMYFUNCTION("GOOGLETRANSLATE(C51, ""en"", ""hi"")"),"ए) तमिलनाडु, बी) कर्नाटक, सी) महाराष्ट्र, डी) आंध्र प्रदेश")</f>
        <v>ए) तमिलनाडु, बी) कर्नाटक, सी) महाराष्ट्र, डी) आंध्र प्रदेश</v>
      </c>
      <c r="I51" s="5" t="str">
        <f>IFERROR(__xludf.DUMMYFUNCTION("GOOGLETRANSLATE(D51, ""en"", ""hi"")"),"बी) कर्नाटक")</f>
        <v>बी) कर्नाटक</v>
      </c>
    </row>
    <row r="52" ht="22.5" customHeight="1">
      <c r="A52" s="3">
        <v>51.0</v>
      </c>
      <c r="B52" s="4" t="s">
        <v>3867</v>
      </c>
      <c r="C52" s="4" t="s">
        <v>3868</v>
      </c>
      <c r="D52" s="4" t="s">
        <v>3869</v>
      </c>
      <c r="F52" s="5" t="str">
        <f>IFERROR(__xludf.DUMMYFUNCTION("GOOGLETRANSLATE(A52, ""en"", ""hi"")"),"51")</f>
        <v>51</v>
      </c>
      <c r="G52" s="5" t="str">
        <f>IFERROR(__xludf.DUMMYFUNCTION("GOOGLETRANSLATE(B52, ""en"", ""hi"")"),"किस भारतीय शासक ने अपने सैनिकों के समन्वय को बेहतर बनाने के लिए लागोरी का उपयोग किया था?")</f>
        <v>किस भारतीय शासक ने अपने सैनिकों के समन्वय को बेहतर बनाने के लिए लागोरी का उपयोग किया था?</v>
      </c>
      <c r="H52" s="5" t="str">
        <f>IFERROR(__xludf.DUMMYFUNCTION("GOOGLETRANSLATE(C52, ""en"", ""hi"")"),"ए) टीपू सुल्तान, बी) छत्रपति शिवाजी, सी) रानी दुर्गावती, डी) हैदर अली")</f>
        <v>ए) टीपू सुल्तान, बी) छत्रपति शिवाजी, सी) रानी दुर्गावती, डी) हैदर अली</v>
      </c>
      <c r="I52" s="5" t="str">
        <f>IFERROR(__xludf.DUMMYFUNCTION("GOOGLETRANSLATE(D52, ""en"", ""hi"")"),"A) टीपू सुल्तान")</f>
        <v>A) टीपू सुल्तान</v>
      </c>
    </row>
    <row r="53" ht="22.5" customHeight="1">
      <c r="A53" s="3">
        <v>52.0</v>
      </c>
      <c r="B53" s="4" t="s">
        <v>3870</v>
      </c>
      <c r="C53" s="4" t="s">
        <v>3871</v>
      </c>
      <c r="D53" s="4" t="s">
        <v>3872</v>
      </c>
      <c r="F53" s="5" t="str">
        <f>IFERROR(__xludf.DUMMYFUNCTION("GOOGLETRANSLATE(A53, ""en"", ""hi"")"),"52")</f>
        <v>52</v>
      </c>
      <c r="G53" s="5" t="str">
        <f>IFERROR(__xludf.DUMMYFUNCTION("GOOGLETRANSLATE(B53, ""en"", ""hi"")"),"प्राचीन भारत में पारंपरिक खेल लागोरी में महिलाओं की क्या भूमिका थी?")</f>
        <v>प्राचीन भारत में पारंपरिक खेल लागोरी में महिलाओं की क्या भूमिका थी?</v>
      </c>
      <c r="H53" s="5" t="str">
        <f>IFERROR(__xludf.DUMMYFUNCTION("GOOGLETRANSLATE(C53, ""en"", ""hi"")"),"A) खेल का आयोजन, B) टीम लीडर के रूप में खेलना, C) दर्शक, D) समान प्रतिभागी")</f>
        <v>A) खेल का आयोजन, B) टीम लीडर के रूप में खेलना, C) दर्शक, D) समान प्रतिभागी</v>
      </c>
      <c r="I53" s="5" t="str">
        <f>IFERROR(__xludf.DUMMYFUNCTION("GOOGLETRANSLATE(D53, ""en"", ""hi"")"),"D) समान प्रतिभागी")</f>
        <v>D) समान प्रतिभागी</v>
      </c>
    </row>
    <row r="54" ht="22.5" customHeight="1">
      <c r="A54" s="3">
        <v>53.0</v>
      </c>
      <c r="B54" s="4" t="s">
        <v>3873</v>
      </c>
      <c r="C54" s="4" t="s">
        <v>3874</v>
      </c>
      <c r="D54" s="4" t="s">
        <v>3875</v>
      </c>
      <c r="F54" s="5" t="str">
        <f>IFERROR(__xludf.DUMMYFUNCTION("GOOGLETRANSLATE(A54, ""en"", ""hi"")"),"53")</f>
        <v>53</v>
      </c>
      <c r="G54" s="5" t="str">
        <f>IFERROR(__xludf.DUMMYFUNCTION("GOOGLETRANSLATE(B54, ""en"", ""hi"")"),"किस भारतीय राज्य के लोकगीतों में अक्सर लागोरी खेल का वर्णन किया जाता है?")</f>
        <v>किस भारतीय राज्य के लोकगीतों में अक्सर लागोरी खेल का वर्णन किया जाता है?</v>
      </c>
      <c r="H54" s="5" t="str">
        <f>IFERROR(__xludf.DUMMYFUNCTION("GOOGLETRANSLATE(C54, ""en"", ""hi"")"),"ए) केरल, बी) राजस्थान, सी) कर्नाटक, डी) तमिलनाडु")</f>
        <v>ए) केरल, बी) राजस्थान, सी) कर्नाटक, डी) तमिलनाडु</v>
      </c>
      <c r="I54" s="5" t="str">
        <f>IFERROR(__xludf.DUMMYFUNCTION("GOOGLETRANSLATE(D54, ""en"", ""hi"")"),"C) कर्नाटक")</f>
        <v>C) कर्नाटक</v>
      </c>
    </row>
    <row r="55" ht="22.5" customHeight="1">
      <c r="A55" s="3">
        <v>54.0</v>
      </c>
      <c r="B55" s="4" t="s">
        <v>3876</v>
      </c>
      <c r="C55" s="4" t="s">
        <v>3877</v>
      </c>
      <c r="D55" s="4" t="s">
        <v>3878</v>
      </c>
      <c r="F55" s="5" t="str">
        <f>IFERROR(__xludf.DUMMYFUNCTION("GOOGLETRANSLATE(A55, ""en"", ""hi"")"),"54")</f>
        <v>54</v>
      </c>
      <c r="G55" s="5" t="str">
        <f>IFERROR(__xludf.DUMMYFUNCTION("GOOGLETRANSLATE(B55, ""en"", ""hi"")"),"प्राचीन भारतीय साहित्य में लागोरी की तुलना अक्सर किस खेल से की जाती है?")</f>
        <v>प्राचीन भारतीय साहित्य में लागोरी की तुलना अक्सर किस खेल से की जाती है?</v>
      </c>
      <c r="H55" s="5" t="str">
        <f>IFERROR(__xludf.DUMMYFUNCTION("GOOGLETRANSLATE(C55, ""en"", ""hi"")"),"ए) कांचा, बी) गिल्ली-डंडा, सी) मल्लखंब, डी) मार्बल्स")</f>
        <v>ए) कांचा, बी) गिल्ली-डंडा, सी) मल्लखंब, डी) मार्बल्स</v>
      </c>
      <c r="I55" s="5" t="str">
        <f>IFERROR(__xludf.DUMMYFUNCTION("GOOGLETRANSLATE(D55, ""en"", ""hi"")"),"B) गिल्ली-डंडा")</f>
        <v>B) गिल्ली-डंडा</v>
      </c>
    </row>
    <row r="56" ht="22.5" customHeight="1">
      <c r="A56" s="3">
        <v>55.0</v>
      </c>
      <c r="B56" s="4" t="s">
        <v>3879</v>
      </c>
      <c r="C56" s="4" t="s">
        <v>3880</v>
      </c>
      <c r="D56" s="4" t="s">
        <v>3881</v>
      </c>
      <c r="F56" s="5" t="str">
        <f>IFERROR(__xludf.DUMMYFUNCTION("GOOGLETRANSLATE(A56, ""en"", ""hi"")"),"55")</f>
        <v>55</v>
      </c>
      <c r="G56" s="5" t="str">
        <f>IFERROR(__xludf.DUMMYFUNCTION("GOOGLETRANSLATE(B56, ""en"", ""hi"")"),"किस प्राचीन भारतीय राज्य में लागोरी युवाओं के बीच एक लोकप्रिय खेल था?")</f>
        <v>किस प्राचीन भारतीय राज्य में लागोरी युवाओं के बीच एक लोकप्रिय खेल था?</v>
      </c>
      <c r="H56" s="5" t="str">
        <f>IFERROR(__xludf.DUMMYFUNCTION("GOOGLETRANSLATE(C56, ""en"", ""hi"")"),"ए) मगध, बी) चोल, सी) विजयनगर, डी) गुप्त")</f>
        <v>ए) मगध, बी) चोल, सी) विजयनगर, डी) गुप्त</v>
      </c>
      <c r="I56" s="5" t="str">
        <f>IFERROR(__xludf.DUMMYFUNCTION("GOOGLETRANSLATE(D56, ""en"", ""hi"")"),"बी) चोल")</f>
        <v>बी) चोल</v>
      </c>
    </row>
    <row r="57" ht="22.5" customHeight="1">
      <c r="A57" s="3">
        <v>56.0</v>
      </c>
      <c r="B57" s="4" t="s">
        <v>3882</v>
      </c>
      <c r="C57" s="4" t="s">
        <v>3883</v>
      </c>
      <c r="D57" s="4" t="s">
        <v>3884</v>
      </c>
      <c r="F57" s="5" t="str">
        <f>IFERROR(__xludf.DUMMYFUNCTION("GOOGLETRANSLATE(A57, ""en"", ""hi"")"),"56")</f>
        <v>56</v>
      </c>
      <c r="G57" s="5" t="str">
        <f>IFERROR(__xludf.DUMMYFUNCTION("GOOGLETRANSLATE(B57, ""en"", ""hi"")"),"किस ऐतिहासिक भारतीय साम्राज्य के सैनिकों को अवकाश के समय लागोरी खेलने के लिए जाना जाता है?")</f>
        <v>किस ऐतिहासिक भारतीय साम्राज्य के सैनिकों को अवकाश के समय लागोरी खेलने के लिए जाना जाता है?</v>
      </c>
      <c r="H57" s="5" t="str">
        <f>IFERROR(__xludf.DUMMYFUNCTION("GOOGLETRANSLATE(C57, ""en"", ""hi"")"),"ए) मराठा, बी) मुगल, सी) विजयनगर, डी) चोल")</f>
        <v>ए) मराठा, बी) मुगल, सी) विजयनगर, डी) चोल</v>
      </c>
      <c r="I57" s="5" t="str">
        <f>IFERROR(__xludf.DUMMYFUNCTION("GOOGLETRANSLATE(D57, ""en"", ""hi"")"),"C) विजयनगर")</f>
        <v>C) विजयनगर</v>
      </c>
    </row>
    <row r="58" ht="22.5" customHeight="1">
      <c r="A58" s="3">
        <v>57.0</v>
      </c>
      <c r="B58" s="4" t="s">
        <v>3885</v>
      </c>
      <c r="C58" s="4" t="s">
        <v>3886</v>
      </c>
      <c r="D58" s="4" t="s">
        <v>3764</v>
      </c>
      <c r="F58" s="5" t="str">
        <f>IFERROR(__xludf.DUMMYFUNCTION("GOOGLETRANSLATE(A58, ""en"", ""hi"")"),"57")</f>
        <v>57</v>
      </c>
      <c r="G58" s="5" t="str">
        <f>IFERROR(__xludf.DUMMYFUNCTION("GOOGLETRANSLATE(B58, ""en"", ""hi"")"),"भारत के किस क्षेत्र में लगोरी पारंपरिक रूप से विवाह अनुष्ठान के भाग के रूप में खेली जाती थी?")</f>
        <v>भारत के किस क्षेत्र में लगोरी पारंपरिक रूप से विवाह अनुष्ठान के भाग के रूप में खेली जाती थी?</v>
      </c>
      <c r="H58" s="5" t="str">
        <f>IFERROR(__xludf.DUMMYFUNCTION("GOOGLETRANSLATE(C58, ""en"", ""hi"")"),"ए) पंजाब, बी) कर्नाटक, सी) बंगाल, डी) गुजरात")</f>
        <v>ए) पंजाब, बी) कर्नाटक, सी) बंगाल, डी) गुजरात</v>
      </c>
      <c r="I58" s="5" t="str">
        <f>IFERROR(__xludf.DUMMYFUNCTION("GOOGLETRANSLATE(D58, ""en"", ""hi"")"),"बी) कर्नाटक")</f>
        <v>बी) कर्नाटक</v>
      </c>
    </row>
    <row r="59" ht="22.5" customHeight="1">
      <c r="A59" s="3">
        <v>58.0</v>
      </c>
      <c r="B59" s="4" t="s">
        <v>3887</v>
      </c>
      <c r="C59" s="4" t="s">
        <v>3888</v>
      </c>
      <c r="D59" s="4" t="s">
        <v>3889</v>
      </c>
      <c r="F59" s="5" t="str">
        <f>IFERROR(__xludf.DUMMYFUNCTION("GOOGLETRANSLATE(A59, ""en"", ""hi"")"),"58")</f>
        <v>58</v>
      </c>
      <c r="G59" s="5" t="str">
        <f>IFERROR(__xludf.DUMMYFUNCTION("GOOGLETRANSLATE(B59, ""en"", ""hi"")"),"दक्षिण भारत के किस ऐतिहासिक दस्तावेज में लागोरी के नियमों का वर्णन है?")</f>
        <v>दक्षिण भारत के किस ऐतिहासिक दस्तावेज में लागोरी के नियमों का वर्णन है?</v>
      </c>
      <c r="H59" s="5" t="str">
        <f>IFERROR(__xludf.DUMMYFUNCTION("GOOGLETRANSLATE(C59, ""en"", ""hi"")"),"ए) टोलकाप्पियम, बी) संगम साहित्य, सी) सिलप्पातिकरम, डी) कामसूत्र")</f>
        <v>ए) टोलकाप्पियम, बी) संगम साहित्य, सी) सिलप्पातिकरम, डी) कामसूत्र</v>
      </c>
      <c r="I59" s="5" t="str">
        <f>IFERROR(__xludf.DUMMYFUNCTION("GOOGLETRANSLATE(D59, ""en"", ""hi"")"),"बी) संगम साहित्य")</f>
        <v>बी) संगम साहित्य</v>
      </c>
    </row>
    <row r="60" ht="22.5" customHeight="1">
      <c r="A60" s="3">
        <v>59.0</v>
      </c>
      <c r="B60" s="4" t="s">
        <v>3890</v>
      </c>
      <c r="C60" s="4" t="s">
        <v>3891</v>
      </c>
      <c r="D60" s="4" t="s">
        <v>3892</v>
      </c>
      <c r="F60" s="5" t="str">
        <f>IFERROR(__xludf.DUMMYFUNCTION("GOOGLETRANSLATE(A60, ""en"", ""hi"")"),"59")</f>
        <v>59</v>
      </c>
      <c r="G60" s="5" t="str">
        <f>IFERROR(__xludf.DUMMYFUNCTION("GOOGLETRANSLATE(B60, ""en"", ""hi"")"),"प्राचीन भारत में लागोरी खेल में विजेता टीम को पारंपरिक पुरस्कार क्या दिया जाता था?")</f>
        <v>प्राचीन भारत में लागोरी खेल में विजेता टीम को पारंपरिक पुरस्कार क्या दिया जाता था?</v>
      </c>
      <c r="H60" s="5" t="str">
        <f>IFERROR(__xludf.DUMMYFUNCTION("GOOGLETRANSLATE(C60, ""en"", ""hi"")"),"A) भोज, B) सिक्के, C) वस्त्र, D) धार्मिक आशीर्वाद")</f>
        <v>A) भोज, B) सिक्के, C) वस्त्र, D) धार्मिक आशीर्वाद</v>
      </c>
      <c r="I60" s="5" t="str">
        <f>IFERROR(__xludf.DUMMYFUNCTION("GOOGLETRANSLATE(D60, ""en"", ""hi"")"),"एक दावत")</f>
        <v>एक दावत</v>
      </c>
    </row>
    <row r="61" ht="22.5" customHeight="1">
      <c r="A61" s="3">
        <v>60.0</v>
      </c>
      <c r="B61" s="4" t="s">
        <v>3893</v>
      </c>
      <c r="C61" s="4" t="s">
        <v>3894</v>
      </c>
      <c r="D61" s="4" t="s">
        <v>3895</v>
      </c>
      <c r="F61" s="5" t="str">
        <f>IFERROR(__xludf.DUMMYFUNCTION("GOOGLETRANSLATE(A61, ""en"", ""hi"")"),"60")</f>
        <v>60</v>
      </c>
      <c r="G61" s="5" t="str">
        <f>IFERROR(__xludf.DUMMYFUNCTION("GOOGLETRANSLATE(B61, ""en"", ""hi"")"),"कौन सा प्राचीन भारतीय खेल लागोरी के समान खेला जाता था लेकिन इसमें अधिक शारीरिक संपर्क शामिल था?")</f>
        <v>कौन सा प्राचीन भारतीय खेल लागोरी के समान खेला जाता था लेकिन इसमें अधिक शारीरिक संपर्क शामिल था?</v>
      </c>
      <c r="H61" s="5" t="str">
        <f>IFERROR(__xludf.DUMMYFUNCTION("GOOGLETRANSLATE(C61, ""en"", ""hi"")"),"ए)कबड्डी, बी)आट्या-पाट्या,सी)गिल्ली-डंडा,डी)मल्लखंभ")</f>
        <v>ए)कबड्डी, बी)आट्या-पाट्या,सी)गिल्ली-डंडा,डी)मल्लखंभ</v>
      </c>
      <c r="I61" s="5" t="str">
        <f>IFERROR(__xludf.DUMMYFUNCTION("GOOGLETRANSLATE(D61, ""en"", ""hi"")"),"बी) अत्या-पत्या")</f>
        <v>बी) अत्या-पत्या</v>
      </c>
    </row>
    <row r="62" ht="22.5" customHeight="1">
      <c r="A62" s="3">
        <v>61.0</v>
      </c>
      <c r="B62" s="4" t="s">
        <v>3896</v>
      </c>
      <c r="C62" s="4" t="s">
        <v>3897</v>
      </c>
      <c r="D62" s="4" t="s">
        <v>3898</v>
      </c>
      <c r="F62" s="5" t="str">
        <f>IFERROR(__xludf.DUMMYFUNCTION("GOOGLETRANSLATE(A62, ""en"", ""hi"")"),"61")</f>
        <v>61</v>
      </c>
      <c r="G62" s="5" t="str">
        <f>IFERROR(__xludf.DUMMYFUNCTION("GOOGLETRANSLATE(B62, ""en"", ""hi"")"),"किस भारतीय शास्त्रीय नृत्य शैली में ऐसा अनुक्रम है जो लागोरी की गतिविधियों की नकल करता है?")</f>
        <v>किस भारतीय शास्त्रीय नृत्य शैली में ऐसा अनुक्रम है जो लागोरी की गतिविधियों की नकल करता है?</v>
      </c>
      <c r="H62" s="5" t="str">
        <f>IFERROR(__xludf.DUMMYFUNCTION("GOOGLETRANSLATE(C62, ""en"", ""hi"")"),"ए) भरतनाट्यम, बी) कथक, सी) कुचिपुड़ी, डी) मोहिनीअट्टम")</f>
        <v>ए) भरतनाट्यम, बी) कथक, सी) कुचिपुड़ी, डी) मोहिनीअट्टम</v>
      </c>
      <c r="I62" s="5" t="str">
        <f>IFERROR(__xludf.DUMMYFUNCTION("GOOGLETRANSLATE(D62, ""en"", ""hi"")"),"A) भरतनाट्यम")</f>
        <v>A) भरतनाट्यम</v>
      </c>
    </row>
    <row r="63" ht="22.5" customHeight="1">
      <c r="A63" s="3">
        <v>62.0</v>
      </c>
      <c r="B63" s="4" t="s">
        <v>3899</v>
      </c>
      <c r="C63" s="4" t="s">
        <v>3900</v>
      </c>
      <c r="D63" s="4" t="s">
        <v>3901</v>
      </c>
      <c r="F63" s="5" t="str">
        <f>IFERROR(__xludf.DUMMYFUNCTION("GOOGLETRANSLATE(A63, ""en"", ""hi"")"),"62")</f>
        <v>62</v>
      </c>
      <c r="G63" s="5" t="str">
        <f>IFERROR(__xludf.DUMMYFUNCTION("GOOGLETRANSLATE(B63, ""en"", ""hi"")"),"पारंपरिक लागोरी में, खेल की सामान्य अवधि क्या थी?")</f>
        <v>पारंपरिक लागोरी में, खेल की सामान्य अवधि क्या थी?</v>
      </c>
      <c r="H63" s="5" t="str">
        <f>IFERROR(__xludf.DUMMYFUNCTION("GOOGLETRANSLATE(C63, ""en"", ""hi"")"),"A) 15 मिनट, B) 30 मिनट, C) 1 घंटा, D) 2 घंटे")</f>
        <v>A) 15 मिनट, B) 30 मिनट, C) 1 घंटा, D) 2 घंटे</v>
      </c>
      <c r="I63" s="5" t="str">
        <f>IFERROR(__xludf.DUMMYFUNCTION("GOOGLETRANSLATE(D63, ""en"", ""hi"")"),"बी) 30 मिनट")</f>
        <v>बी) 30 मिनट</v>
      </c>
    </row>
    <row r="64" ht="22.5" customHeight="1">
      <c r="A64" s="3">
        <v>63.0</v>
      </c>
      <c r="B64" s="4" t="s">
        <v>3902</v>
      </c>
      <c r="C64" s="4" t="s">
        <v>3903</v>
      </c>
      <c r="D64" s="4" t="s">
        <v>3904</v>
      </c>
      <c r="F64" s="5" t="str">
        <f>IFERROR(__xludf.DUMMYFUNCTION("GOOGLETRANSLATE(A64, ""en"", ""hi"")"),"63")</f>
        <v>63</v>
      </c>
      <c r="G64" s="5" t="str">
        <f>IFERROR(__xludf.DUMMYFUNCTION("GOOGLETRANSLATE(B64, ""en"", ""hi"")"),"कौन सा भारतीय समुदाय लागोरी के पारंपरिक नियमों को संरक्षित करने के लिए जाना जाता है?")</f>
        <v>कौन सा भारतीय समुदाय लागोरी के पारंपरिक नियमों को संरक्षित करने के लिए जाना जाता है?</v>
      </c>
      <c r="H64" s="5" t="str">
        <f>IFERROR(__xludf.DUMMYFUNCTION("GOOGLETRANSLATE(C64, ""en"", ""hi"")"),"ए) मारवाड़ी, बी) कोडवा, सी) नायर, डी) ब्राह्मण")</f>
        <v>ए) मारवाड़ी, बी) कोडवा, सी) नायर, डी) ब्राह्मण</v>
      </c>
      <c r="I64" s="5" t="str">
        <f>IFERROR(__xludf.DUMMYFUNCTION("GOOGLETRANSLATE(D64, ""en"", ""hi"")"),"बी) कोडवास")</f>
        <v>बी) कोडवास</v>
      </c>
    </row>
    <row r="65" ht="22.5" customHeight="1">
      <c r="A65" s="3">
        <v>64.0</v>
      </c>
      <c r="B65" s="4" t="s">
        <v>3905</v>
      </c>
      <c r="C65" s="4" t="s">
        <v>3906</v>
      </c>
      <c r="D65" s="4" t="s">
        <v>3907</v>
      </c>
      <c r="F65" s="5" t="str">
        <f>IFERROR(__xludf.DUMMYFUNCTION("GOOGLETRANSLATE(A65, ""en"", ""hi"")"),"64")</f>
        <v>64</v>
      </c>
      <c r="G65" s="5" t="str">
        <f>IFERROR(__xludf.DUMMYFUNCTION("GOOGLETRANSLATE(B65, ""en"", ""hi"")"),"विजयनगर साम्राज्य के किस शासक को शाही समारोहों में लागोरी की शुरुआत करने के लिए जाना जाता है?")</f>
        <v>विजयनगर साम्राज्य के किस शासक को शाही समारोहों में लागोरी की शुरुआत करने के लिए जाना जाता है?</v>
      </c>
      <c r="H65" s="5" t="str">
        <f>IFERROR(__xludf.DUMMYFUNCTION("GOOGLETRANSLATE(C65, ""en"", ""hi"")"),"ए) कृष्णदेवराय, बी) हरिहर प्रथम, सी) बुक्का प्रथम, डी) अच्युता देव राय")</f>
        <v>ए) कृष्णदेवराय, बी) हरिहर प्रथम, सी) बुक्का प्रथम, डी) अच्युता देव राय</v>
      </c>
      <c r="I65" s="5" t="str">
        <f>IFERROR(__xludf.DUMMYFUNCTION("GOOGLETRANSLATE(D65, ""en"", ""hi"")"),"A) कृष्णदेवराय")</f>
        <v>A) कृष्णदेवराय</v>
      </c>
    </row>
    <row r="66" ht="22.5" customHeight="1">
      <c r="A66" s="3">
        <v>65.0</v>
      </c>
      <c r="B66" s="4" t="s">
        <v>3908</v>
      </c>
      <c r="C66" s="4" t="s">
        <v>3909</v>
      </c>
      <c r="D66" s="4" t="s">
        <v>3910</v>
      </c>
      <c r="F66" s="5" t="str">
        <f>IFERROR(__xludf.DUMMYFUNCTION("GOOGLETRANSLATE(A66, ""en"", ""hi"")"),"65")</f>
        <v>65</v>
      </c>
      <c r="G66" s="5" t="str">
        <f>IFERROR(__xludf.DUMMYFUNCTION("GOOGLETRANSLATE(B66, ""en"", ""hi"")"),"किस भारतीय मंदिर में लागोरी जैसे खेल को दर्शाती नक्काशी है?")</f>
        <v>किस भारतीय मंदिर में लागोरी जैसे खेल को दर्शाती नक्काशी है?</v>
      </c>
      <c r="H66" s="5" t="str">
        <f>IFERROR(__xludf.DUMMYFUNCTION("GOOGLETRANSLATE(C66, ""en"", ""hi"")"),"ए) मीनाक्षी मंदिर, बी) बृहदेश्वर मंदिर, सी) हम्पी मंदिर, डी) कोणार्क सूर्य मंदिर")</f>
        <v>ए) मीनाक्षी मंदिर, बी) बृहदेश्वर मंदिर, सी) हम्पी मंदिर, डी) कोणार्क सूर्य मंदिर</v>
      </c>
      <c r="I66" s="5" t="str">
        <f>IFERROR(__xludf.DUMMYFUNCTION("GOOGLETRANSLATE(D66, ""en"", ""hi"")"),"C) हम्पी मंदिर")</f>
        <v>C) हम्पी मंदिर</v>
      </c>
    </row>
    <row r="67" ht="22.5" customHeight="1">
      <c r="A67" s="3">
        <v>66.0</v>
      </c>
      <c r="B67" s="4" t="s">
        <v>3911</v>
      </c>
      <c r="C67" s="4" t="s">
        <v>3912</v>
      </c>
      <c r="D67" s="4" t="s">
        <v>2556</v>
      </c>
      <c r="F67" s="5" t="str">
        <f>IFERROR(__xludf.DUMMYFUNCTION("GOOGLETRANSLATE(A67, ""en"", ""hi"")"),"66")</f>
        <v>66</v>
      </c>
      <c r="G67" s="5" t="str">
        <f>IFERROR(__xludf.DUMMYFUNCTION("GOOGLETRANSLATE(B67, ""en"", ""hi"")"),"ऐसा कहा जाता है कि किस मुगल सम्राट ने अपनी युवावस्था में लागोरी का एक संस्करण बजाया था?")</f>
        <v>ऐसा कहा जाता है कि किस मुगल सम्राट ने अपनी युवावस्था में लागोरी का एक संस्करण बजाया था?</v>
      </c>
      <c r="H67" s="5" t="str">
        <f>IFERROR(__xludf.DUMMYFUNCTION("GOOGLETRANSLATE(C67, ""en"", ""hi"")"),"A) अकबर, B) जहाँगीर, C) औरंगज़ेब, D) हुमायूँ")</f>
        <v>A) अकबर, B) जहाँगीर, C) औरंगज़ेब, D) हुमायूँ</v>
      </c>
      <c r="I67" s="5" t="str">
        <f>IFERROR(__xludf.DUMMYFUNCTION("GOOGLETRANSLATE(D67, ""en"", ""hi"")"),"A) अकबर")</f>
        <v>A) अकबर</v>
      </c>
    </row>
    <row r="68" ht="22.5" customHeight="1">
      <c r="A68" s="3">
        <v>67.0</v>
      </c>
      <c r="B68" s="4" t="s">
        <v>3913</v>
      </c>
      <c r="C68" s="4" t="s">
        <v>3914</v>
      </c>
      <c r="D68" s="4" t="s">
        <v>3915</v>
      </c>
      <c r="F68" s="5" t="str">
        <f>IFERROR(__xludf.DUMMYFUNCTION("GOOGLETRANSLATE(A68, ""en"", ""hi"")"),"67")</f>
        <v>67</v>
      </c>
      <c r="G68" s="5" t="str">
        <f>IFERROR(__xludf.DUMMYFUNCTION("GOOGLETRANSLATE(B68, ""en"", ""hi"")"),"पारंपरिक लागोरी में पत्थरों के स्थान पर पत्थरों को ढेर करने के लिए किसका उपयोग किया जाता था?")</f>
        <v>पारंपरिक लागोरी में पत्थरों के स्थान पर पत्थरों को ढेर करने के लिए किसका उपयोग किया जाता था?</v>
      </c>
      <c r="H68" s="5" t="str">
        <f>IFERROR(__xludf.DUMMYFUNCTION("GOOGLETRANSLATE(C68, ""en"", ""hi"")"),"A) लकड़ी के ब्लॉक, B) धातु के डिस्क, C) मिट्टी के बर्तन, D) नारियल के गोले")</f>
        <v>A) लकड़ी के ब्लॉक, B) धातु के डिस्क, C) मिट्टी के बर्तन, D) नारियल के गोले</v>
      </c>
      <c r="I68" s="5" t="str">
        <f>IFERROR(__xludf.DUMMYFUNCTION("GOOGLETRANSLATE(D68, ""en"", ""hi"")"),"C) मिट्टी के बर्तन")</f>
        <v>C) मिट्टी के बर्तन</v>
      </c>
    </row>
    <row r="69" ht="22.5" customHeight="1">
      <c r="A69" s="3">
        <v>68.0</v>
      </c>
      <c r="B69" s="4" t="s">
        <v>3916</v>
      </c>
      <c r="C69" s="4" t="s">
        <v>3917</v>
      </c>
      <c r="D69" s="4" t="s">
        <v>3918</v>
      </c>
      <c r="F69" s="5" t="str">
        <f>IFERROR(__xludf.DUMMYFUNCTION("GOOGLETRANSLATE(A69, ""en"", ""hi"")"),"68")</f>
        <v>68</v>
      </c>
      <c r="G69" s="5" t="str">
        <f>IFERROR(__xludf.DUMMYFUNCTION("GOOGLETRANSLATE(B69, ""en"", ""hi"")"),"महाराष्ट्र में मनाए जाने वाले किस भारतीय त्यौहार में अक्सर लगोरी खेल शामिल होते हैं?")</f>
        <v>महाराष्ट्र में मनाए जाने वाले किस भारतीय त्यौहार में अक्सर लगोरी खेल शामिल होते हैं?</v>
      </c>
      <c r="H69" s="5" t="str">
        <f>IFERROR(__xludf.DUMMYFUNCTION("GOOGLETRANSLATE(C69, ""en"", ""hi"")"),"ए) गणेश चतुर्थी, बी) मकर संक्रांति, सी) दिवाली, डी) होली")</f>
        <v>ए) गणेश चतुर्थी, बी) मकर संक्रांति, सी) दिवाली, डी) होली</v>
      </c>
      <c r="I69" s="5" t="str">
        <f>IFERROR(__xludf.DUMMYFUNCTION("GOOGLETRANSLATE(D69, ""en"", ""hi"")"),"बी) मकर संक्रांति")</f>
        <v>बी) मकर संक्रांति</v>
      </c>
    </row>
    <row r="70" ht="22.5" customHeight="1">
      <c r="A70" s="3">
        <v>69.0</v>
      </c>
      <c r="B70" s="4" t="s">
        <v>3919</v>
      </c>
      <c r="C70" s="4" t="s">
        <v>3920</v>
      </c>
      <c r="D70" s="4" t="s">
        <v>3875</v>
      </c>
      <c r="F70" s="5" t="str">
        <f>IFERROR(__xludf.DUMMYFUNCTION("GOOGLETRANSLATE(A70, ""en"", ""hi"")"),"69")</f>
        <v>69</v>
      </c>
      <c r="G70" s="5" t="str">
        <f>IFERROR(__xludf.DUMMYFUNCTION("GOOGLETRANSLATE(B70, ""en"", ""hi"")"),"किस भारतीय राज्य का लोक नृत्य लागोरी खेल की कहानी कहता है?")</f>
        <v>किस भारतीय राज्य का लोक नृत्य लागोरी खेल की कहानी कहता है?</v>
      </c>
      <c r="H70" s="5" t="str">
        <f>IFERROR(__xludf.DUMMYFUNCTION("GOOGLETRANSLATE(C70, ""en"", ""hi"")"),"ए) पंजाब, बी) केरल, सी) कर्नाटक, डी) गुजरात")</f>
        <v>ए) पंजाब, बी) केरल, सी) कर्नाटक, डी) गुजरात</v>
      </c>
      <c r="I70" s="5" t="str">
        <f>IFERROR(__xludf.DUMMYFUNCTION("GOOGLETRANSLATE(D70, ""en"", ""hi"")"),"C) कर्नाटक")</f>
        <v>C) कर्नाटक</v>
      </c>
    </row>
    <row r="71" ht="22.5" customHeight="1">
      <c r="A71" s="3">
        <v>70.0</v>
      </c>
      <c r="B71" s="4" t="s">
        <v>3921</v>
      </c>
      <c r="C71" s="4" t="s">
        <v>3922</v>
      </c>
      <c r="D71" s="4" t="s">
        <v>3923</v>
      </c>
      <c r="F71" s="5" t="str">
        <f>IFERROR(__xludf.DUMMYFUNCTION("GOOGLETRANSLATE(A71, ""en"", ""hi"")"),"70")</f>
        <v>70</v>
      </c>
      <c r="G71" s="5" t="str">
        <f>IFERROR(__xludf.DUMMYFUNCTION("GOOGLETRANSLATE(B71, ""en"", ""hi"")"),"तमिलनाडु के किस ऐतिहासिक राजवंश को भारत के अन्य भागों में लागोरी फैलाने का श्रेय दिया जाता है?")</f>
        <v>तमिलनाडु के किस ऐतिहासिक राजवंश को भारत के अन्य भागों में लागोरी फैलाने का श्रेय दिया जाता है?</v>
      </c>
      <c r="H71" s="5" t="str">
        <f>IFERROR(__xludf.DUMMYFUNCTION("GOOGLETRANSLATE(C71, ""en"", ""hi"")"),"ए) चोल, बी) पांड्य, सी) चेर, डी) पल्लव")</f>
        <v>ए) चोल, बी) पांड्य, सी) चेर, डी) पल्लव</v>
      </c>
      <c r="I71" s="5" t="str">
        <f>IFERROR(__xludf.DUMMYFUNCTION("GOOGLETRANSLATE(D71, ""en"", ""hi"")"),"A) चोल")</f>
        <v>A) चोल</v>
      </c>
    </row>
    <row r="72" ht="22.5" customHeight="1">
      <c r="A72" s="3">
        <v>71.0</v>
      </c>
      <c r="B72" s="4" t="s">
        <v>3924</v>
      </c>
      <c r="C72" s="4" t="s">
        <v>3925</v>
      </c>
      <c r="D72" s="4" t="s">
        <v>3926</v>
      </c>
      <c r="F72" s="5" t="str">
        <f>IFERROR(__xludf.DUMMYFUNCTION("GOOGLETRANSLATE(A72, ""en"", ""hi"")"),"71")</f>
        <v>71</v>
      </c>
      <c r="G72" s="5" t="str">
        <f>IFERROR(__xludf.DUMMYFUNCTION("GOOGLETRANSLATE(B72, ""en"", ""hi"")"),"प्राचीन भारत में, बच्चों को लागोरी सिखाने के लिए मुख्य रूप से कौन सा समूह जिम्मेदार था?")</f>
        <v>प्राचीन भारत में, बच्चों को लागोरी सिखाने के लिए मुख्य रूप से कौन सा समूह जिम्मेदार था?</v>
      </c>
      <c r="H72" s="5" t="str">
        <f>IFERROR(__xludf.DUMMYFUNCTION("GOOGLETRANSLATE(C72, ""en"", ""hi"")"),"A) गुरु, B) माता-पिता, C) सैनिक, D) गाँव के बुजुर्ग")</f>
        <v>A) गुरु, B) माता-पिता, C) सैनिक, D) गाँव के बुजुर्ग</v>
      </c>
      <c r="I72" s="5" t="str">
        <f>IFERROR(__xludf.DUMMYFUNCTION("GOOGLETRANSLATE(D72, ""en"", ""hi"")"),"D) गाँव के बुजुर्ग")</f>
        <v>D) गाँव के बुजुर्ग</v>
      </c>
    </row>
    <row r="73" ht="22.5" customHeight="1">
      <c r="A73" s="3">
        <v>72.0</v>
      </c>
      <c r="B73" s="4" t="s">
        <v>3927</v>
      </c>
      <c r="C73" s="4" t="s">
        <v>3928</v>
      </c>
      <c r="D73" s="4" t="s">
        <v>3929</v>
      </c>
      <c r="F73" s="5" t="str">
        <f>IFERROR(__xludf.DUMMYFUNCTION("GOOGLETRANSLATE(A73, ""en"", ""hi"")"),"72")</f>
        <v>72</v>
      </c>
      <c r="G73" s="5" t="str">
        <f>IFERROR(__xludf.DUMMYFUNCTION("GOOGLETRANSLATE(B73, ""en"", ""hi"")"),"पारंपरिक लागोरी में विजेता का निर्धारण करने के लिए आमतौर पर कितने राउंड खेले जाते थे?")</f>
        <v>पारंपरिक लागोरी में विजेता का निर्धारण करने के लिए आमतौर पर कितने राउंड खेले जाते थे?</v>
      </c>
      <c r="H73" s="5" t="str">
        <f>IFERROR(__xludf.DUMMYFUNCTION("GOOGLETRANSLATE(C73, ""en"", ""hi"")"),"ए) 1, बी) 3, सी) 5, डी) 7")</f>
        <v>ए) 1, बी) 3, सी) 5, डी) 7</v>
      </c>
      <c r="I73" s="5" t="str">
        <f>IFERROR(__xludf.DUMMYFUNCTION("GOOGLETRANSLATE(D73, ""en"", ""hi"")"),"बी) 3")</f>
        <v>बी) 3</v>
      </c>
    </row>
    <row r="74" ht="22.5" customHeight="1">
      <c r="A74" s="3">
        <v>73.0</v>
      </c>
      <c r="B74" s="4" t="s">
        <v>3930</v>
      </c>
      <c r="C74" s="4" t="s">
        <v>3931</v>
      </c>
      <c r="D74" s="4" t="s">
        <v>3932</v>
      </c>
      <c r="F74" s="5" t="str">
        <f>IFERROR(__xludf.DUMMYFUNCTION("GOOGLETRANSLATE(A74, ""en"", ""hi"")"),"73")</f>
        <v>73</v>
      </c>
      <c r="G74" s="5" t="str">
        <f>IFERROR(__xludf.DUMMYFUNCTION("GOOGLETRANSLATE(B74, ""en"", ""hi"")"),"किस भारतीय आध्यात्मिक नेता ने युवाओं को टीमवर्क और फोकस बनाने के लिए लागोरी खेलने के लिए प्रोत्साहित किया?")</f>
        <v>किस भारतीय आध्यात्मिक नेता ने युवाओं को टीमवर्क और फोकस बनाने के लिए लागोरी खेलने के लिए प्रोत्साहित किया?</v>
      </c>
      <c r="H74" s="5" t="str">
        <f>IFERROR(__xludf.DUMMYFUNCTION("GOOGLETRANSLATE(C74, ""en"", ""hi"")"),"ए) श्री अरबिंदो, बी) स्वामी विवेकानंद, सी) महात्मा गांधी, डी) रामकृष्ण परमहंस")</f>
        <v>ए) श्री अरबिंदो, बी) स्वामी विवेकानंद, सी) महात्मा गांधी, डी) रामकृष्ण परमहंस</v>
      </c>
      <c r="I74" s="5" t="str">
        <f>IFERROR(__xludf.DUMMYFUNCTION("GOOGLETRANSLATE(D74, ""en"", ""hi"")"),"बी) स्वामी विवेकानंद")</f>
        <v>बी) स्वामी विवेकानंद</v>
      </c>
    </row>
    <row r="75" ht="22.5" customHeight="1">
      <c r="A75" s="3">
        <v>74.0</v>
      </c>
      <c r="B75" s="4" t="s">
        <v>3933</v>
      </c>
      <c r="C75" s="4" t="s">
        <v>3934</v>
      </c>
      <c r="D75" s="4" t="s">
        <v>3935</v>
      </c>
      <c r="F75" s="5" t="str">
        <f>IFERROR(__xludf.DUMMYFUNCTION("GOOGLETRANSLATE(A75, ""en"", ""hi"")"),"74")</f>
        <v>74</v>
      </c>
      <c r="G75" s="5" t="str">
        <f>IFERROR(__xludf.DUMMYFUNCTION("GOOGLETRANSLATE(B75, ""en"", ""hi"")"),"किस भारतीय महाकाव्य में देवताओं और राक्षसों द्वारा खेले जाने वाले लागोरी जैसे खेल का उल्लेख है?")</f>
        <v>किस भारतीय महाकाव्य में देवताओं और राक्षसों द्वारा खेले जाने वाले लागोरी जैसे खेल का उल्लेख है?</v>
      </c>
      <c r="H75" s="5" t="str">
        <f>IFERROR(__xludf.DUMMYFUNCTION("GOOGLETRANSLATE(C75, ""en"", ""hi"")"),"ए) रामायण, बी) महाभारत, सी) भागवत पुराण, डी) विष्णु पुराण")</f>
        <v>ए) रामायण, बी) महाभारत, सी) भागवत पुराण, डी) विष्णु पुराण</v>
      </c>
      <c r="I75" s="5" t="str">
        <f>IFERROR(__xludf.DUMMYFUNCTION("GOOGLETRANSLATE(D75, ""en"", ""hi"")"),"D) विष्णु पुराण")</f>
        <v>D) विष्णु पुराण</v>
      </c>
    </row>
    <row r="76" ht="22.5" customHeight="1">
      <c r="A76" s="3">
        <v>75.0</v>
      </c>
      <c r="B76" s="4" t="s">
        <v>3936</v>
      </c>
      <c r="C76" s="4" t="s">
        <v>3937</v>
      </c>
      <c r="D76" s="4" t="s">
        <v>3785</v>
      </c>
      <c r="F76" s="5" t="str">
        <f>IFERROR(__xludf.DUMMYFUNCTION("GOOGLETRANSLATE(A76, ""en"", ""hi"")"),"75")</f>
        <v>75</v>
      </c>
      <c r="G76" s="5" t="str">
        <f>IFERROR(__xludf.DUMMYFUNCTION("GOOGLETRANSLATE(B76, ""en"", ""hi"")"),"किस भारतीय राज्य की लोककथाओं में राजाओं द्वारा लागोरी टूर्नामेंट आयोजित करने की कहानियाँ शामिल हैं?")</f>
        <v>किस भारतीय राज्य की लोककथाओं में राजाओं द्वारा लागोरी टूर्नामेंट आयोजित करने की कहानियाँ शामिल हैं?</v>
      </c>
      <c r="H76" s="5" t="str">
        <f>IFERROR(__xludf.DUMMYFUNCTION("GOOGLETRANSLATE(C76, ""en"", ""hi"")"),"ए) राजस्थान, बी) केरल, सी) तमिलनाडु, डी) कर्नाटक")</f>
        <v>ए) राजस्थान, बी) केरल, सी) तमिलनाडु, डी) कर्नाटक</v>
      </c>
      <c r="I76" s="5" t="str">
        <f>IFERROR(__xludf.DUMMYFUNCTION("GOOGLETRANSLATE(D76, ""en"", ""hi"")"),"D) कर्नाटक")</f>
        <v>D) कर्नाटक</v>
      </c>
    </row>
    <row r="77" ht="22.5" customHeight="1">
      <c r="A77" s="3">
        <v>76.0</v>
      </c>
      <c r="B77" s="4" t="s">
        <v>3938</v>
      </c>
      <c r="C77" s="4" t="s">
        <v>3939</v>
      </c>
      <c r="D77" s="4" t="s">
        <v>3875</v>
      </c>
      <c r="F77" s="5" t="str">
        <f>IFERROR(__xludf.DUMMYFUNCTION("GOOGLETRANSLATE(A77, ""en"", ""hi"")"),"76")</f>
        <v>76</v>
      </c>
      <c r="G77" s="5" t="str">
        <f>IFERROR(__xludf.DUMMYFUNCTION("GOOGLETRANSLATE(B77, ""en"", ""hi"")"),"कौन सा भारतीय राज्य वार्षिक लागोरी चैंपियनशिप का आयोजन करता है जो देश भर के खिलाड़ियों को आकर्षित करती है?")</f>
        <v>कौन सा भारतीय राज्य वार्षिक लागोरी चैंपियनशिप का आयोजन करता है जो देश भर के खिलाड़ियों को आकर्षित करती है?</v>
      </c>
      <c r="H77" s="5" t="str">
        <f>IFERROR(__xludf.DUMMYFUNCTION("GOOGLETRANSLATE(C77, ""en"", ""hi"")"),"ए) महाराष्ट्र, बी) तमिलनाडु, सी) कर्नाटक, डी) आंध्र प्रदेश")</f>
        <v>ए) महाराष्ट्र, बी) तमिलनाडु, सी) कर्नाटक, डी) आंध्र प्रदेश</v>
      </c>
      <c r="I77" s="5" t="str">
        <f>IFERROR(__xludf.DUMMYFUNCTION("GOOGLETRANSLATE(D77, ""en"", ""hi"")"),"C) कर्नाटक")</f>
        <v>C) कर्नाटक</v>
      </c>
    </row>
    <row r="78" ht="22.5" customHeight="1">
      <c r="A78" s="3">
        <v>77.0</v>
      </c>
      <c r="B78" s="4" t="s">
        <v>3940</v>
      </c>
      <c r="C78" s="4" t="s">
        <v>3941</v>
      </c>
      <c r="D78" s="4" t="s">
        <v>3776</v>
      </c>
      <c r="F78" s="5" t="str">
        <f>IFERROR(__xludf.DUMMYFUNCTION("GOOGLETRANSLATE(A78, ""en"", ""hi"")"),"77")</f>
        <v>77</v>
      </c>
      <c r="G78" s="5" t="str">
        <f>IFERROR(__xludf.DUMMYFUNCTION("GOOGLETRANSLATE(B78, ""en"", ""hi"")"),"पारंपरिक लागोरी में, खिलाड़ियों को गेंद किस प्रकार से दी जाती थी?")</f>
        <v>पारंपरिक लागोरी में, खिलाड़ियों को गेंद किस प्रकार से दी जाती थी?</v>
      </c>
      <c r="H78" s="5" t="str">
        <f>IFERROR(__xludf.DUMMYFUNCTION("GOOGLETRANSLATE(C78, ""en"", ""hi"")"),"A) चमड़ा, B) कपड़ा, C) रबर, D) नारियल फाइबर")</f>
        <v>A) चमड़ा, B) कपड़ा, C) रबर, D) नारियल फाइबर</v>
      </c>
      <c r="I78" s="5" t="str">
        <f>IFERROR(__xludf.DUMMYFUNCTION("GOOGLETRANSLATE(D78, ""en"", ""hi"")"),"बी) कपड़ा")</f>
        <v>बी) कपड़ा</v>
      </c>
    </row>
    <row r="79" ht="22.5" customHeight="1">
      <c r="A79" s="3">
        <v>78.0</v>
      </c>
      <c r="B79" s="4" t="s">
        <v>3942</v>
      </c>
      <c r="C79" s="4" t="s">
        <v>3943</v>
      </c>
      <c r="D79" s="4" t="s">
        <v>3944</v>
      </c>
      <c r="F79" s="5" t="str">
        <f>IFERROR(__xludf.DUMMYFUNCTION("GOOGLETRANSLATE(A79, ""en"", ""hi"")"),"78")</f>
        <v>78</v>
      </c>
      <c r="G79" s="5" t="str">
        <f>IFERROR(__xludf.DUMMYFUNCTION("GOOGLETRANSLATE(B79, ""en"", ""hi"")"),"ऐसा माना जाता है कि किस प्राचीन भारतीय राजा ने बचपन में लागोरी खेला था?")</f>
        <v>ऐसा माना जाता है कि किस प्राचीन भारतीय राजा ने बचपन में लागोरी खेला था?</v>
      </c>
      <c r="H79" s="5" t="str">
        <f>IFERROR(__xludf.DUMMYFUNCTION("GOOGLETRANSLATE(C79, ""en"", ""hi"")"),"ए) अशोक, बी) हर्ष, सी) चंद्रगुप्त मौर्य, डी) राजेंद्र चोल")</f>
        <v>ए) अशोक, बी) हर्ष, सी) चंद्रगुप्त मौर्य, डी) राजेंद्र चोल</v>
      </c>
      <c r="I79" s="5" t="str">
        <f>IFERROR(__xludf.DUMMYFUNCTION("GOOGLETRANSLATE(D79, ""en"", ""hi"")"),"C) चंद्रगुप्त मौर्य")</f>
        <v>C) चंद्रगुप्त मौर्य</v>
      </c>
    </row>
    <row r="80" ht="22.5" customHeight="1">
      <c r="A80" s="3">
        <v>79.0</v>
      </c>
      <c r="B80" s="4" t="s">
        <v>3945</v>
      </c>
      <c r="C80" s="4" t="s">
        <v>3946</v>
      </c>
      <c r="D80" s="4" t="s">
        <v>3875</v>
      </c>
      <c r="F80" s="5" t="str">
        <f>IFERROR(__xludf.DUMMYFUNCTION("GOOGLETRANSLATE(A80, ""en"", ""hi"")"),"79")</f>
        <v>79</v>
      </c>
      <c r="G80" s="5" t="str">
        <f>IFERROR(__xludf.DUMMYFUNCTION("GOOGLETRANSLATE(B80, ""en"", ""hi"")"),"भारत का कौन सा क्षेत्र पारंपरिक रूप से लागोरी के जन्मस्थान के रूप में जाना जाता है?")</f>
        <v>भारत का कौन सा क्षेत्र पारंपरिक रूप से लागोरी के जन्मस्थान के रूप में जाना जाता है?</v>
      </c>
      <c r="H80" s="5" t="str">
        <f>IFERROR(__xludf.DUMMYFUNCTION("GOOGLETRANSLATE(C80, ""en"", ""hi"")"),"ए) पंजाब, बी) महाराष्ट्र, सी) कर्नाटक, डी) राजस्थान")</f>
        <v>ए) पंजाब, बी) महाराष्ट्र, सी) कर्नाटक, डी) राजस्थान</v>
      </c>
      <c r="I80" s="5" t="str">
        <f>IFERROR(__xludf.DUMMYFUNCTION("GOOGLETRANSLATE(D80, ""en"", ""hi"")"),"C) कर्नाटक")</f>
        <v>C) कर्नाटक</v>
      </c>
    </row>
    <row r="81" ht="22.5" customHeight="1">
      <c r="A81" s="3">
        <v>80.0</v>
      </c>
      <c r="B81" s="4" t="s">
        <v>3947</v>
      </c>
      <c r="C81" s="4" t="s">
        <v>3948</v>
      </c>
      <c r="D81" s="4" t="s">
        <v>3430</v>
      </c>
      <c r="F81" s="5" t="str">
        <f>IFERROR(__xludf.DUMMYFUNCTION("GOOGLETRANSLATE(A81, ""en"", ""hi"")"),"80")</f>
        <v>80</v>
      </c>
      <c r="G81" s="5" t="str">
        <f>IFERROR(__xludf.DUMMYFUNCTION("GOOGLETRANSLATE(B81, ""en"", ""hi"")"),"किस प्राचीन भारतीय ग्रंथ में पहली बार लागोरी जैसे खेल का उल्लेख किया गया है?")</f>
        <v>किस प्राचीन भारतीय ग्रंथ में पहली बार लागोरी जैसे खेल का उल्लेख किया गया है?</v>
      </c>
      <c r="H81" s="5" t="str">
        <f>IFERROR(__xludf.DUMMYFUNCTION("GOOGLETRANSLATE(C81, ""en"", ""hi"")"),"ए) ऋग्वेद, बी) अथर्ववेद, सी) मनुस्मृति, डी) अर्थशास्त्र")</f>
        <v>ए) ऋग्वेद, बी) अथर्ववेद, सी) मनुस्मृति, डी) अर्थशास्त्र</v>
      </c>
      <c r="I81" s="5" t="str">
        <f>IFERROR(__xludf.DUMMYFUNCTION("GOOGLETRANSLATE(D81, ""en"", ""hi"")"),"D) अर्थशास्त्र")</f>
        <v>D) अर्थशास्त्र</v>
      </c>
    </row>
    <row r="82" ht="22.5" customHeight="1">
      <c r="A82" s="3">
        <v>81.0</v>
      </c>
      <c r="B82" s="4" t="s">
        <v>3949</v>
      </c>
      <c r="C82" s="4" t="s">
        <v>3950</v>
      </c>
      <c r="D82" s="4" t="s">
        <v>3878</v>
      </c>
      <c r="F82" s="5" t="str">
        <f>IFERROR(__xludf.DUMMYFUNCTION("GOOGLETRANSLATE(A82, ""en"", ""hi"")"),"81")</f>
        <v>81</v>
      </c>
      <c r="G82" s="5" t="str">
        <f>IFERROR(__xludf.DUMMYFUNCTION("GOOGLETRANSLATE(B82, ""en"", ""hi"")"),"किस पारंपरिक भारतीय खेल को अक्सर लागोरी का पूर्ववर्ती कहा जाता है?")</f>
        <v>किस पारंपरिक भारतीय खेल को अक्सर लागोरी का पूर्ववर्ती कहा जाता है?</v>
      </c>
      <c r="H82" s="5" t="str">
        <f>IFERROR(__xludf.DUMMYFUNCTION("GOOGLETRANSLATE(C82, ""en"", ""hi"")"),"ए) पल्लनकुझी, बी) गिल्ली-डंडा, सी) कबड्डी, डी) खो-खो")</f>
        <v>ए) पल्लनकुझी, बी) गिल्ली-डंडा, सी) कबड्डी, डी) खो-खो</v>
      </c>
      <c r="I82" s="5" t="str">
        <f>IFERROR(__xludf.DUMMYFUNCTION("GOOGLETRANSLATE(D82, ""en"", ""hi"")"),"B) गिल्ली-डंडा")</f>
        <v>B) गिल्ली-डंडा</v>
      </c>
    </row>
    <row r="83" ht="22.5" customHeight="1">
      <c r="A83" s="3">
        <v>82.0</v>
      </c>
      <c r="B83" s="4" t="s">
        <v>3951</v>
      </c>
      <c r="C83" s="4" t="s">
        <v>3952</v>
      </c>
      <c r="D83" s="4" t="s">
        <v>3275</v>
      </c>
      <c r="F83" s="5" t="str">
        <f>IFERROR(__xludf.DUMMYFUNCTION("GOOGLETRANSLATE(A83, ""en"", ""hi"")"),"82")</f>
        <v>82</v>
      </c>
      <c r="G83" s="5" t="str">
        <f>IFERROR(__xludf.DUMMYFUNCTION("GOOGLETRANSLATE(B83, ""en"", ""hi"")"),"लागोरी को लोकप्रिय बनाने का श्रेय किस प्राचीन दक्षिण भारतीय राजवंश को दिया जाता है?")</f>
        <v>लागोरी को लोकप्रिय बनाने का श्रेय किस प्राचीन दक्षिण भारतीय राजवंश को दिया जाता है?</v>
      </c>
      <c r="H83" s="5" t="str">
        <f>IFERROR(__xludf.DUMMYFUNCTION("GOOGLETRANSLATE(C83, ""en"", ""hi"")"),"ए) चेर, बी) पल्लव, सी) चोल, डी) पांड्य")</f>
        <v>ए) चेर, बी) पल्लव, सी) चोल, डी) पांड्य</v>
      </c>
      <c r="I83" s="5" t="str">
        <f>IFERROR(__xludf.DUMMYFUNCTION("GOOGLETRANSLATE(D83, ""en"", ""hi"")"),"C) चोल")</f>
        <v>C) चोल</v>
      </c>
    </row>
    <row r="84" ht="22.5" customHeight="1">
      <c r="A84" s="3">
        <v>83.0</v>
      </c>
      <c r="B84" s="4" t="s">
        <v>3953</v>
      </c>
      <c r="C84" s="4" t="s">
        <v>3954</v>
      </c>
      <c r="D84" s="4" t="s">
        <v>3566</v>
      </c>
      <c r="F84" s="5" t="str">
        <f>IFERROR(__xludf.DUMMYFUNCTION("GOOGLETRANSLATE(A84, ""en"", ""hi"")"),"83")</f>
        <v>83</v>
      </c>
      <c r="G84" s="5" t="str">
        <f>IFERROR(__xludf.DUMMYFUNCTION("GOOGLETRANSLATE(B84, ""en"", ""hi"")"),"ऐसा माना जाता है कि किस मुगल सम्राट ने अपनी यात्रा के दौरान लागोरी बजाते हुए देखा था?")</f>
        <v>ऐसा माना जाता है कि किस मुगल सम्राट ने अपनी यात्रा के दौरान लागोरी बजाते हुए देखा था?</v>
      </c>
      <c r="H84" s="5" t="str">
        <f>IFERROR(__xludf.DUMMYFUNCTION("GOOGLETRANSLATE(C84, ""en"", ""hi"")"),"A) बाबर, B) अकबर, C) जहांगीर, D) औरंगजेब")</f>
        <v>A) बाबर, B) अकबर, C) जहांगीर, D) औरंगजेब</v>
      </c>
      <c r="I84" s="5" t="str">
        <f>IFERROR(__xludf.DUMMYFUNCTION("GOOGLETRANSLATE(D84, ""en"", ""hi"")"),"बी) अकबर")</f>
        <v>बी) अकबर</v>
      </c>
    </row>
    <row r="85" ht="22.5" customHeight="1">
      <c r="A85" s="3">
        <v>84.0</v>
      </c>
      <c r="B85" s="4" t="s">
        <v>3955</v>
      </c>
      <c r="C85" s="4" t="s">
        <v>3956</v>
      </c>
      <c r="D85" s="4" t="s">
        <v>2646</v>
      </c>
      <c r="F85" s="5" t="str">
        <f>IFERROR(__xludf.DUMMYFUNCTION("GOOGLETRANSLATE(A85, ""en"", ""hi"")"),"84")</f>
        <v>84</v>
      </c>
      <c r="G85" s="5" t="str">
        <f>IFERROR(__xludf.DUMMYFUNCTION("GOOGLETRANSLATE(B85, ""en"", ""hi"")"),"किस भारतीय त्यौहार के दौरान लागोरी पारंपरिक रूप से सड़कों पर बजाई जाती थी?")</f>
        <v>किस भारतीय त्यौहार के दौरान लागोरी पारंपरिक रूप से सड़कों पर बजाई जाती थी?</v>
      </c>
      <c r="H85" s="5" t="str">
        <f>IFERROR(__xludf.DUMMYFUNCTION("GOOGLETRANSLATE(C85, ""en"", ""hi"")"),"ए) होली, बी) दिवाली, सी) मकर संक्रांति, डी) पोंगल")</f>
        <v>ए) होली, बी) दिवाली, सी) मकर संक्रांति, डी) पोंगल</v>
      </c>
      <c r="I85" s="5" t="str">
        <f>IFERROR(__xludf.DUMMYFUNCTION("GOOGLETRANSLATE(D85, ""en"", ""hi"")"),"C) मकर संक्रांति")</f>
        <v>C) मकर संक्रांति</v>
      </c>
    </row>
    <row r="86" ht="22.5" customHeight="1">
      <c r="A86" s="3">
        <v>85.0</v>
      </c>
      <c r="B86" s="4" t="s">
        <v>3957</v>
      </c>
      <c r="C86" s="4" t="s">
        <v>3958</v>
      </c>
      <c r="D86" s="4" t="s">
        <v>3959</v>
      </c>
      <c r="F86" s="5" t="str">
        <f>IFERROR(__xludf.DUMMYFUNCTION("GOOGLETRANSLATE(A86, ""en"", ""hi"")"),"85")</f>
        <v>85</v>
      </c>
      <c r="G86" s="5" t="str">
        <f>IFERROR(__xludf.DUMMYFUNCTION("GOOGLETRANSLATE(B86, ""en"", ""hi"")"),"किस प्राचीन भारतीय महाकाव्य में लागोरी के समान पत्थरों से खेलने वाले बच्चों का उल्लेख है?")</f>
        <v>किस प्राचीन भारतीय महाकाव्य में लागोरी के समान पत्थरों से खेलने वाले बच्चों का उल्लेख है?</v>
      </c>
      <c r="H86" s="5" t="str">
        <f>IFERROR(__xludf.DUMMYFUNCTION("GOOGLETRANSLATE(C86, ""en"", ""hi"")"),"ए) महाभारत, बी) रामायण, सी) भगवद गीता, डी) जातक कथाएँ")</f>
        <v>ए) महाभारत, बी) रामायण, सी) भगवद गीता, डी) जातक कथाएँ</v>
      </c>
      <c r="I86" s="5" t="str">
        <f>IFERROR(__xludf.DUMMYFUNCTION("GOOGLETRANSLATE(D86, ""en"", ""hi"")"),"बी) रामायण")</f>
        <v>बी) रामायण</v>
      </c>
    </row>
    <row r="87" ht="22.5" customHeight="1">
      <c r="A87" s="3">
        <v>86.0</v>
      </c>
      <c r="B87" s="4" t="s">
        <v>3960</v>
      </c>
      <c r="C87" s="4" t="s">
        <v>3961</v>
      </c>
      <c r="D87" s="4" t="s">
        <v>3962</v>
      </c>
      <c r="F87" s="5" t="str">
        <f>IFERROR(__xludf.DUMMYFUNCTION("GOOGLETRANSLATE(A87, ""en"", ""hi"")"),"86")</f>
        <v>86</v>
      </c>
      <c r="G87" s="5" t="str">
        <f>IFERROR(__xludf.DUMMYFUNCTION("GOOGLETRANSLATE(B87, ""en"", ""hi"")"),"किस भारतीय दार्शनिक और राजा ने लागोरी के सामाजिक लाभों के बारे में लिखा?")</f>
        <v>किस भारतीय दार्शनिक और राजा ने लागोरी के सामाजिक लाभों के बारे में लिखा?</v>
      </c>
      <c r="H87" s="5" t="str">
        <f>IFERROR(__xludf.DUMMYFUNCTION("GOOGLETRANSLATE(C87, ""en"", ""hi"")"),"ए)चाणक्य,बी)राजा भोज,सी)कृष्णदेवराय,डी)मनु")</f>
        <v>ए)चाणक्य,बी)राजा भोज,सी)कृष्णदेवराय,डी)मनु</v>
      </c>
      <c r="I87" s="5" t="str">
        <f>IFERROR(__xludf.DUMMYFUNCTION("GOOGLETRANSLATE(D87, ""en"", ""hi"")"),"C) कृष्णदेवराय")</f>
        <v>C) कृष्णदेवराय</v>
      </c>
    </row>
    <row r="88" ht="22.5" customHeight="1">
      <c r="A88" s="3">
        <v>87.0</v>
      </c>
      <c r="B88" s="4" t="s">
        <v>3963</v>
      </c>
      <c r="C88" s="4" t="s">
        <v>3964</v>
      </c>
      <c r="D88" s="4" t="s">
        <v>3965</v>
      </c>
      <c r="F88" s="5" t="str">
        <f>IFERROR(__xludf.DUMMYFUNCTION("GOOGLETRANSLATE(A88, ""en"", ""hi"")"),"87")</f>
        <v>87</v>
      </c>
      <c r="G88" s="5" t="str">
        <f>IFERROR(__xludf.DUMMYFUNCTION("GOOGLETRANSLATE(B88, ""en"", ""hi"")"),"कौन सा पारंपरिक भारतीय खेल ग्रामीण भारत के लागोरी के समान मूल रखता है?")</f>
        <v>कौन सा पारंपरिक भारतीय खेल ग्रामीण भारत के लागोरी के समान मूल रखता है?</v>
      </c>
      <c r="H88" s="5" t="str">
        <f>IFERROR(__xludf.DUMMYFUNCTION("GOOGLETRANSLATE(C88, ""en"", ""hi"")"),"ए) मल्लखंभ, बी) कलारीपयट्टु, सी) कुश्ती, डी) कबड्डी")</f>
        <v>ए) मल्लखंभ, बी) कलारीपयट्टु, सी) कुश्ती, डी) कबड्डी</v>
      </c>
      <c r="I88" s="5" t="str">
        <f>IFERROR(__xludf.DUMMYFUNCTION("GOOGLETRANSLATE(D88, ""en"", ""hi"")"),"D) कबड्डी")</f>
        <v>D) कबड्डी</v>
      </c>
    </row>
    <row r="89" ht="22.5" customHeight="1">
      <c r="A89" s="3">
        <v>88.0</v>
      </c>
      <c r="B89" s="4" t="s">
        <v>3966</v>
      </c>
      <c r="C89" s="4" t="s">
        <v>3967</v>
      </c>
      <c r="D89" s="4" t="s">
        <v>3968</v>
      </c>
      <c r="F89" s="5" t="str">
        <f>IFERROR(__xludf.DUMMYFUNCTION("GOOGLETRANSLATE(A89, ""en"", ""hi"")"),"88")</f>
        <v>88</v>
      </c>
      <c r="G89" s="5" t="str">
        <f>IFERROR(__xludf.DUMMYFUNCTION("GOOGLETRANSLATE(B89, ""en"", ""hi"")"),"कर्नाटक के किस ऐतिहासिक व्यक्ति को गांव के युवाओं के बीच लागोरी को बढ़ावा देने के लिए जाना जाता है?")</f>
        <v>कर्नाटक के किस ऐतिहासिक व्यक्ति को गांव के युवाओं के बीच लागोरी को बढ़ावा देने के लिए जाना जाता है?</v>
      </c>
      <c r="H89" s="5" t="str">
        <f>IFERROR(__xludf.DUMMYFUNCTION("GOOGLETRANSLATE(C89, ""en"", ""hi"")"),"ए) बसवा, बी) केम्पे गौड़ा, सी) टीपू सुल्तान, डी) चिक्का देवराज वोडेयार")</f>
        <v>ए) बसवा, बी) केम्पे गौड़ा, सी) टीपू सुल्तान, डी) चिक्का देवराज वोडेयार</v>
      </c>
      <c r="I89" s="5" t="str">
        <f>IFERROR(__xludf.DUMMYFUNCTION("GOOGLETRANSLATE(D89, ""en"", ""hi"")"),"बी) केम्पे गौड़ा")</f>
        <v>बी) केम्पे गौड़ा</v>
      </c>
    </row>
    <row r="90" ht="22.5" customHeight="1">
      <c r="A90" s="3">
        <v>89.0</v>
      </c>
      <c r="B90" s="4" t="s">
        <v>3969</v>
      </c>
      <c r="C90" s="4" t="s">
        <v>3970</v>
      </c>
      <c r="D90" s="4" t="s">
        <v>3430</v>
      </c>
      <c r="F90" s="5" t="str">
        <f>IFERROR(__xludf.DUMMYFUNCTION("GOOGLETRANSLATE(A90, ""en"", ""hi"")"),"89")</f>
        <v>89</v>
      </c>
      <c r="G90" s="5" t="str">
        <f>IFERROR(__xludf.DUMMYFUNCTION("GOOGLETRANSLATE(B90, ""en"", ""hi"")"),"भारत के किस धार्मिक ग्रंथ में लगोरी जैसे खेल को मनोरंजन के रूप में वर्णित किया गया है?")</f>
        <v>भारत के किस धार्मिक ग्रंथ में लगोरी जैसे खेल को मनोरंजन के रूप में वर्णित किया गया है?</v>
      </c>
      <c r="H90" s="5" t="str">
        <f>IFERROR(__xludf.DUMMYFUNCTION("GOOGLETRANSLATE(C90, ""en"", ""hi"")"),"ए) भगवद गीता, बी) रामचरितमानस, सी) महाभारत, डी) अर्थशास्त्र")</f>
        <v>ए) भगवद गीता, बी) रामचरितमानस, सी) महाभारत, डी) अर्थशास्त्र</v>
      </c>
      <c r="I90" s="5" t="str">
        <f>IFERROR(__xludf.DUMMYFUNCTION("GOOGLETRANSLATE(D90, ""en"", ""hi"")"),"D) अर्थशास्त्र")</f>
        <v>D) अर्थशास्त्र</v>
      </c>
    </row>
    <row r="91" ht="22.5" customHeight="1">
      <c r="A91" s="3">
        <v>90.0</v>
      </c>
      <c r="B91" s="4" t="s">
        <v>3971</v>
      </c>
      <c r="C91" s="4" t="s">
        <v>3972</v>
      </c>
      <c r="D91" s="4" t="s">
        <v>3973</v>
      </c>
      <c r="F91" s="5" t="str">
        <f>IFERROR(__xludf.DUMMYFUNCTION("GOOGLETRANSLATE(A91, ""en"", ""hi"")"),"90")</f>
        <v>90</v>
      </c>
      <c r="G91" s="5" t="str">
        <f>IFERROR(__xludf.DUMMYFUNCTION("GOOGLETRANSLATE(B91, ""en"", ""hi"")"),"किस प्राचीन भारतीय गांव की गतिविधि में लागोरी को अक्सर टीम-निर्माण अभ्यास के रूप में शामिल किया जाता था?")</f>
        <v>किस प्राचीन भारतीय गांव की गतिविधि में लागोरी को अक्सर टीम-निर्माण अभ्यास के रूप में शामिल किया जाता था?</v>
      </c>
      <c r="H91" s="5" t="str">
        <f>IFERROR(__xludf.DUMMYFUNCTION("GOOGLETRANSLATE(C91, ""en"", ""hi"")"),"A) फसल कटाई, B) धार्मिक त्यौहार, C) युद्ध प्रशिक्षण, D) गाँव के मेले")</f>
        <v>A) फसल कटाई, B) धार्मिक त्यौहार, C) युद्ध प्रशिक्षण, D) गाँव के मेले</v>
      </c>
      <c r="I91" s="5" t="str">
        <f>IFERROR(__xludf.DUMMYFUNCTION("GOOGLETRANSLATE(D91, ""en"", ""hi"")"),"C) युद्ध प्रशिक्षण")</f>
        <v>C) युद्ध प्रशिक्षण</v>
      </c>
    </row>
    <row r="92" ht="22.5" customHeight="1">
      <c r="A92" s="3">
        <v>91.0</v>
      </c>
      <c r="B92" s="4" t="s">
        <v>3974</v>
      </c>
      <c r="C92" s="4" t="s">
        <v>3975</v>
      </c>
      <c r="D92" s="4" t="s">
        <v>3976</v>
      </c>
      <c r="F92" s="5" t="str">
        <f>IFERROR(__xludf.DUMMYFUNCTION("GOOGLETRANSLATE(A92, ""en"", ""hi"")"),"91")</f>
        <v>91</v>
      </c>
      <c r="G92" s="5" t="str">
        <f>IFERROR(__xludf.DUMMYFUNCTION("GOOGLETRANSLATE(B92, ""en"", ""hi"")"),"किस भारतीय दार्शनिक ने बच्चों को रणनीति सिखाने के तरीके के रूप में लागोरी का उल्लेख किया?")</f>
        <v>किस भारतीय दार्शनिक ने बच्चों को रणनीति सिखाने के तरीके के रूप में लागोरी का उल्लेख किया?</v>
      </c>
      <c r="H92" s="5" t="str">
        <f>IFERROR(__xludf.DUMMYFUNCTION("GOOGLETRANSLATE(C92, ""en"", ""hi"")"),"ए) शंकराचार्य, बी) चाणक्य, सी) रामानुज, डी) कबीर")</f>
        <v>ए) शंकराचार्य, बी) चाणक्य, सी) रामानुज, डी) कबीर</v>
      </c>
      <c r="I92" s="5" t="str">
        <f>IFERROR(__xludf.DUMMYFUNCTION("GOOGLETRANSLATE(D92, ""en"", ""hi"")"),"बी) चाणक्य")</f>
        <v>बी) चाणक्य</v>
      </c>
    </row>
    <row r="93" ht="22.5" customHeight="1">
      <c r="A93" s="3">
        <v>92.0</v>
      </c>
      <c r="B93" s="4" t="s">
        <v>3977</v>
      </c>
      <c r="C93" s="4" t="s">
        <v>3978</v>
      </c>
      <c r="D93" s="4" t="s">
        <v>3979</v>
      </c>
      <c r="F93" s="5" t="str">
        <f>IFERROR(__xludf.DUMMYFUNCTION("GOOGLETRANSLATE(A93, ""en"", ""hi"")"),"92")</f>
        <v>92</v>
      </c>
      <c r="G93" s="5" t="str">
        <f>IFERROR(__xludf.DUMMYFUNCTION("GOOGLETRANSLATE(B93, ""en"", ""hi"")"),"ऐसा माना जाता है कि भारत के बाहर किस प्राचीन सभ्यता में लागोरी का एक संस्करण खेला जाता था?")</f>
        <v>ऐसा माना जाता है कि भारत के बाहर किस प्राचीन सभ्यता में लागोरी का एक संस्करण खेला जाता था?</v>
      </c>
      <c r="H93" s="5" t="str">
        <f>IFERROR(__xludf.DUMMYFUNCTION("GOOGLETRANSLATE(C93, ""en"", ""hi"")"),"A) ग्रीक, B) रोमन, C) फ़ारसी, D) मिस्र")</f>
        <v>A) ग्रीक, B) रोमन, C) फ़ारसी, D) मिस्र</v>
      </c>
      <c r="I93" s="5" t="str">
        <f>IFERROR(__xludf.DUMMYFUNCTION("GOOGLETRANSLATE(D93, ""en"", ""hi"")"),"बी) रोमन")</f>
        <v>बी) रोमन</v>
      </c>
    </row>
    <row r="94" ht="22.5" customHeight="1">
      <c r="A94" s="3">
        <v>93.0</v>
      </c>
      <c r="B94" s="4" t="s">
        <v>3980</v>
      </c>
      <c r="C94" s="4" t="s">
        <v>3981</v>
      </c>
      <c r="D94" s="4" t="s">
        <v>3982</v>
      </c>
      <c r="F94" s="5" t="str">
        <f>IFERROR(__xludf.DUMMYFUNCTION("GOOGLETRANSLATE(A94, ""en"", ""hi"")"),"93")</f>
        <v>93</v>
      </c>
      <c r="G94" s="5" t="str">
        <f>IFERROR(__xludf.DUMMYFUNCTION("GOOGLETRANSLATE(B94, ""en"", ""hi"")"),"प्राचीन भारत में पारंपरिक लागोरी खेल में टीमों का निर्णय आमतौर पर कैसे किया जाता था?")</f>
        <v>प्राचीन भारत में पारंपरिक लागोरी खेल में टीमों का निर्णय आमतौर पर कैसे किया जाता था?</v>
      </c>
      <c r="H94" s="5" t="str">
        <f>IFERROR(__xludf.DUMMYFUNCTION("GOOGLETRANSLATE(C94, ""en"", ""hi"")"),"A) आयु, B) सामाजिक स्थिति, C) कौशल स्तर, D) यादृच्छिक चयन")</f>
        <v>A) आयु, B) सामाजिक स्थिति, C) कौशल स्तर, D) यादृच्छिक चयन</v>
      </c>
      <c r="I94" s="5" t="str">
        <f>IFERROR(__xludf.DUMMYFUNCTION("GOOGLETRANSLATE(D94, ""en"", ""hi"")"),"D) यादृच्छिक चयन")</f>
        <v>D) यादृच्छिक चयन</v>
      </c>
    </row>
    <row r="95" ht="22.5" customHeight="1">
      <c r="A95" s="3">
        <v>94.0</v>
      </c>
      <c r="B95" s="4" t="s">
        <v>3983</v>
      </c>
      <c r="C95" s="4" t="s">
        <v>3984</v>
      </c>
      <c r="D95" s="4" t="s">
        <v>3855</v>
      </c>
      <c r="F95" s="5" t="str">
        <f>IFERROR(__xludf.DUMMYFUNCTION("GOOGLETRANSLATE(A95, ""en"", ""hi"")"),"94")</f>
        <v>94</v>
      </c>
      <c r="G95" s="5" t="str">
        <f>IFERROR(__xludf.DUMMYFUNCTION("GOOGLETRANSLATE(B95, ""en"", ""hi"")"),"किस भारतीय संत ने ध्यान के एक रूप के रूप में लागोरी बजाने को प्रोत्साहित किया था?")</f>
        <v>किस भारतीय संत ने ध्यान के एक रूप के रूप में लागोरी बजाने को प्रोत्साहित किया था?</v>
      </c>
      <c r="H95" s="5" t="str">
        <f>IFERROR(__xludf.DUMMYFUNCTION("GOOGLETRANSLATE(C95, ""en"", ""hi"")"),"ए) गुरु नानक, बी) कबीर, सी) स्वामी विवेकानन्द, डी) रामकृष्ण परमहंस")</f>
        <v>ए) गुरु नानक, बी) कबीर, सी) स्वामी विवेकानन्द, डी) रामकृष्ण परमहंस</v>
      </c>
      <c r="I95" s="5" t="str">
        <f>IFERROR(__xludf.DUMMYFUNCTION("GOOGLETRANSLATE(D95, ""en"", ""hi"")"),"C) स्वामी विवेकानंद")</f>
        <v>C) स्वामी विवेकानंद</v>
      </c>
    </row>
    <row r="96" ht="22.5" customHeight="1">
      <c r="A96" s="3">
        <v>95.0</v>
      </c>
      <c r="B96" s="4" t="s">
        <v>3985</v>
      </c>
      <c r="C96" s="4" t="s">
        <v>3986</v>
      </c>
      <c r="D96" s="4" t="s">
        <v>3987</v>
      </c>
      <c r="F96" s="5" t="str">
        <f>IFERROR(__xludf.DUMMYFUNCTION("GOOGLETRANSLATE(A96, ""en"", ""hi"")"),"95")</f>
        <v>95</v>
      </c>
      <c r="G96" s="5" t="str">
        <f>IFERROR(__xludf.DUMMYFUNCTION("GOOGLETRANSLATE(B96, ""en"", ""hi"")"),"किस प्राचीन भारतीय शिक्षण संस्थान ने शारीरिक प्रशिक्षण के भाग के रूप में लागोरी को शामिल किया था?")</f>
        <v>किस प्राचीन भारतीय शिक्षण संस्थान ने शारीरिक प्रशिक्षण के भाग के रूप में लागोरी को शामिल किया था?</v>
      </c>
      <c r="H96" s="5" t="str">
        <f>IFERROR(__xludf.DUMMYFUNCTION("GOOGLETRANSLATE(C96, ""en"", ""hi"")"),"ए) तक्षशिला, बी) नालंदा, सी) विक्रमशिला, डी) कांचीपुरम")</f>
        <v>ए) तक्षशिला, बी) नालंदा, सी) विक्रमशिला, डी) कांचीपुरम</v>
      </c>
      <c r="I96" s="5" t="str">
        <f>IFERROR(__xludf.DUMMYFUNCTION("GOOGLETRANSLATE(D96, ""en"", ""hi"")"),"A) तक्षशिला")</f>
        <v>A) तक्षशिला</v>
      </c>
    </row>
    <row r="97" ht="22.5" customHeight="1">
      <c r="A97" s="3">
        <v>96.0</v>
      </c>
      <c r="B97" s="4" t="s">
        <v>3988</v>
      </c>
      <c r="C97" s="4" t="s">
        <v>3989</v>
      </c>
      <c r="D97" s="4" t="s">
        <v>3990</v>
      </c>
      <c r="F97" s="5" t="str">
        <f>IFERROR(__xludf.DUMMYFUNCTION("GOOGLETRANSLATE(A97, ""en"", ""hi"")"),"96")</f>
        <v>96</v>
      </c>
      <c r="G97" s="5" t="str">
        <f>IFERROR(__xludf.DUMMYFUNCTION("GOOGLETRANSLATE(B97, ""en"", ""hi"")"),"ऐसा माना जाता है कि किस प्राचीन भारतीय व्यापार संघ ने लागोरी टूर्नामेंट का आयोजन किया था?")</f>
        <v>ऐसा माना जाता है कि किस प्राचीन भारतीय व्यापार संघ ने लागोरी टूर्नामेंट का आयोजन किया था?</v>
      </c>
      <c r="H97" s="5" t="str">
        <f>IFERROR(__xludf.DUMMYFUNCTION("GOOGLETRANSLATE(C97, ""en"", ""hi"")"),"ए) श्रेनी, बी) श्रेनी, सी) निगम, डी) संघ")</f>
        <v>ए) श्रेनी, बी) श्रेनी, सी) निगम, डी) संघ</v>
      </c>
      <c r="I97" s="5" t="str">
        <f>IFERROR(__xludf.DUMMYFUNCTION("GOOGLETRANSLATE(D97, ""en"", ""hi"")"),"A) श्रेणी")</f>
        <v>A) श्रेणी</v>
      </c>
    </row>
    <row r="98" ht="22.5" customHeight="1">
      <c r="A98" s="3">
        <v>97.0</v>
      </c>
      <c r="B98" s="4" t="s">
        <v>3991</v>
      </c>
      <c r="C98" s="4" t="s">
        <v>3992</v>
      </c>
      <c r="D98" s="4" t="s">
        <v>3993</v>
      </c>
      <c r="F98" s="5" t="str">
        <f>IFERROR(__xludf.DUMMYFUNCTION("GOOGLETRANSLATE(A98, ""en"", ""hi"")"),"97")</f>
        <v>97</v>
      </c>
      <c r="G98" s="5" t="str">
        <f>IFERROR(__xludf.DUMMYFUNCTION("GOOGLETRANSLATE(B98, ""en"", ""hi"")"),"प्राचीन भारतीय दरबारों में, कौन सा मंत्री अक्सर लागोरी खेलों के आयोजन के लिए जिम्मेदार होता था?")</f>
        <v>प्राचीन भारतीय दरबारों में, कौन सा मंत्री अक्सर लागोरी खेलों के आयोजन के लिए जिम्मेदार होता था?</v>
      </c>
      <c r="H98" s="5" t="str">
        <f>IFERROR(__xludf.DUMMYFUNCTION("GOOGLETRANSLATE(C98, ""en"", ""hi"")"),"ए) सेनापति, बी) अमात्य, सी) पुरोहित, डी) संधि-विग्रहिका")</f>
        <v>ए) सेनापति, बी) अमात्य, सी) पुरोहित, डी) संधि-विग्रहिका</v>
      </c>
      <c r="I98" s="5" t="str">
        <f>IFERROR(__xludf.DUMMYFUNCTION("GOOGLETRANSLATE(D98, ""en"", ""hi"")"),"बी) अमात्य")</f>
        <v>बी) अमात्य</v>
      </c>
    </row>
    <row r="99" ht="22.5" customHeight="1">
      <c r="A99" s="3">
        <v>98.0</v>
      </c>
      <c r="B99" s="4" t="s">
        <v>3994</v>
      </c>
      <c r="C99" s="4" t="s">
        <v>3995</v>
      </c>
      <c r="D99" s="4" t="s">
        <v>3996</v>
      </c>
      <c r="F99" s="5" t="str">
        <f>IFERROR(__xludf.DUMMYFUNCTION("GOOGLETRANSLATE(A99, ""en"", ""hi"")"),"98")</f>
        <v>98</v>
      </c>
      <c r="G99" s="5" t="str">
        <f>IFERROR(__xludf.DUMMYFUNCTION("GOOGLETRANSLATE(B99, ""en"", ""hi"")"),"किस भारतीय ग्रंथ में लागोरी का उल्लेख लड़के और लड़कियों दोनों द्वारा खेले जाने वाले खेल के रूप में किया गया है?")</f>
        <v>किस भारतीय ग्रंथ में लागोरी का उल्लेख लड़के और लड़कियों दोनों द्वारा खेले जाने वाले खेल के रूप में किया गया है?</v>
      </c>
      <c r="H99" s="5" t="str">
        <f>IFERROR(__xludf.DUMMYFUNCTION("GOOGLETRANSLATE(C99, ""en"", ""hi"")"),"ए) अर्थशास्त्र, बी) मनुस्मृति, सी) रामायण, डी) महाभारत")</f>
        <v>ए) अर्थशास्त्र, बी) मनुस्मृति, सी) रामायण, डी) महाभारत</v>
      </c>
      <c r="I99" s="5" t="str">
        <f>IFERROR(__xludf.DUMMYFUNCTION("GOOGLETRANSLATE(D99, ""en"", ""hi"")"),"D) महाभारत")</f>
        <v>D) महाभारत</v>
      </c>
    </row>
    <row r="100" ht="22.5" customHeight="1">
      <c r="A100" s="3">
        <v>99.0</v>
      </c>
      <c r="B100" s="4" t="s">
        <v>3997</v>
      </c>
      <c r="C100" s="4" t="s">
        <v>3998</v>
      </c>
      <c r="D100" s="4" t="s">
        <v>3785</v>
      </c>
      <c r="F100" s="5" t="str">
        <f>IFERROR(__xludf.DUMMYFUNCTION("GOOGLETRANSLATE(A100, ""en"", ""hi"")"),"99")</f>
        <v>99</v>
      </c>
      <c r="G100" s="5" t="str">
        <f>IFERROR(__xludf.DUMMYFUNCTION("GOOGLETRANSLATE(B100, ""en"", ""hi"")"),"किस भारतीय राज्य की लोककथा में लागोरी को अक्सर कौशल और रणनीति का खेल कहा जाता है?")</f>
        <v>किस भारतीय राज्य की लोककथा में लागोरी को अक्सर कौशल और रणनीति का खेल कहा जाता है?</v>
      </c>
      <c r="H100" s="5" t="str">
        <f>IFERROR(__xludf.DUMMYFUNCTION("GOOGLETRANSLATE(C100, ""en"", ""hi"")"),"A) तमिलनाडु, B) आंध्र प्रदेश, C) केरल, D) कर्नाटक")</f>
        <v>A) तमिलनाडु, B) आंध्र प्रदेश, C) केरल, D) कर्नाटक</v>
      </c>
      <c r="I100" s="5" t="str">
        <f>IFERROR(__xludf.DUMMYFUNCTION("GOOGLETRANSLATE(D100, ""en"", ""hi"")"),"D) कर्नाटक")</f>
        <v>D) कर्नाटक</v>
      </c>
    </row>
    <row r="101" ht="22.5" customHeight="1">
      <c r="A101" s="3">
        <v>100.0</v>
      </c>
      <c r="B101" s="4" t="s">
        <v>3999</v>
      </c>
      <c r="C101" s="4" t="s">
        <v>4000</v>
      </c>
      <c r="D101" s="4" t="s">
        <v>4001</v>
      </c>
      <c r="F101" s="5" t="str">
        <f>IFERROR(__xludf.DUMMYFUNCTION("GOOGLETRANSLATE(A101, ""en"", ""hi"")"),"100")</f>
        <v>100</v>
      </c>
      <c r="G101" s="5" t="str">
        <f>IFERROR(__xludf.DUMMYFUNCTION("GOOGLETRANSLATE(B101, ""en"", ""hi"")"),"ऐसा कहा जाता है कि किस भारतीय शासक ने अपने सैनिकों में शारीरिक फिटनेस बनाए रखने के लिए लागोरी को बढ़ावा दिया था?")</f>
        <v>ऐसा कहा जाता है कि किस भारतीय शासक ने अपने सैनिकों में शारीरिक फिटनेस बनाए रखने के लिए लागोरी को बढ़ावा दिया था?</v>
      </c>
      <c r="H101" s="5" t="str">
        <f>IFERROR(__xludf.DUMMYFUNCTION("GOOGLETRANSLATE(C101, ""en"", ""hi"")"),"ए) शिवाजी महाराज, बी) टीपू सुल्तान, सी) रानी लक्ष्मीबाई, डी) राजा राजा चोल")</f>
        <v>ए) शिवाजी महाराज, बी) टीपू सुल्तान, सी) रानी लक्ष्मीबाई, डी) राजा राजा चोल</v>
      </c>
      <c r="I101" s="5" t="str">
        <f>IFERROR(__xludf.DUMMYFUNCTION("GOOGLETRANSLATE(D101, ""en"", ""hi"")"),"बी) टीपू सुल्तान")</f>
        <v>बी) टीपू सुल्तान</v>
      </c>
    </row>
    <row r="102" ht="22.5" customHeight="1">
      <c r="A102" s="3">
        <v>101.0</v>
      </c>
      <c r="B102" s="4" t="s">
        <v>4002</v>
      </c>
      <c r="C102" s="4" t="s">
        <v>4003</v>
      </c>
      <c r="D102" s="4" t="s">
        <v>3365</v>
      </c>
      <c r="F102" s="5" t="str">
        <f>IFERROR(__xludf.DUMMYFUNCTION("GOOGLETRANSLATE(A102, ""en"", ""hi"")"),"101")</f>
        <v>101</v>
      </c>
      <c r="G102" s="5" t="str">
        <f>IFERROR(__xludf.DUMMYFUNCTION("GOOGLETRANSLATE(B102, ""en"", ""hi"")"),"किस भारतीय ग्रंथ में लागोरी में प्रयुक्त होने वाले खेलों के समान पत्थरों के प्रयोग का विवरण मिलता है?")</f>
        <v>किस भारतीय ग्रंथ में लागोरी में प्रयुक्त होने वाले खेलों के समान पत्थरों के प्रयोग का विवरण मिलता है?</v>
      </c>
      <c r="H102" s="5" t="str">
        <f>IFERROR(__xludf.DUMMYFUNCTION("GOOGLETRANSLATE(C102, ""en"", ""hi"")"),"ए) सिलप्पातिकारम, बी) टोलकाप्पियम, सी) अर्थशास्त्र, डी) संगम साहित्य")</f>
        <v>ए) सिलप्पातिकारम, बी) टोलकाप्पियम, सी) अर्थशास्त्र, डी) संगम साहित्य</v>
      </c>
      <c r="I102" s="5" t="str">
        <f>IFERROR(__xludf.DUMMYFUNCTION("GOOGLETRANSLATE(D102, ""en"", ""hi"")"),"C) अर्थशास्त्र")</f>
        <v>C) अर्थशास्त्र</v>
      </c>
    </row>
    <row r="103" ht="22.5" customHeight="1">
      <c r="A103" s="3">
        <v>102.0</v>
      </c>
      <c r="B103" s="4" t="s">
        <v>4004</v>
      </c>
      <c r="C103" s="4" t="s">
        <v>4005</v>
      </c>
      <c r="D103" s="4" t="s">
        <v>4006</v>
      </c>
      <c r="F103" s="5" t="str">
        <f>IFERROR(__xludf.DUMMYFUNCTION("GOOGLETRANSLATE(A103, ""en"", ""hi"")"),"102")</f>
        <v>102</v>
      </c>
      <c r="G103" s="5" t="str">
        <f>IFERROR(__xludf.DUMMYFUNCTION("GOOGLETRANSLATE(B103, ""en"", ""hi"")"),"प्राचीन भारत में, लागोरी पत्थरों को बनाने के लिए प्रायः किस वर्ग के लोग जिम्मेदार थे?")</f>
        <v>प्राचीन भारत में, लागोरी पत्थरों को बनाने के लिए प्रायः किस वर्ग के लोग जिम्मेदार थे?</v>
      </c>
      <c r="H103" s="5" t="str">
        <f>IFERROR(__xludf.DUMMYFUNCTION("GOOGLETRANSLATE(C103, ""en"", ""hi"")"),"ए) शूद्र, बी) वैश्य, सी) क्षत्रिय, डी) ब्राह्मण")</f>
        <v>ए) शूद्र, बी) वैश्य, सी) क्षत्रिय, डी) ब्राह्मण</v>
      </c>
      <c r="I103" s="5" t="str">
        <f>IFERROR(__xludf.DUMMYFUNCTION("GOOGLETRANSLATE(D103, ""en"", ""hi"")"),"बी) वैश्य")</f>
        <v>बी) वैश्य</v>
      </c>
    </row>
    <row r="104" ht="22.5" customHeight="1">
      <c r="A104" s="3">
        <v>103.0</v>
      </c>
      <c r="B104" s="4" t="s">
        <v>4007</v>
      </c>
      <c r="C104" s="4" t="s">
        <v>4008</v>
      </c>
      <c r="D104" s="4" t="s">
        <v>4009</v>
      </c>
      <c r="F104" s="5" t="str">
        <f>IFERROR(__xludf.DUMMYFUNCTION("GOOGLETRANSLATE(A104, ""en"", ""hi"")"),"103")</f>
        <v>103</v>
      </c>
      <c r="G104" s="5" t="str">
        <f>IFERROR(__xludf.DUMMYFUNCTION("GOOGLETRANSLATE(B104, ""en"", ""hi"")"),"ऐसा माना जाता है कि किस भारतीय सम्राट ने पाटलिपुत्र में अपने बचपन के दौरान लागोरी खेला था?")</f>
        <v>ऐसा माना जाता है कि किस भारतीय सम्राट ने पाटलिपुत्र में अपने बचपन के दौरान लागोरी खेला था?</v>
      </c>
      <c r="H104" s="5" t="str">
        <f>IFERROR(__xludf.DUMMYFUNCTION("GOOGLETRANSLATE(C104, ""en"", ""hi"")"),"ए) चंद्रगुप्त मौर्य, बी) अशोक, सी) समुद्रगुप्त, डी) बिन्दुसार")</f>
        <v>ए) चंद्रगुप्त मौर्य, बी) अशोक, सी) समुद्रगुप्त, डी) बिन्दुसार</v>
      </c>
      <c r="I104" s="5" t="str">
        <f>IFERROR(__xludf.DUMMYFUNCTION("GOOGLETRANSLATE(D104, ""en"", ""hi"")"),"बी) अशोक")</f>
        <v>बी) अशोक</v>
      </c>
    </row>
    <row r="105" ht="22.5" customHeight="1">
      <c r="A105" s="3">
        <v>104.0</v>
      </c>
      <c r="B105" s="4" t="s">
        <v>4010</v>
      </c>
      <c r="C105" s="4" t="s">
        <v>4011</v>
      </c>
      <c r="D105" s="4" t="s">
        <v>4012</v>
      </c>
      <c r="F105" s="5" t="str">
        <f>IFERROR(__xludf.DUMMYFUNCTION("GOOGLETRANSLATE(A105, ""en"", ""hi"")"),"104")</f>
        <v>104</v>
      </c>
      <c r="G105" s="5" t="str">
        <f>IFERROR(__xludf.DUMMYFUNCTION("GOOGLETRANSLATE(B105, ""en"", ""hi"")"),"किस प्राचीन भारतीय क्षेत्र में लागोरी को शाही मनोरंजन माना जाता था?")</f>
        <v>किस प्राचीन भारतीय क्षेत्र में लागोरी को शाही मनोरंजन माना जाता था?</v>
      </c>
      <c r="H105" s="5" t="str">
        <f>IFERROR(__xludf.DUMMYFUNCTION("GOOGLETRANSLATE(C105, ""en"", ""hi"")"),"A) दक्कन, B) बंगाल, C) पंजाब, D) मालवा")</f>
        <v>A) दक्कन, B) बंगाल, C) पंजाब, D) मालवा</v>
      </c>
      <c r="I105" s="5" t="str">
        <f>IFERROR(__xludf.DUMMYFUNCTION("GOOGLETRANSLATE(D105, ""en"", ""hi"")"),"A) दक्कन")</f>
        <v>A) दक्कन</v>
      </c>
    </row>
    <row r="106" ht="22.5" customHeight="1">
      <c r="A106" s="3">
        <v>105.0</v>
      </c>
      <c r="B106" s="4" t="s">
        <v>4013</v>
      </c>
      <c r="C106" s="4" t="s">
        <v>4014</v>
      </c>
      <c r="D106" s="4" t="s">
        <v>4015</v>
      </c>
      <c r="F106" s="5" t="str">
        <f>IFERROR(__xludf.DUMMYFUNCTION("GOOGLETRANSLATE(A106, ""en"", ""hi"")"),"105")</f>
        <v>105</v>
      </c>
      <c r="G106" s="5" t="str">
        <f>IFERROR(__xludf.DUMMYFUNCTION("GOOGLETRANSLATE(B106, ""en"", ""hi"")"),"कौन सा पारंपरिक भारतीय खेल अक्सर शाही दरबारों में लागोरी के साथ खेला जाता था?")</f>
        <v>कौन सा पारंपरिक भारतीय खेल अक्सर शाही दरबारों में लागोरी के साथ खेला जाता था?</v>
      </c>
      <c r="H106" s="5" t="str">
        <f>IFERROR(__xludf.DUMMYFUNCTION("GOOGLETRANSLATE(C106, ""en"", ""hi"")"),"ए) पचीसी, बी) गिल्ली-डंडा, सी) कबड्डी, डी) शतरंज")</f>
        <v>ए) पचीसी, बी) गिल्ली-डंडा, सी) कबड्डी, डी) शतरंज</v>
      </c>
      <c r="I106" s="5" t="str">
        <f>IFERROR(__xludf.DUMMYFUNCTION("GOOGLETRANSLATE(D106, ""en"", ""hi"")"),"A) पचीसी")</f>
        <v>A) पचीसी</v>
      </c>
    </row>
    <row r="107" ht="22.5" customHeight="1">
      <c r="A107" s="3">
        <v>106.0</v>
      </c>
      <c r="B107" s="4" t="s">
        <v>4016</v>
      </c>
      <c r="C107" s="4" t="s">
        <v>4017</v>
      </c>
      <c r="D107" s="4" t="s">
        <v>4018</v>
      </c>
      <c r="F107" s="5" t="str">
        <f>IFERROR(__xludf.DUMMYFUNCTION("GOOGLETRANSLATE(A107, ""en"", ""hi"")"),"106")</f>
        <v>106</v>
      </c>
      <c r="G107" s="5" t="str">
        <f>IFERROR(__xludf.DUMMYFUNCTION("GOOGLETRANSLATE(B107, ""en"", ""hi"")"),"किस मुगलकालीन पांडुलिपि में लागोरी खेल जैसा चित्रण मिलता है?")</f>
        <v>किस मुगलकालीन पांडुलिपि में लागोरी खेल जैसा चित्रण मिलता है?</v>
      </c>
      <c r="H107" s="5" t="str">
        <f>IFERROR(__xludf.DUMMYFUNCTION("GOOGLETRANSLATE(C107, ""en"", ""hi"")"),"ए) अकबरनामा, बी) बाबरनामा, सी) आईन-ए-अकबरी, डी) पादशाहनामा")</f>
        <v>ए) अकबरनामा, बी) बाबरनामा, सी) आईन-ए-अकबरी, डी) पादशाहनामा</v>
      </c>
      <c r="I107" s="5" t="str">
        <f>IFERROR(__xludf.DUMMYFUNCTION("GOOGLETRANSLATE(D107, ""en"", ""hi"")"),"A) अकबरनामा")</f>
        <v>A) अकबरनामा</v>
      </c>
    </row>
    <row r="108" ht="22.5" customHeight="1">
      <c r="A108" s="3">
        <v>107.0</v>
      </c>
      <c r="B108" s="4" t="s">
        <v>4019</v>
      </c>
      <c r="C108" s="4" t="s">
        <v>4020</v>
      </c>
      <c r="D108" s="4" t="s">
        <v>4021</v>
      </c>
      <c r="F108" s="5" t="str">
        <f>IFERROR(__xludf.DUMMYFUNCTION("GOOGLETRANSLATE(A108, ""en"", ""hi"")"),"107")</f>
        <v>107</v>
      </c>
      <c r="G108" s="5" t="str">
        <f>IFERROR(__xludf.DUMMYFUNCTION("GOOGLETRANSLATE(B108, ""en"", ""hi"")"),"ऐसा माना जाता है कि चोल वंश के किस शासक ने श्रीलंका में लागोरी की शुरुआत की थी?")</f>
        <v>ऐसा माना जाता है कि चोल वंश के किस शासक ने श्रीलंका में लागोरी की शुरुआत की थी?</v>
      </c>
      <c r="H108" s="5" t="str">
        <f>IFERROR(__xludf.DUMMYFUNCTION("GOOGLETRANSLATE(C108, ""en"", ""hi"")"),"ए) राजराजा चोल प्रथम, बी) राजेंद्र चोल प्रथम, सी) कुलोथुंगा चोल प्रथम, डी) करिकाला चोल")</f>
        <v>ए) राजराजा चोल प्रथम, बी) राजेंद्र चोल प्रथम, सी) कुलोथुंगा चोल प्रथम, डी) करिकाला चोल</v>
      </c>
      <c r="I108" s="5" t="str">
        <f>IFERROR(__xludf.DUMMYFUNCTION("GOOGLETRANSLATE(D108, ""en"", ""hi"")"),"बी) राजेंद्र चोल प्रथम")</f>
        <v>बी) राजेंद्र चोल प्रथम</v>
      </c>
    </row>
    <row r="109" ht="22.5" customHeight="1">
      <c r="A109" s="3">
        <v>108.0</v>
      </c>
      <c r="B109" s="4" t="s">
        <v>4022</v>
      </c>
      <c r="C109" s="4" t="s">
        <v>3934</v>
      </c>
      <c r="D109" s="4" t="s">
        <v>2544</v>
      </c>
      <c r="F109" s="5" t="str">
        <f>IFERROR(__xludf.DUMMYFUNCTION("GOOGLETRANSLATE(A109, ""en"", ""hi"")"),"108")</f>
        <v>108</v>
      </c>
      <c r="G109" s="5" t="str">
        <f>IFERROR(__xludf.DUMMYFUNCTION("GOOGLETRANSLATE(B109, ""en"", ""hi"")"),"किस भारतीय महाकाव्य में कौरवों और पांडवों द्वारा खेले जाने वाले लागोरी जैसे खेल का वर्णन है?")</f>
        <v>किस भारतीय महाकाव्य में कौरवों और पांडवों द्वारा खेले जाने वाले लागोरी जैसे खेल का वर्णन है?</v>
      </c>
      <c r="H109" s="5" t="str">
        <f>IFERROR(__xludf.DUMMYFUNCTION("GOOGLETRANSLATE(C109, ""en"", ""hi"")"),"ए) रामायण, बी) महाभारत, सी) भागवत पुराण, डी) विष्णु पुराण")</f>
        <v>ए) रामायण, बी) महाभारत, सी) भागवत पुराण, डी) विष्णु पुराण</v>
      </c>
      <c r="I109" s="5" t="str">
        <f>IFERROR(__xludf.DUMMYFUNCTION("GOOGLETRANSLATE(D109, ""en"", ""hi"")"),"बी) महाभारत")</f>
        <v>बी) महाभारत</v>
      </c>
    </row>
    <row r="110" ht="22.5" customHeight="1">
      <c r="A110" s="3">
        <v>109.0</v>
      </c>
      <c r="B110" s="4" t="s">
        <v>4023</v>
      </c>
      <c r="C110" s="4" t="s">
        <v>4024</v>
      </c>
      <c r="D110" s="4" t="s">
        <v>3910</v>
      </c>
      <c r="F110" s="5" t="str">
        <f>IFERROR(__xludf.DUMMYFUNCTION("GOOGLETRANSLATE(A110, ""en"", ""hi"")"),"109")</f>
        <v>109</v>
      </c>
      <c r="G110" s="5" t="str">
        <f>IFERROR(__xludf.DUMMYFUNCTION("GOOGLETRANSLATE(B110, ""en"", ""hi"")"),"किस दक्षिण भारतीय मंदिर में लागोरी जैसे खेल को दर्शाती मूर्तियां हैं?")</f>
        <v>किस दक्षिण भारतीय मंदिर में लागोरी जैसे खेल को दर्शाती मूर्तियां हैं?</v>
      </c>
      <c r="H110" s="5" t="str">
        <f>IFERROR(__xludf.DUMMYFUNCTION("GOOGLETRANSLATE(C110, ""en"", ""hi"")"),"ए) मदुरै मीनाक्षी मंदिर, बी) बृहदेश्वर मंदिर, सी) हम्पी मंदिर, डी) श्रीरंगम मंदिर")</f>
        <v>ए) मदुरै मीनाक्षी मंदिर, बी) बृहदेश्वर मंदिर, सी) हम्पी मंदिर, डी) श्रीरंगम मंदिर</v>
      </c>
      <c r="I110" s="5" t="str">
        <f>IFERROR(__xludf.DUMMYFUNCTION("GOOGLETRANSLATE(D110, ""en"", ""hi"")"),"C) हम्पी मंदिर")</f>
        <v>C) हम्पी मंदिर</v>
      </c>
    </row>
    <row r="111" ht="22.5" customHeight="1">
      <c r="A111" s="3">
        <v>110.0</v>
      </c>
      <c r="B111" s="4" t="s">
        <v>4025</v>
      </c>
      <c r="C111" s="4" t="s">
        <v>4026</v>
      </c>
      <c r="D111" s="4" t="s">
        <v>4027</v>
      </c>
      <c r="F111" s="5" t="str">
        <f>IFERROR(__xludf.DUMMYFUNCTION("GOOGLETRANSLATE(A111, ""en"", ""hi"")"),"110")</f>
        <v>110</v>
      </c>
      <c r="G111" s="5" t="str">
        <f>IFERROR(__xludf.DUMMYFUNCTION("GOOGLETRANSLATE(B111, ""en"", ""hi"")"),"किस भारतीय शास्त्रीय नृत्य शैली का अनुक्रम लागोरी से प्रेरित है?")</f>
        <v>किस भारतीय शास्त्रीय नृत्य शैली का अनुक्रम लागोरी से प्रेरित है?</v>
      </c>
      <c r="H111" s="5" t="str">
        <f>IFERROR(__xludf.DUMMYFUNCTION("GOOGLETRANSLATE(C111, ""en"", ""hi"")"),"ए) भरतनाट्यम, बी) कथकली, सी) कुचिपुड़ी, डी) मोहिनीअट्टम")</f>
        <v>ए) भरतनाट्यम, बी) कथकली, सी) कुचिपुड़ी, डी) मोहिनीअट्टम</v>
      </c>
      <c r="I111" s="5" t="str">
        <f>IFERROR(__xludf.DUMMYFUNCTION("GOOGLETRANSLATE(D111, ""en"", ""hi"")"),"C) कुचिपुड़ी")</f>
        <v>C) कुचिपुड़ी</v>
      </c>
    </row>
    <row r="112" ht="22.5" customHeight="1">
      <c r="A112" s="3">
        <v>111.0</v>
      </c>
      <c r="B112" s="4" t="s">
        <v>4028</v>
      </c>
      <c r="C112" s="4" t="s">
        <v>4029</v>
      </c>
      <c r="D112" s="4" t="s">
        <v>4030</v>
      </c>
      <c r="F112" s="5" t="str">
        <f>IFERROR(__xludf.DUMMYFUNCTION("GOOGLETRANSLATE(A112, ""en"", ""hi"")"),"111")</f>
        <v>111</v>
      </c>
      <c r="G112" s="5" t="str">
        <f>IFERROR(__xludf.DUMMYFUNCTION("GOOGLETRANSLATE(B112, ""en"", ""hi"")"),"किस भारतीय संत को अपने अनुयायियों के बीच समुदाय निर्माण के लिए लागोरी बजाने के लिए जाना जाता है?")</f>
        <v>किस भारतीय संत को अपने अनुयायियों के बीच समुदाय निर्माण के लिए लागोरी बजाने के लिए जाना जाता है?</v>
      </c>
      <c r="H112" s="5" t="str">
        <f>IFERROR(__xludf.DUMMYFUNCTION("GOOGLETRANSLATE(C112, ""en"", ""hi"")"),"ए) गुरु नानक, बी) कबीर, सी) शिरडी के साईं बाबा, डी) रामकृष्ण परमहंस")</f>
        <v>ए) गुरु नानक, बी) कबीर, सी) शिरडी के साईं बाबा, डी) रामकृष्ण परमहंस</v>
      </c>
      <c r="I112" s="5" t="str">
        <f>IFERROR(__xludf.DUMMYFUNCTION("GOOGLETRANSLATE(D112, ""en"", ""hi"")"),"C) शिरडी के साईं बाबा")</f>
        <v>C) शिरडी के साईं बाबा</v>
      </c>
    </row>
    <row r="113" ht="22.5" customHeight="1">
      <c r="A113" s="3">
        <v>112.0</v>
      </c>
      <c r="B113" s="4" t="s">
        <v>4031</v>
      </c>
      <c r="C113" s="4" t="s">
        <v>4032</v>
      </c>
      <c r="D113" s="4" t="s">
        <v>4033</v>
      </c>
      <c r="F113" s="5" t="str">
        <f>IFERROR(__xludf.DUMMYFUNCTION("GOOGLETRANSLATE(A113, ""en"", ""hi"")"),"112")</f>
        <v>112</v>
      </c>
      <c r="G113" s="5" t="str">
        <f>IFERROR(__xludf.DUMMYFUNCTION("GOOGLETRANSLATE(B113, ""en"", ""hi"")"),"भारतीय इतिहास के किस काल में लागोरी शहरी क्षेत्रों में लोकप्रिय हो गई?")</f>
        <v>भारतीय इतिहास के किस काल में लागोरी शहरी क्षेत्रों में लोकप्रिय हो गई?</v>
      </c>
      <c r="H113" s="5" t="str">
        <f>IFERROR(__xludf.DUMMYFUNCTION("GOOGLETRANSLATE(C113, ""en"", ""hi"")"),"A) वैदिक काल, B) गुप्त काल, C) मुगल काल, D) ब्रिटिश काल")</f>
        <v>A) वैदिक काल, B) गुप्त काल, C) मुगल काल, D) ब्रिटिश काल</v>
      </c>
      <c r="I113" s="5" t="str">
        <f>IFERROR(__xludf.DUMMYFUNCTION("GOOGLETRANSLATE(D113, ""en"", ""hi"")"),"C) मुगल काल")</f>
        <v>C) मुगल काल</v>
      </c>
    </row>
    <row r="114" ht="22.5" customHeight="1">
      <c r="A114" s="3">
        <v>113.0</v>
      </c>
      <c r="B114" s="4" t="s">
        <v>4034</v>
      </c>
      <c r="C114" s="4" t="s">
        <v>4035</v>
      </c>
      <c r="D114" s="4" t="s">
        <v>4036</v>
      </c>
      <c r="F114" s="5" t="str">
        <f>IFERROR(__xludf.DUMMYFUNCTION("GOOGLETRANSLATE(A114, ""en"", ""hi"")"),"113")</f>
        <v>113</v>
      </c>
      <c r="G114" s="5" t="str">
        <f>IFERROR(__xludf.DUMMYFUNCTION("GOOGLETRANSLATE(B114, ""en"", ""hi"")"),"कौन सा प्राचीन भारतीय खेल अक्सर लागोरी खेल से पहले वार्म-अप के रूप में खेला जाता था?")</f>
        <v>कौन सा प्राचीन भारतीय खेल अक्सर लागोरी खेल से पहले वार्म-अप के रूप में खेला जाता था?</v>
      </c>
      <c r="H114" s="5" t="str">
        <f>IFERROR(__xludf.DUMMYFUNCTION("GOOGLETRANSLATE(C114, ""en"", ""hi"")"),"ए) गिल्ली-डंडा, बी) खो-खो, सी) कबड्डी, डी) मल्लखंब")</f>
        <v>ए) गिल्ली-डंडा, बी) खो-खो, सी) कबड्डी, डी) मल्लखंब</v>
      </c>
      <c r="I114" s="5" t="str">
        <f>IFERROR(__xludf.DUMMYFUNCTION("GOOGLETRANSLATE(D114, ""en"", ""hi"")"),"C) कबड्डी")</f>
        <v>C) कबड्डी</v>
      </c>
    </row>
    <row r="115" ht="22.5" customHeight="1">
      <c r="A115" s="3">
        <v>114.0</v>
      </c>
      <c r="B115" s="4" t="s">
        <v>4037</v>
      </c>
      <c r="C115" s="4" t="s">
        <v>4038</v>
      </c>
      <c r="D115" s="4" t="s">
        <v>4039</v>
      </c>
      <c r="F115" s="5" t="str">
        <f>IFERROR(__xludf.DUMMYFUNCTION("GOOGLETRANSLATE(A115, ""en"", ""hi"")"),"114")</f>
        <v>114</v>
      </c>
      <c r="G115" s="5" t="str">
        <f>IFERROR(__xludf.DUMMYFUNCTION("GOOGLETRANSLATE(B115, ""en"", ""hi"")"),"ऐसा माना जाता है कि किस ऐतिहासिक भारतीय व्यक्ति ने स्कूली बच्चों के बीच लागोरी को लोकप्रिय बनाया?")</f>
        <v>ऐसा माना जाता है कि किस ऐतिहासिक भारतीय व्यक्ति ने स्कूली बच्चों के बीच लागोरी को लोकप्रिय बनाया?</v>
      </c>
      <c r="H115" s="5" t="str">
        <f>IFERROR(__xludf.DUMMYFUNCTION("GOOGLETRANSLATE(C115, ""en"", ""hi"")"),"ए) डॉ. बी.आर. अम्बेडकर, बी) रवीन्द्रनाथ टैगोर, सी) बाल गंगाधर तिलक, डी) महात्मा गांधी")</f>
        <v>ए) डॉ. बी.आर. अम्बेडकर, बी) रवीन्द्रनाथ टैगोर, सी) बाल गंगाधर तिलक, डी) महात्मा गांधी</v>
      </c>
      <c r="I115" s="5" t="str">
        <f>IFERROR(__xludf.DUMMYFUNCTION("GOOGLETRANSLATE(D115, ""en"", ""hi"")"),"बी) रवींद्रनाथ टैगोर")</f>
        <v>बी) रवींद्रनाथ टैगोर</v>
      </c>
    </row>
    <row r="116" ht="22.5" customHeight="1">
      <c r="A116" s="3">
        <v>115.0</v>
      </c>
      <c r="B116" s="4" t="s">
        <v>4040</v>
      </c>
      <c r="C116" s="4" t="s">
        <v>3937</v>
      </c>
      <c r="D116" s="4" t="s">
        <v>125</v>
      </c>
      <c r="F116" s="5" t="str">
        <f>IFERROR(__xludf.DUMMYFUNCTION("GOOGLETRANSLATE(A116, ""en"", ""hi"")"),"115")</f>
        <v>115</v>
      </c>
      <c r="G116" s="5" t="str">
        <f>IFERROR(__xludf.DUMMYFUNCTION("GOOGLETRANSLATE(B116, ""en"", ""hi"")"),"किस भारतीय राज्य के शाही परिवारों को लागोरी टूर्नामेंट प्रायोजित करने के लिए जाना जाता है?")</f>
        <v>किस भारतीय राज्य के शाही परिवारों को लागोरी टूर्नामेंट प्रायोजित करने के लिए जाना जाता है?</v>
      </c>
      <c r="H116" s="5" t="str">
        <f>IFERROR(__xludf.DUMMYFUNCTION("GOOGLETRANSLATE(C116, ""en"", ""hi"")"),"ए) राजस्थान, बी) केरल, सी) तमिलनाडु, डी) कर्नाटक")</f>
        <v>ए) राजस्थान, बी) केरल, सी) तमिलनाडु, डी) कर्नाटक</v>
      </c>
      <c r="I116" s="5" t="str">
        <f>IFERROR(__xludf.DUMMYFUNCTION("GOOGLETRANSLATE(D116, ""en"", ""hi"")"),"A) राजस्थान")</f>
        <v>A) राजस्थान</v>
      </c>
    </row>
    <row r="117" ht="22.5" customHeight="1">
      <c r="A117" s="3">
        <v>116.0</v>
      </c>
      <c r="B117" s="4" t="s">
        <v>4041</v>
      </c>
      <c r="C117" s="4" t="s">
        <v>4042</v>
      </c>
      <c r="D117" s="4" t="s">
        <v>4043</v>
      </c>
      <c r="F117" s="5" t="str">
        <f>IFERROR(__xludf.DUMMYFUNCTION("GOOGLETRANSLATE(A117, ""en"", ""hi"")"),"116")</f>
        <v>116</v>
      </c>
      <c r="G117" s="5" t="str">
        <f>IFERROR(__xludf.DUMMYFUNCTION("GOOGLETRANSLATE(B117, ""en"", ""hi"")"),"किस भारतीय महाकाव्य में लागोरी जैसे खेल का उल्लेख है?")</f>
        <v>किस भारतीय महाकाव्य में लागोरी जैसे खेल का उल्लेख है?</v>
      </c>
      <c r="H117" s="5" t="str">
        <f>IFERROR(__xludf.DUMMYFUNCTION("GOOGLETRANSLATE(C117, ""en"", ""hi"")"),"ए) रामायण, बी) महाभारत, सी) सिलप्पातिकारम, डी) मणिमेकलाई")</f>
        <v>ए) रामायण, बी) महाभारत, सी) सिलप्पातिकारम, डी) मणिमेकलाई</v>
      </c>
      <c r="I117" s="5" t="str">
        <f>IFERROR(__xludf.DUMMYFUNCTION("GOOGLETRANSLATE(D117, ""en"", ""hi"")"),"C) सिलप्पाटिकरम")</f>
        <v>C) सिलप्पाटिकरम</v>
      </c>
    </row>
    <row r="118" ht="22.5" customHeight="1">
      <c r="A118" s="3">
        <v>117.0</v>
      </c>
      <c r="B118" s="4" t="s">
        <v>4044</v>
      </c>
      <c r="C118" s="4" t="s">
        <v>4045</v>
      </c>
      <c r="D118" s="4" t="s">
        <v>4046</v>
      </c>
      <c r="F118" s="5" t="str">
        <f>IFERROR(__xludf.DUMMYFUNCTION("GOOGLETRANSLATE(A118, ""en"", ""hi"")"),"117")</f>
        <v>117</v>
      </c>
      <c r="G118" s="5" t="str">
        <f>IFERROR(__xludf.DUMMYFUNCTION("GOOGLETRANSLATE(B118, ""en"", ""hi"")"),"किस प्रसिद्ध भारतीय विद्वान ने अपनी यात्रा डायरी में लागोरी के बारे में लिखा?")</f>
        <v>किस प्रसिद्ध भारतीय विद्वान ने अपनी यात्रा डायरी में लागोरी के बारे में लिखा?</v>
      </c>
      <c r="H118" s="5" t="str">
        <f>IFERROR(__xludf.DUMMYFUNCTION("GOOGLETRANSLATE(C118, ""en"", ""hi"")"),"ए) इब्न बतूता, बी) अल-बिरूनी, सी) फा-हिएन, डी) जुआनज़ांग")</f>
        <v>ए) इब्न बतूता, बी) अल-बिरूनी, सी) फा-हिएन, डी) जुआनज़ांग</v>
      </c>
      <c r="I118" s="5" t="str">
        <f>IFERROR(__xludf.DUMMYFUNCTION("GOOGLETRANSLATE(D118, ""en"", ""hi"")"),"B) अल-बिरूनी")</f>
        <v>B) अल-बिरूनी</v>
      </c>
    </row>
    <row r="119" ht="22.5" customHeight="1">
      <c r="A119" s="3">
        <v>118.0</v>
      </c>
      <c r="B119" s="4" t="s">
        <v>4047</v>
      </c>
      <c r="C119" s="4" t="s">
        <v>4048</v>
      </c>
      <c r="D119" s="4" t="s">
        <v>3875</v>
      </c>
      <c r="F119" s="5" t="str">
        <f>IFERROR(__xludf.DUMMYFUNCTION("GOOGLETRANSLATE(A119, ""en"", ""hi"")"),"118")</f>
        <v>118</v>
      </c>
      <c r="G119" s="5" t="str">
        <f>IFERROR(__xludf.DUMMYFUNCTION("GOOGLETRANSLATE(B119, ""en"", ""hi"")"),"किस भारतीय राज्य की लोककथा में लागोरी खेल द्वारा एक गांव को आक्रमणकारियों से बचाने की कहानी शामिल है?")</f>
        <v>किस भारतीय राज्य की लोककथा में लागोरी खेल द्वारा एक गांव को आक्रमणकारियों से बचाने की कहानी शामिल है?</v>
      </c>
      <c r="H119" s="5" t="str">
        <f>IFERROR(__xludf.DUMMYFUNCTION("GOOGLETRANSLATE(C119, ""en"", ""hi"")"),"ए) गुजरात, बी) महाराष्ट्र, सी) कर्नाटक, डी) आंध्र प्रदेश")</f>
        <v>ए) गुजरात, बी) महाराष्ट्र, सी) कर्नाटक, डी) आंध्र प्रदेश</v>
      </c>
      <c r="I119" s="5" t="str">
        <f>IFERROR(__xludf.DUMMYFUNCTION("GOOGLETRANSLATE(D119, ""en"", ""hi"")"),"C) कर्नाटक")</f>
        <v>C) कर्नाटक</v>
      </c>
    </row>
    <row r="120" ht="22.5" customHeight="1">
      <c r="A120" s="3">
        <v>119.0</v>
      </c>
      <c r="B120" s="4" t="s">
        <v>4049</v>
      </c>
      <c r="C120" s="4" t="s">
        <v>4050</v>
      </c>
      <c r="D120" s="4" t="s">
        <v>3944</v>
      </c>
      <c r="F120" s="5" t="str">
        <f>IFERROR(__xludf.DUMMYFUNCTION("GOOGLETRANSLATE(A120, ""en"", ""hi"")"),"119")</f>
        <v>119</v>
      </c>
      <c r="G120" s="5" t="str">
        <f>IFERROR(__xludf.DUMMYFUNCTION("GOOGLETRANSLATE(B120, ""en"", ""hi"")"),"ऐसा माना जाता है कि किस प्राचीन भारतीय शासक ने सैन्य प्रशिक्षण के लिए लागोरी का उपयोग किया था?")</f>
        <v>ऐसा माना जाता है कि किस प्राचीन भारतीय शासक ने सैन्य प्रशिक्षण के लिए लागोरी का उपयोग किया था?</v>
      </c>
      <c r="H120" s="5" t="str">
        <f>IFERROR(__xludf.DUMMYFUNCTION("GOOGLETRANSLATE(C120, ""en"", ""hi"")"),"ए) अशोक, बी) समुद्रगुप्त, सी) चंद्रगुप्त मौर्य, डी) हर्ष")</f>
        <v>ए) अशोक, बी) समुद्रगुप्त, सी) चंद्रगुप्त मौर्य, डी) हर्ष</v>
      </c>
      <c r="I120" s="5" t="str">
        <f>IFERROR(__xludf.DUMMYFUNCTION("GOOGLETRANSLATE(D120, ""en"", ""hi"")"),"C) चंद्रगुप्त मौर्य")</f>
        <v>C) चंद्रगुप्त मौर्य</v>
      </c>
    </row>
    <row r="121" ht="22.5" customHeight="1">
      <c r="A121" s="3">
        <v>120.0</v>
      </c>
      <c r="B121" s="4" t="s">
        <v>4051</v>
      </c>
      <c r="C121" s="4" t="s">
        <v>4052</v>
      </c>
      <c r="D121" s="4" t="s">
        <v>2616</v>
      </c>
      <c r="F121" s="5" t="str">
        <f>IFERROR(__xludf.DUMMYFUNCTION("GOOGLETRANSLATE(A121, ""en"", ""hi"")"),"120")</f>
        <v>120</v>
      </c>
      <c r="G121" s="5" t="str">
        <f>IFERROR(__xludf.DUMMYFUNCTION("GOOGLETRANSLATE(B121, ""en"", ""hi"")"),"कौन सा भारतीय ग्रंथ लागोरी को एक ऐसे खेल के रूप में वर्णित करता है जो शारीरिक सहनशक्ति और रणनीति को बढ़ावा देता है?")</f>
        <v>कौन सा भारतीय ग्रंथ लागोरी को एक ऐसे खेल के रूप में वर्णित करता है जो शारीरिक सहनशक्ति और रणनीति को बढ़ावा देता है?</v>
      </c>
      <c r="H121" s="5" t="str">
        <f>IFERROR(__xludf.DUMMYFUNCTION("GOOGLETRANSLATE(C121, ""en"", ""hi"")"),"ए) अर्थशास्त्र, बी) मनुस्मृति, सी) यजुर्वेद, डी) रामायण")</f>
        <v>ए) अर्थशास्त्र, बी) मनुस्मृति, सी) यजुर्वेद, डी) रामायण</v>
      </c>
      <c r="I121" s="5" t="str">
        <f>IFERROR(__xludf.DUMMYFUNCTION("GOOGLETRANSLATE(D121, ""en"", ""hi"")"),"A) अर्थशास्त्र")</f>
        <v>A) अर्थशास्त्र</v>
      </c>
    </row>
    <row r="122" ht="22.5" customHeight="1">
      <c r="A122" s="3">
        <v>121.0</v>
      </c>
      <c r="B122" s="4" t="s">
        <v>4053</v>
      </c>
      <c r="C122" s="4" t="s">
        <v>4054</v>
      </c>
      <c r="D122" s="4" t="s">
        <v>3764</v>
      </c>
      <c r="F122" s="5" t="str">
        <f>IFERROR(__xludf.DUMMYFUNCTION("GOOGLETRANSLATE(A122, ""en"", ""hi"")"),"121")</f>
        <v>121</v>
      </c>
      <c r="G122" s="5" t="str">
        <f>IFERROR(__xludf.DUMMYFUNCTION("GOOGLETRANSLATE(B122, ""en"", ""hi"")"),"किस भारतीय राज्य में कई शताब्दियों से वार्षिक लागोरी उत्सव मनाया जाता है?")</f>
        <v>किस भारतीय राज्य में कई शताब्दियों से वार्षिक लागोरी उत्सव मनाया जाता है?</v>
      </c>
      <c r="H122" s="5" t="str">
        <f>IFERROR(__xludf.DUMMYFUNCTION("GOOGLETRANSLATE(C122, ""en"", ""hi"")"),"ए) तमिलनाडु, बी) कर्नाटक, सी) आंध्र प्रदेश, डी) महाराष्ट्र")</f>
        <v>ए) तमिलनाडु, बी) कर्नाटक, सी) आंध्र प्रदेश, डी) महाराष्ट्र</v>
      </c>
      <c r="I122" s="5" t="str">
        <f>IFERROR(__xludf.DUMMYFUNCTION("GOOGLETRANSLATE(D122, ""en"", ""hi"")"),"बी) कर्नाटक")</f>
        <v>बी) कर्नाटक</v>
      </c>
    </row>
    <row r="123" ht="22.5" customHeight="1">
      <c r="A123" s="3">
        <v>122.0</v>
      </c>
      <c r="B123" s="4" t="s">
        <v>4055</v>
      </c>
      <c r="C123" s="4" t="s">
        <v>4056</v>
      </c>
      <c r="D123" s="4" t="s">
        <v>4057</v>
      </c>
      <c r="F123" s="5" t="str">
        <f>IFERROR(__xludf.DUMMYFUNCTION("GOOGLETRANSLATE(A123, ""en"", ""hi"")"),"122")</f>
        <v>122</v>
      </c>
      <c r="G123" s="5" t="str">
        <f>IFERROR(__xludf.DUMMYFUNCTION("GOOGLETRANSLATE(B123, ""en"", ""hi"")"),"किस भारतीय समाज सुधारक ने स्कूलों में लागोरी जैसे पारंपरिक खेलों को शामिल करने की वकालत की?")</f>
        <v>किस भारतीय समाज सुधारक ने स्कूलों में लागोरी जैसे पारंपरिक खेलों को शामिल करने की वकालत की?</v>
      </c>
      <c r="H123" s="5" t="str">
        <f>IFERROR(__xludf.DUMMYFUNCTION("GOOGLETRANSLATE(C123, ""en"", ""hi"")"),"ए) राजा राम मोहन राय, बी) स्वामी विवेकानन्द, सी) ज्योतिराव फुले, डी) रवीन्द्रनाथ टैगोर")</f>
        <v>ए) राजा राम मोहन राय, बी) स्वामी विवेकानन्द, सी) ज्योतिराव फुले, डी) रवीन्द्रनाथ टैगोर</v>
      </c>
      <c r="I123" s="5" t="str">
        <f>IFERROR(__xludf.DUMMYFUNCTION("GOOGLETRANSLATE(D123, ""en"", ""hi"")"),"D) रवींद्रनाथ टैगोर")</f>
        <v>D) रवींद्रनाथ टैगोर</v>
      </c>
    </row>
    <row r="124" ht="22.5" customHeight="1">
      <c r="A124" s="3">
        <v>123.0</v>
      </c>
      <c r="B124" s="4" t="s">
        <v>4058</v>
      </c>
      <c r="C124" s="4" t="s">
        <v>4059</v>
      </c>
      <c r="D124" s="4" t="s">
        <v>2646</v>
      </c>
      <c r="F124" s="5" t="str">
        <f>IFERROR(__xludf.DUMMYFUNCTION("GOOGLETRANSLATE(A124, ""en"", ""hi"")"),"123")</f>
        <v>123</v>
      </c>
      <c r="G124" s="5" t="str">
        <f>IFERROR(__xludf.DUMMYFUNCTION("GOOGLETRANSLATE(B124, ""en"", ""hi"")"),"कौन सा प्राचीन भारतीय त्यौहार अक्सर भव्य लागोरी टूर्नामेंट के साथ मनाया जाता था?")</f>
        <v>कौन सा प्राचीन भारतीय त्यौहार अक्सर भव्य लागोरी टूर्नामेंट के साथ मनाया जाता था?</v>
      </c>
      <c r="H124" s="5" t="str">
        <f>IFERROR(__xludf.DUMMYFUNCTION("GOOGLETRANSLATE(C124, ""en"", ""hi"")"),"ए) पोंगल, बी) होली, सी) मकर संक्रांति, डी) दिवाली")</f>
        <v>ए) पोंगल, बी) होली, सी) मकर संक्रांति, डी) दिवाली</v>
      </c>
      <c r="I124" s="5" t="str">
        <f>IFERROR(__xludf.DUMMYFUNCTION("GOOGLETRANSLATE(D124, ""en"", ""hi"")"),"C) मकर संक्रांति")</f>
        <v>C) मकर संक्रांति</v>
      </c>
    </row>
    <row r="125" ht="22.5" customHeight="1">
      <c r="A125" s="3">
        <v>124.0</v>
      </c>
      <c r="B125" s="4" t="s">
        <v>4060</v>
      </c>
      <c r="C125" s="4" t="s">
        <v>4061</v>
      </c>
      <c r="D125" s="4" t="s">
        <v>3764</v>
      </c>
      <c r="F125" s="5" t="str">
        <f>IFERROR(__xludf.DUMMYFUNCTION("GOOGLETRANSLATE(A125, ""en"", ""hi"")"),"124")</f>
        <v>124</v>
      </c>
      <c r="G125" s="5" t="str">
        <f>IFERROR(__xludf.DUMMYFUNCTION("GOOGLETRANSLATE(B125, ""en"", ""hi"")"),"किस भारतीय राज्य का पारंपरिक लोकगीत लागोरी खेल का वर्णन करता है?")</f>
        <v>किस भारतीय राज्य का पारंपरिक लोकगीत लागोरी खेल का वर्णन करता है?</v>
      </c>
      <c r="H125" s="5" t="str">
        <f>IFERROR(__xludf.DUMMYFUNCTION("GOOGLETRANSLATE(C125, ""en"", ""hi"")"),"ए) केरल, बी) कर्नाटक, सी) तमिलनाडु, डी) गुजरात")</f>
        <v>ए) केरल, बी) कर्नाटक, सी) तमिलनाडु, डी) गुजरात</v>
      </c>
      <c r="I125" s="5" t="str">
        <f>IFERROR(__xludf.DUMMYFUNCTION("GOOGLETRANSLATE(D125, ""en"", ""hi"")"),"बी) कर्नाटक")</f>
        <v>बी) कर्नाटक</v>
      </c>
    </row>
    <row r="126" ht="22.5" customHeight="1">
      <c r="A126" s="3">
        <v>125.0</v>
      </c>
      <c r="B126" s="4" t="s">
        <v>4062</v>
      </c>
      <c r="C126" s="4" t="s">
        <v>4063</v>
      </c>
      <c r="D126" s="4" t="s">
        <v>3962</v>
      </c>
      <c r="F126" s="5" t="str">
        <f>IFERROR(__xludf.DUMMYFUNCTION("GOOGLETRANSLATE(A126, ""en"", ""hi"")"),"125")</f>
        <v>125</v>
      </c>
      <c r="G126" s="5" t="str">
        <f>IFERROR(__xludf.DUMMYFUNCTION("GOOGLETRANSLATE(B126, ""en"", ""hi"")"),"किस भारतीय शासक को अपने राज्य में पहली लागोरी चैंपियनशिप आयोजित करने का श्रेय दिया जाता है?")</f>
        <v>किस भारतीय शासक को अपने राज्य में पहली लागोरी चैंपियनशिप आयोजित करने का श्रेय दिया जाता है?</v>
      </c>
      <c r="H126" s="5" t="str">
        <f>IFERROR(__xludf.DUMMYFUNCTION("GOOGLETRANSLATE(C126, ""en"", ""hi"")"),"ए) टीपू सुल्तान, बी) शिवाजी महाराज, सी) कृष्णदेवराय, डी) राजा राजा चोल")</f>
        <v>ए) टीपू सुल्तान, बी) शिवाजी महाराज, सी) कृष्णदेवराय, डी) राजा राजा चोल</v>
      </c>
      <c r="I126" s="5" t="str">
        <f>IFERROR(__xludf.DUMMYFUNCTION("GOOGLETRANSLATE(D126, ""en"", ""hi"")"),"C) कृष्णदेवराय")</f>
        <v>C) कृष्णदेवराय</v>
      </c>
    </row>
    <row r="127" ht="22.5" customHeight="1">
      <c r="A127" s="3">
        <v>126.0</v>
      </c>
      <c r="B127" s="4" t="s">
        <v>4064</v>
      </c>
      <c r="C127" s="4" t="s">
        <v>4065</v>
      </c>
      <c r="D127" s="4" t="s">
        <v>4066</v>
      </c>
      <c r="F127" s="5" t="str">
        <f>IFERROR(__xludf.DUMMYFUNCTION("GOOGLETRANSLATE(A127, ""en"", ""hi"")"),"126")</f>
        <v>126</v>
      </c>
      <c r="G127" s="5" t="str">
        <f>IFERROR(__xludf.DUMMYFUNCTION("GOOGLETRANSLATE(B127, ""en"", ""hi"")"),"किस भारतीय राजा को अपने दरबारियों के साथ मनोरंजन के रूप में लागोरी खेलने के लिए जाना जाता है?")</f>
        <v>किस भारतीय राजा को अपने दरबारियों के साथ मनोरंजन के रूप में लागोरी खेलने के लिए जाना जाता है?</v>
      </c>
      <c r="H127" s="5" t="str">
        <f>IFERROR(__xludf.DUMMYFUNCTION("GOOGLETRANSLATE(C127, ""en"", ""hi"")"),"ए) हर्षवर्द्धन, बी) समुद्रगुप्त, सी) राजा भोज, डी) राजेंद्र चोल")</f>
        <v>ए) हर्षवर्द्धन, बी) समुद्रगुप्त, सी) राजा भोज, डी) राजेंद्र चोल</v>
      </c>
      <c r="I127" s="5" t="str">
        <f>IFERROR(__xludf.DUMMYFUNCTION("GOOGLETRANSLATE(D127, ""en"", ""hi"")"),"C) राजा भोज")</f>
        <v>C) राजा भोज</v>
      </c>
    </row>
    <row r="128" ht="22.5" customHeight="1">
      <c r="A128" s="3">
        <v>127.0</v>
      </c>
      <c r="B128" s="4" t="s">
        <v>4067</v>
      </c>
      <c r="C128" s="4" t="s">
        <v>4068</v>
      </c>
      <c r="D128" s="4" t="s">
        <v>4069</v>
      </c>
      <c r="F128" s="5" t="str">
        <f>IFERROR(__xludf.DUMMYFUNCTION("GOOGLETRANSLATE(A128, ""en"", ""hi"")"),"127")</f>
        <v>127</v>
      </c>
      <c r="G128" s="5" t="str">
        <f>IFERROR(__xludf.DUMMYFUNCTION("GOOGLETRANSLATE(B128, ""en"", ""hi"")"),"कौन सा प्राचीन भारतीय शहर अपने वार्षिक मेलों के दौरान लागोरी खेलों की मेजबानी के लिए जाना जाता है?")</f>
        <v>कौन सा प्राचीन भारतीय शहर अपने वार्षिक मेलों के दौरान लागोरी खेलों की मेजबानी के लिए जाना जाता है?</v>
      </c>
      <c r="H128" s="5" t="str">
        <f>IFERROR(__xludf.DUMMYFUNCTION("GOOGLETRANSLATE(C128, ""en"", ""hi"")"),"ए) वाराणसी, बी) मदुरै, सी) पाटलिपुत्र, डी) उज्जैन")</f>
        <v>ए) वाराणसी, बी) मदुरै, सी) पाटलिपुत्र, डी) उज्जैन</v>
      </c>
      <c r="I128" s="5" t="str">
        <f>IFERROR(__xludf.DUMMYFUNCTION("GOOGLETRANSLATE(D128, ""en"", ""hi"")"),"D) उज्जैन")</f>
        <v>D) उज्जैन</v>
      </c>
    </row>
    <row r="129" ht="22.5" customHeight="1">
      <c r="A129" s="3">
        <v>128.0</v>
      </c>
      <c r="B129" s="4" t="s">
        <v>4070</v>
      </c>
      <c r="C129" s="4" t="s">
        <v>4071</v>
      </c>
      <c r="D129" s="4" t="s">
        <v>3764</v>
      </c>
      <c r="F129" s="5" t="str">
        <f>IFERROR(__xludf.DUMMYFUNCTION("GOOGLETRANSLATE(A129, ""en"", ""hi"")"),"128")</f>
        <v>128</v>
      </c>
      <c r="G129" s="5" t="str">
        <f>IFERROR(__xludf.DUMMYFUNCTION("GOOGLETRANSLATE(B129, ""en"", ""hi"")"),"किस भारतीय राज्य में एक मंदिर है जहां धार्मिक अनुष्ठान के भाग के रूप में लागोरी बजाई जाती है?")</f>
        <v>किस भारतीय राज्य में एक मंदिर है जहां धार्मिक अनुष्ठान के भाग के रूप में लागोरी बजाई जाती है?</v>
      </c>
      <c r="H129" s="5" t="str">
        <f>IFERROR(__xludf.DUMMYFUNCTION("GOOGLETRANSLATE(C129, ""en"", ""hi"")"),"A) तमिलनाडु, B) कर्नाटक, C) केरल, D) आंध्र प्रदेश")</f>
        <v>A) तमिलनाडु, B) कर्नाटक, C) केरल, D) आंध्र प्रदेश</v>
      </c>
      <c r="I129" s="5" t="str">
        <f>IFERROR(__xludf.DUMMYFUNCTION("GOOGLETRANSLATE(D129, ""en"", ""hi"")"),"बी) कर्नाटक")</f>
        <v>बी) कर्नाटक</v>
      </c>
    </row>
    <row r="130" ht="22.5" customHeight="1">
      <c r="A130" s="3">
        <v>129.0</v>
      </c>
      <c r="B130" s="4" t="s">
        <v>4072</v>
      </c>
      <c r="C130" s="4" t="s">
        <v>4073</v>
      </c>
      <c r="D130" s="4" t="s">
        <v>3208</v>
      </c>
      <c r="F130" s="5" t="str">
        <f>IFERROR(__xludf.DUMMYFUNCTION("GOOGLETRANSLATE(A130, ""en"", ""hi"")"),"129")</f>
        <v>129</v>
      </c>
      <c r="G130" s="5" t="str">
        <f>IFERROR(__xludf.DUMMYFUNCTION("GOOGLETRANSLATE(B130, ""en"", ""hi"")"),"किस भारतीय शासक को अपने राज्य में लागोरी का एक नया संस्करण शुरू करने के लिए जाना जाता है?")</f>
        <v>किस भारतीय शासक को अपने राज्य में लागोरी का एक नया संस्करण शुरू करने के लिए जाना जाता है?</v>
      </c>
      <c r="H130" s="5" t="str">
        <f>IFERROR(__xludf.DUMMYFUNCTION("GOOGLETRANSLATE(C130, ""en"", ""hi"")"),"ए) कृष्णदेव राय, बी) शिवाजी महाराज, सी) टीपू सुल्तान, डी) अशोक")</f>
        <v>ए) कृष्णदेव राय, बी) शिवाजी महाराज, सी) टीपू सुल्तान, डी) अशोक</v>
      </c>
      <c r="I130" s="5" t="str">
        <f>IFERROR(__xludf.DUMMYFUNCTION("GOOGLETRANSLATE(D130, ""en"", ""hi"")"),"B) शिवाजी महाराज")</f>
        <v>B) शिवाजी महाराज</v>
      </c>
    </row>
    <row r="131" ht="22.5" customHeight="1">
      <c r="A131" s="3">
        <v>130.0</v>
      </c>
      <c r="B131" s="4" t="s">
        <v>4074</v>
      </c>
      <c r="C131" s="4" t="s">
        <v>4075</v>
      </c>
      <c r="D131" s="4" t="s">
        <v>158</v>
      </c>
      <c r="F131" s="5" t="str">
        <f>IFERROR(__xludf.DUMMYFUNCTION("GOOGLETRANSLATE(A131, ""en"", ""hi"")"),"130")</f>
        <v>130</v>
      </c>
      <c r="G131" s="5" t="str">
        <f>IFERROR(__xludf.DUMMYFUNCTION("GOOGLETRANSLATE(B131, ""en"", ""hi"")"),"किस भारतीय राज्य में लागोरी खेल का एक प्रकार है जो विभिन्न रंगों के सात पत्थरों के साथ खेला जाता है?")</f>
        <v>किस भारतीय राज्य में लागोरी खेल का एक प्रकार है जो विभिन्न रंगों के सात पत्थरों के साथ खेला जाता है?</v>
      </c>
      <c r="H131" s="5" t="str">
        <f>IFERROR(__xludf.DUMMYFUNCTION("GOOGLETRANSLATE(C131, ""en"", ""hi"")"),"ए) महाराष्ट्र, बी) कर्नाटक, सी) तमिलनाडु, डी) आंध्र प्रदेश")</f>
        <v>ए) महाराष्ट्र, बी) कर्नाटक, सी) तमिलनाडु, डी) आंध्र प्रदेश</v>
      </c>
      <c r="I131" s="5" t="str">
        <f>IFERROR(__xludf.DUMMYFUNCTION("GOOGLETRANSLATE(D131, ""en"", ""hi"")"),"A) महाराष्ट्र")</f>
        <v>A) महाराष्ट्र</v>
      </c>
    </row>
    <row r="132" ht="22.5" customHeight="1">
      <c r="A132" s="3">
        <v>131.0</v>
      </c>
      <c r="B132" s="4" t="s">
        <v>4076</v>
      </c>
      <c r="C132" s="4" t="s">
        <v>4077</v>
      </c>
      <c r="D132" s="4" t="s">
        <v>4078</v>
      </c>
      <c r="F132" s="5" t="str">
        <f>IFERROR(__xludf.DUMMYFUNCTION("GOOGLETRANSLATE(A132, ""en"", ""hi"")"),"131")</f>
        <v>131</v>
      </c>
      <c r="G132" s="5" t="str">
        <f>IFERROR(__xludf.DUMMYFUNCTION("GOOGLETRANSLATE(B132, ""en"", ""hi"")"),"किस भारतीय समाज सुधारक का मानना ​​था कि लागोरी बजाने से जातिगत बाधाएं तोड़ने में मदद मिल सकती है?")</f>
        <v>किस भारतीय समाज सुधारक का मानना ​​था कि लागोरी बजाने से जातिगत बाधाएं तोड़ने में मदद मिल सकती है?</v>
      </c>
      <c r="H132" s="5" t="str">
        <f>IFERROR(__xludf.DUMMYFUNCTION("GOOGLETRANSLATE(C132, ""en"", ""hi"")"),"A) महात्मा गांधी, B) डॉ. बी.आर. अम्बेडकर, C) स्वामी विवेकानंद, D) पेरियार")</f>
        <v>A) महात्मा गांधी, B) डॉ. बी.आर. अम्बेडकर, C) स्वामी विवेकानंद, D) पेरियार</v>
      </c>
      <c r="I132" s="5" t="str">
        <f>IFERROR(__xludf.DUMMYFUNCTION("GOOGLETRANSLATE(D132, ""en"", ""hi"")"),"बी) डॉ. बी.आर. अम्बेडकर")</f>
        <v>बी) डॉ. बी.आर. अम्बेडकर</v>
      </c>
    </row>
    <row r="133" ht="22.5" customHeight="1">
      <c r="A133" s="3">
        <v>132.0</v>
      </c>
      <c r="B133" s="4" t="s">
        <v>4079</v>
      </c>
      <c r="C133" s="4" t="s">
        <v>4080</v>
      </c>
      <c r="D133" s="4" t="s">
        <v>4081</v>
      </c>
      <c r="F133" s="5" t="str">
        <f>IFERROR(__xludf.DUMMYFUNCTION("GOOGLETRANSLATE(A133, ""en"", ""hi"")"),"132")</f>
        <v>132</v>
      </c>
      <c r="G133" s="5" t="str">
        <f>IFERROR(__xludf.DUMMYFUNCTION("GOOGLETRANSLATE(B133, ""en"", ""hi"")"),"किस भारतीय राज्य के राजा लागोरी विजेताओं को सोने के सिक्कों से पुरस्कृत करने के लिए जाने जाते थे?")</f>
        <v>किस भारतीय राज्य के राजा लागोरी विजेताओं को सोने के सिक्कों से पुरस्कृत करने के लिए जाने जाते थे?</v>
      </c>
      <c r="H133" s="5" t="str">
        <f>IFERROR(__xludf.DUMMYFUNCTION("GOOGLETRANSLATE(C133, ""en"", ""hi"")"),"ए) केरल, बी) कर्नाटक, सी) राजस्थान, डी) तमिलनाडु")</f>
        <v>ए) केरल, बी) कर्नाटक, सी) राजस्थान, डी) तमिलनाडु</v>
      </c>
      <c r="I133" s="5" t="str">
        <f>IFERROR(__xludf.DUMMYFUNCTION("GOOGLETRANSLATE(D133, ""en"", ""hi"")"),"C) राजस्थान")</f>
        <v>C) राजस्थान</v>
      </c>
    </row>
    <row r="134" ht="22.5" customHeight="1">
      <c r="A134" s="3">
        <v>133.0</v>
      </c>
      <c r="B134" s="4" t="s">
        <v>4082</v>
      </c>
      <c r="C134" s="4" t="s">
        <v>4083</v>
      </c>
      <c r="D134" s="4" t="s">
        <v>2867</v>
      </c>
      <c r="F134" s="5" t="str">
        <f>IFERROR(__xludf.DUMMYFUNCTION("GOOGLETRANSLATE(A134, ""en"", ""hi"")"),"133")</f>
        <v>133</v>
      </c>
      <c r="G134" s="5" t="str">
        <f>IFERROR(__xludf.DUMMYFUNCTION("GOOGLETRANSLATE(B134, ""en"", ""hi"")"),"ऐसा कहा जाता है कि किस भारतीय शासक ने अपने महल में लागोरी खेलों के लिए एक विशेष अखाड़ा बनवाया था?")</f>
        <v>ऐसा कहा जाता है कि किस भारतीय शासक ने अपने महल में लागोरी खेलों के लिए एक विशेष अखाड़ा बनवाया था?</v>
      </c>
      <c r="H134" s="5" t="str">
        <f>IFERROR(__xludf.DUMMYFUNCTION("GOOGLETRANSLATE(C134, ""en"", ""hi"")"),"ए) राजेंद्र चोल, बी) अकबर, सी) टीपू सुल्तान, डी) कृष्णदेवराय")</f>
        <v>ए) राजेंद्र चोल, बी) अकबर, सी) टीपू सुल्तान, डी) कृष्णदेवराय</v>
      </c>
      <c r="I134" s="5" t="str">
        <f>IFERROR(__xludf.DUMMYFUNCTION("GOOGLETRANSLATE(D134, ""en"", ""hi"")"),"D) कृष्णदेवराय")</f>
        <v>D) कृष्णदेवराय</v>
      </c>
    </row>
    <row r="135" ht="22.5" customHeight="1">
      <c r="A135" s="3">
        <v>134.0</v>
      </c>
      <c r="B135" s="4" t="s">
        <v>4084</v>
      </c>
      <c r="C135" s="4" t="s">
        <v>4085</v>
      </c>
      <c r="D135" s="4" t="s">
        <v>4086</v>
      </c>
      <c r="F135" s="5" t="str">
        <f>IFERROR(__xludf.DUMMYFUNCTION("GOOGLETRANSLATE(A135, ""en"", ""hi"")"),"134")</f>
        <v>134</v>
      </c>
      <c r="G135" s="5" t="str">
        <f>IFERROR(__xludf.DUMMYFUNCTION("GOOGLETRANSLATE(B135, ""en"", ""hi"")"),"कौन सा भारतीय क्षेत्र नारियल के खोल से खेले जाने वाले अनोखे लागोरी खेल के लिए जाना जाता है?")</f>
        <v>कौन सा भारतीय क्षेत्र नारियल के खोल से खेले जाने वाले अनोखे लागोरी खेल के लिए जाना जाता है?</v>
      </c>
      <c r="H135" s="5" t="str">
        <f>IFERROR(__xludf.DUMMYFUNCTION("GOOGLETRANSLATE(C135, ""en"", ""hi"")"),"A) मालाबार, B) कोंकण, C) कोरोमंडल, D) विदर्भ")</f>
        <v>A) मालाबार, B) कोंकण, C) कोरोमंडल, D) विदर्भ</v>
      </c>
      <c r="I135" s="5" t="str">
        <f>IFERROR(__xludf.DUMMYFUNCTION("GOOGLETRANSLATE(D135, ""en"", ""hi"")"),"बी) कोंकण")</f>
        <v>बी) कोंकण</v>
      </c>
    </row>
    <row r="136" ht="22.5" customHeight="1">
      <c r="A136" s="3">
        <v>135.0</v>
      </c>
      <c r="B136" s="4" t="s">
        <v>4087</v>
      </c>
      <c r="C136" s="4" t="s">
        <v>4088</v>
      </c>
      <c r="D136" s="4" t="s">
        <v>125</v>
      </c>
      <c r="F136" s="5" t="str">
        <f>IFERROR(__xludf.DUMMYFUNCTION("GOOGLETRANSLATE(A136, ""en"", ""hi"")"),"135")</f>
        <v>135</v>
      </c>
      <c r="G136" s="5" t="str">
        <f>IFERROR(__xludf.DUMMYFUNCTION("GOOGLETRANSLATE(B136, ""en"", ""hi"")"),"किस भारतीय राज्य के शाही परिवारों को मार्शल प्रशिक्षण के भाग के रूप में लागोरी खेलने के लिए जाना जाता है?")</f>
        <v>किस भारतीय राज्य के शाही परिवारों को मार्शल प्रशिक्षण के भाग के रूप में लागोरी खेलने के लिए जाना जाता है?</v>
      </c>
      <c r="H136" s="5" t="str">
        <f>IFERROR(__xludf.DUMMYFUNCTION("GOOGLETRANSLATE(C136, ""en"", ""hi"")"),"ए) राजस्थान, बी) पंजाब, सी) कर्नाटक, डी) महाराष्ट्र")</f>
        <v>ए) राजस्थान, बी) पंजाब, सी) कर्नाटक, डी) महाराष्ट्र</v>
      </c>
      <c r="I136" s="5" t="str">
        <f>IFERROR(__xludf.DUMMYFUNCTION("GOOGLETRANSLATE(D136, ""en"", ""hi"")"),"A) राजस्थान")</f>
        <v>A) राजस्थान</v>
      </c>
    </row>
    <row r="137" ht="22.5" customHeight="1">
      <c r="A137" s="3">
        <v>136.0</v>
      </c>
      <c r="B137" s="4" t="s">
        <v>4089</v>
      </c>
      <c r="C137" s="4" t="s">
        <v>4090</v>
      </c>
      <c r="D137" s="4" t="s">
        <v>3932</v>
      </c>
      <c r="F137" s="5" t="str">
        <f>IFERROR(__xludf.DUMMYFUNCTION("GOOGLETRANSLATE(A137, ""en"", ""hi"")"),"136")</f>
        <v>136</v>
      </c>
      <c r="G137" s="5" t="str">
        <f>IFERROR(__xludf.DUMMYFUNCTION("GOOGLETRANSLATE(B137, ""en"", ""hi"")"),"किस भारतीय दार्शनिक का मानना ​​था कि लागोरी जीवन की चुनौतियों का रूपक है?")</f>
        <v>किस भारतीय दार्शनिक का मानना ​​था कि लागोरी जीवन की चुनौतियों का रूपक है?</v>
      </c>
      <c r="H137" s="5" t="str">
        <f>IFERROR(__xludf.DUMMYFUNCTION("GOOGLETRANSLATE(C137, ""en"", ""hi"")"),"ए) शंकराचार्य, बी) स्वामी विवेकानन्द, सी) कबीर, डी) रामकृष्ण परमहंस")</f>
        <v>ए) शंकराचार्य, बी) स्वामी विवेकानन्द, सी) कबीर, डी) रामकृष्ण परमहंस</v>
      </c>
      <c r="I137" s="5" t="str">
        <f>IFERROR(__xludf.DUMMYFUNCTION("GOOGLETRANSLATE(D137, ""en"", ""hi"")"),"बी) स्वामी विवेकानंद")</f>
        <v>बी) स्वामी विवेकानंद</v>
      </c>
    </row>
    <row r="138" ht="22.5" customHeight="1">
      <c r="A138" s="3">
        <v>137.0</v>
      </c>
      <c r="B138" s="4" t="s">
        <v>4091</v>
      </c>
      <c r="C138" s="4" t="s">
        <v>4092</v>
      </c>
      <c r="D138" s="4" t="s">
        <v>4030</v>
      </c>
      <c r="F138" s="5" t="str">
        <f>IFERROR(__xludf.DUMMYFUNCTION("GOOGLETRANSLATE(A138, ""en"", ""hi"")"),"137")</f>
        <v>137</v>
      </c>
      <c r="G138" s="5" t="str">
        <f>IFERROR(__xludf.DUMMYFUNCTION("GOOGLETRANSLATE(B138, ""en"", ""hi"")"),"किस भारतीय संत को माइंडफुलनेस सिखाने के लिए लागोरी का उपयोग करने के लिए जाना जाता है?")</f>
        <v>किस भारतीय संत को माइंडफुलनेस सिखाने के लिए लागोरी का उपयोग करने के लिए जाना जाता है?</v>
      </c>
      <c r="H138" s="5" t="str">
        <f>IFERROR(__xludf.DUMMYFUNCTION("GOOGLETRANSLATE(C138, ""en"", ""hi"")"),"A) गुरु नानक, B) कबीर, C) शिरडी के साईं बाबा, D) रमण महर्षि")</f>
        <v>A) गुरु नानक, B) कबीर, C) शिरडी के साईं बाबा, D) रमण महर्षि</v>
      </c>
      <c r="I138" s="5" t="str">
        <f>IFERROR(__xludf.DUMMYFUNCTION("GOOGLETRANSLATE(D138, ""en"", ""hi"")"),"C) शिरडी के साईं बाबा")</f>
        <v>C) शिरडी के साईं बाबा</v>
      </c>
    </row>
    <row r="139" ht="22.5" customHeight="1">
      <c r="A139" s="3">
        <v>138.0</v>
      </c>
      <c r="B139" s="4" t="s">
        <v>4093</v>
      </c>
      <c r="C139" s="4" t="s">
        <v>4094</v>
      </c>
      <c r="D139" s="4" t="s">
        <v>4066</v>
      </c>
      <c r="F139" s="5" t="str">
        <f>IFERROR(__xludf.DUMMYFUNCTION("GOOGLETRANSLATE(A139, ""en"", ""hi"")"),"138")</f>
        <v>138</v>
      </c>
      <c r="G139" s="5" t="str">
        <f>IFERROR(__xludf.DUMMYFUNCTION("GOOGLETRANSLATE(B139, ""en"", ""hi"")"),"ऐसा माना जाता है कि किस भारतीय शासक ने अपनी राजधानी में पहला लागोरी टूर्नामेंट आयोजित किया था?")</f>
        <v>ऐसा माना जाता है कि किस भारतीय शासक ने अपनी राजधानी में पहला लागोरी टूर्नामेंट आयोजित किया था?</v>
      </c>
      <c r="H139" s="5" t="str">
        <f>IFERROR(__xludf.DUMMYFUNCTION("GOOGLETRANSLATE(C139, ""en"", ""hi"")"),"ए) चंद्रगुप्त मौर्य, बी) अशोक, सी) राजा भोज, डी) हर्ष")</f>
        <v>ए) चंद्रगुप्त मौर्य, बी) अशोक, सी) राजा भोज, डी) हर्ष</v>
      </c>
      <c r="I139" s="5" t="str">
        <f>IFERROR(__xludf.DUMMYFUNCTION("GOOGLETRANSLATE(D139, ""en"", ""hi"")"),"C) राजा भोज")</f>
        <v>C) राजा भोज</v>
      </c>
    </row>
    <row r="140" ht="22.5" customHeight="1">
      <c r="A140" s="3">
        <v>139.0</v>
      </c>
      <c r="B140" s="4" t="s">
        <v>4095</v>
      </c>
      <c r="C140" s="4" t="s">
        <v>4096</v>
      </c>
      <c r="D140" s="4" t="s">
        <v>4097</v>
      </c>
      <c r="F140" s="5" t="str">
        <f>IFERROR(__xludf.DUMMYFUNCTION("GOOGLETRANSLATE(A140, ""en"", ""hi"")"),"139")</f>
        <v>139</v>
      </c>
      <c r="G140" s="5" t="str">
        <f>IFERROR(__xludf.DUMMYFUNCTION("GOOGLETRANSLATE(B140, ""en"", ""hi"")"),"कौन सा भारतीय क्षेत्र अपने लागोरी रूप के लिए जाना जाता है जिसमें सात के बजाय नौ पत्थरों का उपयोग किया जाता है?")</f>
        <v>कौन सा भारतीय क्षेत्र अपने लागोरी रूप के लिए जाना जाता है जिसमें सात के बजाय नौ पत्थरों का उपयोग किया जाता है?</v>
      </c>
      <c r="H140" s="5" t="str">
        <f>IFERROR(__xludf.DUMMYFUNCTION("GOOGLETRANSLATE(C140, ""en"", ""hi"")"),"A) तमिलनाडु, B) महाराष्ट्र, C) केरल, D) आंध्र प्रदेश")</f>
        <v>A) तमिलनाडु, B) महाराष्ट्र, C) केरल, D) आंध्र प्रदेश</v>
      </c>
      <c r="I140" s="5" t="str">
        <f>IFERROR(__xludf.DUMMYFUNCTION("GOOGLETRANSLATE(D140, ""en"", ""hi"")"),"D) आंध्र प्रदेश")</f>
        <v>D) आंध्र प्रदेश</v>
      </c>
    </row>
    <row r="141" ht="22.5" customHeight="1">
      <c r="A141" s="3">
        <v>140.0</v>
      </c>
      <c r="B141" s="4" t="s">
        <v>4098</v>
      </c>
      <c r="C141" s="4" t="s">
        <v>4099</v>
      </c>
      <c r="D141" s="4" t="s">
        <v>4100</v>
      </c>
      <c r="F141" s="5" t="str">
        <f>IFERROR(__xludf.DUMMYFUNCTION("GOOGLETRANSLATE(A141, ""en"", ""hi"")"),"140")</f>
        <v>140</v>
      </c>
      <c r="G141" s="5" t="str">
        <f>IFERROR(__xludf.DUMMYFUNCTION("GOOGLETRANSLATE(B141, ""en"", ""hi"")"),"ऐसा माना जाता है कि किस प्राचीन भारतीय राजा ने पहली बार लागोरी के नियमों का दस्तावेजीकरण किया था?")</f>
        <v>ऐसा माना जाता है कि किस प्राचीन भारतीय राजा ने पहली बार लागोरी के नियमों का दस्तावेजीकरण किया था?</v>
      </c>
      <c r="H141" s="5" t="str">
        <f>IFERROR(__xludf.DUMMYFUNCTION("GOOGLETRANSLATE(C141, ""en"", ""hi"")"),"ए) अशोक, बी) चंद्रगुप्त मौर्य, सी) समुद्रगुप्त, डी) हर्ष")</f>
        <v>ए) अशोक, बी) चंद्रगुप्त मौर्य, सी) समुद्रगुप्त, डी) हर्ष</v>
      </c>
      <c r="I141" s="5" t="str">
        <f>IFERROR(__xludf.DUMMYFUNCTION("GOOGLETRANSLATE(D141, ""en"", ""hi"")"),"बी) चंद्रगुप्त मौर्य")</f>
        <v>बी) चंद्रगुप्त मौर्य</v>
      </c>
    </row>
    <row r="142" ht="22.5" customHeight="1">
      <c r="A142" s="3">
        <v>141.0</v>
      </c>
      <c r="B142" s="4" t="s">
        <v>4101</v>
      </c>
      <c r="C142" s="4" t="s">
        <v>4102</v>
      </c>
      <c r="D142" s="4" t="s">
        <v>4103</v>
      </c>
      <c r="F142" s="5" t="str">
        <f>IFERROR(__xludf.DUMMYFUNCTION("GOOGLETRANSLATE(A142, ""en"", ""hi"")"),"141")</f>
        <v>141</v>
      </c>
      <c r="G142" s="5" t="str">
        <f>IFERROR(__xludf.DUMMYFUNCTION("GOOGLETRANSLATE(B142, ""en"", ""hi"")"),"कौन सा भारतीय साम्राज्य अपने दरबारी मनोरंजन के एक भाग के रूप में विस्तृत लागोरी उत्सव के लिए जाना जाता है?")</f>
        <v>कौन सा भारतीय साम्राज्य अपने दरबारी मनोरंजन के एक भाग के रूप में विस्तृत लागोरी उत्सव के लिए जाना जाता है?</v>
      </c>
      <c r="H142" s="5" t="str">
        <f>IFERROR(__xludf.DUMMYFUNCTION("GOOGLETRANSLATE(C142, ""en"", ""hi"")"),"ए) मौर्य साम्राज्य, बी) गुप्त साम्राज्य, सी) मुगल साम्राज्य, डी) विजयनगर साम्राज्य")</f>
        <v>ए) मौर्य साम्राज्य, बी) गुप्त साम्राज्य, सी) मुगल साम्राज्य, डी) विजयनगर साम्राज्य</v>
      </c>
      <c r="I142" s="5" t="str">
        <f>IFERROR(__xludf.DUMMYFUNCTION("GOOGLETRANSLATE(D142, ""en"", ""hi"")"),"D) विजयनगर साम्राज्य")</f>
        <v>D) विजयनगर साम्राज्य</v>
      </c>
    </row>
    <row r="143" ht="22.5" customHeight="1">
      <c r="A143" s="3">
        <v>142.0</v>
      </c>
      <c r="B143" s="4" t="s">
        <v>4104</v>
      </c>
      <c r="C143" s="4" t="s">
        <v>2588</v>
      </c>
      <c r="D143" s="4" t="s">
        <v>2589</v>
      </c>
      <c r="F143" s="5" t="str">
        <f>IFERROR(__xludf.DUMMYFUNCTION("GOOGLETRANSLATE(A143, ""en"", ""hi"")"),"142")</f>
        <v>142</v>
      </c>
      <c r="G143" s="5" t="str">
        <f>IFERROR(__xludf.DUMMYFUNCTION("GOOGLETRANSLATE(B143, ""en"", ""hi"")"),"मुगल काल के किस ऐतिहासिक व्यक्ति को अपने संस्मरणों में लागोरी के बारे में लिखने का श्रेय दिया जाता है?")</f>
        <v>मुगल काल के किस ऐतिहासिक व्यक्ति को अपने संस्मरणों में लागोरी के बारे में लिखने का श्रेय दिया जाता है?</v>
      </c>
      <c r="H143" s="5" t="str">
        <f>IFERROR(__xludf.DUMMYFUNCTION("GOOGLETRANSLATE(C143, ""en"", ""hi"")"),"A) अकबर, B) जहाँगीर, C) शाहजहाँ, D) औरंगज़ेब")</f>
        <v>A) अकबर, B) जहाँगीर, C) शाहजहाँ, D) औरंगज़ेब</v>
      </c>
      <c r="I143" s="5" t="str">
        <f>IFERROR(__xludf.DUMMYFUNCTION("GOOGLETRANSLATE(D143, ""en"", ""hi"")"),"बी) जहांगीर")</f>
        <v>बी) जहांगीर</v>
      </c>
    </row>
    <row r="144" ht="22.5" customHeight="1">
      <c r="A144" s="3">
        <v>143.0</v>
      </c>
      <c r="B144" s="4" t="s">
        <v>4105</v>
      </c>
      <c r="C144" s="4" t="s">
        <v>3995</v>
      </c>
      <c r="D144" s="4" t="s">
        <v>2616</v>
      </c>
      <c r="F144" s="5" t="str">
        <f>IFERROR(__xludf.DUMMYFUNCTION("GOOGLETRANSLATE(A144, ""en"", ""hi"")"),"143")</f>
        <v>143</v>
      </c>
      <c r="G144" s="5" t="str">
        <f>IFERROR(__xludf.DUMMYFUNCTION("GOOGLETRANSLATE(B144, ""en"", ""hi"")"),"कौन सा प्राचीन ग्रंथ लागोरी को सैनिकों में रणनीतिक कौशल प्रशिक्षण के लिए उपयोग किए जाने वाले खेल के रूप में वर्णित करता है?")</f>
        <v>कौन सा प्राचीन ग्रंथ लागोरी को सैनिकों में रणनीतिक कौशल प्रशिक्षण के लिए उपयोग किए जाने वाले खेल के रूप में वर्णित करता है?</v>
      </c>
      <c r="H144" s="5" t="str">
        <f>IFERROR(__xludf.DUMMYFUNCTION("GOOGLETRANSLATE(C144, ""en"", ""hi"")"),"ए) अर्थशास्त्र, बी) मनुस्मृति, सी) रामायण, डी) महाभारत")</f>
        <v>ए) अर्थशास्त्र, बी) मनुस्मृति, सी) रामायण, डी) महाभारत</v>
      </c>
      <c r="I144" s="5" t="str">
        <f>IFERROR(__xludf.DUMMYFUNCTION("GOOGLETRANSLATE(D144, ""en"", ""hi"")"),"A) अर्थशास्त्र")</f>
        <v>A) अर्थशास्त्र</v>
      </c>
    </row>
    <row r="145" ht="22.5" customHeight="1">
      <c r="A145" s="3">
        <v>144.0</v>
      </c>
      <c r="B145" s="4" t="s">
        <v>4106</v>
      </c>
      <c r="C145" s="4" t="s">
        <v>4107</v>
      </c>
      <c r="D145" s="4" t="s">
        <v>4108</v>
      </c>
      <c r="F145" s="5" t="str">
        <f>IFERROR(__xludf.DUMMYFUNCTION("GOOGLETRANSLATE(A145, ""en"", ""hi"")"),"144")</f>
        <v>144</v>
      </c>
      <c r="G145" s="5" t="str">
        <f>IFERROR(__xludf.DUMMYFUNCTION("GOOGLETRANSLATE(B145, ""en"", ""hi"")"),"किस भारतीय राज्य में लागोरी का उपयोग शाही रक्षकों के बीच सौहार्द बनाने के लिए एक उपकरण के रूप में किया गया था?")</f>
        <v>किस भारतीय राज्य में लागोरी का उपयोग शाही रक्षकों के बीच सौहार्द बनाने के लिए एक उपकरण के रूप में किया गया था?</v>
      </c>
      <c r="H145" s="5" t="str">
        <f>IFERROR(__xludf.DUMMYFUNCTION("GOOGLETRANSLATE(C145, ""en"", ""hi"")"),"A) राजपुताना, B) मराठा, C) मेवाड़, D) मैसूर")</f>
        <v>A) राजपुताना, B) मराठा, C) मेवाड़, D) मैसूर</v>
      </c>
      <c r="I145" s="5" t="str">
        <f>IFERROR(__xludf.DUMMYFUNCTION("GOOGLETRANSLATE(D145, ""en"", ""hi"")"),"C) मेवाड़")</f>
        <v>C) मेवाड़</v>
      </c>
    </row>
    <row r="146" ht="22.5" customHeight="1">
      <c r="A146" s="3">
        <v>145.0</v>
      </c>
      <c r="B146" s="4" t="s">
        <v>4109</v>
      </c>
      <c r="C146" s="4" t="s">
        <v>2588</v>
      </c>
      <c r="D146" s="4" t="s">
        <v>2556</v>
      </c>
      <c r="F146" s="5" t="str">
        <f>IFERROR(__xludf.DUMMYFUNCTION("GOOGLETRANSLATE(A146, ""en"", ""hi"")"),"145")</f>
        <v>145</v>
      </c>
      <c r="G146" s="5" t="str">
        <f>IFERROR(__xludf.DUMMYFUNCTION("GOOGLETRANSLATE(B146, ""en"", ""hi"")"),"कौन सा मुगल सम्राट कुलीन वर्ग के बीच लागोरी को एक खेल के रूप में बढ़ावा देने के लिए जाना जाता है?")</f>
        <v>कौन सा मुगल सम्राट कुलीन वर्ग के बीच लागोरी को एक खेल के रूप में बढ़ावा देने के लिए जाना जाता है?</v>
      </c>
      <c r="H146" s="5" t="str">
        <f>IFERROR(__xludf.DUMMYFUNCTION("GOOGLETRANSLATE(C146, ""en"", ""hi"")"),"A) अकबर, B) जहाँगीर, C) शाहजहाँ, D) औरंगज़ेब")</f>
        <v>A) अकबर, B) जहाँगीर, C) शाहजहाँ, D) औरंगज़ेब</v>
      </c>
      <c r="I146" s="5" t="str">
        <f>IFERROR(__xludf.DUMMYFUNCTION("GOOGLETRANSLATE(D146, ""en"", ""hi"")"),"A) अकबर")</f>
        <v>A) अकबर</v>
      </c>
    </row>
    <row r="147" ht="22.5" customHeight="1">
      <c r="A147" s="3">
        <v>146.0</v>
      </c>
      <c r="B147" s="4" t="s">
        <v>4110</v>
      </c>
      <c r="C147" s="4" t="s">
        <v>4111</v>
      </c>
      <c r="D147" s="4" t="s">
        <v>4112</v>
      </c>
      <c r="F147" s="5" t="str">
        <f>IFERROR(__xludf.DUMMYFUNCTION("GOOGLETRANSLATE(A147, ""en"", ""hi"")"),"146")</f>
        <v>146</v>
      </c>
      <c r="G147" s="5" t="str">
        <f>IFERROR(__xludf.DUMMYFUNCTION("GOOGLETRANSLATE(B147, ""en"", ""hi"")"),"किस भारतीय राज्य की लोककथा में एक कहानी शामिल है जिसमें गांवों के बीच विवादों को सुलझाने के लिए लागोरी खेली जाती थी?")</f>
        <v>किस भारतीय राज्य की लोककथा में एक कहानी शामिल है जिसमें गांवों के बीच विवादों को सुलझाने के लिए लागोरी खेली जाती थी?</v>
      </c>
      <c r="H147" s="5" t="str">
        <f>IFERROR(__xludf.DUMMYFUNCTION("GOOGLETRANSLATE(C147, ""en"", ""hi"")"),"ए) महाराष्ट्र, बी) राजस्थान, सी) तमिलनाडु, डी) पंजाब")</f>
        <v>ए) महाराष्ट्र, बी) राजस्थान, सी) तमिलनाडु, डी) पंजाब</v>
      </c>
      <c r="I147" s="5" t="str">
        <f>IFERROR(__xludf.DUMMYFUNCTION("GOOGLETRANSLATE(D147, ""en"", ""hi"")"),"बी) राजस्थान")</f>
        <v>बी) राजस्थान</v>
      </c>
    </row>
    <row r="148" ht="22.5" customHeight="1">
      <c r="A148" s="3">
        <v>147.0</v>
      </c>
      <c r="B148" s="4" t="s">
        <v>4113</v>
      </c>
      <c r="C148" s="4" t="s">
        <v>4114</v>
      </c>
      <c r="D148" s="4" t="s">
        <v>3907</v>
      </c>
      <c r="F148" s="5" t="str">
        <f>IFERROR(__xludf.DUMMYFUNCTION("GOOGLETRANSLATE(A148, ""en"", ""hi"")"),"147")</f>
        <v>147</v>
      </c>
      <c r="G148" s="5" t="str">
        <f>IFERROR(__xludf.DUMMYFUNCTION("GOOGLETRANSLATE(B148, ""en"", ""hi"")"),"किस भारतीय राजा ने अपने दरबार में मनोरंजन और रणनीतिक अभ्यास दोनों के लिए लागोरी खेल की शुरुआत की थी?")</f>
        <v>किस भारतीय राजा ने अपने दरबार में मनोरंजन और रणनीतिक अभ्यास दोनों के लिए लागोरी खेल की शुरुआत की थी?</v>
      </c>
      <c r="H148" s="5" t="str">
        <f>IFERROR(__xludf.DUMMYFUNCTION("GOOGLETRANSLATE(C148, ""en"", ""hi"")"),"ए) कृष्णदेवराय, बी) शिवाजी महाराज, सी) राजा राजा चोल, डी) अकबर")</f>
        <v>ए) कृष्णदेवराय, बी) शिवाजी महाराज, सी) राजा राजा चोल, डी) अकबर</v>
      </c>
      <c r="I148" s="5" t="str">
        <f>IFERROR(__xludf.DUMMYFUNCTION("GOOGLETRANSLATE(D148, ""en"", ""hi"")"),"A) कृष्णदेवराय")</f>
        <v>A) कृष्णदेवराय</v>
      </c>
    </row>
    <row r="149" ht="22.5" customHeight="1">
      <c r="A149" s="3">
        <v>148.0</v>
      </c>
      <c r="B149" s="4" t="s">
        <v>4115</v>
      </c>
      <c r="C149" s="4" t="s">
        <v>4116</v>
      </c>
      <c r="D149" s="4" t="s">
        <v>2616</v>
      </c>
      <c r="F149" s="5" t="str">
        <f>IFERROR(__xludf.DUMMYFUNCTION("GOOGLETRANSLATE(A149, ""en"", ""hi"")"),"148")</f>
        <v>148</v>
      </c>
      <c r="G149" s="5" t="str">
        <f>IFERROR(__xludf.DUMMYFUNCTION("GOOGLETRANSLATE(B149, ""en"", ""hi"")"),"किस प्राचीन भारतीय ग्रंथ को रणनीतिक खेल के रूप में लागोरी का पहला संदर्भ माना जाता है?")</f>
        <v>किस प्राचीन भारतीय ग्रंथ को रणनीतिक खेल के रूप में लागोरी का पहला संदर्भ माना जाता है?</v>
      </c>
      <c r="H149" s="5" t="str">
        <f>IFERROR(__xludf.DUMMYFUNCTION("GOOGLETRANSLATE(C149, ""en"", ""hi"")"),"ए) अर्थशास्त्र, बी) मनुस्मृति, सी) भगवद गीता, डी) रामायण")</f>
        <v>ए) अर्थशास्त्र, बी) मनुस्मृति, सी) भगवद गीता, डी) रामायण</v>
      </c>
      <c r="I149" s="5" t="str">
        <f>IFERROR(__xludf.DUMMYFUNCTION("GOOGLETRANSLATE(D149, ""en"", ""hi"")"),"A) अर्थशास्त्र")</f>
        <v>A) अर्थशास्त्र</v>
      </c>
    </row>
    <row r="150" ht="22.5" customHeight="1">
      <c r="A150" s="3">
        <v>149.0</v>
      </c>
      <c r="B150" s="4" t="s">
        <v>4117</v>
      </c>
      <c r="C150" s="4" t="s">
        <v>4118</v>
      </c>
      <c r="D150" s="4" t="s">
        <v>2893</v>
      </c>
      <c r="F150" s="5" t="str">
        <f>IFERROR(__xludf.DUMMYFUNCTION("GOOGLETRANSLATE(A150, ""en"", ""hi"")"),"149")</f>
        <v>149</v>
      </c>
      <c r="G150" s="5" t="str">
        <f>IFERROR(__xludf.DUMMYFUNCTION("GOOGLETRANSLATE(B150, ""en"", ""hi"")"),"कौन सा भारतीय त्यौहार पारंपरिक रूप से अपने उत्सव के एक भाग के रूप में लागोरी माचिस को शामिल करता है?")</f>
        <v>कौन सा भारतीय त्यौहार पारंपरिक रूप से अपने उत्सव के एक भाग के रूप में लागोरी माचिस को शामिल करता है?</v>
      </c>
      <c r="H150" s="5" t="str">
        <f>IFERROR(__xludf.DUMMYFUNCTION("GOOGLETRANSLATE(C150, ""en"", ""hi"")"),"ए) दिवाली, बी) होली, सी) पोंगल, डी) मकर संक्रांति")</f>
        <v>ए) दिवाली, बी) होली, सी) पोंगल, डी) मकर संक्रांति</v>
      </c>
      <c r="I150" s="5" t="str">
        <f>IFERROR(__xludf.DUMMYFUNCTION("GOOGLETRANSLATE(D150, ""en"", ""hi"")"),"D) मकर संक्रांति")</f>
        <v>D) मकर संक्रांति</v>
      </c>
    </row>
    <row r="151" ht="22.5" customHeight="1">
      <c r="A151" s="3">
        <v>150.0</v>
      </c>
      <c r="B151" s="4" t="s">
        <v>4119</v>
      </c>
      <c r="C151" s="4" t="s">
        <v>4120</v>
      </c>
      <c r="D151" s="4" t="s">
        <v>2556</v>
      </c>
      <c r="F151" s="5" t="str">
        <f>IFERROR(__xludf.DUMMYFUNCTION("GOOGLETRANSLATE(A151, ""en"", ""hi"")"),"150")</f>
        <v>150</v>
      </c>
      <c r="G151" s="5" t="str">
        <f>IFERROR(__xludf.DUMMYFUNCTION("GOOGLETRANSLATE(B151, ""en"", ""hi"")"),"किस भारतीय सम्राट के बारे में कहा जाता है कि उसने इतिहास में सबसे बड़े लागोरी टूर्नामेंट की मेजबानी की थी?")</f>
        <v>किस भारतीय सम्राट के बारे में कहा जाता है कि उसने इतिहास में सबसे बड़े लागोरी टूर्नामेंट की मेजबानी की थी?</v>
      </c>
      <c r="H151" s="5" t="str">
        <f>IFERROR(__xludf.DUMMYFUNCTION("GOOGLETRANSLATE(C151, ""en"", ""hi"")"),"A) अकबर, B) शाहजहाँ, C) जहाँगीर, D) औरंगज़ेब")</f>
        <v>A) अकबर, B) शाहजहाँ, C) जहाँगीर, D) औरंगज़ेब</v>
      </c>
      <c r="I151" s="5" t="str">
        <f>IFERROR(__xludf.DUMMYFUNCTION("GOOGLETRANSLATE(D151, ""en"", ""hi"")"),"A) अकबर")</f>
        <v>A) अकबर</v>
      </c>
    </row>
    <row r="152" ht="22.5" customHeight="1">
      <c r="A152" s="3">
        <v>151.0</v>
      </c>
      <c r="B152" s="4" t="s">
        <v>4121</v>
      </c>
      <c r="C152" s="4" t="s">
        <v>4122</v>
      </c>
      <c r="D152" s="4" t="s">
        <v>125</v>
      </c>
      <c r="F152" s="5" t="str">
        <f>IFERROR(__xludf.DUMMYFUNCTION("GOOGLETRANSLATE(A152, ""en"", ""hi"")"),"151")</f>
        <v>151</v>
      </c>
      <c r="G152" s="5" t="str">
        <f>IFERROR(__xludf.DUMMYFUNCTION("GOOGLETRANSLATE(B152, ""en"", ""hi"")"),"किस भारतीय राज्य के शाही परिवारों ने लागोरी को अपने सैन्य प्रशिक्षण के भाग के रूप में इस्तेमाल किया?")</f>
        <v>किस भारतीय राज्य के शाही परिवारों ने लागोरी को अपने सैन्य प्रशिक्षण के भाग के रूप में इस्तेमाल किया?</v>
      </c>
      <c r="H152" s="5" t="str">
        <f>IFERROR(__xludf.DUMMYFUNCTION("GOOGLETRANSLATE(C152, ""en"", ""hi"")"),"ए) राजस्थान, बी) कर्नाटक, सी) महाराष्ट्र, डी) तमिलनाडु")</f>
        <v>ए) राजस्थान, बी) कर्नाटक, सी) महाराष्ट्र, डी) तमिलनाडु</v>
      </c>
      <c r="I152" s="5" t="str">
        <f>IFERROR(__xludf.DUMMYFUNCTION("GOOGLETRANSLATE(D152, ""en"", ""hi"")"),"A) राजस्थान")</f>
        <v>A) राजस्थान</v>
      </c>
    </row>
    <row r="153" ht="22.5" customHeight="1">
      <c r="A153" s="3">
        <v>152.0</v>
      </c>
      <c r="B153" s="4" t="s">
        <v>4123</v>
      </c>
      <c r="C153" s="4" t="s">
        <v>4124</v>
      </c>
      <c r="D153" s="4" t="s">
        <v>222</v>
      </c>
      <c r="F153" s="5" t="str">
        <f>IFERROR(__xludf.DUMMYFUNCTION("GOOGLETRANSLATE(A153, ""en"", ""hi"")"),"152")</f>
        <v>152</v>
      </c>
      <c r="G153" s="5" t="str">
        <f>IFERROR(__xludf.DUMMYFUNCTION("GOOGLETRANSLATE(B153, ""en"", ""hi"")"),"किस भारतीय महाकाव्य में ऐसे खेल का उल्लेख है जिसे लागोरी के समान माना जाता है?")</f>
        <v>किस भारतीय महाकाव्य में ऐसे खेल का उल्लेख है जिसे लागोरी के समान माना जाता है?</v>
      </c>
      <c r="H153" s="5" t="str">
        <f>IFERROR(__xludf.DUMMYFUNCTION("GOOGLETRANSLATE(C153, ""en"", ""hi"")"),"ए) महाभारत, बी) रामायण, सी) भागवत पुराण, डी) विष्णु पुराण")</f>
        <v>ए) महाभारत, बी) रामायण, सी) भागवत पुराण, डी) विष्णु पुराण</v>
      </c>
      <c r="I153" s="5" t="str">
        <f>IFERROR(__xludf.DUMMYFUNCTION("GOOGLETRANSLATE(D153, ""en"", ""hi"")"),"A) महाभारत")</f>
        <v>A) महाभारत</v>
      </c>
    </row>
    <row r="154" ht="22.5" customHeight="1">
      <c r="A154" s="3">
        <v>153.0</v>
      </c>
      <c r="B154" s="4" t="s">
        <v>4125</v>
      </c>
      <c r="C154" s="4" t="s">
        <v>4120</v>
      </c>
      <c r="D154" s="4" t="s">
        <v>4126</v>
      </c>
      <c r="F154" s="5" t="str">
        <f>IFERROR(__xludf.DUMMYFUNCTION("GOOGLETRANSLATE(A154, ""en"", ""hi"")"),"153")</f>
        <v>153</v>
      </c>
      <c r="G154" s="5" t="str">
        <f>IFERROR(__xludf.DUMMYFUNCTION("GOOGLETRANSLATE(B154, ""en"", ""hi"")"),"कौन सा मुगल शासक लागोरी सहित पारंपरिक भारतीय खेलों के प्रति अपने उत्साह के लिए जाना जाता है?")</f>
        <v>कौन सा मुगल शासक लागोरी सहित पारंपरिक भारतीय खेलों के प्रति अपने उत्साह के लिए जाना जाता है?</v>
      </c>
      <c r="H154" s="5" t="str">
        <f>IFERROR(__xludf.DUMMYFUNCTION("GOOGLETRANSLATE(C154, ""en"", ""hi"")"),"A) अकबर, B) शाहजहाँ, C) जहाँगीर, D) औरंगज़ेब")</f>
        <v>A) अकबर, B) शाहजहाँ, C) जहाँगीर, D) औरंगज़ेब</v>
      </c>
      <c r="I154" s="5" t="str">
        <f>IFERROR(__xludf.DUMMYFUNCTION("GOOGLETRANSLATE(D154, ""en"", ""hi"")"),"C) जहाँगीर")</f>
        <v>C) जहाँगीर</v>
      </c>
    </row>
    <row r="155" ht="22.5" customHeight="1">
      <c r="A155" s="3">
        <v>154.0</v>
      </c>
      <c r="B155" s="4" t="s">
        <v>4127</v>
      </c>
      <c r="C155" s="4" t="s">
        <v>4128</v>
      </c>
      <c r="D155" s="4" t="s">
        <v>3451</v>
      </c>
      <c r="F155" s="5" t="str">
        <f>IFERROR(__xludf.DUMMYFUNCTION("GOOGLETRANSLATE(A155, ""en"", ""hi"")"),"154")</f>
        <v>154</v>
      </c>
      <c r="G155" s="5" t="str">
        <f>IFERROR(__xludf.DUMMYFUNCTION("GOOGLETRANSLATE(B155, ""en"", ""hi"")"),"किस प्राचीन भारतीय दार्शनिक ने अपनी शिक्षाओं में रणनीतिक योजना के रूपक के रूप में लागोरी का प्रयोग किया?")</f>
        <v>किस प्राचीन भारतीय दार्शनिक ने अपनी शिक्षाओं में रणनीतिक योजना के रूपक के रूप में लागोरी का प्रयोग किया?</v>
      </c>
      <c r="H155" s="5" t="str">
        <f>IFERROR(__xludf.DUMMYFUNCTION("GOOGLETRANSLATE(C155, ""en"", ""hi"")"),"ए)चाणक्य,बी)पतंजलि,सी)रामकृष्ण परमहंस,डी)स्वामी विवेकानन्द")</f>
        <v>ए)चाणक्य,बी)पतंजलि,सी)रामकृष्ण परमहंस,डी)स्वामी विवेकानन्द</v>
      </c>
      <c r="I155" s="5" t="str">
        <f>IFERROR(__xludf.DUMMYFUNCTION("GOOGLETRANSLATE(D155, ""en"", ""hi"")"),"A) चाणक्य")</f>
        <v>A) चाणक्य</v>
      </c>
    </row>
    <row r="156" ht="22.5" customHeight="1">
      <c r="A156" s="3">
        <v>155.0</v>
      </c>
      <c r="B156" s="4" t="s">
        <v>4129</v>
      </c>
      <c r="C156" s="4" t="s">
        <v>3939</v>
      </c>
      <c r="D156" s="4" t="s">
        <v>158</v>
      </c>
      <c r="F156" s="5" t="str">
        <f>IFERROR(__xludf.DUMMYFUNCTION("GOOGLETRANSLATE(A156, ""en"", ""hi"")"),"155")</f>
        <v>155</v>
      </c>
      <c r="G156" s="5" t="str">
        <f>IFERROR(__xludf.DUMMYFUNCTION("GOOGLETRANSLATE(B156, ""en"", ""hi"")"),"किस भारतीय राज्य का पारंपरिक लागोरी खेल विशेष औपचारिक पत्थरों के साथ खेला जाता है?")</f>
        <v>किस भारतीय राज्य का पारंपरिक लागोरी खेल विशेष औपचारिक पत्थरों के साथ खेला जाता है?</v>
      </c>
      <c r="H156" s="5" t="str">
        <f>IFERROR(__xludf.DUMMYFUNCTION("GOOGLETRANSLATE(C156, ""en"", ""hi"")"),"ए) महाराष्ट्र, बी) तमिलनाडु, सी) कर्नाटक, डी) आंध्र प्रदेश")</f>
        <v>ए) महाराष्ट्र, बी) तमिलनाडु, सी) कर्नाटक, डी) आंध्र प्रदेश</v>
      </c>
      <c r="I156" s="5" t="str">
        <f>IFERROR(__xludf.DUMMYFUNCTION("GOOGLETRANSLATE(D156, ""en"", ""hi"")"),"A) महाराष्ट्र")</f>
        <v>A) महाराष्ट्र</v>
      </c>
    </row>
    <row r="157" ht="22.5" customHeight="1">
      <c r="A157" s="3">
        <v>156.0</v>
      </c>
      <c r="B157" s="4" t="s">
        <v>4130</v>
      </c>
      <c r="C157" s="4" t="s">
        <v>4131</v>
      </c>
      <c r="D157" s="4" t="s">
        <v>4132</v>
      </c>
      <c r="F157" s="5" t="str">
        <f>IFERROR(__xludf.DUMMYFUNCTION("GOOGLETRANSLATE(A157, ""en"", ""hi"")"),"156")</f>
        <v>156</v>
      </c>
      <c r="G157" s="5" t="str">
        <f>IFERROR(__xludf.DUMMYFUNCTION("GOOGLETRANSLATE(B157, ""en"", ""hi"")"),"किस भारतीय राजा को अपने दरबार और सैनिकों के बीच लागोरी को लोकप्रिय बनाने का श्रेय दिया जाता है?")</f>
        <v>किस भारतीय राजा को अपने दरबार और सैनिकों के बीच लागोरी को लोकप्रिय बनाने का श्रेय दिया जाता है?</v>
      </c>
      <c r="H157" s="5" t="str">
        <f>IFERROR(__xludf.DUMMYFUNCTION("GOOGLETRANSLATE(C157, ""en"", ""hi"")"),"ए) राजा राजा चोल, बी) कृष्णदेवराय, सी) शिवाजी महाराज, डी) अशोक")</f>
        <v>ए) राजा राजा चोल, बी) कृष्णदेवराय, सी) शिवाजी महाराज, डी) अशोक</v>
      </c>
      <c r="I157" s="5" t="str">
        <f>IFERROR(__xludf.DUMMYFUNCTION("GOOGLETRANSLATE(D157, ""en"", ""hi"")"),"बी) कृष्णदेवराय")</f>
        <v>बी) कृष्णदेवराय</v>
      </c>
    </row>
    <row r="158" ht="22.5" customHeight="1">
      <c r="A158" s="3">
        <v>157.0</v>
      </c>
      <c r="B158" s="4" t="s">
        <v>4133</v>
      </c>
      <c r="C158" s="4" t="s">
        <v>4048</v>
      </c>
      <c r="D158" s="4" t="s">
        <v>98</v>
      </c>
      <c r="F158" s="5" t="str">
        <f>IFERROR(__xludf.DUMMYFUNCTION("GOOGLETRANSLATE(A158, ""en"", ""hi"")"),"157")</f>
        <v>157</v>
      </c>
      <c r="G158" s="5" t="str">
        <f>IFERROR(__xludf.DUMMYFUNCTION("GOOGLETRANSLATE(B158, ""en"", ""hi"")"),"किस भारतीय राज्य के प्राचीन ग्रंथों में लागोरी का उल्लेख आम लोगों के बीच एक लोकप्रिय खेल के रूप में किया गया है?")</f>
        <v>किस भारतीय राज्य के प्राचीन ग्रंथों में लागोरी का उल्लेख आम लोगों के बीच एक लोकप्रिय खेल के रूप में किया गया है?</v>
      </c>
      <c r="H158" s="5" t="str">
        <f>IFERROR(__xludf.DUMMYFUNCTION("GOOGLETRANSLATE(C158, ""en"", ""hi"")"),"ए) गुजरात, बी) महाराष्ट्र, सी) कर्नाटक, डी) आंध्र प्रदेश")</f>
        <v>ए) गुजरात, बी) महाराष्ट्र, सी) कर्नाटक, डी) आंध्र प्रदेश</v>
      </c>
      <c r="I158" s="5" t="str">
        <f>IFERROR(__xludf.DUMMYFUNCTION("GOOGLETRANSLATE(D158, ""en"", ""hi"")"),"बी) महाराष्ट्र")</f>
        <v>बी) महाराष्ट्र</v>
      </c>
    </row>
    <row r="159" ht="22.5" customHeight="1">
      <c r="A159" s="3">
        <v>158.0</v>
      </c>
      <c r="B159" s="4" t="s">
        <v>4134</v>
      </c>
      <c r="C159" s="4" t="s">
        <v>2588</v>
      </c>
      <c r="D159" s="4" t="s">
        <v>2589</v>
      </c>
      <c r="F159" s="5" t="str">
        <f>IFERROR(__xludf.DUMMYFUNCTION("GOOGLETRANSLATE(A159, ""en"", ""hi"")"),"158")</f>
        <v>158</v>
      </c>
      <c r="G159" s="5" t="str">
        <f>IFERROR(__xludf.DUMMYFUNCTION("GOOGLETRANSLATE(B159, ""en"", ""hi"")"),"मुगल काल का कौन सा ऐतिहासिक व्यक्ति शाही त्योहारों के दौरान लागोरी बजाने के लिए जाना जाता है?")</f>
        <v>मुगल काल का कौन सा ऐतिहासिक व्यक्ति शाही त्योहारों के दौरान लागोरी बजाने के लिए जाना जाता है?</v>
      </c>
      <c r="H159" s="5" t="str">
        <f>IFERROR(__xludf.DUMMYFUNCTION("GOOGLETRANSLATE(C159, ""en"", ""hi"")"),"A) अकबर, B) जहाँगीर, C) शाहजहाँ, D) औरंगज़ेब")</f>
        <v>A) अकबर, B) जहाँगीर, C) शाहजहाँ, D) औरंगज़ेब</v>
      </c>
      <c r="I159" s="5" t="str">
        <f>IFERROR(__xludf.DUMMYFUNCTION("GOOGLETRANSLATE(D159, ""en"", ""hi"")"),"बी) जहांगीर")</f>
        <v>बी) जहांगीर</v>
      </c>
    </row>
    <row r="160" ht="22.5" customHeight="1">
      <c r="A160" s="3">
        <v>159.0</v>
      </c>
      <c r="B160" s="4" t="s">
        <v>4135</v>
      </c>
      <c r="C160" s="4" t="s">
        <v>4118</v>
      </c>
      <c r="D160" s="4" t="s">
        <v>2893</v>
      </c>
      <c r="F160" s="5" t="str">
        <f>IFERROR(__xludf.DUMMYFUNCTION("GOOGLETRANSLATE(A160, ""en"", ""hi"")"),"159")</f>
        <v>159</v>
      </c>
      <c r="G160" s="5" t="str">
        <f>IFERROR(__xludf.DUMMYFUNCTION("GOOGLETRANSLATE(B160, ""en"", ""hi"")"),"भारत के कुछ क्षेत्रों में कौन सा भारतीय त्यौहार लागोरी टूर्नामेंट के साथ मनाया जाता है?")</f>
        <v>भारत के कुछ क्षेत्रों में कौन सा भारतीय त्यौहार लागोरी टूर्नामेंट के साथ मनाया जाता है?</v>
      </c>
      <c r="H160" s="5" t="str">
        <f>IFERROR(__xludf.DUMMYFUNCTION("GOOGLETRANSLATE(C160, ""en"", ""hi"")"),"ए) दिवाली, बी) होली, सी) पोंगल, डी) मकर संक्रांति")</f>
        <v>ए) दिवाली, बी) होली, सी) पोंगल, डी) मकर संक्रांति</v>
      </c>
      <c r="I160" s="5" t="str">
        <f>IFERROR(__xludf.DUMMYFUNCTION("GOOGLETRANSLATE(D160, ""en"", ""hi"")"),"D) मकर संक्रांति")</f>
        <v>D) मकर संक्रांति</v>
      </c>
    </row>
    <row r="161" ht="22.5" customHeight="1">
      <c r="A161" s="3">
        <v>160.0</v>
      </c>
      <c r="B161" s="4" t="s">
        <v>4136</v>
      </c>
      <c r="C161" s="4" t="s">
        <v>4137</v>
      </c>
      <c r="D161" s="4" t="s">
        <v>3764</v>
      </c>
      <c r="F161" s="5" t="str">
        <f>IFERROR(__xludf.DUMMYFUNCTION("GOOGLETRANSLATE(A161, ""en"", ""hi"")"),"160")</f>
        <v>160</v>
      </c>
      <c r="G161" s="5" t="str">
        <f>IFERROR(__xludf.DUMMYFUNCTION("GOOGLETRANSLATE(B161, ""en"", ""hi"")"),"किस भारतीय क्षेत्र की लोककथा में एक कहानी शामिल है जिसमें राजा की जीत का जश्न मनाने के लिए लागोरी खेली जाती थी?")</f>
        <v>किस भारतीय क्षेत्र की लोककथा में एक कहानी शामिल है जिसमें राजा की जीत का जश्न मनाने के लिए लागोरी खेली जाती थी?</v>
      </c>
      <c r="H161" s="5" t="str">
        <f>IFERROR(__xludf.DUMMYFUNCTION("GOOGLETRANSLATE(C161, ""en"", ""hi"")"),"ए) तमिलनाडु, बी) कर्नाटक, सी) महाराष्ट्र, डी) गुजरात")</f>
        <v>ए) तमिलनाडु, बी) कर्नाटक, सी) महाराष्ट्र, डी) गुजरात</v>
      </c>
      <c r="I161" s="5" t="str">
        <f>IFERROR(__xludf.DUMMYFUNCTION("GOOGLETRANSLATE(D161, ""en"", ""hi"")"),"बी) कर्नाटक")</f>
        <v>बी) कर्नाटक</v>
      </c>
    </row>
    <row r="162" ht="22.5" customHeight="1">
      <c r="A162" s="3">
        <v>161.0</v>
      </c>
      <c r="B162" s="4" t="s">
        <v>4138</v>
      </c>
      <c r="C162" s="4" t="s">
        <v>4139</v>
      </c>
      <c r="D162" s="4" t="s">
        <v>842</v>
      </c>
      <c r="F162" s="5" t="str">
        <f>IFERROR(__xludf.DUMMYFUNCTION("GOOGLETRANSLATE(A162, ""en"", ""hi"")"),"161")</f>
        <v>161</v>
      </c>
      <c r="G162" s="5" t="str">
        <f>IFERROR(__xludf.DUMMYFUNCTION("GOOGLETRANSLATE(B162, ""en"", ""hi"")"),"किस भारतीय राज्य के पारंपरिक खेलों में लागोरी का एक रूप शामिल है जिसमें अद्वितीय स्थानीय सामग्रियों का उपयोग किया जाता है?")</f>
        <v>किस भारतीय राज्य के पारंपरिक खेलों में लागोरी का एक रूप शामिल है जिसमें अद्वितीय स्थानीय सामग्रियों का उपयोग किया जाता है?</v>
      </c>
      <c r="H162" s="5" t="str">
        <f>IFERROR(__xludf.DUMMYFUNCTION("GOOGLETRANSLATE(C162, ""en"", ""hi"")"),"ए) कर्नाटक, बी) तमिलनाडु, सी) महाराष्ट्र, डी) आंध्र प्रदेश")</f>
        <v>ए) कर्नाटक, बी) तमिलनाडु, सी) महाराष्ट्र, डी) आंध्र प्रदेश</v>
      </c>
      <c r="I162" s="5" t="str">
        <f>IFERROR(__xludf.DUMMYFUNCTION("GOOGLETRANSLATE(D162, ""en"", ""hi"")"),"C) महाराष्ट्र")</f>
        <v>C) महाराष्ट्र</v>
      </c>
    </row>
    <row r="163" ht="22.5" customHeight="1">
      <c r="A163" s="3">
        <v>162.0</v>
      </c>
      <c r="B163" s="4" t="s">
        <v>4140</v>
      </c>
      <c r="C163" s="4" t="s">
        <v>4141</v>
      </c>
      <c r="D163" s="4" t="s">
        <v>2616</v>
      </c>
      <c r="F163" s="5" t="str">
        <f>IFERROR(__xludf.DUMMYFUNCTION("GOOGLETRANSLATE(A163, ""en"", ""hi"")"),"162")</f>
        <v>162</v>
      </c>
      <c r="G163" s="5" t="str">
        <f>IFERROR(__xludf.DUMMYFUNCTION("GOOGLETRANSLATE(B163, ""en"", ""hi"")"),"कौन सा ऐतिहासिक ग्रंथ सैन्य प्रशिक्षण के रूप में लागोरी के नियमों और रणनीतिक तत्वों का विवरण देता है?")</f>
        <v>कौन सा ऐतिहासिक ग्रंथ सैन्य प्रशिक्षण के रूप में लागोरी के नियमों और रणनीतिक तत्वों का विवरण देता है?</v>
      </c>
      <c r="H163" s="5" t="str">
        <f>IFERROR(__xludf.DUMMYFUNCTION("GOOGLETRANSLATE(C163, ""en"", ""hi"")"),"ए) अर्थशास्त्र, बी) मनुस्मृति, सी) महाभारत, डी) रामायण")</f>
        <v>ए) अर्थशास्त्र, बी) मनुस्मृति, सी) महाभारत, डी) रामायण</v>
      </c>
      <c r="I163" s="5" t="str">
        <f>IFERROR(__xludf.DUMMYFUNCTION("GOOGLETRANSLATE(D163, ""en"", ""hi"")"),"A) अर्थशास्त्र")</f>
        <v>A) अर्थशास्त्र</v>
      </c>
    </row>
    <row r="164" ht="22.5" customHeight="1">
      <c r="A164" s="3">
        <v>163.0</v>
      </c>
      <c r="B164" s="4" t="s">
        <v>4142</v>
      </c>
      <c r="C164" s="4" t="s">
        <v>2588</v>
      </c>
      <c r="D164" s="4" t="s">
        <v>2556</v>
      </c>
      <c r="F164" s="5" t="str">
        <f>IFERROR(__xludf.DUMMYFUNCTION("GOOGLETRANSLATE(A164, ""en"", ""hi"")"),"163")</f>
        <v>163</v>
      </c>
      <c r="G164" s="5" t="str">
        <f>IFERROR(__xludf.DUMMYFUNCTION("GOOGLETRANSLATE(B164, ""en"", ""hi"")"),"कौन सा मुगल सम्राट लागोरी सहित पारंपरिक भारतीय खेलों के संरक्षण के लिए जाना जाता है?")</f>
        <v>कौन सा मुगल सम्राट लागोरी सहित पारंपरिक भारतीय खेलों के संरक्षण के लिए जाना जाता है?</v>
      </c>
      <c r="H164" s="5" t="str">
        <f>IFERROR(__xludf.DUMMYFUNCTION("GOOGLETRANSLATE(C164, ""en"", ""hi"")"),"A) अकबर, B) जहाँगीर, C) शाहजहाँ, D) औरंगज़ेब")</f>
        <v>A) अकबर, B) जहाँगीर, C) शाहजहाँ, D) औरंगज़ेब</v>
      </c>
      <c r="I164" s="5" t="str">
        <f>IFERROR(__xludf.DUMMYFUNCTION("GOOGLETRANSLATE(D164, ""en"", ""hi"")"),"A) अकबर")</f>
        <v>A) अकबर</v>
      </c>
    </row>
    <row r="165" ht="22.5" customHeight="1">
      <c r="A165" s="3">
        <v>164.0</v>
      </c>
      <c r="B165" s="4" t="s">
        <v>4143</v>
      </c>
      <c r="C165" s="4" t="s">
        <v>4144</v>
      </c>
      <c r="D165" s="4" t="s">
        <v>4145</v>
      </c>
      <c r="F165" s="5" t="str">
        <f>IFERROR(__xludf.DUMMYFUNCTION("GOOGLETRANSLATE(A165, ""en"", ""hi"")"),"164")</f>
        <v>164</v>
      </c>
      <c r="G165" s="5" t="str">
        <f>IFERROR(__xludf.DUMMYFUNCTION("GOOGLETRANSLATE(B165, ""en"", ""hi"")"),"कौन सा प्राचीन भारतीय खेल लागोरी से काफी मिलता जुलता है और ऐतिहासिक समय में बच्चों द्वारा खेला जाता था?")</f>
        <v>कौन सा प्राचीन भारतीय खेल लागोरी से काफी मिलता जुलता है और ऐतिहासिक समय में बच्चों द्वारा खेला जाता था?</v>
      </c>
      <c r="H165" s="5" t="str">
        <f>IFERROR(__xludf.DUMMYFUNCTION("GOOGLETRANSLATE(C165, ""en"", ""hi"")"),"ए) पिट्ठू, बी) गिल्ली-डंडा, सी) कबड्डी, डी) खो-खो")</f>
        <v>ए) पिट्ठू, बी) गिल्ली-डंडा, सी) कबड्डी, डी) खो-खो</v>
      </c>
      <c r="I165" s="5" t="str">
        <f>IFERROR(__xludf.DUMMYFUNCTION("GOOGLETRANSLATE(D165, ""en"", ""hi"")"),"A) पिट्टू")</f>
        <v>A) पिट्टू</v>
      </c>
    </row>
    <row r="166" ht="22.5" customHeight="1">
      <c r="A166" s="3">
        <v>165.0</v>
      </c>
      <c r="B166" s="4" t="s">
        <v>4146</v>
      </c>
      <c r="C166" s="4" t="s">
        <v>4147</v>
      </c>
      <c r="D166" s="4" t="s">
        <v>98</v>
      </c>
      <c r="F166" s="5" t="str">
        <f>IFERROR(__xludf.DUMMYFUNCTION("GOOGLETRANSLATE(A166, ""en"", ""hi"")"),"165")</f>
        <v>165</v>
      </c>
      <c r="G166" s="5" t="str">
        <f>IFERROR(__xludf.DUMMYFUNCTION("GOOGLETRANSLATE(B166, ""en"", ""hi"")"),"किस भारतीय राज्य की पारंपरिक लोककथाओं में स्थानीय त्योहारों में लागोरी के प्रयोग की कहानियां शामिल हैं?")</f>
        <v>किस भारतीय राज्य की पारंपरिक लोककथाओं में स्थानीय त्योहारों में लागोरी के प्रयोग की कहानियां शामिल हैं?</v>
      </c>
      <c r="H166" s="5" t="str">
        <f>IFERROR(__xludf.DUMMYFUNCTION("GOOGLETRANSLATE(C166, ""en"", ""hi"")"),"ए) तमिलनाडु, बी) महाराष्ट्र, सी) कर्नाटक, डी) आंध्र प्रदेश")</f>
        <v>ए) तमिलनाडु, बी) महाराष्ट्र, सी) कर्नाटक, डी) आंध्र प्रदेश</v>
      </c>
      <c r="I166" s="5" t="str">
        <f>IFERROR(__xludf.DUMMYFUNCTION("GOOGLETRANSLATE(D166, ""en"", ""hi"")"),"बी) महाराष्ट्र")</f>
        <v>बी) महाराष्ट्र</v>
      </c>
    </row>
    <row r="167" ht="22.5" customHeight="1">
      <c r="A167" s="3">
        <v>166.0</v>
      </c>
      <c r="B167" s="4" t="s">
        <v>4148</v>
      </c>
      <c r="C167" s="4" t="s">
        <v>4131</v>
      </c>
      <c r="D167" s="4" t="s">
        <v>4132</v>
      </c>
      <c r="F167" s="5" t="str">
        <f>IFERROR(__xludf.DUMMYFUNCTION("GOOGLETRANSLATE(A167, ""en"", ""hi"")"),"166")</f>
        <v>166</v>
      </c>
      <c r="G167" s="5" t="str">
        <f>IFERROR(__xludf.DUMMYFUNCTION("GOOGLETRANSLATE(B167, ""en"", ""hi"")"),"ऐसा माना जाता है कि किस भारतीय राजा ने पहली बार अपने दरबार में शाही मनोरंजन के रूप में लागोरी को पेश किया था?")</f>
        <v>ऐसा माना जाता है कि किस भारतीय राजा ने पहली बार अपने दरबार में शाही मनोरंजन के रूप में लागोरी को पेश किया था?</v>
      </c>
      <c r="H167" s="5" t="str">
        <f>IFERROR(__xludf.DUMMYFUNCTION("GOOGLETRANSLATE(C167, ""en"", ""hi"")"),"ए) राजा राजा चोल, बी) कृष्णदेवराय, सी) शिवाजी महाराज, डी) अशोक")</f>
        <v>ए) राजा राजा चोल, बी) कृष्णदेवराय, सी) शिवाजी महाराज, डी) अशोक</v>
      </c>
      <c r="I167" s="5" t="str">
        <f>IFERROR(__xludf.DUMMYFUNCTION("GOOGLETRANSLATE(D167, ""en"", ""hi"")"),"बी) कृष्णदेवराय")</f>
        <v>बी) कृष्णदेवराय</v>
      </c>
    </row>
    <row r="168" ht="22.5" customHeight="1">
      <c r="A168" s="3">
        <v>167.0</v>
      </c>
      <c r="B168" s="4" t="s">
        <v>4149</v>
      </c>
      <c r="C168" s="4" t="s">
        <v>4139</v>
      </c>
      <c r="D168" s="4" t="s">
        <v>116</v>
      </c>
      <c r="F168" s="5" t="str">
        <f>IFERROR(__xludf.DUMMYFUNCTION("GOOGLETRANSLATE(A168, ""en"", ""hi"")"),"167")</f>
        <v>167</v>
      </c>
      <c r="G168" s="5" t="str">
        <f>IFERROR(__xludf.DUMMYFUNCTION("GOOGLETRANSLATE(B168, ""en"", ""hi"")"),"किस भारतीय राज्य के ऐतिहासिक विवरणों में त्योहारों के दौरान खेले जाने वाले खेल के रूप में लागोरी का वर्णन शामिल है?")</f>
        <v>किस भारतीय राज्य के ऐतिहासिक विवरणों में त्योहारों के दौरान खेले जाने वाले खेल के रूप में लागोरी का वर्णन शामिल है?</v>
      </c>
      <c r="H168" s="5" t="str">
        <f>IFERROR(__xludf.DUMMYFUNCTION("GOOGLETRANSLATE(C168, ""en"", ""hi"")"),"ए) कर्नाटक, बी) तमिलनाडु, सी) महाराष्ट्र, डी) आंध्र प्रदेश")</f>
        <v>ए) कर्नाटक, बी) तमिलनाडु, सी) महाराष्ट्र, डी) आंध्र प्रदेश</v>
      </c>
      <c r="I168" s="5" t="str">
        <f>IFERROR(__xludf.DUMMYFUNCTION("GOOGLETRANSLATE(D168, ""en"", ""hi"")"),"A) कर्नाटक")</f>
        <v>A) कर्नाटक</v>
      </c>
    </row>
    <row r="169" ht="22.5" customHeight="1">
      <c r="A169" s="3">
        <v>168.0</v>
      </c>
      <c r="B169" s="4" t="s">
        <v>4150</v>
      </c>
      <c r="C169" s="4" t="s">
        <v>4128</v>
      </c>
      <c r="D169" s="4" t="s">
        <v>3451</v>
      </c>
      <c r="F169" s="5" t="str">
        <f>IFERROR(__xludf.DUMMYFUNCTION("GOOGLETRANSLATE(A169, ""en"", ""hi"")"),"168")</f>
        <v>168</v>
      </c>
      <c r="G169" s="5" t="str">
        <f>IFERROR(__xludf.DUMMYFUNCTION("GOOGLETRANSLATE(B169, ""en"", ""hi"")"),"किस प्राचीन भारतीय दार्शनिक ने रणनीतिक सोच के रूपक के रूप में लागोरी का प्रयोग किया था?")</f>
        <v>किस प्राचीन भारतीय दार्शनिक ने रणनीतिक सोच के रूपक के रूप में लागोरी का प्रयोग किया था?</v>
      </c>
      <c r="H169" s="5" t="str">
        <f>IFERROR(__xludf.DUMMYFUNCTION("GOOGLETRANSLATE(C169, ""en"", ""hi"")"),"ए)चाणक्य,बी)पतंजलि,सी)रामकृष्ण परमहंस,डी)स्वामी विवेकानन्द")</f>
        <v>ए)चाणक्य,बी)पतंजलि,सी)रामकृष्ण परमहंस,डी)स्वामी विवेकानन्द</v>
      </c>
      <c r="I169" s="5" t="str">
        <f>IFERROR(__xludf.DUMMYFUNCTION("GOOGLETRANSLATE(D169, ""en"", ""hi"")"),"A) चाणक्य")</f>
        <v>A) चाणक्य</v>
      </c>
    </row>
    <row r="170" ht="22.5" customHeight="1">
      <c r="A170" s="3">
        <v>169.0</v>
      </c>
      <c r="B170" s="4" t="s">
        <v>4151</v>
      </c>
      <c r="C170" s="4" t="s">
        <v>2588</v>
      </c>
      <c r="D170" s="4" t="s">
        <v>4152</v>
      </c>
      <c r="F170" s="5" t="str">
        <f>IFERROR(__xludf.DUMMYFUNCTION("GOOGLETRANSLATE(A170, ""en"", ""hi"")"),"169")</f>
        <v>169</v>
      </c>
      <c r="G170" s="5" t="str">
        <f>IFERROR(__xludf.DUMMYFUNCTION("GOOGLETRANSLATE(B170, ""en"", ""hi"")"),"कौन सा मुगल शासक अपने दरबारी समारोहों में लगोरी मैचों के आयोजन के लिए जाना जाता है?")</f>
        <v>कौन सा मुगल शासक अपने दरबारी समारोहों में लगोरी मैचों के आयोजन के लिए जाना जाता है?</v>
      </c>
      <c r="H170" s="5" t="str">
        <f>IFERROR(__xludf.DUMMYFUNCTION("GOOGLETRANSLATE(C170, ""en"", ""hi"")"),"A) अकबर, B) जहाँगीर, C) शाहजहाँ, D) औरंगज़ेब")</f>
        <v>A) अकबर, B) जहाँगीर, C) शाहजहाँ, D) औरंगज़ेब</v>
      </c>
      <c r="I170" s="5" t="str">
        <f>IFERROR(__xludf.DUMMYFUNCTION("GOOGLETRANSLATE(D170, ""en"", ""hi"")"),"C) शाहजहाँ")</f>
        <v>C) शाहजहाँ</v>
      </c>
    </row>
    <row r="171" ht="22.5" customHeight="1">
      <c r="A171" s="3">
        <v>170.0</v>
      </c>
      <c r="B171" s="4" t="s">
        <v>4153</v>
      </c>
      <c r="C171" s="4" t="s">
        <v>3934</v>
      </c>
      <c r="D171" s="4" t="s">
        <v>2544</v>
      </c>
      <c r="F171" s="5" t="str">
        <f>IFERROR(__xludf.DUMMYFUNCTION("GOOGLETRANSLATE(A171, ""en"", ""hi"")"),"170")</f>
        <v>170</v>
      </c>
      <c r="G171" s="5" t="str">
        <f>IFERROR(__xludf.DUMMYFUNCTION("GOOGLETRANSLATE(B171, ""en"", ""hi"")"),"कौन सा भारतीय महाकाव्य लागोरी जैसे खेलों के संदर्भ के लिए जाना जाता है?")</f>
        <v>कौन सा भारतीय महाकाव्य लागोरी जैसे खेलों के संदर्भ के लिए जाना जाता है?</v>
      </c>
      <c r="H171" s="5" t="str">
        <f>IFERROR(__xludf.DUMMYFUNCTION("GOOGLETRANSLATE(C171, ""en"", ""hi"")"),"ए) रामायण, बी) महाभारत, सी) भागवत पुराण, डी) विष्णु पुराण")</f>
        <v>ए) रामायण, बी) महाभारत, सी) भागवत पुराण, डी) विष्णु पुराण</v>
      </c>
      <c r="I171" s="5" t="str">
        <f>IFERROR(__xludf.DUMMYFUNCTION("GOOGLETRANSLATE(D171, ""en"", ""hi"")"),"बी) महाभारत")</f>
        <v>बी) महाभारत</v>
      </c>
    </row>
    <row r="172" ht="22.5" customHeight="1">
      <c r="A172" s="3">
        <v>171.0</v>
      </c>
      <c r="B172" s="4" t="s">
        <v>4154</v>
      </c>
      <c r="C172" s="4" t="s">
        <v>3939</v>
      </c>
      <c r="D172" s="4" t="s">
        <v>158</v>
      </c>
      <c r="F172" s="5" t="str">
        <f>IFERROR(__xludf.DUMMYFUNCTION("GOOGLETRANSLATE(A172, ""en"", ""hi"")"),"171")</f>
        <v>171</v>
      </c>
      <c r="G172" s="5" t="str">
        <f>IFERROR(__xludf.DUMMYFUNCTION("GOOGLETRANSLATE(B172, ""en"", ""hi"")"),"किस भारतीय राज्य के ऐतिहासिक अभिलेखों में पारंपरिक सैन्य प्रशिक्षण में लागोरी के उपयोग का उल्लेख है?")</f>
        <v>किस भारतीय राज्य के ऐतिहासिक अभिलेखों में पारंपरिक सैन्य प्रशिक्षण में लागोरी के उपयोग का उल्लेख है?</v>
      </c>
      <c r="H172" s="5" t="str">
        <f>IFERROR(__xludf.DUMMYFUNCTION("GOOGLETRANSLATE(C172, ""en"", ""hi"")"),"ए) महाराष्ट्र, बी) तमिलनाडु, सी) कर्नाटक, डी) आंध्र प्रदेश")</f>
        <v>ए) महाराष्ट्र, बी) तमिलनाडु, सी) कर्नाटक, डी) आंध्र प्रदेश</v>
      </c>
      <c r="I172" s="5" t="str">
        <f>IFERROR(__xludf.DUMMYFUNCTION("GOOGLETRANSLATE(D172, ""en"", ""hi"")"),"A) महाराष्ट्र")</f>
        <v>A) महाराष्ट्र</v>
      </c>
    </row>
    <row r="173" ht="22.5" customHeight="1">
      <c r="A173" s="3">
        <v>172.0</v>
      </c>
      <c r="B173" s="4" t="s">
        <v>4155</v>
      </c>
      <c r="C173" s="4" t="s">
        <v>4116</v>
      </c>
      <c r="D173" s="4" t="s">
        <v>2616</v>
      </c>
      <c r="F173" s="5" t="str">
        <f>IFERROR(__xludf.DUMMYFUNCTION("GOOGLETRANSLATE(A173, ""en"", ""hi"")"),"172")</f>
        <v>172</v>
      </c>
      <c r="G173" s="5" t="str">
        <f>IFERROR(__xludf.DUMMYFUNCTION("GOOGLETRANSLATE(B173, ""en"", ""hi"")"),"कौन सा प्राचीन भारतीय ग्रंथ एक ऐसे खेल का उल्लेख करता है जो रणनीति सिखाने की विधि के रूप में लागोरी से काफी मिलता जुलता है?")</f>
        <v>कौन सा प्राचीन भारतीय ग्रंथ एक ऐसे खेल का उल्लेख करता है जो रणनीति सिखाने की विधि के रूप में लागोरी से काफी मिलता जुलता है?</v>
      </c>
      <c r="H173" s="5" t="str">
        <f>IFERROR(__xludf.DUMMYFUNCTION("GOOGLETRANSLATE(C173, ""en"", ""hi"")"),"ए) अर्थशास्त्र, बी) मनुस्मृति, सी) भगवद गीता, डी) रामायण")</f>
        <v>ए) अर्थशास्त्र, बी) मनुस्मृति, सी) भगवद गीता, डी) रामायण</v>
      </c>
      <c r="I173" s="5" t="str">
        <f>IFERROR(__xludf.DUMMYFUNCTION("GOOGLETRANSLATE(D173, ""en"", ""hi"")"),"A) अर्थशास्त्र")</f>
        <v>A) अर्थशास्त्र</v>
      </c>
    </row>
    <row r="174" ht="22.5" customHeight="1">
      <c r="A174" s="3">
        <v>173.0</v>
      </c>
      <c r="B174" s="4" t="s">
        <v>4156</v>
      </c>
      <c r="C174" s="4" t="s">
        <v>2588</v>
      </c>
      <c r="D174" s="4" t="s">
        <v>2589</v>
      </c>
      <c r="F174" s="5" t="str">
        <f>IFERROR(__xludf.DUMMYFUNCTION("GOOGLETRANSLATE(A174, ""en"", ""hi"")"),"173")</f>
        <v>173</v>
      </c>
      <c r="G174" s="5" t="str">
        <f>IFERROR(__xludf.DUMMYFUNCTION("GOOGLETRANSLATE(B174, ""en"", ""hi"")"),"कौन सा मुगल सम्राट लागोरी सहित पारंपरिक भारतीय खेलों में गहरी रुचि के लिए जाना जाता है?")</f>
        <v>कौन सा मुगल सम्राट लागोरी सहित पारंपरिक भारतीय खेलों में गहरी रुचि के लिए जाना जाता है?</v>
      </c>
      <c r="H174" s="5" t="str">
        <f>IFERROR(__xludf.DUMMYFUNCTION("GOOGLETRANSLATE(C174, ""en"", ""hi"")"),"A) अकबर, B) जहाँगीर, C) शाहजहाँ, D) औरंगज़ेब")</f>
        <v>A) अकबर, B) जहाँगीर, C) शाहजहाँ, D) औरंगज़ेब</v>
      </c>
      <c r="I174" s="5" t="str">
        <f>IFERROR(__xludf.DUMMYFUNCTION("GOOGLETRANSLATE(D174, ""en"", ""hi"")"),"बी) जहांगीर")</f>
        <v>बी) जहांगीर</v>
      </c>
    </row>
    <row r="175" ht="22.5" customHeight="1">
      <c r="A175" s="3">
        <v>174.0</v>
      </c>
      <c r="B175" s="4" t="s">
        <v>4157</v>
      </c>
      <c r="C175" s="4" t="s">
        <v>4147</v>
      </c>
      <c r="D175" s="4" t="s">
        <v>205</v>
      </c>
      <c r="F175" s="5" t="str">
        <f>IFERROR(__xludf.DUMMYFUNCTION("GOOGLETRANSLATE(A175, ""en"", ""hi"")"),"174")</f>
        <v>174</v>
      </c>
      <c r="G175" s="5" t="str">
        <f>IFERROR(__xludf.DUMMYFUNCTION("GOOGLETRANSLATE(B175, ""en"", ""hi"")"),"किस भारतीय क्षेत्र के पारंपरिक खेल में लागोरी विविधता शामिल है जिसमें खिलाड़ी मिट्टी की गेंदों का उपयोग करते हैं?")</f>
        <v>किस भारतीय क्षेत्र के पारंपरिक खेल में लागोरी विविधता शामिल है जिसमें खिलाड़ी मिट्टी की गेंदों का उपयोग करते हैं?</v>
      </c>
      <c r="H175" s="5" t="str">
        <f>IFERROR(__xludf.DUMMYFUNCTION("GOOGLETRANSLATE(C175, ""en"", ""hi"")"),"ए) तमिलनाडु, बी) महाराष्ट्र, सी) कर्नाटक, डी) आंध्र प्रदेश")</f>
        <v>ए) तमिलनाडु, बी) महाराष्ट्र, सी) कर्नाटक, डी) आंध्र प्रदेश</v>
      </c>
      <c r="I175" s="5" t="str">
        <f>IFERROR(__xludf.DUMMYFUNCTION("GOOGLETRANSLATE(D175, ""en"", ""hi"")"),"A) तमिलनाडु")</f>
        <v>A) तमिलनाडु</v>
      </c>
    </row>
    <row r="176" ht="22.5" customHeight="1">
      <c r="A176" s="3">
        <v>175.0</v>
      </c>
      <c r="B176" s="4" t="s">
        <v>4158</v>
      </c>
      <c r="C176" s="4" t="s">
        <v>3906</v>
      </c>
      <c r="D176" s="4" t="s">
        <v>3907</v>
      </c>
      <c r="F176" s="5" t="str">
        <f>IFERROR(__xludf.DUMMYFUNCTION("GOOGLETRANSLATE(A176, ""en"", ""hi"")"),"175")</f>
        <v>175</v>
      </c>
      <c r="G176" s="5" t="str">
        <f>IFERROR(__xludf.DUMMYFUNCTION("GOOGLETRANSLATE(B176, ""en"", ""hi"")"),"विजयनगर साम्राज्य का कौन सा ऐतिहासिक व्यक्ति अपने दरबार में लागोरी को बढ़ावा देने के लिए जाना जाता है?")</f>
        <v>विजयनगर साम्राज्य का कौन सा ऐतिहासिक व्यक्ति अपने दरबार में लागोरी को बढ़ावा देने के लिए जाना जाता है?</v>
      </c>
      <c r="H176" s="5" t="str">
        <f>IFERROR(__xludf.DUMMYFUNCTION("GOOGLETRANSLATE(C176, ""en"", ""hi"")"),"ए) कृष्णदेवराय, बी) हरिहर प्रथम, सी) बुक्का प्रथम, डी) अच्युता देव राय")</f>
        <v>ए) कृष्णदेवराय, बी) हरिहर प्रथम, सी) बुक्का प्रथम, डी) अच्युता देव राय</v>
      </c>
      <c r="I176" s="5" t="str">
        <f>IFERROR(__xludf.DUMMYFUNCTION("GOOGLETRANSLATE(D176, ""en"", ""hi"")"),"A) कृष्णदेवराय")</f>
        <v>A) कृष्णदेवराय</v>
      </c>
    </row>
    <row r="177" ht="22.5" customHeight="1">
      <c r="A177" s="3">
        <v>176.0</v>
      </c>
      <c r="B177" s="4" t="s">
        <v>4159</v>
      </c>
      <c r="C177" s="4" t="s">
        <v>4160</v>
      </c>
      <c r="D177" s="4" t="s">
        <v>4161</v>
      </c>
      <c r="F177" s="5" t="str">
        <f>IFERROR(__xludf.DUMMYFUNCTION("GOOGLETRANSLATE(A177, ""en"", ""hi"")"),"176")</f>
        <v>176</v>
      </c>
      <c r="G177" s="5" t="str">
        <f>IFERROR(__xludf.DUMMYFUNCTION("GOOGLETRANSLATE(B177, ""en"", ""hi"")"),"ऐसा माना जाता है कि किस प्राचीन भारतीय प्रथा ने लागोरी के रणनीतिक पहलुओं को प्रभावित किया?")</f>
        <v>ऐसा माना जाता है कि किस प्राचीन भारतीय प्रथा ने लागोरी के रणनीतिक पहलुओं को प्रभावित किया?</v>
      </c>
      <c r="H177" s="5" t="str">
        <f>IFERROR(__xludf.DUMMYFUNCTION("GOOGLETRANSLATE(C177, ""en"", ""hi"")"),"A) योग, B) मार्शल आर्ट, C) ध्यान, D) दर्शन")</f>
        <v>A) योग, B) मार्शल आर्ट, C) ध्यान, D) दर्शन</v>
      </c>
      <c r="I177" s="5" t="str">
        <f>IFERROR(__xludf.DUMMYFUNCTION("GOOGLETRANSLATE(D177, ""en"", ""hi"")"),"बी) मार्शल आर्ट")</f>
        <v>बी) मार्शल आर्ट</v>
      </c>
    </row>
    <row r="178" ht="22.5" customHeight="1">
      <c r="A178" s="3">
        <v>177.0</v>
      </c>
      <c r="B178" s="4" t="s">
        <v>4162</v>
      </c>
      <c r="C178" s="4" t="s">
        <v>4163</v>
      </c>
      <c r="D178" s="4" t="s">
        <v>4164</v>
      </c>
      <c r="F178" s="5" t="str">
        <f>IFERROR(__xludf.DUMMYFUNCTION("GOOGLETRANSLATE(A178, ""en"", ""hi"")"),"177")</f>
        <v>177</v>
      </c>
      <c r="G178" s="5" t="str">
        <f>IFERROR(__xludf.DUMMYFUNCTION("GOOGLETRANSLATE(B178, ""en"", ""hi"")"),"किस भारतीय राजा ने लागोरी को अपने सैन्य प्रशिक्षण के भाग के रूप में प्रयोग किया था?")</f>
        <v>किस भारतीय राजा ने लागोरी को अपने सैन्य प्रशिक्षण के भाग के रूप में प्रयोग किया था?</v>
      </c>
      <c r="H178" s="5" t="str">
        <f>IFERROR(__xludf.DUMMYFUNCTION("GOOGLETRANSLATE(C178, ""en"", ""hi"")"),"ए) शिवाजी महाराज, बी) चंद्रगुप्त मौर्य, सी) अशोक, डी) समुद्रगुप्त")</f>
        <v>ए) शिवाजी महाराज, बी) चंद्रगुप्त मौर्य, सी) अशोक, डी) समुद्रगुप्त</v>
      </c>
      <c r="I178" s="5" t="str">
        <f>IFERROR(__xludf.DUMMYFUNCTION("GOOGLETRANSLATE(D178, ""en"", ""hi"")"),"A) शिवाजी महाराज")</f>
        <v>A) शिवाजी महाराज</v>
      </c>
    </row>
    <row r="179" ht="22.5" customHeight="1">
      <c r="A179" s="3">
        <v>178.0</v>
      </c>
      <c r="B179" s="4" t="s">
        <v>4165</v>
      </c>
      <c r="C179" s="4" t="s">
        <v>4147</v>
      </c>
      <c r="D179" s="4" t="s">
        <v>98</v>
      </c>
      <c r="F179" s="5" t="str">
        <f>IFERROR(__xludf.DUMMYFUNCTION("GOOGLETRANSLATE(A179, ""en"", ""hi"")"),"178")</f>
        <v>178</v>
      </c>
      <c r="G179" s="5" t="str">
        <f>IFERROR(__xludf.DUMMYFUNCTION("GOOGLETRANSLATE(B179, ""en"", ""hi"")"),"किस भारतीय राज्य की लोककथा में ऐसी कहानी शामिल है जिसमें गांवों के बीच विवादों को निपटाने के लिए लागोरी का इस्तेमाल किया जाता था?")</f>
        <v>किस भारतीय राज्य की लोककथा में ऐसी कहानी शामिल है जिसमें गांवों के बीच विवादों को निपटाने के लिए लागोरी का इस्तेमाल किया जाता था?</v>
      </c>
      <c r="H179" s="5" t="str">
        <f>IFERROR(__xludf.DUMMYFUNCTION("GOOGLETRANSLATE(C179, ""en"", ""hi"")"),"ए) तमिलनाडु, बी) महाराष्ट्र, सी) कर्नाटक, डी) आंध्र प्रदेश")</f>
        <v>ए) तमिलनाडु, बी) महाराष्ट्र, सी) कर्नाटक, डी) आंध्र प्रदेश</v>
      </c>
      <c r="I179" s="5" t="str">
        <f>IFERROR(__xludf.DUMMYFUNCTION("GOOGLETRANSLATE(D179, ""en"", ""hi"")"),"बी) महाराष्ट्र")</f>
        <v>बी) महाराष्ट्र</v>
      </c>
    </row>
    <row r="180" ht="22.5" customHeight="1">
      <c r="A180" s="3">
        <v>179.0</v>
      </c>
      <c r="B180" s="4" t="s">
        <v>4166</v>
      </c>
      <c r="C180" s="4" t="s">
        <v>2588</v>
      </c>
      <c r="D180" s="4" t="s">
        <v>2556</v>
      </c>
      <c r="F180" s="5" t="str">
        <f>IFERROR(__xludf.DUMMYFUNCTION("GOOGLETRANSLATE(A180, ""en"", ""hi"")"),"179")</f>
        <v>179</v>
      </c>
      <c r="G180" s="5" t="str">
        <f>IFERROR(__xludf.DUMMYFUNCTION("GOOGLETRANSLATE(B180, ""en"", ""hi"")"),"कौन सा मुगल सम्राट कुलीन वर्ग और आम लोगों के बीच लगोरी को बढ़ावा देने से जुड़ा हुआ है?")</f>
        <v>कौन सा मुगल सम्राट कुलीन वर्ग और आम लोगों के बीच लगोरी को बढ़ावा देने से जुड़ा हुआ है?</v>
      </c>
      <c r="H180" s="5" t="str">
        <f>IFERROR(__xludf.DUMMYFUNCTION("GOOGLETRANSLATE(C180, ""en"", ""hi"")"),"A) अकबर, B) जहाँगीर, C) शाहजहाँ, D) औरंगज़ेब")</f>
        <v>A) अकबर, B) जहाँगीर, C) शाहजहाँ, D) औरंगज़ेब</v>
      </c>
      <c r="I180" s="5" t="str">
        <f>IFERROR(__xludf.DUMMYFUNCTION("GOOGLETRANSLATE(D180, ""en"", ""hi"")"),"A) अकबर")</f>
        <v>A) अकबर</v>
      </c>
    </row>
    <row r="181" ht="22.5" customHeight="1">
      <c r="A181" s="3">
        <v>180.0</v>
      </c>
      <c r="B181" s="4" t="s">
        <v>4167</v>
      </c>
      <c r="C181" s="4" t="s">
        <v>4168</v>
      </c>
      <c r="D181" s="4" t="s">
        <v>3907</v>
      </c>
      <c r="F181" s="5" t="str">
        <f>IFERROR(__xludf.DUMMYFUNCTION("GOOGLETRANSLATE(A181, ""en"", ""hi"")"),"180")</f>
        <v>180</v>
      </c>
      <c r="G181" s="5" t="str">
        <f>IFERROR(__xludf.DUMMYFUNCTION("GOOGLETRANSLATE(B181, ""en"", ""hi"")"),"किस भारतीय राजा को अपने राज्य के शैक्षिक पाठ्यक्रम में लागोरी को शामिल करने का श्रेय दिया जाता है?")</f>
        <v>किस भारतीय राजा को अपने राज्य के शैक्षिक पाठ्यक्रम में लागोरी को शामिल करने का श्रेय दिया जाता है?</v>
      </c>
      <c r="H181" s="5" t="str">
        <f>IFERROR(__xludf.DUMMYFUNCTION("GOOGLETRANSLATE(C181, ""en"", ""hi"")"),"ए) कृष्णदेवराय, बी) राजा राजा चोल, सी) शिवाजी महाराज, डी) हर्ष")</f>
        <v>ए) कृष्णदेवराय, बी) राजा राजा चोल, सी) शिवाजी महाराज, डी) हर्ष</v>
      </c>
      <c r="I181" s="5" t="str">
        <f>IFERROR(__xludf.DUMMYFUNCTION("GOOGLETRANSLATE(D181, ""en"", ""hi"")"),"A) कृष्णदेवराय")</f>
        <v>A) कृष्णदेवराय</v>
      </c>
    </row>
    <row r="182" ht="22.5" customHeight="1">
      <c r="A182" s="3">
        <v>181.0</v>
      </c>
      <c r="B182" s="4" t="s">
        <v>4169</v>
      </c>
      <c r="C182" s="4" t="s">
        <v>4116</v>
      </c>
      <c r="D182" s="4" t="s">
        <v>2616</v>
      </c>
      <c r="F182" s="5" t="str">
        <f>IFERROR(__xludf.DUMMYFUNCTION("GOOGLETRANSLATE(A182, ""en"", ""hi"")"),"181")</f>
        <v>181</v>
      </c>
      <c r="G182" s="5" t="str">
        <f>IFERROR(__xludf.DUMMYFUNCTION("GOOGLETRANSLATE(B182, ""en"", ""hi"")"),"कौन सा ऐतिहासिक ग्रंथ लागोरी और उसके रणनीतिक तत्वों के विस्तृत वर्णन के लिए जाना जाता है?")</f>
        <v>कौन सा ऐतिहासिक ग्रंथ लागोरी और उसके रणनीतिक तत्वों के विस्तृत वर्णन के लिए जाना जाता है?</v>
      </c>
      <c r="H182" s="5" t="str">
        <f>IFERROR(__xludf.DUMMYFUNCTION("GOOGLETRANSLATE(C182, ""en"", ""hi"")"),"ए) अर्थशास्त्र, बी) मनुस्मृति, सी) भगवद गीता, डी) रामायण")</f>
        <v>ए) अर्थशास्त्र, बी) मनुस्मृति, सी) भगवद गीता, डी) रामायण</v>
      </c>
      <c r="I182" s="5" t="str">
        <f>IFERROR(__xludf.DUMMYFUNCTION("GOOGLETRANSLATE(D182, ""en"", ""hi"")"),"A) अर्थशास्त्र")</f>
        <v>A) अर्थशास्त्र</v>
      </c>
    </row>
    <row r="183" ht="22.5" customHeight="1">
      <c r="A183" s="3">
        <v>182.0</v>
      </c>
      <c r="B183" s="4" t="s">
        <v>4170</v>
      </c>
      <c r="C183" s="4" t="s">
        <v>3939</v>
      </c>
      <c r="D183" s="4" t="s">
        <v>158</v>
      </c>
      <c r="F183" s="5" t="str">
        <f>IFERROR(__xludf.DUMMYFUNCTION("GOOGLETRANSLATE(A183, ""en"", ""hi"")"),"182")</f>
        <v>182</v>
      </c>
      <c r="G183" s="5" t="str">
        <f>IFERROR(__xludf.DUMMYFUNCTION("GOOGLETRANSLATE(B183, ""en"", ""hi"")"),"किस भारतीय राज्य के ऐतिहासिक अभिलेखों में शाही त्योहारों के दौरान खेले जाने वाले खेल के रूप में लागोरी का उल्लेख मिलता है?")</f>
        <v>किस भारतीय राज्य के ऐतिहासिक अभिलेखों में शाही त्योहारों के दौरान खेले जाने वाले खेल के रूप में लागोरी का उल्लेख मिलता है?</v>
      </c>
      <c r="H183" s="5" t="str">
        <f>IFERROR(__xludf.DUMMYFUNCTION("GOOGLETRANSLATE(C183, ""en"", ""hi"")"),"ए) महाराष्ट्र, बी) तमिलनाडु, सी) कर्नाटक, डी) आंध्र प्रदेश")</f>
        <v>ए) महाराष्ट्र, बी) तमिलनाडु, सी) कर्नाटक, डी) आंध्र प्रदेश</v>
      </c>
      <c r="I183" s="5" t="str">
        <f>IFERROR(__xludf.DUMMYFUNCTION("GOOGLETRANSLATE(D183, ""en"", ""hi"")"),"A) महाराष्ट्र")</f>
        <v>A) महाराष्ट्र</v>
      </c>
    </row>
    <row r="184" ht="22.5" customHeight="1">
      <c r="A184" s="3">
        <v>183.0</v>
      </c>
      <c r="B184" s="4" t="s">
        <v>4171</v>
      </c>
      <c r="C184" s="4" t="s">
        <v>2588</v>
      </c>
      <c r="D184" s="4" t="s">
        <v>2589</v>
      </c>
      <c r="F184" s="5" t="str">
        <f>IFERROR(__xludf.DUMMYFUNCTION("GOOGLETRANSLATE(A184, ""en"", ""hi"")"),"183")</f>
        <v>183</v>
      </c>
      <c r="G184" s="5" t="str">
        <f>IFERROR(__xludf.DUMMYFUNCTION("GOOGLETRANSLATE(B184, ""en"", ""hi"")"),"कौन सा मुगल सम्राट दरबारी जीवन के हिस्से के रूप में लागोरी सहित पारंपरिक खेलों में अपनी रुचि के लिए प्रसिद्ध है?")</f>
        <v>कौन सा मुगल सम्राट दरबारी जीवन के हिस्से के रूप में लागोरी सहित पारंपरिक खेलों में अपनी रुचि के लिए प्रसिद्ध है?</v>
      </c>
      <c r="H184" s="5" t="str">
        <f>IFERROR(__xludf.DUMMYFUNCTION("GOOGLETRANSLATE(C184, ""en"", ""hi"")"),"A) अकबर, B) जहाँगीर, C) शाहजहाँ, D) औरंगज़ेब")</f>
        <v>A) अकबर, B) जहाँगीर, C) शाहजहाँ, D) औरंगज़ेब</v>
      </c>
      <c r="I184" s="5" t="str">
        <f>IFERROR(__xludf.DUMMYFUNCTION("GOOGLETRANSLATE(D184, ""en"", ""hi"")"),"बी) जहांगीर")</f>
        <v>बी) जहांगीर</v>
      </c>
    </row>
    <row r="185" ht="22.5" customHeight="1">
      <c r="A185" s="3">
        <v>184.0</v>
      </c>
      <c r="B185" s="4" t="s">
        <v>4172</v>
      </c>
      <c r="C185" s="4" t="s">
        <v>3763</v>
      </c>
      <c r="D185" s="4" t="s">
        <v>842</v>
      </c>
      <c r="F185" s="5" t="str">
        <f>IFERROR(__xludf.DUMMYFUNCTION("GOOGLETRANSLATE(A185, ""en"", ""hi"")"),"184")</f>
        <v>184</v>
      </c>
      <c r="G185" s="5" t="str">
        <f>IFERROR(__xludf.DUMMYFUNCTION("GOOGLETRANSLATE(B185, ""en"", ""hi"")"),"किस भारतीय क्षेत्र का पारंपरिक लागोरी खेल रंगीन, औपचारिक पत्थरों के साथ खेला जाता है?")</f>
        <v>किस भारतीय क्षेत्र का पारंपरिक लागोरी खेल रंगीन, औपचारिक पत्थरों के साथ खेला जाता है?</v>
      </c>
      <c r="H185" s="5" t="str">
        <f>IFERROR(__xludf.DUMMYFUNCTION("GOOGLETRANSLATE(C185, ""en"", ""hi"")"),"ए) तमिलनाडु, बी) कर्नाटक, सी) महाराष्ट्र, डी) आंध्र प्रदेश")</f>
        <v>ए) तमिलनाडु, बी) कर्नाटक, सी) महाराष्ट्र, डी) आंध्र प्रदेश</v>
      </c>
      <c r="I185" s="5" t="str">
        <f>IFERROR(__xludf.DUMMYFUNCTION("GOOGLETRANSLATE(D185, ""en"", ""hi"")"),"C) महाराष्ट्र")</f>
        <v>C) महाराष्ट्र</v>
      </c>
    </row>
    <row r="186" ht="22.5" customHeight="1">
      <c r="A186" s="3">
        <v>185.0</v>
      </c>
      <c r="B186" s="4" t="s">
        <v>4173</v>
      </c>
      <c r="C186" s="4" t="s">
        <v>4131</v>
      </c>
      <c r="D186" s="4" t="s">
        <v>3301</v>
      </c>
      <c r="F186" s="5" t="str">
        <f>IFERROR(__xludf.DUMMYFUNCTION("GOOGLETRANSLATE(A186, ""en"", ""hi"")"),"185")</f>
        <v>185</v>
      </c>
      <c r="G186" s="5" t="str">
        <f>IFERROR(__xludf.DUMMYFUNCTION("GOOGLETRANSLATE(B186, ""en"", ""hi"")"),"किस भारतीय राजा को मनोरंजन और सैन्य प्रशिक्षण के रूप में लागोरी खेलने के लिए जाना जाता है?")</f>
        <v>किस भारतीय राजा को मनोरंजन और सैन्य प्रशिक्षण के रूप में लागोरी खेलने के लिए जाना जाता है?</v>
      </c>
      <c r="H186" s="5" t="str">
        <f>IFERROR(__xludf.DUMMYFUNCTION("GOOGLETRANSLATE(C186, ""en"", ""hi"")"),"ए) राजा राजा चोल, बी) कृष्णदेवराय, सी) शिवाजी महाराज, डी) अशोक")</f>
        <v>ए) राजा राजा चोल, बी) कृष्णदेवराय, सी) शिवाजी महाराज, डी) अशोक</v>
      </c>
      <c r="I186" s="5" t="str">
        <f>IFERROR(__xludf.DUMMYFUNCTION("GOOGLETRANSLATE(D186, ""en"", ""hi"")"),"C) शिवाजी महाराज")</f>
        <v>C) शिवाजी महाराज</v>
      </c>
    </row>
    <row r="187" ht="22.5" customHeight="1">
      <c r="A187" s="3">
        <v>186.0</v>
      </c>
      <c r="B187" s="4" t="s">
        <v>4174</v>
      </c>
      <c r="C187" s="4" t="s">
        <v>4116</v>
      </c>
      <c r="D187" s="4" t="s">
        <v>2616</v>
      </c>
      <c r="F187" s="5" t="str">
        <f>IFERROR(__xludf.DUMMYFUNCTION("GOOGLETRANSLATE(A187, ""en"", ""hi"")"),"186")</f>
        <v>186</v>
      </c>
      <c r="G187" s="5" t="str">
        <f>IFERROR(__xludf.DUMMYFUNCTION("GOOGLETRANSLATE(B187, ""en"", ""hi"")"),"किस प्राचीन भारतीय ग्रंथ में सैन्य अभ्यास के भाग के रूप में लागोरी जैसे खेलों का उल्लेख मिलता है?")</f>
        <v>किस प्राचीन भारतीय ग्रंथ में सैन्य अभ्यास के भाग के रूप में लागोरी जैसे खेलों का उल्लेख मिलता है?</v>
      </c>
      <c r="H187" s="5" t="str">
        <f>IFERROR(__xludf.DUMMYFUNCTION("GOOGLETRANSLATE(C187, ""en"", ""hi"")"),"ए) अर्थशास्त्र, बी) मनुस्मृति, सी) भगवद गीता, डी) रामायण")</f>
        <v>ए) अर्थशास्त्र, बी) मनुस्मृति, सी) भगवद गीता, डी) रामायण</v>
      </c>
      <c r="I187" s="5" t="str">
        <f>IFERROR(__xludf.DUMMYFUNCTION("GOOGLETRANSLATE(D187, ""en"", ""hi"")"),"A) अर्थशास्त्र")</f>
        <v>A) अर्थशास्त्र</v>
      </c>
    </row>
    <row r="188" ht="22.5" customHeight="1">
      <c r="A188" s="3">
        <v>187.0</v>
      </c>
      <c r="B188" s="4" t="s">
        <v>4175</v>
      </c>
      <c r="C188" s="4" t="s">
        <v>2588</v>
      </c>
      <c r="D188" s="4" t="s">
        <v>4152</v>
      </c>
      <c r="F188" s="5" t="str">
        <f>IFERROR(__xludf.DUMMYFUNCTION("GOOGLETRANSLATE(A188, ""en"", ""hi"")"),"187")</f>
        <v>187</v>
      </c>
      <c r="G188" s="5" t="str">
        <f>IFERROR(__xludf.DUMMYFUNCTION("GOOGLETRANSLATE(B188, ""en"", ""hi"")"),"कौन सा मुगल शासक लगोरी और अन्य पारंपरिक भारतीय खेलों के संरक्षण के लिए जाना जाता है?")</f>
        <v>कौन सा मुगल शासक लगोरी और अन्य पारंपरिक भारतीय खेलों के संरक्षण के लिए जाना जाता है?</v>
      </c>
      <c r="H188" s="5" t="str">
        <f>IFERROR(__xludf.DUMMYFUNCTION("GOOGLETRANSLATE(C188, ""en"", ""hi"")"),"A) अकबर, B) जहाँगीर, C) शाहजहाँ, D) औरंगज़ेब")</f>
        <v>A) अकबर, B) जहाँगीर, C) शाहजहाँ, D) औरंगज़ेब</v>
      </c>
      <c r="I188" s="5" t="str">
        <f>IFERROR(__xludf.DUMMYFUNCTION("GOOGLETRANSLATE(D188, ""en"", ""hi"")"),"C) शाहजहाँ")</f>
        <v>C) शाहजहाँ</v>
      </c>
    </row>
    <row r="189" ht="22.5" customHeight="1">
      <c r="A189" s="3">
        <v>188.0</v>
      </c>
      <c r="B189" s="4" t="s">
        <v>4176</v>
      </c>
      <c r="C189" s="4" t="s">
        <v>4147</v>
      </c>
      <c r="D189" s="4" t="s">
        <v>3875</v>
      </c>
      <c r="F189" s="5" t="str">
        <f>IFERROR(__xludf.DUMMYFUNCTION("GOOGLETRANSLATE(A189, ""en"", ""hi"")"),"188")</f>
        <v>188</v>
      </c>
      <c r="G189" s="5" t="str">
        <f>IFERROR(__xludf.DUMMYFUNCTION("GOOGLETRANSLATE(B189, ""en"", ""hi"")"),"किस भारतीय राज्य की लोककथा में फसल उत्सव के दौरान खेले जाने वाले खेल के रूप में लागोरी शामिल है?")</f>
        <v>किस भारतीय राज्य की लोककथा में फसल उत्सव के दौरान खेले जाने वाले खेल के रूप में लागोरी शामिल है?</v>
      </c>
      <c r="H189" s="5" t="str">
        <f>IFERROR(__xludf.DUMMYFUNCTION("GOOGLETRANSLATE(C189, ""en"", ""hi"")"),"ए) तमिलनाडु, बी) महाराष्ट्र, सी) कर्नाटक, डी) आंध्र प्रदेश")</f>
        <v>ए) तमिलनाडु, बी) महाराष्ट्र, सी) कर्नाटक, डी) आंध्र प्रदेश</v>
      </c>
      <c r="I189" s="5" t="str">
        <f>IFERROR(__xludf.DUMMYFUNCTION("GOOGLETRANSLATE(D189, ""en"", ""hi"")"),"C) कर्नाटक")</f>
        <v>C) कर्नाटक</v>
      </c>
    </row>
    <row r="190" ht="22.5" customHeight="1">
      <c r="A190" s="3">
        <v>189.0</v>
      </c>
      <c r="B190" s="4" t="s">
        <v>4177</v>
      </c>
      <c r="C190" s="4" t="s">
        <v>4124</v>
      </c>
      <c r="D190" s="4" t="s">
        <v>222</v>
      </c>
      <c r="F190" s="5" t="str">
        <f>IFERROR(__xludf.DUMMYFUNCTION("GOOGLETRANSLATE(A190, ""en"", ""hi"")"),"189")</f>
        <v>189</v>
      </c>
      <c r="G190" s="5" t="str">
        <f>IFERROR(__xludf.DUMMYFUNCTION("GOOGLETRANSLATE(B190, ""en"", ""hi"")"),"किस भारतीय महाकाव्य में शाही उत्सवों के दौरान खेले जाने वाले लागोरी जैसे खेलों का वर्णन है?")</f>
        <v>किस भारतीय महाकाव्य में शाही उत्सवों के दौरान खेले जाने वाले लागोरी जैसे खेलों का वर्णन है?</v>
      </c>
      <c r="H190" s="5" t="str">
        <f>IFERROR(__xludf.DUMMYFUNCTION("GOOGLETRANSLATE(C190, ""en"", ""hi"")"),"ए) महाभारत, बी) रामायण, सी) भागवत पुराण, डी) विष्णु पुराण")</f>
        <v>ए) महाभारत, बी) रामायण, सी) भागवत पुराण, डी) विष्णु पुराण</v>
      </c>
      <c r="I190" s="5" t="str">
        <f>IFERROR(__xludf.DUMMYFUNCTION("GOOGLETRANSLATE(D190, ""en"", ""hi"")"),"A) महाभारत")</f>
        <v>A) महाभारत</v>
      </c>
    </row>
    <row r="191" ht="22.5" customHeight="1">
      <c r="A191" s="3">
        <v>190.0</v>
      </c>
      <c r="B191" s="4" t="s">
        <v>4178</v>
      </c>
      <c r="C191" s="4" t="s">
        <v>2588</v>
      </c>
      <c r="D191" s="4" t="s">
        <v>2589</v>
      </c>
      <c r="F191" s="5" t="str">
        <f>IFERROR(__xludf.DUMMYFUNCTION("GOOGLETRANSLATE(A191, ""en"", ""hi"")"),"190")</f>
        <v>190</v>
      </c>
      <c r="G191" s="5" t="str">
        <f>IFERROR(__xludf.DUMMYFUNCTION("GOOGLETRANSLATE(B191, ""en"", ""hi"")"),"मुगल दरबार का कौन सा ऐतिहासिक व्यक्ति लागोरी सहित पारंपरिक भारतीय खेलों के बारे में अपने लेखन के लिए जाना जाता है?")</f>
        <v>मुगल दरबार का कौन सा ऐतिहासिक व्यक्ति लागोरी सहित पारंपरिक भारतीय खेलों के बारे में अपने लेखन के लिए जाना जाता है?</v>
      </c>
      <c r="H191" s="5" t="str">
        <f>IFERROR(__xludf.DUMMYFUNCTION("GOOGLETRANSLATE(C191, ""en"", ""hi"")"),"A) अकबर, B) जहाँगीर, C) शाहजहाँ, D) औरंगज़ेब")</f>
        <v>A) अकबर, B) जहाँगीर, C) शाहजहाँ, D) औरंगज़ेब</v>
      </c>
      <c r="I191" s="5" t="str">
        <f>IFERROR(__xludf.DUMMYFUNCTION("GOOGLETRANSLATE(D191, ""en"", ""hi"")"),"बी) जहांगीर")</f>
        <v>बी) जहांगीर</v>
      </c>
    </row>
    <row r="192" ht="22.5" customHeight="1">
      <c r="A192" s="3">
        <v>191.0</v>
      </c>
      <c r="B192" s="4" t="s">
        <v>4179</v>
      </c>
      <c r="C192" s="4" t="s">
        <v>3763</v>
      </c>
      <c r="D192" s="4" t="s">
        <v>3764</v>
      </c>
      <c r="F192" s="5" t="str">
        <f>IFERROR(__xludf.DUMMYFUNCTION("GOOGLETRANSLATE(A192, ""en"", ""hi"")"),"191")</f>
        <v>191</v>
      </c>
      <c r="G192" s="5" t="str">
        <f>IFERROR(__xludf.DUMMYFUNCTION("GOOGLETRANSLATE(B192, ""en"", ""hi"")"),"किस भारतीय राज्य के पारंपरिक लागोरी खेल में खेल के लिए अद्वितीय स्थानीय सामग्रियों का उपयोग किया जाता है?")</f>
        <v>किस भारतीय राज्य के पारंपरिक लागोरी खेल में खेल के लिए अद्वितीय स्थानीय सामग्रियों का उपयोग किया जाता है?</v>
      </c>
      <c r="H192" s="5" t="str">
        <f>IFERROR(__xludf.DUMMYFUNCTION("GOOGLETRANSLATE(C192, ""en"", ""hi"")"),"ए) तमिलनाडु, बी) कर्नाटक, सी) महाराष्ट्र, डी) आंध्र प्रदेश")</f>
        <v>ए) तमिलनाडु, बी) कर्नाटक, सी) महाराष्ट्र, डी) आंध्र प्रदेश</v>
      </c>
      <c r="I192" s="5" t="str">
        <f>IFERROR(__xludf.DUMMYFUNCTION("GOOGLETRANSLATE(D192, ""en"", ""hi"")"),"बी) कर्नाटक")</f>
        <v>बी) कर्नाटक</v>
      </c>
    </row>
    <row r="193" ht="22.5" customHeight="1">
      <c r="A193" s="3">
        <v>192.0</v>
      </c>
      <c r="B193" s="4" t="s">
        <v>4180</v>
      </c>
      <c r="C193" s="4" t="s">
        <v>2588</v>
      </c>
      <c r="D193" s="4" t="s">
        <v>2556</v>
      </c>
      <c r="F193" s="5" t="str">
        <f>IFERROR(__xludf.DUMMYFUNCTION("GOOGLETRANSLATE(A193, ""en"", ""hi"")"),"192")</f>
        <v>192</v>
      </c>
      <c r="G193" s="5" t="str">
        <f>IFERROR(__xludf.DUMMYFUNCTION("GOOGLETRANSLATE(B193, ""en"", ""hi"")"),"कौन सा मुगल सम्राट अपने शासनकाल के दौरान लागोरी सहित पारंपरिक भारतीय खेलों के समर्थन के लिए जाना जाता है?")</f>
        <v>कौन सा मुगल सम्राट अपने शासनकाल के दौरान लागोरी सहित पारंपरिक भारतीय खेलों के समर्थन के लिए जाना जाता है?</v>
      </c>
      <c r="H193" s="5" t="str">
        <f>IFERROR(__xludf.DUMMYFUNCTION("GOOGLETRANSLATE(C193, ""en"", ""hi"")"),"A) अकबर, B) जहाँगीर, C) शाहजहाँ, D) औरंगज़ेब")</f>
        <v>A) अकबर, B) जहाँगीर, C) शाहजहाँ, D) औरंगज़ेब</v>
      </c>
      <c r="I193" s="5" t="str">
        <f>IFERROR(__xludf.DUMMYFUNCTION("GOOGLETRANSLATE(D193, ""en"", ""hi"")"),"A) अकबर")</f>
        <v>A) अकबर</v>
      </c>
    </row>
    <row r="194" ht="22.5" customHeight="1">
      <c r="A194" s="3">
        <v>193.0</v>
      </c>
      <c r="B194" s="4" t="s">
        <v>4181</v>
      </c>
      <c r="C194" s="4" t="s">
        <v>4182</v>
      </c>
      <c r="D194" s="4" t="s">
        <v>4164</v>
      </c>
      <c r="F194" s="5" t="str">
        <f>IFERROR(__xludf.DUMMYFUNCTION("GOOGLETRANSLATE(A194, ""en"", ""hi"")"),"193")</f>
        <v>193</v>
      </c>
      <c r="G194" s="5" t="str">
        <f>IFERROR(__xludf.DUMMYFUNCTION("GOOGLETRANSLATE(B194, ""en"", ""hi"")"),"किस भारतीय राजा को अपने सैन्य बलों को प्रशिक्षित करने की रणनीति के हिस्से के रूप में लागोरी खेलने के लिए जाना जाता है?")</f>
        <v>किस भारतीय राजा को अपने सैन्य बलों को प्रशिक्षित करने की रणनीति के हिस्से के रूप में लागोरी खेलने के लिए जाना जाता है?</v>
      </c>
      <c r="H194" s="5" t="str">
        <f>IFERROR(__xludf.DUMMYFUNCTION("GOOGLETRANSLATE(C194, ""en"", ""hi"")"),"ए) शिवाजी महाराज, बी) चंद्रगुप्त मौर्य, सी) राजेंद्र चोल, डी) अशोक")</f>
        <v>ए) शिवाजी महाराज, बी) चंद्रगुप्त मौर्य, सी) राजेंद्र चोल, डी) अशोक</v>
      </c>
      <c r="I194" s="5" t="str">
        <f>IFERROR(__xludf.DUMMYFUNCTION("GOOGLETRANSLATE(D194, ""en"", ""hi"")"),"A) शिवाजी महाराज")</f>
        <v>A) शिवाजी महाराज</v>
      </c>
    </row>
    <row r="195" ht="22.5" customHeight="1">
      <c r="A195" s="3">
        <v>194.0</v>
      </c>
      <c r="B195" s="4" t="s">
        <v>4183</v>
      </c>
      <c r="C195" s="4" t="s">
        <v>4184</v>
      </c>
      <c r="D195" s="4" t="s">
        <v>4185</v>
      </c>
      <c r="F195" s="5" t="str">
        <f>IFERROR(__xludf.DUMMYFUNCTION("GOOGLETRANSLATE(A195, ""en"", ""hi"")"),"194")</f>
        <v>194</v>
      </c>
      <c r="G195" s="5" t="str">
        <f>IFERROR(__xludf.DUMMYFUNCTION("GOOGLETRANSLATE(B195, ""en"", ""hi"")"),"लागोरी के समान कौन सा प्राचीन भारतीय खेल ऐतिहासिक ग्रंथों में समन्वय सिखाने के उपकरण के रूप में वर्णित है?")</f>
        <v>लागोरी के समान कौन सा प्राचीन भारतीय खेल ऐतिहासिक ग्रंथों में समन्वय सिखाने के उपकरण के रूप में वर्णित है?</v>
      </c>
      <c r="H195" s="5" t="str">
        <f>IFERROR(__xludf.DUMMYFUNCTION("GOOGLETRANSLATE(C195, ""en"", ""hi"")"),"ए) गिल्ली-डंडा, बी) खो-खो, सी) पिट्टू, डी) कबड्डी")</f>
        <v>ए) गिल्ली-डंडा, बी) खो-खो, सी) पिट्टू, डी) कबड्डी</v>
      </c>
      <c r="I195" s="5" t="str">
        <f>IFERROR(__xludf.DUMMYFUNCTION("GOOGLETRANSLATE(D195, ""en"", ""hi"")"),"C) पिट्टू")</f>
        <v>C) पिट्टू</v>
      </c>
    </row>
    <row r="196" ht="22.5" customHeight="1">
      <c r="A196" s="3">
        <v>195.0</v>
      </c>
      <c r="B196" s="4" t="s">
        <v>4186</v>
      </c>
      <c r="C196" s="4" t="s">
        <v>4147</v>
      </c>
      <c r="D196" s="4" t="s">
        <v>98</v>
      </c>
      <c r="F196" s="5" t="str">
        <f>IFERROR(__xludf.DUMMYFUNCTION("GOOGLETRANSLATE(A196, ""en"", ""hi"")"),"195")</f>
        <v>195</v>
      </c>
      <c r="G196" s="5" t="str">
        <f>IFERROR(__xludf.DUMMYFUNCTION("GOOGLETRANSLATE(B196, ""en"", ""hi"")"),"किस भारतीय राज्य के पारंपरिक खेलों में विशेष रूप से तैयार किए गए पत्थरों से खेले जाने वाले लागोरी का एक संस्करण शामिल है?")</f>
        <v>किस भारतीय राज्य के पारंपरिक खेलों में विशेष रूप से तैयार किए गए पत्थरों से खेले जाने वाले लागोरी का एक संस्करण शामिल है?</v>
      </c>
      <c r="H196" s="5" t="str">
        <f>IFERROR(__xludf.DUMMYFUNCTION("GOOGLETRANSLATE(C196, ""en"", ""hi"")"),"ए) तमिलनाडु, बी) महाराष्ट्र, सी) कर्नाटक, डी) आंध्र प्रदेश")</f>
        <v>ए) तमिलनाडु, बी) महाराष्ट्र, सी) कर्नाटक, डी) आंध्र प्रदेश</v>
      </c>
      <c r="I196" s="5" t="str">
        <f>IFERROR(__xludf.DUMMYFUNCTION("GOOGLETRANSLATE(D196, ""en"", ""hi"")"),"बी) महाराष्ट्र")</f>
        <v>बी) महाराष्ट्र</v>
      </c>
    </row>
    <row r="197" ht="22.5" customHeight="1">
      <c r="A197" s="3">
        <v>196.0</v>
      </c>
      <c r="B197" s="4" t="s">
        <v>4130</v>
      </c>
      <c r="C197" s="4" t="s">
        <v>4187</v>
      </c>
      <c r="D197" s="4" t="s">
        <v>3907</v>
      </c>
      <c r="F197" s="5" t="str">
        <f>IFERROR(__xludf.DUMMYFUNCTION("GOOGLETRANSLATE(A197, ""en"", ""hi"")"),"196")</f>
        <v>196</v>
      </c>
      <c r="G197" s="5" t="str">
        <f>IFERROR(__xludf.DUMMYFUNCTION("GOOGLETRANSLATE(B197, ""en"", ""hi"")"),"किस भारतीय राजा को अपने दरबार और सैनिकों के बीच लागोरी को लोकप्रिय बनाने का श्रेय दिया जाता है?")</f>
        <v>किस भारतीय राजा को अपने दरबार और सैनिकों के बीच लागोरी को लोकप्रिय बनाने का श्रेय दिया जाता है?</v>
      </c>
      <c r="H197" s="5" t="str">
        <f>IFERROR(__xludf.DUMMYFUNCTION("GOOGLETRANSLATE(C197, ""en"", ""hi"")"),"ए) कृष्णदेवराय, बी) राजा राज चोल, सी) शिवाजी महाराज, डी) अशोक")</f>
        <v>ए) कृष्णदेवराय, बी) राजा राज चोल, सी) शिवाजी महाराज, डी) अशोक</v>
      </c>
      <c r="I197" s="5" t="str">
        <f>IFERROR(__xludf.DUMMYFUNCTION("GOOGLETRANSLATE(D197, ""en"", ""hi"")"),"A) कृष्णदेवराय")</f>
        <v>A) कृष्णदेवराय</v>
      </c>
    </row>
    <row r="198" ht="22.5" customHeight="1">
      <c r="A198" s="3">
        <v>197.0</v>
      </c>
      <c r="B198" s="4" t="s">
        <v>4188</v>
      </c>
      <c r="C198" s="4" t="s">
        <v>4189</v>
      </c>
      <c r="D198" s="4" t="s">
        <v>4190</v>
      </c>
      <c r="F198" s="5" t="str">
        <f>IFERROR(__xludf.DUMMYFUNCTION("GOOGLETRANSLATE(A198, ""en"", ""hi"")"),"197")</f>
        <v>197</v>
      </c>
      <c r="G198" s="5" t="str">
        <f>IFERROR(__xludf.DUMMYFUNCTION("GOOGLETRANSLATE(B198, ""en"", ""hi"")"),"किस ऐतिहासिक व्यक्ति ने पारंपरिक खेलों के अपने विस्तृत विवरण में लागोरी के बारे में लिखा है?")</f>
        <v>किस ऐतिहासिक व्यक्ति ने पारंपरिक खेलों के अपने विस्तृत विवरण में लागोरी के बारे में लिखा है?</v>
      </c>
      <c r="H198" s="5" t="str">
        <f>IFERROR(__xludf.DUMMYFUNCTION("GOOGLETRANSLATE(C198, ""en"", ""hi"")"),"A) जहाँगीर, B) अकबर, C) शाहजहाँ, D) औरंगज़ेब")</f>
        <v>A) जहाँगीर, B) अकबर, C) शाहजहाँ, D) औरंगज़ेब</v>
      </c>
      <c r="I198" s="5" t="str">
        <f>IFERROR(__xludf.DUMMYFUNCTION("GOOGLETRANSLATE(D198, ""en"", ""hi"")"),"A) जहाँगीर")</f>
        <v>A) जहाँगीर</v>
      </c>
    </row>
    <row r="199" ht="22.5" customHeight="1">
      <c r="A199" s="3">
        <v>198.0</v>
      </c>
      <c r="B199" s="4" t="s">
        <v>4191</v>
      </c>
      <c r="C199" s="4" t="s">
        <v>4192</v>
      </c>
      <c r="D199" s="4" t="s">
        <v>2893</v>
      </c>
      <c r="F199" s="5" t="str">
        <f>IFERROR(__xludf.DUMMYFUNCTION("GOOGLETRANSLATE(A199, ""en"", ""hi"")"),"198")</f>
        <v>198</v>
      </c>
      <c r="G199" s="5" t="str">
        <f>IFERROR(__xludf.DUMMYFUNCTION("GOOGLETRANSLATE(B199, ""en"", ""hi"")"),"कौन सा भारतीय त्यौहार पारंपरिक रूप से लागोरी माचिस के रूप में मनाया जाता है?")</f>
        <v>कौन सा भारतीय त्यौहार पारंपरिक रूप से लागोरी माचिस के रूप में मनाया जाता है?</v>
      </c>
      <c r="H199" s="5" t="str">
        <f>IFERROR(__xludf.DUMMYFUNCTION("GOOGLETRANSLATE(C199, ""en"", ""hi"")"),"ए) होली, बी) पोंगल, सी) दिवाली, डी) मकर संक्रांति")</f>
        <v>ए) होली, बी) पोंगल, सी) दिवाली, डी) मकर संक्रांति</v>
      </c>
      <c r="I199" s="5" t="str">
        <f>IFERROR(__xludf.DUMMYFUNCTION("GOOGLETRANSLATE(D199, ""en"", ""hi"")"),"D) मकर संक्रांति")</f>
        <v>D) मकर संक्रांति</v>
      </c>
    </row>
    <row r="200" ht="22.5" customHeight="1">
      <c r="A200" s="3">
        <v>199.0</v>
      </c>
      <c r="B200" s="4" t="s">
        <v>4193</v>
      </c>
      <c r="C200" s="4" t="s">
        <v>4139</v>
      </c>
      <c r="D200" s="4" t="s">
        <v>116</v>
      </c>
      <c r="F200" s="5" t="str">
        <f>IFERROR(__xludf.DUMMYFUNCTION("GOOGLETRANSLATE(A200, ""en"", ""hi"")"),"199")</f>
        <v>199</v>
      </c>
      <c r="G200" s="5" t="str">
        <f>IFERROR(__xludf.DUMMYFUNCTION("GOOGLETRANSLATE(B200, ""en"", ""hi"")"),"किस भारतीय राज्य के ऐतिहासिक अभिलेखों में फसल उत्सवों के दौरान लागोरी बजाए जाने का वर्णन मिलता है?")</f>
        <v>किस भारतीय राज्य के ऐतिहासिक अभिलेखों में फसल उत्सवों के दौरान लागोरी बजाए जाने का वर्णन मिलता है?</v>
      </c>
      <c r="H200" s="5" t="str">
        <f>IFERROR(__xludf.DUMMYFUNCTION("GOOGLETRANSLATE(C200, ""en"", ""hi"")"),"ए) कर्नाटक, बी) तमिलनाडु, सी) महाराष्ट्र, डी) आंध्र प्रदेश")</f>
        <v>ए) कर्नाटक, बी) तमिलनाडु, सी) महाराष्ट्र, डी) आंध्र प्रदेश</v>
      </c>
      <c r="I200" s="5" t="str">
        <f>IFERROR(__xludf.DUMMYFUNCTION("GOOGLETRANSLATE(D200, ""en"", ""hi"")"),"A) कर्नाटक")</f>
        <v>A) कर्नाटक</v>
      </c>
    </row>
    <row r="201" ht="22.5" customHeight="1">
      <c r="A201" s="3">
        <v>200.0</v>
      </c>
      <c r="B201" s="4" t="s">
        <v>4194</v>
      </c>
      <c r="C201" s="4" t="s">
        <v>4116</v>
      </c>
      <c r="D201" s="4" t="s">
        <v>2616</v>
      </c>
      <c r="F201" s="5" t="str">
        <f>IFERROR(__xludf.DUMMYFUNCTION("GOOGLETRANSLATE(A201, ""en"", ""hi"")"),"200")</f>
        <v>200</v>
      </c>
      <c r="G201" s="5" t="str">
        <f>IFERROR(__xludf.DUMMYFUNCTION("GOOGLETRANSLATE(B201, ""en"", ""hi"")"),"किस प्राचीन भारतीय ग्रंथ में लागोरी को टीमवर्क और रणनीति सिखाने वाले खेल के रूप में शामिल किया गया है?")</f>
        <v>किस प्राचीन भारतीय ग्रंथ में लागोरी को टीमवर्क और रणनीति सिखाने वाले खेल के रूप में शामिल किया गया है?</v>
      </c>
      <c r="H201" s="5" t="str">
        <f>IFERROR(__xludf.DUMMYFUNCTION("GOOGLETRANSLATE(C201, ""en"", ""hi"")"),"ए) अर्थशास्त्र, बी) मनुस्मृति, सी) भगवद गीता, डी) रामायण")</f>
        <v>ए) अर्थशास्त्र, बी) मनुस्मृति, सी) भगवद गीता, डी) रामायण</v>
      </c>
      <c r="I201" s="5" t="str">
        <f>IFERROR(__xludf.DUMMYFUNCTION("GOOGLETRANSLATE(D201, ""en"", ""hi"")"),"A) अर्थशास्त्र")</f>
        <v>A) अर्थशास्त्र</v>
      </c>
    </row>
    <row r="202" ht="22.5" customHeight="1">
      <c r="A202" s="3">
        <v>201.0</v>
      </c>
      <c r="B202" s="4" t="s">
        <v>4195</v>
      </c>
      <c r="C202" s="4" t="s">
        <v>2588</v>
      </c>
      <c r="D202" s="4" t="s">
        <v>4152</v>
      </c>
      <c r="F202" s="5" t="str">
        <f>IFERROR(__xludf.DUMMYFUNCTION("GOOGLETRANSLATE(A202, ""en"", ""hi"")"),"201")</f>
        <v>201</v>
      </c>
      <c r="G202" s="5" t="str">
        <f>IFERROR(__xludf.DUMMYFUNCTION("GOOGLETRANSLATE(B202, ""en"", ""hi"")"),"कौन सा मुगल सम्राट शाही उत्सवों के दौरान लागोरी सहित पारंपरिक भारतीय खेलों के प्रति अपने उत्साह के लिए जाना जाता है?")</f>
        <v>कौन सा मुगल सम्राट शाही उत्सवों के दौरान लागोरी सहित पारंपरिक भारतीय खेलों के प्रति अपने उत्साह के लिए जाना जाता है?</v>
      </c>
      <c r="H202" s="5" t="str">
        <f>IFERROR(__xludf.DUMMYFUNCTION("GOOGLETRANSLATE(C202, ""en"", ""hi"")"),"A) अकबर, B) जहाँगीर, C) शाहजहाँ, D) औरंगज़ेब")</f>
        <v>A) अकबर, B) जहाँगीर, C) शाहजहाँ, D) औरंगज़ेब</v>
      </c>
      <c r="I202" s="5" t="str">
        <f>IFERROR(__xludf.DUMMYFUNCTION("GOOGLETRANSLATE(D202, ""en"", ""hi"")"),"C) शाहजहाँ")</f>
        <v>C) शाहजहाँ</v>
      </c>
    </row>
    <row r="203" ht="22.5" customHeight="1">
      <c r="A203" s="3">
        <v>202.0</v>
      </c>
      <c r="B203" s="4" t="s">
        <v>4196</v>
      </c>
      <c r="C203" s="4" t="s">
        <v>4131</v>
      </c>
      <c r="D203" s="4" t="s">
        <v>3301</v>
      </c>
      <c r="F203" s="5" t="str">
        <f>IFERROR(__xludf.DUMMYFUNCTION("GOOGLETRANSLATE(A203, ""en"", ""hi"")"),"202")</f>
        <v>202</v>
      </c>
      <c r="G203" s="5" t="str">
        <f>IFERROR(__xludf.DUMMYFUNCTION("GOOGLETRANSLATE(B203, ""en"", ""hi"")"),"कौन सा भारतीय राजा अपने सैन्य प्रशिक्षण और दरबारी गतिविधियों में लागोरी को शामिल करने के लिए प्रसिद्ध है?")</f>
        <v>कौन सा भारतीय राजा अपने सैन्य प्रशिक्षण और दरबारी गतिविधियों में लागोरी को शामिल करने के लिए प्रसिद्ध है?</v>
      </c>
      <c r="H203" s="5" t="str">
        <f>IFERROR(__xludf.DUMMYFUNCTION("GOOGLETRANSLATE(C203, ""en"", ""hi"")"),"ए) राजा राजा चोल, बी) कृष्णदेवराय, सी) शिवाजी महाराज, डी) अशोक")</f>
        <v>ए) राजा राजा चोल, बी) कृष्णदेवराय, सी) शिवाजी महाराज, डी) अशोक</v>
      </c>
      <c r="I203" s="5" t="str">
        <f>IFERROR(__xludf.DUMMYFUNCTION("GOOGLETRANSLATE(D203, ""en"", ""hi"")"),"C) शिवाजी महाराज")</f>
        <v>C) शिवाजी महाराज</v>
      </c>
    </row>
    <row r="204" ht="22.5" customHeight="1">
      <c r="A204" s="3">
        <v>203.0</v>
      </c>
      <c r="B204" s="4" t="s">
        <v>4197</v>
      </c>
      <c r="C204" s="4" t="s">
        <v>4124</v>
      </c>
      <c r="D204" s="4" t="s">
        <v>222</v>
      </c>
      <c r="F204" s="5" t="str">
        <f>IFERROR(__xludf.DUMMYFUNCTION("GOOGLETRANSLATE(A204, ""en"", ""hi"")"),"203")</f>
        <v>203</v>
      </c>
      <c r="G204" s="5" t="str">
        <f>IFERROR(__xludf.DUMMYFUNCTION("GOOGLETRANSLATE(B204, ""en"", ""hi"")"),"किस भारतीय महाकाव्य में प्राचीन योद्धाओं द्वारा खेले जाने वाले लागोरी जैसे खेलों का उल्लेख मिलता है?")</f>
        <v>किस भारतीय महाकाव्य में प्राचीन योद्धाओं द्वारा खेले जाने वाले लागोरी जैसे खेलों का उल्लेख मिलता है?</v>
      </c>
      <c r="H204" s="5" t="str">
        <f>IFERROR(__xludf.DUMMYFUNCTION("GOOGLETRANSLATE(C204, ""en"", ""hi"")"),"ए) महाभारत, बी) रामायण, सी) भागवत पुराण, डी) विष्णु पुराण")</f>
        <v>ए) महाभारत, बी) रामायण, सी) भागवत पुराण, डी) विष्णु पुराण</v>
      </c>
      <c r="I204" s="5" t="str">
        <f>IFERROR(__xludf.DUMMYFUNCTION("GOOGLETRANSLATE(D204, ""en"", ""hi"")"),"A) महाभारत")</f>
        <v>A) महाभारत</v>
      </c>
    </row>
    <row r="205" ht="22.5" customHeight="1">
      <c r="A205" s="3">
        <v>204.0</v>
      </c>
      <c r="B205" s="4" t="s">
        <v>4198</v>
      </c>
      <c r="C205" s="4" t="s">
        <v>3763</v>
      </c>
      <c r="D205" s="4" t="s">
        <v>842</v>
      </c>
      <c r="F205" s="5" t="str">
        <f>IFERROR(__xludf.DUMMYFUNCTION("GOOGLETRANSLATE(A205, ""en"", ""hi"")"),"204")</f>
        <v>204</v>
      </c>
      <c r="G205" s="5" t="str">
        <f>IFERROR(__xludf.DUMMYFUNCTION("GOOGLETRANSLATE(B205, ""en"", ""hi"")"),"किस भारतीय राज्य के पारंपरिक लागोरी खेल में औपचारिक और सजावटी तत्वों की विविधता है?")</f>
        <v>किस भारतीय राज्य के पारंपरिक लागोरी खेल में औपचारिक और सजावटी तत्वों की विविधता है?</v>
      </c>
      <c r="H205" s="5" t="str">
        <f>IFERROR(__xludf.DUMMYFUNCTION("GOOGLETRANSLATE(C205, ""en"", ""hi"")"),"ए) तमिलनाडु, बी) कर्नाटक, सी) महाराष्ट्र, डी) आंध्र प्रदेश")</f>
        <v>ए) तमिलनाडु, बी) कर्नाटक, सी) महाराष्ट्र, डी) आंध्र प्रदेश</v>
      </c>
      <c r="I205" s="5" t="str">
        <f>IFERROR(__xludf.DUMMYFUNCTION("GOOGLETRANSLATE(D205, ""en"", ""hi"")"),"C) महाराष्ट्र")</f>
        <v>C) महाराष्ट्र</v>
      </c>
    </row>
    <row r="206" ht="22.5" customHeight="1">
      <c r="A206" s="3">
        <v>205.0</v>
      </c>
      <c r="B206" s="4" t="s">
        <v>4199</v>
      </c>
      <c r="C206" s="4" t="s">
        <v>4116</v>
      </c>
      <c r="D206" s="4" t="s">
        <v>2616</v>
      </c>
      <c r="F206" s="5" t="str">
        <f>IFERROR(__xludf.DUMMYFUNCTION("GOOGLETRANSLATE(A206, ""en"", ""hi"")"),"205")</f>
        <v>205</v>
      </c>
      <c r="G206" s="5" t="str">
        <f>IFERROR(__xludf.DUMMYFUNCTION("GOOGLETRANSLATE(B206, ""en"", ""hi"")"),"कौन सा ऐतिहासिक ग्रंथ लागोरी को मनोरंजन और सैन्य प्रशिक्षण दोनों के लिए इस्तेमाल किए जाने वाले खेल के रूप में वर्णित करता है?")</f>
        <v>कौन सा ऐतिहासिक ग्रंथ लागोरी को मनोरंजन और सैन्य प्रशिक्षण दोनों के लिए इस्तेमाल किए जाने वाले खेल के रूप में वर्णित करता है?</v>
      </c>
      <c r="H206" s="5" t="str">
        <f>IFERROR(__xludf.DUMMYFUNCTION("GOOGLETRANSLATE(C206, ""en"", ""hi"")"),"ए) अर्थशास्त्र, बी) मनुस्मृति, सी) भगवद गीता, डी) रामायण")</f>
        <v>ए) अर्थशास्त्र, बी) मनुस्मृति, सी) भगवद गीता, डी) रामायण</v>
      </c>
      <c r="I206" s="5" t="str">
        <f>IFERROR(__xludf.DUMMYFUNCTION("GOOGLETRANSLATE(D206, ""en"", ""hi"")"),"A) अर्थशास्त्र")</f>
        <v>A) अर्थशास्त्र</v>
      </c>
    </row>
    <row r="207" ht="22.5" customHeight="1">
      <c r="A207" s="3">
        <v>206.0</v>
      </c>
      <c r="B207" s="4" t="s">
        <v>4200</v>
      </c>
      <c r="C207" s="4" t="s">
        <v>2588</v>
      </c>
      <c r="D207" s="4" t="s">
        <v>2589</v>
      </c>
      <c r="F207" s="5" t="str">
        <f>IFERROR(__xludf.DUMMYFUNCTION("GOOGLETRANSLATE(A207, ""en"", ""hi"")"),"206")</f>
        <v>206</v>
      </c>
      <c r="G207" s="5" t="str">
        <f>IFERROR(__xludf.DUMMYFUNCTION("GOOGLETRANSLATE(B207, ""en"", ""hi"")"),"कौन सा मुगल सम्राट लगोरी जैसे पारंपरिक भारतीय खेलों के प्रचार और संरक्षण से जुड़ा हुआ है?")</f>
        <v>कौन सा मुगल सम्राट लगोरी जैसे पारंपरिक भारतीय खेलों के प्रचार और संरक्षण से जुड़ा हुआ है?</v>
      </c>
      <c r="H207" s="5" t="str">
        <f>IFERROR(__xludf.DUMMYFUNCTION("GOOGLETRANSLATE(C207, ""en"", ""hi"")"),"A) अकबर, B) जहाँगीर, C) शाहजहाँ, D) औरंगज़ेब")</f>
        <v>A) अकबर, B) जहाँगीर, C) शाहजहाँ, D) औरंगज़ेब</v>
      </c>
      <c r="I207" s="5" t="str">
        <f>IFERROR(__xludf.DUMMYFUNCTION("GOOGLETRANSLATE(D207, ""en"", ""hi"")"),"बी) जहांगीर")</f>
        <v>बी) जहांगीर</v>
      </c>
    </row>
    <row r="208" ht="22.5" customHeight="1">
      <c r="A208" s="3">
        <v>207.0</v>
      </c>
      <c r="B208" s="4" t="s">
        <v>4201</v>
      </c>
      <c r="C208" s="4" t="s">
        <v>3939</v>
      </c>
      <c r="D208" s="4" t="s">
        <v>158</v>
      </c>
      <c r="F208" s="5" t="str">
        <f>IFERROR(__xludf.DUMMYFUNCTION("GOOGLETRANSLATE(A208, ""en"", ""hi"")"),"207")</f>
        <v>207</v>
      </c>
      <c r="G208" s="5" t="str">
        <f>IFERROR(__xludf.DUMMYFUNCTION("GOOGLETRANSLATE(B208, ""en"", ""hi"")"),"किस भारतीय राज्य की लोककथाओं में शाही जीत का जश्न मनाने के लिए लागोरी खेलने की कहानियां शामिल हैं?")</f>
        <v>किस भारतीय राज्य की लोककथाओं में शाही जीत का जश्न मनाने के लिए लागोरी खेलने की कहानियां शामिल हैं?</v>
      </c>
      <c r="H208" s="5" t="str">
        <f>IFERROR(__xludf.DUMMYFUNCTION("GOOGLETRANSLATE(C208, ""en"", ""hi"")"),"ए) महाराष्ट्र, बी) तमिलनाडु, सी) कर्नाटक, डी) आंध्र प्रदेश")</f>
        <v>ए) महाराष्ट्र, बी) तमिलनाडु, सी) कर्नाटक, डी) आंध्र प्रदेश</v>
      </c>
      <c r="I208" s="5" t="str">
        <f>IFERROR(__xludf.DUMMYFUNCTION("GOOGLETRANSLATE(D208, ""en"", ""hi"")"),"A) महाराष्ट्र")</f>
        <v>A) महाराष्ट्र</v>
      </c>
    </row>
    <row r="209" ht="22.5" customHeight="1">
      <c r="A209" s="3">
        <v>208.0</v>
      </c>
      <c r="B209" s="4" t="s">
        <v>4202</v>
      </c>
      <c r="C209" s="4" t="s">
        <v>2588</v>
      </c>
      <c r="D209" s="4" t="s">
        <v>4152</v>
      </c>
      <c r="F209" s="5" t="str">
        <f>IFERROR(__xludf.DUMMYFUNCTION("GOOGLETRANSLATE(A209, ""en"", ""hi"")"),"208")</f>
        <v>208</v>
      </c>
      <c r="G209" s="5" t="str">
        <f>IFERROR(__xludf.DUMMYFUNCTION("GOOGLETRANSLATE(B209, ""en"", ""hi"")"),"कौन सा मुगल सम्राट अपने शासनकाल के दौरान लागोरी सहित पारंपरिक भारतीय खेलों के समर्थन के लिए जाना जाता है?")</f>
        <v>कौन सा मुगल सम्राट अपने शासनकाल के दौरान लागोरी सहित पारंपरिक भारतीय खेलों के समर्थन के लिए जाना जाता है?</v>
      </c>
      <c r="H209" s="5" t="str">
        <f>IFERROR(__xludf.DUMMYFUNCTION("GOOGLETRANSLATE(C209, ""en"", ""hi"")"),"A) अकबर, B) जहाँगीर, C) शाहजहाँ, D) औरंगज़ेब")</f>
        <v>A) अकबर, B) जहाँगीर, C) शाहजहाँ, D) औरंगज़ेब</v>
      </c>
      <c r="I209" s="5" t="str">
        <f>IFERROR(__xludf.DUMMYFUNCTION("GOOGLETRANSLATE(D209, ""en"", ""hi"")"),"C) शाहजहाँ")</f>
        <v>C) शाहजहाँ</v>
      </c>
    </row>
    <row r="210" ht="22.5" customHeight="1">
      <c r="A210" s="3">
        <v>209.0</v>
      </c>
      <c r="B210" s="4" t="s">
        <v>4203</v>
      </c>
      <c r="C210" s="4" t="s">
        <v>4131</v>
      </c>
      <c r="D210" s="4" t="s">
        <v>4132</v>
      </c>
      <c r="F210" s="5" t="str">
        <f>IFERROR(__xludf.DUMMYFUNCTION("GOOGLETRANSLATE(A210, ""en"", ""hi"")"),"209")</f>
        <v>209</v>
      </c>
      <c r="G210" s="5" t="str">
        <f>IFERROR(__xludf.DUMMYFUNCTION("GOOGLETRANSLATE(B210, ""en"", ""hi"")"),"कौन सा भारतीय राजा दरबारी और सैन्य दोनों स्थितियों में लागोरी के प्रयोग के लिए प्रसिद्ध है?")</f>
        <v>कौन सा भारतीय राजा दरबारी और सैन्य दोनों स्थितियों में लागोरी के प्रयोग के लिए प्रसिद्ध है?</v>
      </c>
      <c r="H210" s="5" t="str">
        <f>IFERROR(__xludf.DUMMYFUNCTION("GOOGLETRANSLATE(C210, ""en"", ""hi"")"),"ए) राजा राजा चोल, बी) कृष्णदेवराय, सी) शिवाजी महाराज, डी) अशोक")</f>
        <v>ए) राजा राजा चोल, बी) कृष्णदेवराय, सी) शिवाजी महाराज, डी) अशोक</v>
      </c>
      <c r="I210" s="5" t="str">
        <f>IFERROR(__xludf.DUMMYFUNCTION("GOOGLETRANSLATE(D210, ""en"", ""hi"")"),"बी) कृष्णदेवराय")</f>
        <v>बी) कृष्णदेवराय</v>
      </c>
    </row>
    <row r="211" ht="22.5" customHeight="1">
      <c r="A211" s="3">
        <v>210.0</v>
      </c>
      <c r="B211" s="4" t="s">
        <v>4204</v>
      </c>
      <c r="C211" s="4" t="s">
        <v>4116</v>
      </c>
      <c r="D211" s="4" t="s">
        <v>2616</v>
      </c>
      <c r="F211" s="5" t="str">
        <f>IFERROR(__xludf.DUMMYFUNCTION("GOOGLETRANSLATE(A211, ""en"", ""hi"")"),"210")</f>
        <v>210</v>
      </c>
      <c r="G211" s="5" t="str">
        <f>IFERROR(__xludf.DUMMYFUNCTION("GOOGLETRANSLATE(B211, ""en"", ""hi"")"),"कौन सा ऐतिहासिक ग्रंथ रणनीतिक कौशल विकसित करने के लिए इस्तेमाल किए जाने वाले खेल के रूप में लागोरी का विवरण प्रदान करता है?")</f>
        <v>कौन सा ऐतिहासिक ग्रंथ रणनीतिक कौशल विकसित करने के लिए इस्तेमाल किए जाने वाले खेल के रूप में लागोरी का विवरण प्रदान करता है?</v>
      </c>
      <c r="H211" s="5" t="str">
        <f>IFERROR(__xludf.DUMMYFUNCTION("GOOGLETRANSLATE(C211, ""en"", ""hi"")"),"ए) अर्थशास्त्र, बी) मनुस्मृति, सी) भगवद गीता, डी) रामायण")</f>
        <v>ए) अर्थशास्त्र, बी) मनुस्मृति, सी) भगवद गीता, डी) रामायण</v>
      </c>
      <c r="I211" s="5" t="str">
        <f>IFERROR(__xludf.DUMMYFUNCTION("GOOGLETRANSLATE(D211, ""en"", ""hi"")"),"A) अर्थशास्त्र")</f>
        <v>A) अर्थशास्त्र</v>
      </c>
    </row>
    <row r="212" ht="22.5" customHeight="1">
      <c r="A212" s="3">
        <v>211.0</v>
      </c>
      <c r="B212" s="4" t="s">
        <v>4205</v>
      </c>
      <c r="C212" s="4" t="s">
        <v>2588</v>
      </c>
      <c r="D212" s="4" t="s">
        <v>2556</v>
      </c>
      <c r="F212" s="5" t="str">
        <f>IFERROR(__xludf.DUMMYFUNCTION("GOOGLETRANSLATE(A212, ""en"", ""hi"")"),"211")</f>
        <v>211</v>
      </c>
      <c r="G212" s="5" t="str">
        <f>IFERROR(__xludf.DUMMYFUNCTION("GOOGLETRANSLATE(B212, ""en"", ""hi"")"),"कौन सा मुगल शासक अपने शाही दरबार की मनोरंजक गतिविधियों में लागोरी को शामिल करने के लिए जाना जाता है?")</f>
        <v>कौन सा मुगल शासक अपने शाही दरबार की मनोरंजक गतिविधियों में लागोरी को शामिल करने के लिए जाना जाता है?</v>
      </c>
      <c r="H212" s="5" t="str">
        <f>IFERROR(__xludf.DUMMYFUNCTION("GOOGLETRANSLATE(C212, ""en"", ""hi"")"),"A) अकबर, B) जहाँगीर, C) शाहजहाँ, D) औरंगज़ेब")</f>
        <v>A) अकबर, B) जहाँगीर, C) शाहजहाँ, D) औरंगज़ेब</v>
      </c>
      <c r="I212" s="5" t="str">
        <f>IFERROR(__xludf.DUMMYFUNCTION("GOOGLETRANSLATE(D212, ""en"", ""hi"")"),"A) अकबर")</f>
        <v>A) अकबर</v>
      </c>
    </row>
    <row r="213" ht="22.5" customHeight="1">
      <c r="A213" s="3">
        <v>212.0</v>
      </c>
      <c r="B213" s="4" t="s">
        <v>4206</v>
      </c>
      <c r="C213" s="4" t="s">
        <v>4147</v>
      </c>
      <c r="D213" s="4" t="s">
        <v>98</v>
      </c>
      <c r="F213" s="5" t="str">
        <f>IFERROR(__xludf.DUMMYFUNCTION("GOOGLETRANSLATE(A213, ""en"", ""hi"")"),"212")</f>
        <v>212</v>
      </c>
      <c r="G213" s="5" t="str">
        <f>IFERROR(__xludf.DUMMYFUNCTION("GOOGLETRANSLATE(B213, ""en"", ""hi"")"),"किस भारतीय राज्य के ऐतिहासिक विवरणों में पारंपरिक त्योहारों के दौरान लागोरी बजाए जाने का उल्लेख मिलता है?")</f>
        <v>किस भारतीय राज्य के ऐतिहासिक विवरणों में पारंपरिक त्योहारों के दौरान लागोरी बजाए जाने का उल्लेख मिलता है?</v>
      </c>
      <c r="H213" s="5" t="str">
        <f>IFERROR(__xludf.DUMMYFUNCTION("GOOGLETRANSLATE(C213, ""en"", ""hi"")"),"ए) तमिलनाडु, बी) महाराष्ट्र, सी) कर्नाटक, डी) आंध्र प्रदेश")</f>
        <v>ए) तमिलनाडु, बी) महाराष्ट्र, सी) कर्नाटक, डी) आंध्र प्रदेश</v>
      </c>
      <c r="I213" s="5" t="str">
        <f>IFERROR(__xludf.DUMMYFUNCTION("GOOGLETRANSLATE(D213, ""en"", ""hi"")"),"बी) महाराष्ट्र")</f>
        <v>बी) महाराष्ट्र</v>
      </c>
    </row>
    <row r="214" ht="22.5" customHeight="1">
      <c r="A214" s="3">
        <v>213.0</v>
      </c>
      <c r="B214" s="4" t="s">
        <v>4207</v>
      </c>
      <c r="C214" s="4" t="s">
        <v>4128</v>
      </c>
      <c r="D214" s="4" t="s">
        <v>3451</v>
      </c>
      <c r="F214" s="5" t="str">
        <f>IFERROR(__xludf.DUMMYFUNCTION("GOOGLETRANSLATE(A214, ""en"", ""hi"")"),"213")</f>
        <v>213</v>
      </c>
      <c r="G214" s="5" t="str">
        <f>IFERROR(__xludf.DUMMYFUNCTION("GOOGLETRANSLATE(B214, ""en"", ""hi"")"),"कौन से प्राचीन भारतीय दार्शनिक अपने कार्यों में रणनीतिक योजना के रूपक के रूप में लागोरी को शामिल करने के लिए जाने जाते हैं?")</f>
        <v>कौन से प्राचीन भारतीय दार्शनिक अपने कार्यों में रणनीतिक योजना के रूपक के रूप में लागोरी को शामिल करने के लिए जाने जाते हैं?</v>
      </c>
      <c r="H214" s="5" t="str">
        <f>IFERROR(__xludf.DUMMYFUNCTION("GOOGLETRANSLATE(C214, ""en"", ""hi"")"),"ए)चाणक्य,बी)पतंजलि,सी)रामकृष्ण परमहंस,डी)स्वामी विवेकानन्द")</f>
        <v>ए)चाणक्य,बी)पतंजलि,सी)रामकृष्ण परमहंस,डी)स्वामी विवेकानन्द</v>
      </c>
      <c r="I214" s="5" t="str">
        <f>IFERROR(__xludf.DUMMYFUNCTION("GOOGLETRANSLATE(D214, ""en"", ""hi"")"),"A) चाणक्य")</f>
        <v>A) चाणक्य</v>
      </c>
    </row>
    <row r="215" ht="22.5" customHeight="1">
      <c r="A215" s="3">
        <v>214.0</v>
      </c>
      <c r="B215" s="4" t="s">
        <v>4208</v>
      </c>
      <c r="C215" s="4" t="s">
        <v>3934</v>
      </c>
      <c r="D215" s="4" t="s">
        <v>2544</v>
      </c>
      <c r="F215" s="5" t="str">
        <f>IFERROR(__xludf.DUMMYFUNCTION("GOOGLETRANSLATE(A215, ""en"", ""hi"")"),"214")</f>
        <v>214</v>
      </c>
      <c r="G215" s="5" t="str">
        <f>IFERROR(__xludf.DUMMYFUNCTION("GOOGLETRANSLATE(B215, ""en"", ""hi"")"),"किस भारतीय महाकाव्य में शाही आयोजनों के दौरान खेले जाने वाले लागोरी जैसे खेलों का उल्लेख मिलता है?")</f>
        <v>किस भारतीय महाकाव्य में शाही आयोजनों के दौरान खेले जाने वाले लागोरी जैसे खेलों का उल्लेख मिलता है?</v>
      </c>
      <c r="H215" s="5" t="str">
        <f>IFERROR(__xludf.DUMMYFUNCTION("GOOGLETRANSLATE(C215, ""en"", ""hi"")"),"ए) रामायण, बी) महाभारत, सी) भागवत पुराण, डी) विष्णु पुराण")</f>
        <v>ए) रामायण, बी) महाभारत, सी) भागवत पुराण, डी) विष्णु पुराण</v>
      </c>
      <c r="I215" s="5" t="str">
        <f>IFERROR(__xludf.DUMMYFUNCTION("GOOGLETRANSLATE(D215, ""en"", ""hi"")"),"बी) महाभारत")</f>
        <v>बी) महाभारत</v>
      </c>
    </row>
    <row r="216" ht="22.5" customHeight="1">
      <c r="A216" s="3">
        <v>215.0</v>
      </c>
      <c r="B216" s="4" t="s">
        <v>4209</v>
      </c>
      <c r="C216" s="4" t="s">
        <v>4189</v>
      </c>
      <c r="D216" s="4" t="s">
        <v>4190</v>
      </c>
      <c r="F216" s="5" t="str">
        <f>IFERROR(__xludf.DUMMYFUNCTION("GOOGLETRANSLATE(A216, ""en"", ""hi"")"),"215")</f>
        <v>215</v>
      </c>
      <c r="G216" s="5" t="str">
        <f>IFERROR(__xludf.DUMMYFUNCTION("GOOGLETRANSLATE(B216, ""en"", ""hi"")"),"मुगल काल के किस ऐतिहासिक व्यक्ति को लागोरी सहित पारंपरिक भारतीय खेलों का दस्तावेजीकरण करने का श्रेय दिया जाता है?")</f>
        <v>मुगल काल के किस ऐतिहासिक व्यक्ति को लागोरी सहित पारंपरिक भारतीय खेलों का दस्तावेजीकरण करने का श्रेय दिया जाता है?</v>
      </c>
      <c r="H216" s="5" t="str">
        <f>IFERROR(__xludf.DUMMYFUNCTION("GOOGLETRANSLATE(C216, ""en"", ""hi"")"),"A) जहाँगीर, B) अकबर, C) शाहजहाँ, D) औरंगज़ेब")</f>
        <v>A) जहाँगीर, B) अकबर, C) शाहजहाँ, D) औरंगज़ेब</v>
      </c>
      <c r="I216" s="5" t="str">
        <f>IFERROR(__xludf.DUMMYFUNCTION("GOOGLETRANSLATE(D216, ""en"", ""hi"")"),"A) जहाँगीर")</f>
        <v>A) जहाँगीर</v>
      </c>
    </row>
    <row r="217" ht="22.5" customHeight="1">
      <c r="A217" s="3">
        <v>216.0</v>
      </c>
      <c r="B217" s="4" t="s">
        <v>4210</v>
      </c>
      <c r="C217" s="4" t="s">
        <v>4139</v>
      </c>
      <c r="D217" s="4" t="s">
        <v>842</v>
      </c>
      <c r="F217" s="5" t="str">
        <f>IFERROR(__xludf.DUMMYFUNCTION("GOOGLETRANSLATE(A217, ""en"", ""hi"")"),"216")</f>
        <v>216</v>
      </c>
      <c r="G217" s="5" t="str">
        <f>IFERROR(__xludf.DUMMYFUNCTION("GOOGLETRANSLATE(B217, ""en"", ""hi"")"),"किस भारतीय राज्य के पारंपरिक लागोरी खेल में विशेष रूप से औपचारिक प्रयोजनों के लिए तैयार किए गए पत्थरों का उपयोग किया जाता है?")</f>
        <v>किस भारतीय राज्य के पारंपरिक लागोरी खेल में विशेष रूप से औपचारिक प्रयोजनों के लिए तैयार किए गए पत्थरों का उपयोग किया जाता है?</v>
      </c>
      <c r="H217" s="5" t="str">
        <f>IFERROR(__xludf.DUMMYFUNCTION("GOOGLETRANSLATE(C217, ""en"", ""hi"")"),"ए) कर्नाटक, बी) तमिलनाडु, सी) महाराष्ट्र, डी) आंध्र प्रदेश")</f>
        <v>ए) कर्नाटक, बी) तमिलनाडु, सी) महाराष्ट्र, डी) आंध्र प्रदेश</v>
      </c>
      <c r="I217" s="5" t="str">
        <f>IFERROR(__xludf.DUMMYFUNCTION("GOOGLETRANSLATE(D217, ""en"", ""hi"")"),"C) महाराष्ट्र")</f>
        <v>C) महाराष्ट्र</v>
      </c>
    </row>
    <row r="218" ht="22.5" customHeight="1">
      <c r="A218" s="3">
        <v>217.0</v>
      </c>
      <c r="B218" s="4" t="s">
        <v>4211</v>
      </c>
      <c r="C218" s="4" t="s">
        <v>4212</v>
      </c>
      <c r="D218" s="4" t="s">
        <v>4164</v>
      </c>
      <c r="F218" s="5" t="str">
        <f>IFERROR(__xludf.DUMMYFUNCTION("GOOGLETRANSLATE(A218, ""en"", ""hi"")"),"217")</f>
        <v>217</v>
      </c>
      <c r="G218" s="5" t="str">
        <f>IFERROR(__xludf.DUMMYFUNCTION("GOOGLETRANSLATE(B218, ""en"", ""hi"")"),"कौन सा भारतीय राजा मनोरंजक गतिविधि और सैन्य प्रशिक्षण उपकरण दोनों के रूप में लागोरी में अपनी रुचि के लिए जाना जाता है?")</f>
        <v>कौन सा भारतीय राजा मनोरंजक गतिविधि और सैन्य प्रशिक्षण उपकरण दोनों के रूप में लागोरी में अपनी रुचि के लिए जाना जाता है?</v>
      </c>
      <c r="H218" s="5" t="str">
        <f>IFERROR(__xludf.DUMMYFUNCTION("GOOGLETRANSLATE(C218, ""en"", ""hi"")"),"ए) शिवाजी महाराज, बी) राजा राजा चोल, सी) कृष्णदेवराय, डी) अशोक")</f>
        <v>ए) शिवाजी महाराज, बी) राजा राजा चोल, सी) कृष्णदेवराय, डी) अशोक</v>
      </c>
      <c r="I218" s="5" t="str">
        <f>IFERROR(__xludf.DUMMYFUNCTION("GOOGLETRANSLATE(D218, ""en"", ""hi"")"),"A) शिवाजी महाराज")</f>
        <v>A) शिवाजी महाराज</v>
      </c>
    </row>
    <row r="219" ht="22.5" customHeight="1">
      <c r="A219" s="3">
        <v>218.0</v>
      </c>
      <c r="B219" s="4" t="s">
        <v>4213</v>
      </c>
      <c r="C219" s="4" t="s">
        <v>4116</v>
      </c>
      <c r="D219" s="4" t="s">
        <v>2616</v>
      </c>
      <c r="F219" s="5" t="str">
        <f>IFERROR(__xludf.DUMMYFUNCTION("GOOGLETRANSLATE(A219, ""en"", ""hi"")"),"218")</f>
        <v>218</v>
      </c>
      <c r="G219" s="5" t="str">
        <f>IFERROR(__xludf.DUMMYFUNCTION("GOOGLETRANSLATE(B219, ""en"", ""hi"")"),"कौन सा ऐतिहासिक ग्रंथ लागोरी को एक ऐसे खेल के उदाहरण के रूप में शामिल करने के लिए जाना जाता है जिसमें रणनीतिक सोच की आवश्यकता होती है?")</f>
        <v>कौन सा ऐतिहासिक ग्रंथ लागोरी को एक ऐसे खेल के उदाहरण के रूप में शामिल करने के लिए जाना जाता है जिसमें रणनीतिक सोच की आवश्यकता होती है?</v>
      </c>
      <c r="H219" s="5" t="str">
        <f>IFERROR(__xludf.DUMMYFUNCTION("GOOGLETRANSLATE(C219, ""en"", ""hi"")"),"ए) अर्थशास्त्र, बी) मनुस्मृति, सी) भगवद गीता, डी) रामायण")</f>
        <v>ए) अर्थशास्त्र, बी) मनुस्मृति, सी) भगवद गीता, डी) रामायण</v>
      </c>
      <c r="I219" s="5" t="str">
        <f>IFERROR(__xludf.DUMMYFUNCTION("GOOGLETRANSLATE(D219, ""en"", ""hi"")"),"A) अर्थशास्त्र")</f>
        <v>A) अर्थशास्त्र</v>
      </c>
    </row>
    <row r="220" ht="22.5" customHeight="1">
      <c r="A220" s="3">
        <v>219.0</v>
      </c>
      <c r="B220" s="4" t="s">
        <v>4214</v>
      </c>
      <c r="C220" s="4" t="s">
        <v>2588</v>
      </c>
      <c r="D220" s="4" t="s">
        <v>4152</v>
      </c>
      <c r="F220" s="5" t="str">
        <f>IFERROR(__xludf.DUMMYFUNCTION("GOOGLETRANSLATE(A220, ""en"", ""hi"")"),"219")</f>
        <v>219</v>
      </c>
      <c r="G220" s="5" t="str">
        <f>IFERROR(__xludf.DUMMYFUNCTION("GOOGLETRANSLATE(B220, ""en"", ""hi"")"),"कौन सा मुगल सम्राट लगोरी को शाही मनोरंजन के रूप में बढ़ावा देने में अपनी भूमिका के लिए जाना जाता है?")</f>
        <v>कौन सा मुगल सम्राट लगोरी को शाही मनोरंजन के रूप में बढ़ावा देने में अपनी भूमिका के लिए जाना जाता है?</v>
      </c>
      <c r="H220" s="5" t="str">
        <f>IFERROR(__xludf.DUMMYFUNCTION("GOOGLETRANSLATE(C220, ""en"", ""hi"")"),"A) अकबर, B) जहाँगीर, C) शाहजहाँ, D) औरंगज़ेब")</f>
        <v>A) अकबर, B) जहाँगीर, C) शाहजहाँ, D) औरंगज़ेब</v>
      </c>
      <c r="I220" s="5" t="str">
        <f>IFERROR(__xludf.DUMMYFUNCTION("GOOGLETRANSLATE(D220, ""en"", ""hi"")"),"C) शाहजहाँ")</f>
        <v>C) शाहजहाँ</v>
      </c>
    </row>
    <row r="221" ht="22.5" customHeight="1">
      <c r="A221" s="3">
        <v>220.0</v>
      </c>
      <c r="B221" s="4" t="s">
        <v>4215</v>
      </c>
      <c r="C221" s="4" t="s">
        <v>3763</v>
      </c>
      <c r="D221" s="4" t="s">
        <v>3764</v>
      </c>
      <c r="F221" s="5" t="str">
        <f>IFERROR(__xludf.DUMMYFUNCTION("GOOGLETRANSLATE(A221, ""en"", ""hi"")"),"220")</f>
        <v>220</v>
      </c>
      <c r="G221" s="5" t="str">
        <f>IFERROR(__xludf.DUMMYFUNCTION("GOOGLETRANSLATE(B221, ""en"", ""hi"")"),"किस भारतीय राज्य की लोककथाओं में प्रमुख त्योहारों के दौरान उत्सव के खेल के रूप में लागोरी का उपयोग किया जाता है?")</f>
        <v>किस भारतीय राज्य की लोककथाओं में प्रमुख त्योहारों के दौरान उत्सव के खेल के रूप में लागोरी का उपयोग किया जाता है?</v>
      </c>
      <c r="H221" s="5" t="str">
        <f>IFERROR(__xludf.DUMMYFUNCTION("GOOGLETRANSLATE(C221, ""en"", ""hi"")"),"ए) तमिलनाडु, बी) कर्नाटक, सी) महाराष्ट्र, डी) आंध्र प्रदेश")</f>
        <v>ए) तमिलनाडु, बी) कर्नाटक, सी) महाराष्ट्र, डी) आंध्र प्रदेश</v>
      </c>
      <c r="I221" s="5" t="str">
        <f>IFERROR(__xludf.DUMMYFUNCTION("GOOGLETRANSLATE(D221, ""en"", ""hi"")"),"बी) कर्नाटक")</f>
        <v>बी) कर्नाटक</v>
      </c>
    </row>
    <row r="222" ht="22.5" customHeight="1">
      <c r="A222" s="3">
        <v>221.0</v>
      </c>
      <c r="B222" s="4" t="s">
        <v>4216</v>
      </c>
      <c r="C222" s="4" t="s">
        <v>4124</v>
      </c>
      <c r="D222" s="4" t="s">
        <v>222</v>
      </c>
      <c r="F222" s="5" t="str">
        <f>IFERROR(__xludf.DUMMYFUNCTION("GOOGLETRANSLATE(A222, ""en"", ""hi"")"),"221")</f>
        <v>221</v>
      </c>
      <c r="G222" s="5" t="str">
        <f>IFERROR(__xludf.DUMMYFUNCTION("GOOGLETRANSLATE(B222, ""en"", ""hi"")"),"किस भारतीय महाकाव्य में प्राचीन काल में मनोरंजन के रूप में खेले जाने वाले लागोरी जैसे खेलों का उल्लेख है?")</f>
        <v>किस भारतीय महाकाव्य में प्राचीन काल में मनोरंजन के रूप में खेले जाने वाले लागोरी जैसे खेलों का उल्लेख है?</v>
      </c>
      <c r="H222" s="5" t="str">
        <f>IFERROR(__xludf.DUMMYFUNCTION("GOOGLETRANSLATE(C222, ""en"", ""hi"")"),"ए) महाभारत, बी) रामायण, सी) भागवत पुराण, डी) विष्णु पुराण")</f>
        <v>ए) महाभारत, बी) रामायण, सी) भागवत पुराण, डी) विष्णु पुराण</v>
      </c>
      <c r="I222" s="5" t="str">
        <f>IFERROR(__xludf.DUMMYFUNCTION("GOOGLETRANSLATE(D222, ""en"", ""hi"")"),"A) महाभारत")</f>
        <v>A) महाभारत</v>
      </c>
    </row>
    <row r="223" ht="22.5" customHeight="1">
      <c r="A223" s="3">
        <v>222.0</v>
      </c>
      <c r="B223" s="4" t="s">
        <v>4217</v>
      </c>
      <c r="C223" s="4" t="s">
        <v>4189</v>
      </c>
      <c r="D223" s="4" t="s">
        <v>4190</v>
      </c>
      <c r="F223" s="5" t="str">
        <f>IFERROR(__xludf.DUMMYFUNCTION("GOOGLETRANSLATE(A223, ""en"", ""hi"")"),"222")</f>
        <v>222</v>
      </c>
      <c r="G223" s="5" t="str">
        <f>IFERROR(__xludf.DUMMYFUNCTION("GOOGLETRANSLATE(B223, ""en"", ""hi"")"),"मुगल दरबार के किस ऐतिहासिक व्यक्ति को लगोरी सहित पारंपरिक भारतीय खेलों पर उनके विस्तृत अभिलेखों के लिए जाना जाता है?")</f>
        <v>मुगल दरबार के किस ऐतिहासिक व्यक्ति को लगोरी सहित पारंपरिक भारतीय खेलों पर उनके विस्तृत अभिलेखों के लिए जाना जाता है?</v>
      </c>
      <c r="H223" s="5" t="str">
        <f>IFERROR(__xludf.DUMMYFUNCTION("GOOGLETRANSLATE(C223, ""en"", ""hi"")"),"A) जहाँगीर, B) अकबर, C) शाहजहाँ, D) औरंगज़ेब")</f>
        <v>A) जहाँगीर, B) अकबर, C) शाहजहाँ, D) औरंगज़ेब</v>
      </c>
      <c r="I223" s="5" t="str">
        <f>IFERROR(__xludf.DUMMYFUNCTION("GOOGLETRANSLATE(D223, ""en"", ""hi"")"),"A) जहाँगीर")</f>
        <v>A) जहाँगीर</v>
      </c>
    </row>
    <row r="224" ht="22.5" customHeight="1">
      <c r="A224" s="3">
        <v>223.0</v>
      </c>
      <c r="B224" s="4" t="s">
        <v>4218</v>
      </c>
      <c r="C224" s="4" t="s">
        <v>3939</v>
      </c>
      <c r="D224" s="4" t="s">
        <v>158</v>
      </c>
      <c r="F224" s="5" t="str">
        <f>IFERROR(__xludf.DUMMYFUNCTION("GOOGLETRANSLATE(A224, ""en"", ""hi"")"),"223")</f>
        <v>223</v>
      </c>
      <c r="G224" s="5" t="str">
        <f>IFERROR(__xludf.DUMMYFUNCTION("GOOGLETRANSLATE(B224, ""en"", ""hi"")"),"किस भारतीय राज्य का पारंपरिक लागोरी खेल औपचारिक और प्रतीकात्मक पत्थरों के साथ खेला जाता है?")</f>
        <v>किस भारतीय राज्य का पारंपरिक लागोरी खेल औपचारिक और प्रतीकात्मक पत्थरों के साथ खेला जाता है?</v>
      </c>
      <c r="H224" s="5" t="str">
        <f>IFERROR(__xludf.DUMMYFUNCTION("GOOGLETRANSLATE(C224, ""en"", ""hi"")"),"ए) महाराष्ट्र, बी) तमिलनाडु, सी) कर्नाटक, डी) आंध्र प्रदेश")</f>
        <v>ए) महाराष्ट्र, बी) तमिलनाडु, सी) कर्नाटक, डी) आंध्र प्रदेश</v>
      </c>
      <c r="I224" s="5" t="str">
        <f>IFERROR(__xludf.DUMMYFUNCTION("GOOGLETRANSLATE(D224, ""en"", ""hi"")"),"A) महाराष्ट्र")</f>
        <v>A) महाराष्ट्र</v>
      </c>
    </row>
    <row r="225" ht="22.5" customHeight="1">
      <c r="A225" s="3">
        <v>224.0</v>
      </c>
      <c r="B225" s="4" t="s">
        <v>4219</v>
      </c>
      <c r="C225" s="4" t="s">
        <v>4220</v>
      </c>
      <c r="D225" s="4" t="s">
        <v>3907</v>
      </c>
      <c r="F225" s="5" t="str">
        <f>IFERROR(__xludf.DUMMYFUNCTION("GOOGLETRANSLATE(A225, ""en"", ""hi"")"),"224")</f>
        <v>224</v>
      </c>
      <c r="G225" s="5" t="str">
        <f>IFERROR(__xludf.DUMMYFUNCTION("GOOGLETRANSLATE(B225, ""en"", ""hi"")"),"किस भारतीय राजा को अपने सैन्य अधिकारियों के प्रशिक्षण के पाठ्यक्रम में लागोरी को शामिल करने का श्रेय दिया जाता है?")</f>
        <v>किस भारतीय राजा को अपने सैन्य अधिकारियों के प्रशिक्षण के पाठ्यक्रम में लागोरी को शामिल करने का श्रेय दिया जाता है?</v>
      </c>
      <c r="H225" s="5" t="str">
        <f>IFERROR(__xludf.DUMMYFUNCTION("GOOGLETRANSLATE(C225, ""en"", ""hi"")"),"ए) कृष्णदेवराय, बी) शिवाजी महाराज, सी) राजा राजा चोल, डी) अशोक")</f>
        <v>ए) कृष्णदेवराय, बी) शिवाजी महाराज, सी) राजा राजा चोल, डी) अशोक</v>
      </c>
      <c r="I225" s="5" t="str">
        <f>IFERROR(__xludf.DUMMYFUNCTION("GOOGLETRANSLATE(D225, ""en"", ""hi"")"),"A) कृष्णदेवराय")</f>
        <v>A) कृष्णदेवराय</v>
      </c>
    </row>
    <row r="226" ht="22.5" customHeight="1">
      <c r="A226" s="3">
        <v>225.0</v>
      </c>
      <c r="B226" s="4" t="s">
        <v>4221</v>
      </c>
      <c r="C226" s="4" t="s">
        <v>2588</v>
      </c>
      <c r="D226" s="4" t="s">
        <v>4152</v>
      </c>
      <c r="F226" s="5" t="str">
        <f>IFERROR(__xludf.DUMMYFUNCTION("GOOGLETRANSLATE(A226, ""en"", ""hi"")"),"225")</f>
        <v>225</v>
      </c>
      <c r="G226" s="5" t="str">
        <f>IFERROR(__xludf.DUMMYFUNCTION("GOOGLETRANSLATE(B226, ""en"", ""hi"")"),"कौन सा मुगल सम्राट लगोरी सहित पारंपरिक भारतीय खेलों के उत्सव से जुड़ा हुआ है?")</f>
        <v>कौन सा मुगल सम्राट लगोरी सहित पारंपरिक भारतीय खेलों के उत्सव से जुड़ा हुआ है?</v>
      </c>
      <c r="H226" s="5" t="str">
        <f>IFERROR(__xludf.DUMMYFUNCTION("GOOGLETRANSLATE(C226, ""en"", ""hi"")"),"A) अकबर, B) जहाँगीर, C) शाहजहाँ, D) औरंगज़ेब")</f>
        <v>A) अकबर, B) जहाँगीर, C) शाहजहाँ, D) औरंगज़ेब</v>
      </c>
      <c r="I226" s="5" t="str">
        <f>IFERROR(__xludf.DUMMYFUNCTION("GOOGLETRANSLATE(D226, ""en"", ""hi"")"),"C) शाहजहाँ")</f>
        <v>C) शाहजहाँ</v>
      </c>
    </row>
    <row r="227" ht="22.5" customHeight="1">
      <c r="A227" s="3">
        <v>226.0</v>
      </c>
      <c r="B227" s="4" t="s">
        <v>4222</v>
      </c>
      <c r="C227" s="4" t="s">
        <v>4139</v>
      </c>
      <c r="D227" s="4" t="s">
        <v>842</v>
      </c>
      <c r="F227" s="5" t="str">
        <f>IFERROR(__xludf.DUMMYFUNCTION("GOOGLETRANSLATE(A227, ""en"", ""hi"")"),"226")</f>
        <v>226</v>
      </c>
      <c r="G227" s="5" t="str">
        <f>IFERROR(__xludf.DUMMYFUNCTION("GOOGLETRANSLATE(B227, ""en"", ""hi"")"),"किस भारतीय राज्य की लोककथा में लागोरी को एक खेल के रूप में शामिल किया गया है जिसका उपयोग महत्वपूर्ण घटनाओं और जीत का जश्न मनाने के लिए किया जाता है?")</f>
        <v>किस भारतीय राज्य की लोककथा में लागोरी को एक खेल के रूप में शामिल किया गया है जिसका उपयोग महत्वपूर्ण घटनाओं और जीत का जश्न मनाने के लिए किया जाता है?</v>
      </c>
      <c r="H227" s="5" t="str">
        <f>IFERROR(__xludf.DUMMYFUNCTION("GOOGLETRANSLATE(C227, ""en"", ""hi"")"),"ए) कर्नाटक, बी) तमिलनाडु, सी) महाराष्ट्र, डी) आंध्र प्रदेश")</f>
        <v>ए) कर्नाटक, बी) तमिलनाडु, सी) महाराष्ट्र, डी) आंध्र प्रदेश</v>
      </c>
      <c r="I227" s="5" t="str">
        <f>IFERROR(__xludf.DUMMYFUNCTION("GOOGLETRANSLATE(D227, ""en"", ""hi"")"),"C) महाराष्ट्र")</f>
        <v>C) महाराष्ट्र</v>
      </c>
    </row>
    <row r="228" ht="22.5" customHeight="1">
      <c r="A228" s="3">
        <v>227.0</v>
      </c>
      <c r="B228" s="4" t="s">
        <v>4223</v>
      </c>
      <c r="C228" s="4" t="s">
        <v>4116</v>
      </c>
      <c r="D228" s="4" t="s">
        <v>2616</v>
      </c>
      <c r="F228" s="5" t="str">
        <f>IFERROR(__xludf.DUMMYFUNCTION("GOOGLETRANSLATE(A228, ""en"", ""hi"")"),"227")</f>
        <v>227</v>
      </c>
      <c r="G228" s="5" t="str">
        <f>IFERROR(__xludf.DUMMYFUNCTION("GOOGLETRANSLATE(B228, ""en"", ""hi"")"),"कौन सा प्राचीन भारतीय ग्रंथ रणनीतिक सोच और टीमवर्क विकसित करने के लिए इस्तेमाल किए जाने वाले खेल के रूप में लागोरी का विवरण प्रदान करता है?")</f>
        <v>कौन सा प्राचीन भारतीय ग्रंथ रणनीतिक सोच और टीमवर्क विकसित करने के लिए इस्तेमाल किए जाने वाले खेल के रूप में लागोरी का विवरण प्रदान करता है?</v>
      </c>
      <c r="H228" s="5" t="str">
        <f>IFERROR(__xludf.DUMMYFUNCTION("GOOGLETRANSLATE(C228, ""en"", ""hi"")"),"ए) अर्थशास्त्र, बी) मनुस्मृति, सी) भगवद गीता, डी) रामायण")</f>
        <v>ए) अर्थशास्त्र, बी) मनुस्मृति, सी) भगवद गीता, डी) रामायण</v>
      </c>
      <c r="I228" s="5" t="str">
        <f>IFERROR(__xludf.DUMMYFUNCTION("GOOGLETRANSLATE(D228, ""en"", ""hi"")"),"A) अर्थशास्त्र")</f>
        <v>A) अर्थशास्त्र</v>
      </c>
    </row>
    <row r="229" ht="22.5" customHeight="1">
      <c r="A229" s="3">
        <v>228.0</v>
      </c>
      <c r="B229" s="4" t="s">
        <v>4224</v>
      </c>
      <c r="C229" s="4" t="s">
        <v>2588</v>
      </c>
      <c r="D229" s="4" t="s">
        <v>2589</v>
      </c>
      <c r="F229" s="5" t="str">
        <f>IFERROR(__xludf.DUMMYFUNCTION("GOOGLETRANSLATE(A229, ""en"", ""hi"")"),"228")</f>
        <v>228</v>
      </c>
      <c r="G229" s="5" t="str">
        <f>IFERROR(__xludf.DUMMYFUNCTION("GOOGLETRANSLATE(B229, ""en"", ""hi"")"),"कौन सा मुगल शासक अपने दरबारी शौक के रूप में लागोरी के प्रति उत्साही समर्थन के लिए जाना जाता है?")</f>
        <v>कौन सा मुगल शासक अपने दरबारी शौक के रूप में लागोरी के प्रति उत्साही समर्थन के लिए जाना जाता है?</v>
      </c>
      <c r="H229" s="5" t="str">
        <f>IFERROR(__xludf.DUMMYFUNCTION("GOOGLETRANSLATE(C229, ""en"", ""hi"")"),"A) अकबर, B) जहाँगीर, C) शाहजहाँ, D) औरंगज़ेब")</f>
        <v>A) अकबर, B) जहाँगीर, C) शाहजहाँ, D) औरंगज़ेब</v>
      </c>
      <c r="I229" s="5" t="str">
        <f>IFERROR(__xludf.DUMMYFUNCTION("GOOGLETRANSLATE(D229, ""en"", ""hi"")"),"बी) जहांगीर")</f>
        <v>बी) जहांगीर</v>
      </c>
    </row>
    <row r="230" ht="22.5" customHeight="1">
      <c r="A230" s="3">
        <v>229.0</v>
      </c>
      <c r="B230" s="4" t="s">
        <v>4225</v>
      </c>
      <c r="C230" s="4" t="s">
        <v>3763</v>
      </c>
      <c r="D230" s="4" t="s">
        <v>842</v>
      </c>
      <c r="F230" s="5" t="str">
        <f>IFERROR(__xludf.DUMMYFUNCTION("GOOGLETRANSLATE(A230, ""en"", ""hi"")"),"229")</f>
        <v>229</v>
      </c>
      <c r="G230" s="5" t="str">
        <f>IFERROR(__xludf.DUMMYFUNCTION("GOOGLETRANSLATE(B230, ""en"", ""hi"")"),"किस भारतीय राज्य के पारंपरिक लागोरी खेल में एक ऐसा संस्करण शामिल है जिसमें खिलाड़ी विशिष्ट रूप से डिजाइन किए गए पत्थरों का उपयोग करते हैं?")</f>
        <v>किस भारतीय राज्य के पारंपरिक लागोरी खेल में एक ऐसा संस्करण शामिल है जिसमें खिलाड़ी विशिष्ट रूप से डिजाइन किए गए पत्थरों का उपयोग करते हैं?</v>
      </c>
      <c r="H230" s="5" t="str">
        <f>IFERROR(__xludf.DUMMYFUNCTION("GOOGLETRANSLATE(C230, ""en"", ""hi"")"),"ए) तमिलनाडु, बी) कर्नाटक, सी) महाराष्ट्र, डी) आंध्र प्रदेश")</f>
        <v>ए) तमिलनाडु, बी) कर्नाटक, सी) महाराष्ट्र, डी) आंध्र प्रदेश</v>
      </c>
      <c r="I230" s="5" t="str">
        <f>IFERROR(__xludf.DUMMYFUNCTION("GOOGLETRANSLATE(D230, ""en"", ""hi"")"),"C) महाराष्ट्र")</f>
        <v>C) महाराष्ट्र</v>
      </c>
    </row>
    <row r="231" ht="22.5" customHeight="1">
      <c r="A231" s="3">
        <v>230.0</v>
      </c>
      <c r="B231" s="4" t="s">
        <v>4226</v>
      </c>
      <c r="C231" s="4" t="s">
        <v>3906</v>
      </c>
      <c r="D231" s="4" t="s">
        <v>3907</v>
      </c>
      <c r="F231" s="5" t="str">
        <f>IFERROR(__xludf.DUMMYFUNCTION("GOOGLETRANSLATE(A231, ""en"", ""hi"")"),"230")</f>
        <v>230</v>
      </c>
      <c r="G231" s="5" t="str">
        <f>IFERROR(__xludf.DUMMYFUNCTION("GOOGLETRANSLATE(B231, ""en"", ""hi"")"),"विजयनगर साम्राज्य का कौन सा ऐतिहासिक व्यक्ति लागोरी को अपनी दरबारी गतिविधियों में शामिल करने के लिए जाना जाता है?")</f>
        <v>विजयनगर साम्राज्य का कौन सा ऐतिहासिक व्यक्ति लागोरी को अपनी दरबारी गतिविधियों में शामिल करने के लिए जाना जाता है?</v>
      </c>
      <c r="H231" s="5" t="str">
        <f>IFERROR(__xludf.DUMMYFUNCTION("GOOGLETRANSLATE(C231, ""en"", ""hi"")"),"ए) कृष्णदेवराय, बी) हरिहर प्रथम, सी) बुक्का प्रथम, डी) अच्युता देव राय")</f>
        <v>ए) कृष्णदेवराय, बी) हरिहर प्रथम, सी) बुक्का प्रथम, डी) अच्युता देव राय</v>
      </c>
      <c r="I231" s="5" t="str">
        <f>IFERROR(__xludf.DUMMYFUNCTION("GOOGLETRANSLATE(D231, ""en"", ""hi"")"),"A) कृष्णदेवराय")</f>
        <v>A) कृष्णदेवराय</v>
      </c>
    </row>
    <row r="232" ht="22.5" customHeight="1">
      <c r="A232" s="3">
        <v>231.0</v>
      </c>
      <c r="B232" s="4" t="s">
        <v>4227</v>
      </c>
      <c r="C232" s="4" t="s">
        <v>4228</v>
      </c>
      <c r="D232" s="4" t="s">
        <v>4229</v>
      </c>
      <c r="F232" s="5" t="str">
        <f>IFERROR(__xludf.DUMMYFUNCTION("GOOGLETRANSLATE(A232, ""en"", ""hi"")"),"231")</f>
        <v>231</v>
      </c>
      <c r="G232" s="5" t="str">
        <f>IFERROR(__xludf.DUMMYFUNCTION("GOOGLETRANSLATE(B232, ""en"", ""hi"")"),"लागोरी जैसा दिखने वाला कौन सा प्राचीन भारतीय खेल सैनिकों और रणनीतिकारों को प्रशिक्षित करने के लिए इस्तेमाल किया जाता था?")</f>
        <v>लागोरी जैसा दिखने वाला कौन सा प्राचीन भारतीय खेल सैनिकों और रणनीतिकारों को प्रशिक्षित करने के लिए इस्तेमाल किया जाता था?</v>
      </c>
      <c r="H232" s="5" t="str">
        <f>IFERROR(__xludf.DUMMYFUNCTION("GOOGLETRANSLATE(C232, ""en"", ""hi"")"),"ए) गिल्ली-डंडा, बी) पिट्टू, सी) खो-खो, डी) कबड्डी")</f>
        <v>ए) गिल्ली-डंडा, बी) पिट्टू, सी) खो-खो, डी) कबड्डी</v>
      </c>
      <c r="I232" s="5" t="str">
        <f>IFERROR(__xludf.DUMMYFUNCTION("GOOGLETRANSLATE(D232, ""en"", ""hi"")"),"बी) पिट्टू")</f>
        <v>बी) पिट्टू</v>
      </c>
    </row>
    <row r="233" ht="22.5" customHeight="1">
      <c r="A233" s="3">
        <v>232.0</v>
      </c>
      <c r="B233" s="4" t="s">
        <v>4230</v>
      </c>
      <c r="C233" s="4" t="s">
        <v>4131</v>
      </c>
      <c r="D233" s="4" t="s">
        <v>4132</v>
      </c>
      <c r="F233" s="5" t="str">
        <f>IFERROR(__xludf.DUMMYFUNCTION("GOOGLETRANSLATE(A233, ""en"", ""hi"")"),"232")</f>
        <v>232</v>
      </c>
      <c r="G233" s="5" t="str">
        <f>IFERROR(__xludf.DUMMYFUNCTION("GOOGLETRANSLATE(B233, ""en"", ""hi"")"),"कौन सा भारतीय राजा अपने शाही मनोरंजन के हिस्से के रूप में लागोरी सहित पारंपरिक खेलों के संरक्षण के लिए जाना जाता है?")</f>
        <v>कौन सा भारतीय राजा अपने शाही मनोरंजन के हिस्से के रूप में लागोरी सहित पारंपरिक खेलों के संरक्षण के लिए जाना जाता है?</v>
      </c>
      <c r="H233" s="5" t="str">
        <f>IFERROR(__xludf.DUMMYFUNCTION("GOOGLETRANSLATE(C233, ""en"", ""hi"")"),"ए) राजा राजा चोल, बी) कृष्णदेवराय, सी) शिवाजी महाराज, डी) अशोक")</f>
        <v>ए) राजा राजा चोल, बी) कृष्णदेवराय, सी) शिवाजी महाराज, डी) अशोक</v>
      </c>
      <c r="I233" s="5" t="str">
        <f>IFERROR(__xludf.DUMMYFUNCTION("GOOGLETRANSLATE(D233, ""en"", ""hi"")"),"बी) कृष्णदेवराय")</f>
        <v>बी) कृष्णदेवराय</v>
      </c>
    </row>
    <row r="234" ht="22.5" customHeight="1">
      <c r="A234" s="3">
        <v>233.0</v>
      </c>
      <c r="B234" s="4" t="s">
        <v>4231</v>
      </c>
      <c r="C234" s="4" t="s">
        <v>4116</v>
      </c>
      <c r="D234" s="4" t="s">
        <v>2616</v>
      </c>
      <c r="F234" s="5" t="str">
        <f>IFERROR(__xludf.DUMMYFUNCTION("GOOGLETRANSLATE(A234, ""en"", ""hi"")"),"233")</f>
        <v>233</v>
      </c>
      <c r="G234" s="5" t="str">
        <f>IFERROR(__xludf.DUMMYFUNCTION("GOOGLETRANSLATE(B234, ""en"", ""hi"")"),"किस ऐतिहासिक ग्रंथ में लागोरी को रणनीति और समन्वय सिखाने वाले खेल के रूप में शामिल किया गया है?")</f>
        <v>किस ऐतिहासिक ग्रंथ में लागोरी को रणनीति और समन्वय सिखाने वाले खेल के रूप में शामिल किया गया है?</v>
      </c>
      <c r="H234" s="5" t="str">
        <f>IFERROR(__xludf.DUMMYFUNCTION("GOOGLETRANSLATE(C234, ""en"", ""hi"")"),"ए) अर्थशास्त्र, बी) मनुस्मृति, सी) भगवद गीता, डी) रामायण")</f>
        <v>ए) अर्थशास्त्र, बी) मनुस्मृति, सी) भगवद गीता, डी) रामायण</v>
      </c>
      <c r="I234" s="5" t="str">
        <f>IFERROR(__xludf.DUMMYFUNCTION("GOOGLETRANSLATE(D234, ""en"", ""hi"")"),"A) अर्थशास्त्र")</f>
        <v>A) अर्थशास्त्र</v>
      </c>
    </row>
    <row r="235" ht="22.5" customHeight="1">
      <c r="A235" s="3">
        <v>234.0</v>
      </c>
      <c r="B235" s="4" t="s">
        <v>4232</v>
      </c>
      <c r="C235" s="4" t="s">
        <v>2588</v>
      </c>
      <c r="D235" s="4" t="s">
        <v>4152</v>
      </c>
      <c r="F235" s="5" t="str">
        <f>IFERROR(__xludf.DUMMYFUNCTION("GOOGLETRANSLATE(A235, ""en"", ""hi"")"),"234")</f>
        <v>234</v>
      </c>
      <c r="G235" s="5" t="str">
        <f>IFERROR(__xludf.DUMMYFUNCTION("GOOGLETRANSLATE(B235, ""en"", ""hi"")"),"कौन सा मुगल सम्राट शाही मनोरंजन के रूप में लागोरी के उत्सव में अपनी भूमिका के लिए जाना जाता है?")</f>
        <v>कौन सा मुगल सम्राट शाही मनोरंजन के रूप में लागोरी के उत्सव में अपनी भूमिका के लिए जाना जाता है?</v>
      </c>
      <c r="H235" s="5" t="str">
        <f>IFERROR(__xludf.DUMMYFUNCTION("GOOGLETRANSLATE(C235, ""en"", ""hi"")"),"A) अकबर, B) जहाँगीर, C) शाहजहाँ, D) औरंगज़ेब")</f>
        <v>A) अकबर, B) जहाँगीर, C) शाहजहाँ, D) औरंगज़ेब</v>
      </c>
      <c r="I235" s="5" t="str">
        <f>IFERROR(__xludf.DUMMYFUNCTION("GOOGLETRANSLATE(D235, ""en"", ""hi"")"),"C) शाहजहाँ")</f>
        <v>C) शाहजहाँ</v>
      </c>
    </row>
    <row r="236" ht="22.5" customHeight="1">
      <c r="A236" s="3">
        <v>235.0</v>
      </c>
      <c r="B236" s="4" t="s">
        <v>4233</v>
      </c>
      <c r="C236" s="4" t="s">
        <v>4234</v>
      </c>
      <c r="D236" s="4" t="s">
        <v>4235</v>
      </c>
      <c r="F236" s="5" t="str">
        <f>IFERROR(__xludf.DUMMYFUNCTION("GOOGLETRANSLATE(A236, ""en"", ""hi"")"),"235")</f>
        <v>235</v>
      </c>
      <c r="G236" s="5" t="str">
        <f>IFERROR(__xludf.DUMMYFUNCTION("GOOGLETRANSLATE(B236, ""en"", ""hi"")"),"किस ऐतिहासिक भारतीय राज्य को अपने दरबारी प्रथाओं में लागोरी का सबसे पहला उल्लेख प्राप्त होने का श्रेय दिया जाता है?")</f>
        <v>किस ऐतिहासिक भारतीय राज्य को अपने दरबारी प्रथाओं में लागोरी का सबसे पहला उल्लेख प्राप्त होने का श्रेय दिया जाता है?</v>
      </c>
      <c r="H236" s="5" t="str">
        <f>IFERROR(__xludf.DUMMYFUNCTION("GOOGLETRANSLATE(C236, ""en"", ""hi"")"),"A) मौर्य साम्राज्य, B) गुप्त साम्राज्य, C) विजयनगर साम्राज्य, D) चोल वंश")</f>
        <v>A) मौर्य साम्राज्य, B) गुप्त साम्राज्य, C) विजयनगर साम्राज्य, D) चोल वंश</v>
      </c>
      <c r="I236" s="5" t="str">
        <f>IFERROR(__xludf.DUMMYFUNCTION("GOOGLETRANSLATE(D236, ""en"", ""hi"")"),"C) विजयनगर साम्राज्य")</f>
        <v>C) विजयनगर साम्राज्य</v>
      </c>
    </row>
    <row r="237" ht="22.5" customHeight="1">
      <c r="A237" s="3">
        <v>236.0</v>
      </c>
      <c r="B237" s="4" t="s">
        <v>4236</v>
      </c>
      <c r="C237" s="4" t="s">
        <v>4237</v>
      </c>
      <c r="D237" s="4" t="s">
        <v>3301</v>
      </c>
      <c r="F237" s="5" t="str">
        <f>IFERROR(__xludf.DUMMYFUNCTION("GOOGLETRANSLATE(A237, ""en"", ""hi"")"),"236")</f>
        <v>236</v>
      </c>
      <c r="G237" s="5" t="str">
        <f>IFERROR(__xludf.DUMMYFUNCTION("GOOGLETRANSLATE(B237, ""en"", ""hi"")"),"किस भारतीय शासक ने रणनीति और समन्वय को बढ़ाने के लिए सैन्य प्रशिक्षण में लागोरी को शामिल किया था?")</f>
        <v>किस भारतीय शासक ने रणनीति और समन्वय को बढ़ाने के लिए सैन्य प्रशिक्षण में लागोरी को शामिल किया था?</v>
      </c>
      <c r="H237" s="5" t="str">
        <f>IFERROR(__xludf.DUMMYFUNCTION("GOOGLETRANSLATE(C237, ""en"", ""hi"")"),"ए) चंद्रगुप्त मौर्य, बी) अशोक, सी) शिवाजी महाराज, डी) कृष्णदेवराय")</f>
        <v>ए) चंद्रगुप्त मौर्य, बी) अशोक, सी) शिवाजी महाराज, डी) कृष्णदेवराय</v>
      </c>
      <c r="I237" s="5" t="str">
        <f>IFERROR(__xludf.DUMMYFUNCTION("GOOGLETRANSLATE(D237, ""en"", ""hi"")"),"C) शिवाजी महाराज")</f>
        <v>C) शिवाजी महाराज</v>
      </c>
    </row>
    <row r="238" ht="22.5" customHeight="1">
      <c r="A238" s="3">
        <v>237.0</v>
      </c>
      <c r="B238" s="4" t="s">
        <v>4238</v>
      </c>
      <c r="C238" s="4" t="s">
        <v>4239</v>
      </c>
      <c r="D238" s="4" t="s">
        <v>2616</v>
      </c>
      <c r="F238" s="5" t="str">
        <f>IFERROR(__xludf.DUMMYFUNCTION("GOOGLETRANSLATE(A238, ""en"", ""hi"")"),"237")</f>
        <v>237</v>
      </c>
      <c r="G238" s="5" t="str">
        <f>IFERROR(__xludf.DUMMYFUNCTION("GOOGLETRANSLATE(B238, ""en"", ""hi"")"),"कौन सा प्राचीन भारतीय ग्रंथ योद्धाओं के लिए रणनीतिक अभ्यास के रूप में लागोरी जैसे खेल का उल्लेख करता है?")</f>
        <v>कौन सा प्राचीन भारतीय ग्रंथ योद्धाओं के लिए रणनीतिक अभ्यास के रूप में लागोरी जैसे खेल का उल्लेख करता है?</v>
      </c>
      <c r="H238" s="5" t="str">
        <f>IFERROR(__xludf.DUMMYFUNCTION("GOOGLETRANSLATE(C238, ""en"", ""hi"")"),"ए) अर्थशास्त्र, बी) रामायण, सी) महाभारत, डी) मनुस्मृति")</f>
        <v>ए) अर्थशास्त्र, बी) रामायण, सी) महाभारत, डी) मनुस्मृति</v>
      </c>
      <c r="I238" s="5" t="str">
        <f>IFERROR(__xludf.DUMMYFUNCTION("GOOGLETRANSLATE(D238, ""en"", ""hi"")"),"A) अर्थशास्त्र")</f>
        <v>A) अर्थशास्त्र</v>
      </c>
    </row>
    <row r="239" ht="22.5" customHeight="1">
      <c r="A239" s="3">
        <v>238.0</v>
      </c>
      <c r="B239" s="4" t="s">
        <v>4240</v>
      </c>
      <c r="C239" s="4" t="s">
        <v>2588</v>
      </c>
      <c r="D239" s="4" t="s">
        <v>2589</v>
      </c>
      <c r="F239" s="5" t="str">
        <f>IFERROR(__xludf.DUMMYFUNCTION("GOOGLETRANSLATE(A239, ""en"", ""hi"")"),"238")</f>
        <v>238</v>
      </c>
      <c r="G239" s="5" t="str">
        <f>IFERROR(__xludf.DUMMYFUNCTION("GOOGLETRANSLATE(B239, ""en"", ""hi"")"),"कौन सा मुगल सम्राट लागोरी सहित पारंपरिक भारतीय खेलों के दस्तावेजीकरण और संरक्षण के लिए प्रसिद्ध है?")</f>
        <v>कौन सा मुगल सम्राट लागोरी सहित पारंपरिक भारतीय खेलों के दस्तावेजीकरण और संरक्षण के लिए प्रसिद्ध है?</v>
      </c>
      <c r="H239" s="5" t="str">
        <f>IFERROR(__xludf.DUMMYFUNCTION("GOOGLETRANSLATE(C239, ""en"", ""hi"")"),"A) अकबर, B) जहाँगीर, C) शाहजहाँ, D) औरंगज़ेब")</f>
        <v>A) अकबर, B) जहाँगीर, C) शाहजहाँ, D) औरंगज़ेब</v>
      </c>
      <c r="I239" s="5" t="str">
        <f>IFERROR(__xludf.DUMMYFUNCTION("GOOGLETRANSLATE(D239, ""en"", ""hi"")"),"बी) जहांगीर")</f>
        <v>बी) जहांगीर</v>
      </c>
    </row>
    <row r="240" ht="22.5" customHeight="1">
      <c r="A240" s="3">
        <v>239.0</v>
      </c>
      <c r="B240" s="4" t="s">
        <v>4241</v>
      </c>
      <c r="C240" s="4" t="s">
        <v>3763</v>
      </c>
      <c r="D240" s="4" t="s">
        <v>205</v>
      </c>
      <c r="F240" s="5" t="str">
        <f>IFERROR(__xludf.DUMMYFUNCTION("GOOGLETRANSLATE(A240, ""en"", ""hi"")"),"239")</f>
        <v>239</v>
      </c>
      <c r="G240" s="5" t="str">
        <f>IFERROR(__xludf.DUMMYFUNCTION("GOOGLETRANSLATE(B240, ""en"", ""hi"")"),"किस भारतीय राज्य में ऐतिहासिक रूप से लागोरी मिट्टी या पत्थर की गेंदों से जुड़े अद्वितीय क्षेत्रीय नियमों के साथ खेली जाती थी?")</f>
        <v>किस भारतीय राज्य में ऐतिहासिक रूप से लागोरी मिट्टी या पत्थर की गेंदों से जुड़े अद्वितीय क्षेत्रीय नियमों के साथ खेली जाती थी?</v>
      </c>
      <c r="H240" s="5" t="str">
        <f>IFERROR(__xludf.DUMMYFUNCTION("GOOGLETRANSLATE(C240, ""en"", ""hi"")"),"ए) तमिलनाडु, बी) कर्नाटक, सी) महाराष्ट्र, डी) आंध्र प्रदेश")</f>
        <v>ए) तमिलनाडु, बी) कर्नाटक, सी) महाराष्ट्र, डी) आंध्र प्रदेश</v>
      </c>
      <c r="I240" s="5" t="str">
        <f>IFERROR(__xludf.DUMMYFUNCTION("GOOGLETRANSLATE(D240, ""en"", ""hi"")"),"A) तमिलनाडु")</f>
        <v>A) तमिलनाडु</v>
      </c>
    </row>
    <row r="241" ht="22.5" customHeight="1">
      <c r="A241" s="3">
        <v>240.0</v>
      </c>
      <c r="B241" s="4" t="s">
        <v>4242</v>
      </c>
      <c r="C241" s="4" t="s">
        <v>2588</v>
      </c>
      <c r="D241" s="4" t="s">
        <v>2556</v>
      </c>
      <c r="F241" s="5" t="str">
        <f>IFERROR(__xludf.DUMMYFUNCTION("GOOGLETRANSLATE(A241, ""en"", ""hi"")"),"240")</f>
        <v>240</v>
      </c>
      <c r="G241" s="5" t="str">
        <f>IFERROR(__xludf.DUMMYFUNCTION("GOOGLETRANSLATE(B241, ""en"", ""hi"")"),"मुगल काल का कौन सा ऐतिहासिक व्यक्ति शाही दरबार में लागोरी को लाने के लिए जाना जाता है?")</f>
        <v>मुगल काल का कौन सा ऐतिहासिक व्यक्ति शाही दरबार में लागोरी को लाने के लिए जाना जाता है?</v>
      </c>
      <c r="H241" s="5" t="str">
        <f>IFERROR(__xludf.DUMMYFUNCTION("GOOGLETRANSLATE(C241, ""en"", ""hi"")"),"A) अकबर, B) जहाँगीर, C) शाहजहाँ, D) औरंगज़ेब")</f>
        <v>A) अकबर, B) जहाँगीर, C) शाहजहाँ, D) औरंगज़ेब</v>
      </c>
      <c r="I241" s="5" t="str">
        <f>IFERROR(__xludf.DUMMYFUNCTION("GOOGLETRANSLATE(D241, ""en"", ""hi"")"),"A) अकबर")</f>
        <v>A) अकबर</v>
      </c>
    </row>
    <row r="242" ht="22.5" customHeight="1">
      <c r="A242" s="3">
        <v>241.0</v>
      </c>
      <c r="B242" s="4" t="s">
        <v>4243</v>
      </c>
      <c r="C242" s="4" t="s">
        <v>4244</v>
      </c>
      <c r="D242" s="4" t="s">
        <v>2646</v>
      </c>
      <c r="F242" s="5" t="str">
        <f>IFERROR(__xludf.DUMMYFUNCTION("GOOGLETRANSLATE(A242, ""en"", ""hi"")"),"241")</f>
        <v>241</v>
      </c>
      <c r="G242" s="5" t="str">
        <f>IFERROR(__xludf.DUMMYFUNCTION("GOOGLETRANSLATE(B242, ""en"", ""hi"")"),"कौन सा भारतीय त्यौहार पारंपरिक रूप से उत्सव के खेल और कार्यक्रमों के भाग के रूप में लागोरी को शामिल करता है?")</f>
        <v>कौन सा भारतीय त्यौहार पारंपरिक रूप से उत्सव के खेल और कार्यक्रमों के भाग के रूप में लागोरी को शामिल करता है?</v>
      </c>
      <c r="H242" s="5" t="str">
        <f>IFERROR(__xludf.DUMMYFUNCTION("GOOGLETRANSLATE(C242, ""en"", ""hi"")"),"ए) पोंगल, बी) दिवाली, सी) मकर संक्रांति, डी) होली")</f>
        <v>ए) पोंगल, बी) दिवाली, सी) मकर संक्रांति, डी) होली</v>
      </c>
      <c r="I242" s="5" t="str">
        <f>IFERROR(__xludf.DUMMYFUNCTION("GOOGLETRANSLATE(D242, ""en"", ""hi"")"),"C) मकर संक्रांति")</f>
        <v>C) मकर संक्रांति</v>
      </c>
    </row>
    <row r="243" ht="22.5" customHeight="1">
      <c r="A243" s="3">
        <v>242.0</v>
      </c>
      <c r="B243" s="4" t="s">
        <v>4245</v>
      </c>
      <c r="C243" s="4" t="s">
        <v>4246</v>
      </c>
      <c r="D243" s="4" t="s">
        <v>4247</v>
      </c>
      <c r="F243" s="5" t="str">
        <f>IFERROR(__xludf.DUMMYFUNCTION("GOOGLETRANSLATE(A243, ""en"", ""hi"")"),"242")</f>
        <v>242</v>
      </c>
      <c r="G243" s="5" t="str">
        <f>IFERROR(__xludf.DUMMYFUNCTION("GOOGLETRANSLATE(B243, ""en"", ""hi"")"),"किस प्राचीन भारतीय सैन्य मैनुअल में सैनिकों को प्रशिक्षित करने की तकनीक के रूप में लागोरी जैसा खेल शामिल है?")</f>
        <v>किस प्राचीन भारतीय सैन्य मैनुअल में सैनिकों को प्रशिक्षित करने की तकनीक के रूप में लागोरी जैसा खेल शामिल है?</v>
      </c>
      <c r="H243" s="5" t="str">
        <f>IFERROR(__xludf.DUMMYFUNCTION("GOOGLETRANSLATE(C243, ""en"", ""hi"")"),"ए) अर्थशास्त्र, बी) धनुर्वेद, सी) मनुस्मृति, डी) महाभारत")</f>
        <v>ए) अर्थशास्त्र, बी) धनुर्वेद, सी) मनुस्मृति, डी) महाभारत</v>
      </c>
      <c r="I243" s="5" t="str">
        <f>IFERROR(__xludf.DUMMYFUNCTION("GOOGLETRANSLATE(D243, ""en"", ""hi"")"),"बी) धनुर्वेद")</f>
        <v>बी) धनुर्वेद</v>
      </c>
    </row>
    <row r="244" ht="22.5" customHeight="1">
      <c r="A244" s="3">
        <v>243.0</v>
      </c>
      <c r="B244" s="4" t="s">
        <v>4248</v>
      </c>
      <c r="C244" s="4" t="s">
        <v>4249</v>
      </c>
      <c r="D244" s="4" t="s">
        <v>3962</v>
      </c>
      <c r="F244" s="5" t="str">
        <f>IFERROR(__xludf.DUMMYFUNCTION("GOOGLETRANSLATE(A244, ""en"", ""hi"")"),"243")</f>
        <v>243</v>
      </c>
      <c r="G244" s="5" t="str">
        <f>IFERROR(__xludf.DUMMYFUNCTION("GOOGLETRANSLATE(B244, ""en"", ""hi"")"),"कौन सा दक्षिण भारतीय राजा लागोरी को अपने दरबारी मनोरंजन और सैन्य अभ्यास में शामिल करने के लिए जाना जाता है?")</f>
        <v>कौन सा दक्षिण भारतीय राजा लागोरी को अपने दरबारी मनोरंजन और सैन्य अभ्यास में शामिल करने के लिए जाना जाता है?</v>
      </c>
      <c r="H244" s="5" t="str">
        <f>IFERROR(__xludf.DUMMYFUNCTION("GOOGLETRANSLATE(C244, ""en"", ""hi"")"),"ए) राजेंद्र चोल, बी) राजा राजा चोल, सी) कृष्णदेवराय, डी) हरिहर प्रथम")</f>
        <v>ए) राजेंद्र चोल, बी) राजा राजा चोल, सी) कृष्णदेवराय, डी) हरिहर प्रथम</v>
      </c>
      <c r="I244" s="5" t="str">
        <f>IFERROR(__xludf.DUMMYFUNCTION("GOOGLETRANSLATE(D244, ""en"", ""hi"")"),"C) कृष्णदेवराय")</f>
        <v>C) कृष्णदेवराय</v>
      </c>
    </row>
    <row r="245" ht="22.5" customHeight="1">
      <c r="A245" s="3">
        <v>244.0</v>
      </c>
      <c r="B245" s="4" t="s">
        <v>4250</v>
      </c>
      <c r="C245" s="4" t="s">
        <v>3934</v>
      </c>
      <c r="D245" s="4" t="s">
        <v>2544</v>
      </c>
      <c r="F245" s="5" t="str">
        <f>IFERROR(__xludf.DUMMYFUNCTION("GOOGLETRANSLATE(A245, ""en"", ""hi"")"),"244")</f>
        <v>244</v>
      </c>
      <c r="G245" s="5" t="str">
        <f>IFERROR(__xludf.DUMMYFUNCTION("GOOGLETRANSLATE(B245, ""en"", ""hi"")"),"किस भारतीय महाकाव्य में योद्धाओं के बीच विवादों को सुलझाने के लिए लागोरी जैसे खेल का वर्णन है?")</f>
        <v>किस भारतीय महाकाव्य में योद्धाओं के बीच विवादों को सुलझाने के लिए लागोरी जैसे खेल का वर्णन है?</v>
      </c>
      <c r="H245" s="5" t="str">
        <f>IFERROR(__xludf.DUMMYFUNCTION("GOOGLETRANSLATE(C245, ""en"", ""hi"")"),"ए) रामायण, बी) महाभारत, सी) भागवत पुराण, डी) विष्णु पुराण")</f>
        <v>ए) रामायण, बी) महाभारत, सी) भागवत पुराण, डी) विष्णु पुराण</v>
      </c>
      <c r="I245" s="5" t="str">
        <f>IFERROR(__xludf.DUMMYFUNCTION("GOOGLETRANSLATE(D245, ""en"", ""hi"")"),"बी) महाभारत")</f>
        <v>बी) महाभारत</v>
      </c>
    </row>
    <row r="246" ht="22.5" customHeight="1">
      <c r="A246" s="3">
        <v>245.0</v>
      </c>
      <c r="B246" s="4" t="s">
        <v>4251</v>
      </c>
      <c r="C246" s="4" t="s">
        <v>2588</v>
      </c>
      <c r="D246" s="4" t="s">
        <v>4152</v>
      </c>
      <c r="F246" s="5" t="str">
        <f>IFERROR(__xludf.DUMMYFUNCTION("GOOGLETRANSLATE(A246, ""en"", ""hi"")"),"245")</f>
        <v>245</v>
      </c>
      <c r="G246" s="5" t="str">
        <f>IFERROR(__xludf.DUMMYFUNCTION("GOOGLETRANSLATE(B246, ""en"", ""hi"")"),"कौन सा मुगल सम्राट लागोरी सहित पारंपरिक भारतीय खेलों में अपनी रुचि के लिए जाना जाता है?")</f>
        <v>कौन सा मुगल सम्राट लागोरी सहित पारंपरिक भारतीय खेलों में अपनी रुचि के लिए जाना जाता है?</v>
      </c>
      <c r="H246" s="5" t="str">
        <f>IFERROR(__xludf.DUMMYFUNCTION("GOOGLETRANSLATE(C246, ""en"", ""hi"")"),"A) अकबर, B) जहाँगीर, C) शाहजहाँ, D) औरंगज़ेब")</f>
        <v>A) अकबर, B) जहाँगीर, C) शाहजहाँ, D) औरंगज़ेब</v>
      </c>
      <c r="I246" s="5" t="str">
        <f>IFERROR(__xludf.DUMMYFUNCTION("GOOGLETRANSLATE(D246, ""en"", ""hi"")"),"C) शाहजहाँ")</f>
        <v>C) शाहजहाँ</v>
      </c>
    </row>
    <row r="247" ht="22.5" customHeight="1">
      <c r="A247" s="3">
        <v>246.0</v>
      </c>
      <c r="B247" s="4" t="s">
        <v>4252</v>
      </c>
      <c r="C247" s="4" t="s">
        <v>3763</v>
      </c>
      <c r="D247" s="4" t="s">
        <v>3764</v>
      </c>
      <c r="F247" s="5" t="str">
        <f>IFERROR(__xludf.DUMMYFUNCTION("GOOGLETRANSLATE(A247, ""en"", ""hi"")"),"246")</f>
        <v>246</v>
      </c>
      <c r="G247" s="5" t="str">
        <f>IFERROR(__xludf.DUMMYFUNCTION("GOOGLETRANSLATE(B247, ""en"", ""hi"")"),"किस भारतीय राज्य की ऐतिहासिक लोककथा में फसल उत्सव के दौरान खेले जाने वाले पारंपरिक खेल के रूप में लागोरी शामिल है?")</f>
        <v>किस भारतीय राज्य की ऐतिहासिक लोककथा में फसल उत्सव के दौरान खेले जाने वाले पारंपरिक खेल के रूप में लागोरी शामिल है?</v>
      </c>
      <c r="H247" s="5" t="str">
        <f>IFERROR(__xludf.DUMMYFUNCTION("GOOGLETRANSLATE(C247, ""en"", ""hi"")"),"ए) तमिलनाडु, बी) कर्नाटक, सी) महाराष्ट्र, डी) आंध्र प्रदेश")</f>
        <v>ए) तमिलनाडु, बी) कर्नाटक, सी) महाराष्ट्र, डी) आंध्र प्रदेश</v>
      </c>
      <c r="I247" s="5" t="str">
        <f>IFERROR(__xludf.DUMMYFUNCTION("GOOGLETRANSLATE(D247, ""en"", ""hi"")"),"बी) कर्नाटक")</f>
        <v>बी) कर्नाटक</v>
      </c>
    </row>
    <row r="248" ht="22.5" customHeight="1">
      <c r="A248" s="3">
        <v>247.0</v>
      </c>
      <c r="B248" s="4" t="s">
        <v>4253</v>
      </c>
      <c r="C248" s="4" t="s">
        <v>4163</v>
      </c>
      <c r="D248" s="4" t="s">
        <v>4164</v>
      </c>
      <c r="F248" s="5" t="str">
        <f>IFERROR(__xludf.DUMMYFUNCTION("GOOGLETRANSLATE(A248, ""en"", ""hi"")"),"247")</f>
        <v>247</v>
      </c>
      <c r="G248" s="5" t="str">
        <f>IFERROR(__xludf.DUMMYFUNCTION("GOOGLETRANSLATE(B248, ""en"", ""hi"")"),"किस भारतीय राजा को अपनी सेना की रणनीतिक और सामरिक कौशल को बढ़ाने के लिए लागोरी का उपयोग करने के लिए जाना जाता है?")</f>
        <v>किस भारतीय राजा को अपनी सेना की रणनीतिक और सामरिक कौशल को बढ़ाने के लिए लागोरी का उपयोग करने के लिए जाना जाता है?</v>
      </c>
      <c r="H248" s="5" t="str">
        <f>IFERROR(__xludf.DUMMYFUNCTION("GOOGLETRANSLATE(C248, ""en"", ""hi"")"),"ए) शिवाजी महाराज, बी) चंद्रगुप्त मौर्य, सी) अशोक, डी) समुद्रगुप्त")</f>
        <v>ए) शिवाजी महाराज, बी) चंद्रगुप्त मौर्य, सी) अशोक, डी) समुद्रगुप्त</v>
      </c>
      <c r="I248" s="5" t="str">
        <f>IFERROR(__xludf.DUMMYFUNCTION("GOOGLETRANSLATE(D248, ""en"", ""hi"")"),"A) शिवाजी महाराज")</f>
        <v>A) शिवाजी महाराज</v>
      </c>
    </row>
    <row r="249" ht="22.5" customHeight="1">
      <c r="A249" s="3">
        <v>248.0</v>
      </c>
      <c r="B249" s="4" t="s">
        <v>4254</v>
      </c>
      <c r="C249" s="4" t="s">
        <v>4255</v>
      </c>
      <c r="D249" s="4" t="s">
        <v>2616</v>
      </c>
      <c r="F249" s="5" t="str">
        <f>IFERROR(__xludf.DUMMYFUNCTION("GOOGLETRANSLATE(A249, ""en"", ""hi"")"),"248")</f>
        <v>248</v>
      </c>
      <c r="G249" s="5" t="str">
        <f>IFERROR(__xludf.DUMMYFUNCTION("GOOGLETRANSLATE(B249, ""en"", ""hi"")"),"कौन सा ऐतिहासिक भारतीय ग्रंथ लागोरी को टीमवर्क और नेतृत्व सिखाने वाले खेल के रूप में वर्णित करता है?")</f>
        <v>कौन सा ऐतिहासिक भारतीय ग्रंथ लागोरी को टीमवर्क और नेतृत्व सिखाने वाले खेल के रूप में वर्णित करता है?</v>
      </c>
      <c r="H249" s="5" t="str">
        <f>IFERROR(__xludf.DUMMYFUNCTION("GOOGLETRANSLATE(C249, ""en"", ""hi"")"),"ए) अर्थशास्त्र, बी) रामायण, सी) मनुस्मृति, डी) भगवद गीता")</f>
        <v>ए) अर्थशास्त्र, बी) रामायण, सी) मनुस्मृति, डी) भगवद गीता</v>
      </c>
      <c r="I249" s="5" t="str">
        <f>IFERROR(__xludf.DUMMYFUNCTION("GOOGLETRANSLATE(D249, ""en"", ""hi"")"),"A) अर्थशास्त्र")</f>
        <v>A) अर्थशास्त्र</v>
      </c>
    </row>
    <row r="250" ht="22.5" customHeight="1">
      <c r="A250" s="3">
        <v>249.0</v>
      </c>
      <c r="B250" s="4" t="s">
        <v>4256</v>
      </c>
      <c r="C250" s="4" t="s">
        <v>4189</v>
      </c>
      <c r="D250" s="4" t="s">
        <v>4190</v>
      </c>
      <c r="F250" s="5" t="str">
        <f>IFERROR(__xludf.DUMMYFUNCTION("GOOGLETRANSLATE(A250, ""en"", ""hi"")"),"249")</f>
        <v>249</v>
      </c>
      <c r="G250" s="5" t="str">
        <f>IFERROR(__xludf.DUMMYFUNCTION("GOOGLETRANSLATE(B250, ""en"", ""hi"")"),"कौन सा मुगल सम्राट लगोरी जैसे पारंपरिक भारतीय खेलों के विस्तृत इतिहास से जुड़ा हुआ है?")</f>
        <v>कौन सा मुगल सम्राट लगोरी जैसे पारंपरिक भारतीय खेलों के विस्तृत इतिहास से जुड़ा हुआ है?</v>
      </c>
      <c r="H250" s="5" t="str">
        <f>IFERROR(__xludf.DUMMYFUNCTION("GOOGLETRANSLATE(C250, ""en"", ""hi"")"),"A) जहाँगीर, B) अकबर, C) शाहजहाँ, D) औरंगज़ेब")</f>
        <v>A) जहाँगीर, B) अकबर, C) शाहजहाँ, D) औरंगज़ेब</v>
      </c>
      <c r="I250" s="5" t="str">
        <f>IFERROR(__xludf.DUMMYFUNCTION("GOOGLETRANSLATE(D250, ""en"", ""hi"")"),"A) जहाँगीर")</f>
        <v>A) जहाँगीर</v>
      </c>
    </row>
    <row r="251" ht="22.5" customHeight="1">
      <c r="A251" s="3">
        <v>250.0</v>
      </c>
      <c r="B251" s="4" t="s">
        <v>4257</v>
      </c>
      <c r="C251" s="4" t="s">
        <v>4147</v>
      </c>
      <c r="D251" s="4" t="s">
        <v>98</v>
      </c>
      <c r="F251" s="5" t="str">
        <f>IFERROR(__xludf.DUMMYFUNCTION("GOOGLETRANSLATE(A251, ""en"", ""hi"")"),"250")</f>
        <v>250</v>
      </c>
      <c r="G251" s="5" t="str">
        <f>IFERROR(__xludf.DUMMYFUNCTION("GOOGLETRANSLATE(B251, ""en"", ""hi"")"),"किस भारतीय राज्य के पारंपरिक लागोरी खेल में मिट्टी की गेंद या पत्थर जैसी स्थानीय सामग्री का उपयोग किया जाता है?")</f>
        <v>किस भारतीय राज्य के पारंपरिक लागोरी खेल में मिट्टी की गेंद या पत्थर जैसी स्थानीय सामग्री का उपयोग किया जाता है?</v>
      </c>
      <c r="H251" s="5" t="str">
        <f>IFERROR(__xludf.DUMMYFUNCTION("GOOGLETRANSLATE(C251, ""en"", ""hi"")"),"ए) तमिलनाडु, बी) महाराष्ट्र, सी) कर्नाटक, डी) आंध्र प्रदेश")</f>
        <v>ए) तमिलनाडु, बी) महाराष्ट्र, सी) कर्नाटक, डी) आंध्र प्रदेश</v>
      </c>
      <c r="I251" s="5" t="str">
        <f>IFERROR(__xludf.DUMMYFUNCTION("GOOGLETRANSLATE(D251, ""en"", ""hi"")"),"बी) महाराष्ट्र")</f>
        <v>बी) महाराष्ट्र</v>
      </c>
    </row>
    <row r="252" ht="22.5" customHeight="1">
      <c r="A252" s="3">
        <v>251.0</v>
      </c>
      <c r="B252" s="4" t="s">
        <v>4258</v>
      </c>
      <c r="C252" s="4" t="s">
        <v>4187</v>
      </c>
      <c r="D252" s="4" t="s">
        <v>3907</v>
      </c>
      <c r="F252" s="5" t="str">
        <f>IFERROR(__xludf.DUMMYFUNCTION("GOOGLETRANSLATE(A252, ""en"", ""hi"")"),"251")</f>
        <v>251</v>
      </c>
      <c r="G252" s="5" t="str">
        <f>IFERROR(__xludf.DUMMYFUNCTION("GOOGLETRANSLATE(B252, ""en"", ""hi"")"),"कौन सा भारतीय राजा अपने राज्य के शैक्षिक पाठ्यक्रम में लागोरी को शामिल करने के लिए जाना जाता है?")</f>
        <v>कौन सा भारतीय राजा अपने राज्य के शैक्षिक पाठ्यक्रम में लागोरी को शामिल करने के लिए जाना जाता है?</v>
      </c>
      <c r="H252" s="5" t="str">
        <f>IFERROR(__xludf.DUMMYFUNCTION("GOOGLETRANSLATE(C252, ""en"", ""hi"")"),"ए) कृष्णदेवराय, बी) राजा राज चोल, सी) शिवाजी महाराज, डी) अशोक")</f>
        <v>ए) कृष्णदेवराय, बी) राजा राज चोल, सी) शिवाजी महाराज, डी) अशोक</v>
      </c>
      <c r="I252" s="5" t="str">
        <f>IFERROR(__xludf.DUMMYFUNCTION("GOOGLETRANSLATE(D252, ""en"", ""hi"")"),"A) कृष्णदेवराय")</f>
        <v>A) कृष्णदेवराय</v>
      </c>
    </row>
    <row r="253" ht="22.5" customHeight="1">
      <c r="A253" s="3">
        <v>252.0</v>
      </c>
      <c r="B253" s="4" t="s">
        <v>4259</v>
      </c>
      <c r="C253" s="4" t="s">
        <v>4116</v>
      </c>
      <c r="D253" s="4" t="s">
        <v>2616</v>
      </c>
      <c r="F253" s="5" t="str">
        <f>IFERROR(__xludf.DUMMYFUNCTION("GOOGLETRANSLATE(A253, ""en"", ""hi"")"),"252")</f>
        <v>252</v>
      </c>
      <c r="G253" s="5" t="str">
        <f>IFERROR(__xludf.DUMMYFUNCTION("GOOGLETRANSLATE(B253, ""en"", ""hi"")"),"किस प्राचीन ग्रंथ में रणनीतिक सोच और समस्या-समाधान सिखाने के लिए लागोरी जैसे खेल का उल्लेख है?")</f>
        <v>किस प्राचीन ग्रंथ में रणनीतिक सोच और समस्या-समाधान सिखाने के लिए लागोरी जैसे खेल का उल्लेख है?</v>
      </c>
      <c r="H253" s="5" t="str">
        <f>IFERROR(__xludf.DUMMYFUNCTION("GOOGLETRANSLATE(C253, ""en"", ""hi"")"),"ए) अर्थशास्त्र, बी) मनुस्मृति, सी) भगवद गीता, डी) रामायण")</f>
        <v>ए) अर्थशास्त्र, बी) मनुस्मृति, सी) भगवद गीता, डी) रामायण</v>
      </c>
      <c r="I253" s="5" t="str">
        <f>IFERROR(__xludf.DUMMYFUNCTION("GOOGLETRANSLATE(D253, ""en"", ""hi"")"),"A) अर्थशास्त्र")</f>
        <v>A) अर्थशास्त्र</v>
      </c>
    </row>
    <row r="254" ht="22.5" customHeight="1">
      <c r="A254" s="3">
        <v>253.0</v>
      </c>
      <c r="B254" s="4" t="s">
        <v>4260</v>
      </c>
      <c r="C254" s="4" t="s">
        <v>2588</v>
      </c>
      <c r="D254" s="4" t="s">
        <v>4152</v>
      </c>
      <c r="F254" s="5" t="str">
        <f>IFERROR(__xludf.DUMMYFUNCTION("GOOGLETRANSLATE(A254, ""en"", ""hi"")"),"253")</f>
        <v>253</v>
      </c>
      <c r="G254" s="5" t="str">
        <f>IFERROR(__xludf.DUMMYFUNCTION("GOOGLETRANSLATE(B254, ""en"", ""hi"")"),"कौन सा मुगल शासक अपने शासनकाल के दौरान लगोरी और अन्य पारंपरिक भारतीय खेलों को बढ़ावा देने के लिए जाना जाता है?")</f>
        <v>कौन सा मुगल शासक अपने शासनकाल के दौरान लगोरी और अन्य पारंपरिक भारतीय खेलों को बढ़ावा देने के लिए जाना जाता है?</v>
      </c>
      <c r="H254" s="5" t="str">
        <f>IFERROR(__xludf.DUMMYFUNCTION("GOOGLETRANSLATE(C254, ""en"", ""hi"")"),"A) अकबर, B) जहाँगीर, C) शाहजहाँ, D) औरंगज़ेब")</f>
        <v>A) अकबर, B) जहाँगीर, C) शाहजहाँ, D) औरंगज़ेब</v>
      </c>
      <c r="I254" s="5" t="str">
        <f>IFERROR(__xludf.DUMMYFUNCTION("GOOGLETRANSLATE(D254, ""en"", ""hi"")"),"C) शाहजहाँ")</f>
        <v>C) शाहजहाँ</v>
      </c>
    </row>
    <row r="255" ht="22.5" customHeight="1">
      <c r="A255" s="3">
        <v>254.0</v>
      </c>
      <c r="B255" s="4" t="s">
        <v>4261</v>
      </c>
      <c r="C255" s="4" t="s">
        <v>3939</v>
      </c>
      <c r="D255" s="4" t="s">
        <v>158</v>
      </c>
      <c r="F255" s="5" t="str">
        <f>IFERROR(__xludf.DUMMYFUNCTION("GOOGLETRANSLATE(A255, ""en"", ""hi"")"),"254")</f>
        <v>254</v>
      </c>
      <c r="G255" s="5" t="str">
        <f>IFERROR(__xludf.DUMMYFUNCTION("GOOGLETRANSLATE(B255, ""en"", ""hi"")"),"किस भारतीय राज्य की लोककथाओं में शाही विजय और उपलब्धियों के उपलक्ष्य में खेली जाने वाली लागोरी की कहानियां शामिल हैं?")</f>
        <v>किस भारतीय राज्य की लोककथाओं में शाही विजय और उपलब्धियों के उपलक्ष्य में खेली जाने वाली लागोरी की कहानियां शामिल हैं?</v>
      </c>
      <c r="H255" s="5" t="str">
        <f>IFERROR(__xludf.DUMMYFUNCTION("GOOGLETRANSLATE(C255, ""en"", ""hi"")"),"ए) महाराष्ट्र, बी) तमिलनाडु, सी) कर्नाटक, डी) आंध्र प्रदेश")</f>
        <v>ए) महाराष्ट्र, बी) तमिलनाडु, सी) कर्नाटक, डी) आंध्र प्रदेश</v>
      </c>
      <c r="I255" s="5" t="str">
        <f>IFERROR(__xludf.DUMMYFUNCTION("GOOGLETRANSLATE(D255, ""en"", ""hi"")"),"A) महाराष्ट्र")</f>
        <v>A) महाराष्ट्र</v>
      </c>
    </row>
    <row r="256" ht="22.5" customHeight="1">
      <c r="A256" s="3">
        <v>255.0</v>
      </c>
      <c r="B256" s="4" t="s">
        <v>4262</v>
      </c>
      <c r="C256" s="4" t="s">
        <v>4116</v>
      </c>
      <c r="D256" s="4" t="s">
        <v>2616</v>
      </c>
      <c r="F256" s="5" t="str">
        <f>IFERROR(__xludf.DUMMYFUNCTION("GOOGLETRANSLATE(A256, ""en"", ""hi"")"),"255")</f>
        <v>255</v>
      </c>
      <c r="G256" s="5" t="str">
        <f>IFERROR(__xludf.DUMMYFUNCTION("GOOGLETRANSLATE(B256, ""en"", ""hi"")"),"कौन सा ऐतिहासिक भारतीय ग्रंथ रणनीति के खेल के रूप में लागोरी का विस्तृत वर्णन करने के लिए जाना जाता है?")</f>
        <v>कौन सा ऐतिहासिक भारतीय ग्रंथ रणनीति के खेल के रूप में लागोरी का विस्तृत वर्णन करने के लिए जाना जाता है?</v>
      </c>
      <c r="H256" s="5" t="str">
        <f>IFERROR(__xludf.DUMMYFUNCTION("GOOGLETRANSLATE(C256, ""en"", ""hi"")"),"ए) अर्थशास्त्र, बी) मनुस्मृति, सी) भगवद गीता, डी) रामायण")</f>
        <v>ए) अर्थशास्त्र, बी) मनुस्मृति, सी) भगवद गीता, डी) रामायण</v>
      </c>
      <c r="I256" s="5" t="str">
        <f>IFERROR(__xludf.DUMMYFUNCTION("GOOGLETRANSLATE(D256, ""en"", ""hi"")"),"A) अर्थशास्त्र")</f>
        <v>A) अर्थशास्त्र</v>
      </c>
    </row>
    <row r="257" ht="22.5" customHeight="1">
      <c r="A257" s="3">
        <v>256.0</v>
      </c>
      <c r="B257" s="4" t="s">
        <v>4263</v>
      </c>
      <c r="C257" s="4" t="s">
        <v>2588</v>
      </c>
      <c r="D257" s="4" t="s">
        <v>2589</v>
      </c>
      <c r="F257" s="5" t="str">
        <f>IFERROR(__xludf.DUMMYFUNCTION("GOOGLETRANSLATE(A257, ""en"", ""hi"")"),"256")</f>
        <v>256</v>
      </c>
      <c r="G257" s="5" t="str">
        <f>IFERROR(__xludf.DUMMYFUNCTION("GOOGLETRANSLATE(B257, ""en"", ""hi"")"),"किस मुगल सम्राट को लगोरी सहित पारंपरिक भारतीय खेलों के समर्थन और उत्सव के लिए जाना जाता है?")</f>
        <v>किस मुगल सम्राट को लगोरी सहित पारंपरिक भारतीय खेलों के समर्थन और उत्सव के लिए जाना जाता है?</v>
      </c>
      <c r="H257" s="5" t="str">
        <f>IFERROR(__xludf.DUMMYFUNCTION("GOOGLETRANSLATE(C257, ""en"", ""hi"")"),"A) अकबर, B) जहाँगीर, C) शाहजहाँ, D) औरंगज़ेब")</f>
        <v>A) अकबर, B) जहाँगीर, C) शाहजहाँ, D) औरंगज़ेब</v>
      </c>
      <c r="I257" s="5" t="str">
        <f>IFERROR(__xludf.DUMMYFUNCTION("GOOGLETRANSLATE(D257, ""en"", ""hi"")"),"बी) जहांगीर")</f>
        <v>बी) जहांगीर</v>
      </c>
    </row>
    <row r="258" ht="22.5" customHeight="1">
      <c r="A258" s="3">
        <v>257.0</v>
      </c>
      <c r="B258" s="4" t="s">
        <v>4264</v>
      </c>
      <c r="C258" s="4" t="s">
        <v>4139</v>
      </c>
      <c r="D258" s="4" t="s">
        <v>842</v>
      </c>
      <c r="F258" s="5" t="str">
        <f>IFERROR(__xludf.DUMMYFUNCTION("GOOGLETRANSLATE(A258, ""en"", ""hi"")"),"257")</f>
        <v>257</v>
      </c>
      <c r="G258" s="5" t="str">
        <f>IFERROR(__xludf.DUMMYFUNCTION("GOOGLETRANSLATE(B258, ""en"", ""hi"")"),"किस भारतीय राज्य के पारंपरिक लागोरी खेल में विशेष रूप से तैयार किए गए औपचारिक पत्थरों का उपयोग शामिल है?")</f>
        <v>किस भारतीय राज्य के पारंपरिक लागोरी खेल में विशेष रूप से तैयार किए गए औपचारिक पत्थरों का उपयोग शामिल है?</v>
      </c>
      <c r="H258" s="5" t="str">
        <f>IFERROR(__xludf.DUMMYFUNCTION("GOOGLETRANSLATE(C258, ""en"", ""hi"")"),"ए) कर्नाटक, बी) तमिलनाडु, सी) महाराष्ट्र, डी) आंध्र प्रदेश")</f>
        <v>ए) कर्नाटक, बी) तमिलनाडु, सी) महाराष्ट्र, डी) आंध्र प्रदेश</v>
      </c>
      <c r="I258" s="5" t="str">
        <f>IFERROR(__xludf.DUMMYFUNCTION("GOOGLETRANSLATE(D258, ""en"", ""hi"")"),"C) महाराष्ट्र")</f>
        <v>C) महाराष्ट्र</v>
      </c>
    </row>
    <row r="259" ht="22.5" customHeight="1">
      <c r="A259" s="3">
        <v>258.0</v>
      </c>
      <c r="B259" s="4" t="s">
        <v>4265</v>
      </c>
      <c r="C259" s="4" t="s">
        <v>4131</v>
      </c>
      <c r="D259" s="4" t="s">
        <v>3301</v>
      </c>
      <c r="F259" s="5" t="str">
        <f>IFERROR(__xludf.DUMMYFUNCTION("GOOGLETRANSLATE(A259, ""en"", ""hi"")"),"258")</f>
        <v>258</v>
      </c>
      <c r="G259" s="5" t="str">
        <f>IFERROR(__xludf.DUMMYFUNCTION("GOOGLETRANSLATE(B259, ""en"", ""hi"")"),"कौन सा भारतीय राजा मनोरंजन और सैन्य प्रशिक्षण दोनों के लिए लागोरी को एक उपकरण के रूप में उपयोग करने के लिए प्रसिद्ध है?")</f>
        <v>कौन सा भारतीय राजा मनोरंजन और सैन्य प्रशिक्षण दोनों के लिए लागोरी को एक उपकरण के रूप में उपयोग करने के लिए प्रसिद्ध है?</v>
      </c>
      <c r="H259" s="5" t="str">
        <f>IFERROR(__xludf.DUMMYFUNCTION("GOOGLETRANSLATE(C259, ""en"", ""hi"")"),"ए) राजा राजा चोल, बी) कृष्णदेवराय, सी) शिवाजी महाराज, डी) अशोक")</f>
        <v>ए) राजा राजा चोल, बी) कृष्णदेवराय, सी) शिवाजी महाराज, डी) अशोक</v>
      </c>
      <c r="I259" s="5" t="str">
        <f>IFERROR(__xludf.DUMMYFUNCTION("GOOGLETRANSLATE(D259, ""en"", ""hi"")"),"C) शिवाजी महाराज")</f>
        <v>C) शिवाजी महाराज</v>
      </c>
    </row>
    <row r="260" ht="22.5" customHeight="1">
      <c r="A260" s="3">
        <v>259.0</v>
      </c>
      <c r="B260" s="4" t="s">
        <v>4266</v>
      </c>
      <c r="C260" s="4" t="s">
        <v>4267</v>
      </c>
      <c r="D260" s="4" t="s">
        <v>4145</v>
      </c>
      <c r="F260" s="5" t="str">
        <f>IFERROR(__xludf.DUMMYFUNCTION("GOOGLETRANSLATE(A260, ""en"", ""hi"")"),"259")</f>
        <v>259</v>
      </c>
      <c r="G260" s="5" t="str">
        <f>IFERROR(__xludf.DUMMYFUNCTION("GOOGLETRANSLATE(B260, ""en"", ""hi"")"),"कौन सा प्राचीन भारतीय खेल, जो लागोरी से निकटता से संबंधित है, का उल्लेख ग्रंथों में समन्वय विकसित करने की एक विधि के रूप में किया गया है?")</f>
        <v>कौन सा प्राचीन भारतीय खेल, जो लागोरी से निकटता से संबंधित है, का उल्लेख ग्रंथों में समन्वय विकसित करने की एक विधि के रूप में किया गया है?</v>
      </c>
      <c r="H260" s="5" t="str">
        <f>IFERROR(__xludf.DUMMYFUNCTION("GOOGLETRANSLATE(C260, ""en"", ""hi"")"),"ए) पिट्ठू, बी) गिल्ली-डंडा, सी) खो-खो, डी) कबड्डी")</f>
        <v>ए) पिट्ठू, बी) गिल्ली-डंडा, सी) खो-खो, डी) कबड्डी</v>
      </c>
      <c r="I260" s="5" t="str">
        <f>IFERROR(__xludf.DUMMYFUNCTION("GOOGLETRANSLATE(D260, ""en"", ""hi"")"),"A) पिट्टू")</f>
        <v>A) पिट्टू</v>
      </c>
    </row>
    <row r="261" ht="22.5" customHeight="1">
      <c r="A261" s="3">
        <v>260.0</v>
      </c>
      <c r="B261" s="4" t="s">
        <v>4268</v>
      </c>
      <c r="C261" s="4" t="s">
        <v>3763</v>
      </c>
      <c r="D261" s="4" t="s">
        <v>842</v>
      </c>
      <c r="F261" s="5" t="str">
        <f>IFERROR(__xludf.DUMMYFUNCTION("GOOGLETRANSLATE(A261, ""en"", ""hi"")"),"260")</f>
        <v>260</v>
      </c>
      <c r="G261" s="5" t="str">
        <f>IFERROR(__xludf.DUMMYFUNCTION("GOOGLETRANSLATE(B261, ""en"", ""hi"")"),"किस भारतीय राज्य के पारंपरिक लागोरी खेल में एक भिन्नता है जिसमें खिलाड़ी अलंकृत पत्थरों का उपयोग करते हैं?")</f>
        <v>किस भारतीय राज्य के पारंपरिक लागोरी खेल में एक भिन्नता है जिसमें खिलाड़ी अलंकृत पत्थरों का उपयोग करते हैं?</v>
      </c>
      <c r="H261" s="5" t="str">
        <f>IFERROR(__xludf.DUMMYFUNCTION("GOOGLETRANSLATE(C261, ""en"", ""hi"")"),"ए) तमिलनाडु, बी) कर्नाटक, सी) महाराष्ट्र, डी) आंध्र प्रदेश")</f>
        <v>ए) तमिलनाडु, बी) कर्नाटक, सी) महाराष्ट्र, डी) आंध्र प्रदेश</v>
      </c>
      <c r="I261" s="5" t="str">
        <f>IFERROR(__xludf.DUMMYFUNCTION("GOOGLETRANSLATE(D261, ""en"", ""hi"")"),"C) महाराष्ट्र")</f>
        <v>C) महाराष्ट्र</v>
      </c>
    </row>
    <row r="262" ht="22.5" customHeight="1">
      <c r="A262" s="3">
        <v>261.0</v>
      </c>
      <c r="B262" s="4" t="s">
        <v>4269</v>
      </c>
      <c r="C262" s="4" t="s">
        <v>3906</v>
      </c>
      <c r="D262" s="4" t="s">
        <v>3907</v>
      </c>
      <c r="F262" s="5" t="str">
        <f>IFERROR(__xludf.DUMMYFUNCTION("GOOGLETRANSLATE(A262, ""en"", ""hi"")"),"261")</f>
        <v>261</v>
      </c>
      <c r="G262" s="5" t="str">
        <f>IFERROR(__xludf.DUMMYFUNCTION("GOOGLETRANSLATE(B262, ""en"", ""hi"")"),"विजयनगर साम्राज्य का कौन सा ऐतिहासिक व्यक्ति अपने दरबारी मनोरंजन में लागोरी को शामिल करने के लिए जाना जाता है?")</f>
        <v>विजयनगर साम्राज्य का कौन सा ऐतिहासिक व्यक्ति अपने दरबारी मनोरंजन में लागोरी को शामिल करने के लिए जाना जाता है?</v>
      </c>
      <c r="H262" s="5" t="str">
        <f>IFERROR(__xludf.DUMMYFUNCTION("GOOGLETRANSLATE(C262, ""en"", ""hi"")"),"ए) कृष्णदेवराय, बी) हरिहर प्रथम, सी) बुक्का प्रथम, डी) अच्युता देव राय")</f>
        <v>ए) कृष्णदेवराय, बी) हरिहर प्रथम, सी) बुक्का प्रथम, डी) अच्युता देव राय</v>
      </c>
      <c r="I262" s="5" t="str">
        <f>IFERROR(__xludf.DUMMYFUNCTION("GOOGLETRANSLATE(D262, ""en"", ""hi"")"),"A) कृष्णदेवराय")</f>
        <v>A) कृष्णदेवराय</v>
      </c>
    </row>
    <row r="263" ht="22.5" customHeight="1">
      <c r="A263" s="3">
        <v>262.0</v>
      </c>
      <c r="B263" s="4" t="s">
        <v>4270</v>
      </c>
      <c r="C263" s="4" t="s">
        <v>4182</v>
      </c>
      <c r="D263" s="4" t="s">
        <v>4164</v>
      </c>
      <c r="F263" s="5" t="str">
        <f>IFERROR(__xludf.DUMMYFUNCTION("GOOGLETRANSLATE(A263, ""en"", ""hi"")"),"262")</f>
        <v>262</v>
      </c>
      <c r="G263" s="5" t="str">
        <f>IFERROR(__xludf.DUMMYFUNCTION("GOOGLETRANSLATE(B263, ""en"", ""hi"")"),"किस भारतीय राजा को सैन्य प्रशिक्षण और रणनीतिक विकास के लिए लागोरी को एक पद्धति के रूप में बढ़ावा देने के लिए जाना जाता है?")</f>
        <v>किस भारतीय राजा को सैन्य प्रशिक्षण और रणनीतिक विकास के लिए लागोरी को एक पद्धति के रूप में बढ़ावा देने के लिए जाना जाता है?</v>
      </c>
      <c r="H263" s="5" t="str">
        <f>IFERROR(__xludf.DUMMYFUNCTION("GOOGLETRANSLATE(C263, ""en"", ""hi"")"),"ए) शिवाजी महाराज, बी) चंद्रगुप्त मौर्य, सी) राजेंद्र चोल, डी) अशोक")</f>
        <v>ए) शिवाजी महाराज, बी) चंद्रगुप्त मौर्य, सी) राजेंद्र चोल, डी) अशोक</v>
      </c>
      <c r="I263" s="5" t="str">
        <f>IFERROR(__xludf.DUMMYFUNCTION("GOOGLETRANSLATE(D263, ""en"", ""hi"")"),"A) शिवाजी महाराज")</f>
        <v>A) शिवाजी महाराज</v>
      </c>
    </row>
    <row r="264" ht="22.5" customHeight="1">
      <c r="A264" s="3">
        <v>263.0</v>
      </c>
      <c r="B264" s="4" t="s">
        <v>4271</v>
      </c>
      <c r="C264" s="4" t="s">
        <v>4116</v>
      </c>
      <c r="D264" s="4" t="s">
        <v>2616</v>
      </c>
      <c r="F264" s="5" t="str">
        <f>IFERROR(__xludf.DUMMYFUNCTION("GOOGLETRANSLATE(A264, ""en"", ""hi"")"),"263")</f>
        <v>263</v>
      </c>
      <c r="G264" s="5" t="str">
        <f>IFERROR(__xludf.DUMMYFUNCTION("GOOGLETRANSLATE(B264, ""en"", ""hi"")"),"कौन सा ऐतिहासिक ग्रंथ लागोरी और सैन्य अभ्यासों में इसके उपयोग का विस्तृत विवरण प्रदान करता है?")</f>
        <v>कौन सा ऐतिहासिक ग्रंथ लागोरी और सैन्य अभ्यासों में इसके उपयोग का विस्तृत विवरण प्रदान करता है?</v>
      </c>
      <c r="H264" s="5" t="str">
        <f>IFERROR(__xludf.DUMMYFUNCTION("GOOGLETRANSLATE(C264, ""en"", ""hi"")"),"ए) अर्थशास्त्र, बी) मनुस्मृति, सी) भगवद गीता, डी) रामायण")</f>
        <v>ए) अर्थशास्त्र, बी) मनुस्मृति, सी) भगवद गीता, डी) रामायण</v>
      </c>
      <c r="I264" s="5" t="str">
        <f>IFERROR(__xludf.DUMMYFUNCTION("GOOGLETRANSLATE(D264, ""en"", ""hi"")"),"A) अर्थशास्त्र")</f>
        <v>A) अर्थशास्त्र</v>
      </c>
    </row>
    <row r="265" ht="22.5" customHeight="1">
      <c r="A265" s="3">
        <v>264.0</v>
      </c>
      <c r="B265" s="4" t="s">
        <v>4272</v>
      </c>
      <c r="C265" s="4" t="s">
        <v>2588</v>
      </c>
      <c r="D265" s="4" t="s">
        <v>2589</v>
      </c>
      <c r="F265" s="5" t="str">
        <f>IFERROR(__xludf.DUMMYFUNCTION("GOOGLETRANSLATE(A265, ""en"", ""hi"")"),"264")</f>
        <v>264</v>
      </c>
      <c r="G265" s="5" t="str">
        <f>IFERROR(__xludf.DUMMYFUNCTION("GOOGLETRANSLATE(B265, ""en"", ""hi"")"),"कौन सा मुगल सम्राट लगोरी और अन्य पारंपरिक भारतीय खेलों के संरक्षण के लिए प्रसिद्ध है?")</f>
        <v>कौन सा मुगल सम्राट लगोरी और अन्य पारंपरिक भारतीय खेलों के संरक्षण के लिए प्रसिद्ध है?</v>
      </c>
      <c r="H265" s="5" t="str">
        <f>IFERROR(__xludf.DUMMYFUNCTION("GOOGLETRANSLATE(C265, ""en"", ""hi"")"),"A) अकबर, B) जहाँगीर, C) शाहजहाँ, D) औरंगज़ेब")</f>
        <v>A) अकबर, B) जहाँगीर, C) शाहजहाँ, D) औरंगज़ेब</v>
      </c>
      <c r="I265" s="5" t="str">
        <f>IFERROR(__xludf.DUMMYFUNCTION("GOOGLETRANSLATE(D265, ""en"", ""hi"")"),"बी) जहांगीर")</f>
        <v>बी) जहांगीर</v>
      </c>
    </row>
    <row r="266" ht="22.5" customHeight="1">
      <c r="A266" s="3">
        <v>265.0</v>
      </c>
      <c r="B266" s="4" t="s">
        <v>4273</v>
      </c>
      <c r="C266" s="4" t="s">
        <v>4139</v>
      </c>
      <c r="D266" s="4" t="s">
        <v>842</v>
      </c>
      <c r="F266" s="5" t="str">
        <f>IFERROR(__xludf.DUMMYFUNCTION("GOOGLETRANSLATE(A266, ""en"", ""hi"")"),"265")</f>
        <v>265</v>
      </c>
      <c r="G266" s="5" t="str">
        <f>IFERROR(__xludf.DUMMYFUNCTION("GOOGLETRANSLATE(B266, ""en"", ""hi"")"),"किस भारतीय राज्य का पारंपरिक लागोरी खेल अपने औपचारिक पहलुओं और प्रतीकात्मक पत्थरों के उपयोग के लिए जाना जाता है?")</f>
        <v>किस भारतीय राज्य का पारंपरिक लागोरी खेल अपने औपचारिक पहलुओं और प्रतीकात्मक पत्थरों के उपयोग के लिए जाना जाता है?</v>
      </c>
      <c r="H266" s="5" t="str">
        <f>IFERROR(__xludf.DUMMYFUNCTION("GOOGLETRANSLATE(C266, ""en"", ""hi"")"),"ए) कर्नाटक, बी) तमिलनाडु, सी) महाराष्ट्र, डी) आंध्र प्रदेश")</f>
        <v>ए) कर्नाटक, बी) तमिलनाडु, सी) महाराष्ट्र, डी) आंध्र प्रदेश</v>
      </c>
      <c r="I266" s="5" t="str">
        <f>IFERROR(__xludf.DUMMYFUNCTION("GOOGLETRANSLATE(D266, ""en"", ""hi"")"),"C) महाराष्ट्र")</f>
        <v>C) महाराष्ट्र</v>
      </c>
    </row>
    <row r="267" ht="22.5" customHeight="1">
      <c r="A267" s="3">
        <v>266.0</v>
      </c>
      <c r="B267" s="4" t="s">
        <v>4274</v>
      </c>
      <c r="C267" s="4" t="s">
        <v>4267</v>
      </c>
      <c r="D267" s="4" t="s">
        <v>4145</v>
      </c>
      <c r="F267" s="5" t="str">
        <f>IFERROR(__xludf.DUMMYFUNCTION("GOOGLETRANSLATE(A267, ""en"", ""hi"")"),"266")</f>
        <v>266</v>
      </c>
      <c r="G267" s="5" t="str">
        <f>IFERROR(__xludf.DUMMYFUNCTION("GOOGLETRANSLATE(B267, ""en"", ""hi"")"),"लागोरी के समान कौन सा प्राचीन भारतीय खेल रणनीतिक और टीम समन्वय कौशल विकसित करने के लिए उपयोग किया जाता था?")</f>
        <v>लागोरी के समान कौन सा प्राचीन भारतीय खेल रणनीतिक और टीम समन्वय कौशल विकसित करने के लिए उपयोग किया जाता था?</v>
      </c>
      <c r="H267" s="5" t="str">
        <f>IFERROR(__xludf.DUMMYFUNCTION("GOOGLETRANSLATE(C267, ""en"", ""hi"")"),"ए) पिट्ठू, बी) गिल्ली-डंडा, सी) खो-खो, डी) कबड्डी")</f>
        <v>ए) पिट्ठू, बी) गिल्ली-डंडा, सी) खो-खो, डी) कबड्डी</v>
      </c>
      <c r="I267" s="5" t="str">
        <f>IFERROR(__xludf.DUMMYFUNCTION("GOOGLETRANSLATE(D267, ""en"", ""hi"")"),"A) पिट्टू")</f>
        <v>A) पिट्टू</v>
      </c>
    </row>
    <row r="268" ht="22.5" customHeight="1">
      <c r="A268" s="3">
        <v>267.0</v>
      </c>
      <c r="B268" s="4" t="s">
        <v>4275</v>
      </c>
      <c r="C268" s="4" t="s">
        <v>4276</v>
      </c>
      <c r="D268" s="4" t="s">
        <v>3208</v>
      </c>
      <c r="F268" s="5" t="str">
        <f>IFERROR(__xludf.DUMMYFUNCTION("GOOGLETRANSLATE(A268, ""en"", ""hi"")"),"267")</f>
        <v>267</v>
      </c>
      <c r="G268" s="5" t="str">
        <f>IFERROR(__xludf.DUMMYFUNCTION("GOOGLETRANSLATE(B268, ""en"", ""hi"")"),"कौन सा भारतीय शासक मनोरंजन और सैन्य प्रशिक्षण दोनों में लागोरी को शामिल करने से जुड़ा हुआ है?")</f>
        <v>कौन सा भारतीय शासक मनोरंजन और सैन्य प्रशिक्षण दोनों में लागोरी को शामिल करने से जुड़ा हुआ है?</v>
      </c>
      <c r="H268" s="5" t="str">
        <f>IFERROR(__xludf.DUMMYFUNCTION("GOOGLETRANSLATE(C268, ""en"", ""hi"")"),"ए) राजा राजा चोल, बी) शिवाजी महाराज, सी) कृष्णदेवराय, डी) अशोक")</f>
        <v>ए) राजा राजा चोल, बी) शिवाजी महाराज, सी) कृष्णदेवराय, डी) अशोक</v>
      </c>
      <c r="I268" s="5" t="str">
        <f>IFERROR(__xludf.DUMMYFUNCTION("GOOGLETRANSLATE(D268, ""en"", ""hi"")"),"B) शिवाजी महाराज")</f>
        <v>B) शिवाजी महाराज</v>
      </c>
    </row>
    <row r="269" ht="22.5" customHeight="1">
      <c r="A269" s="3">
        <v>268.0</v>
      </c>
      <c r="B269" s="4" t="s">
        <v>4277</v>
      </c>
      <c r="C269" s="4" t="s">
        <v>2588</v>
      </c>
      <c r="D269" s="4" t="s">
        <v>4152</v>
      </c>
      <c r="F269" s="5" t="str">
        <f>IFERROR(__xludf.DUMMYFUNCTION("GOOGLETRANSLATE(A269, ""en"", ""hi"")"),"268")</f>
        <v>268</v>
      </c>
      <c r="G269" s="5" t="str">
        <f>IFERROR(__xludf.DUMMYFUNCTION("GOOGLETRANSLATE(B269, ""en"", ""hi"")"),"कौन सा मुगल सम्राट लागोरी सहित पारंपरिक भारतीय खेलों को लोकप्रिय बनाने में अपनी भूमिका के लिए जाना जाता है?")</f>
        <v>कौन सा मुगल सम्राट लागोरी सहित पारंपरिक भारतीय खेलों को लोकप्रिय बनाने में अपनी भूमिका के लिए जाना जाता है?</v>
      </c>
      <c r="H269" s="5" t="str">
        <f>IFERROR(__xludf.DUMMYFUNCTION("GOOGLETRANSLATE(C269, ""en"", ""hi"")"),"A) अकबर, B) जहाँगीर, C) शाहजहाँ, D) औरंगज़ेब")</f>
        <v>A) अकबर, B) जहाँगीर, C) शाहजहाँ, D) औरंगज़ेब</v>
      </c>
      <c r="I269" s="5" t="str">
        <f>IFERROR(__xludf.DUMMYFUNCTION("GOOGLETRANSLATE(D269, ""en"", ""hi"")"),"C) शाहजहाँ")</f>
        <v>C) शाहजहाँ</v>
      </c>
    </row>
    <row r="270" ht="22.5" customHeight="1">
      <c r="A270" s="3">
        <v>269.0</v>
      </c>
      <c r="B270" s="4" t="s">
        <v>4278</v>
      </c>
      <c r="C270" s="4" t="s">
        <v>4075</v>
      </c>
      <c r="D270" s="4" t="s">
        <v>158</v>
      </c>
      <c r="F270" s="5" t="str">
        <f>IFERROR(__xludf.DUMMYFUNCTION("GOOGLETRANSLATE(A270, ""en"", ""hi"")"),"269")</f>
        <v>269</v>
      </c>
      <c r="G270" s="5" t="str">
        <f>IFERROR(__xludf.DUMMYFUNCTION("GOOGLETRANSLATE(B270, ""en"", ""hi"")"),"किस भारतीय राज्य की लोककथा में महत्वपूर्ण सांस्कृतिक और धार्मिक आयोजनों के दौरान लागोरी बजाई जाती है?")</f>
        <v>किस भारतीय राज्य की लोककथा में महत्वपूर्ण सांस्कृतिक और धार्मिक आयोजनों के दौरान लागोरी बजाई जाती है?</v>
      </c>
      <c r="H270" s="5" t="str">
        <f>IFERROR(__xludf.DUMMYFUNCTION("GOOGLETRANSLATE(C270, ""en"", ""hi"")"),"ए) महाराष्ट्र, बी) कर्नाटक, सी) तमिलनाडु, डी) आंध्र प्रदेश")</f>
        <v>ए) महाराष्ट्र, बी) कर्नाटक, सी) तमिलनाडु, डी) आंध्र प्रदेश</v>
      </c>
      <c r="I270" s="5" t="str">
        <f>IFERROR(__xludf.DUMMYFUNCTION("GOOGLETRANSLATE(D270, ""en"", ""hi"")"),"A) महाराष्ट्र")</f>
        <v>A) महाराष्ट्र</v>
      </c>
    </row>
    <row r="271" ht="22.5" customHeight="1">
      <c r="A271" s="3">
        <v>270.0</v>
      </c>
      <c r="B271" s="4" t="s">
        <v>4279</v>
      </c>
      <c r="C271" s="4" t="s">
        <v>4116</v>
      </c>
      <c r="D271" s="4" t="s">
        <v>2616</v>
      </c>
      <c r="F271" s="5" t="str">
        <f>IFERROR(__xludf.DUMMYFUNCTION("GOOGLETRANSLATE(A271, ""en"", ""hi"")"),"270")</f>
        <v>270</v>
      </c>
      <c r="G271" s="5" t="str">
        <f>IFERROR(__xludf.DUMMYFUNCTION("GOOGLETRANSLATE(B271, ""en"", ""hi"")"),"किस ऐतिहासिक ग्रंथ में रणनीति और नेतृत्व सिखाने के लिए इस्तेमाल किए जाने वाले खेलों के उदाहरण के रूप में लागोरी को शामिल किया गया है?")</f>
        <v>किस ऐतिहासिक ग्रंथ में रणनीति और नेतृत्व सिखाने के लिए इस्तेमाल किए जाने वाले खेलों के उदाहरण के रूप में लागोरी को शामिल किया गया है?</v>
      </c>
      <c r="H271" s="5" t="str">
        <f>IFERROR(__xludf.DUMMYFUNCTION("GOOGLETRANSLATE(C271, ""en"", ""hi"")"),"ए) अर्थशास्त्र, बी) मनुस्मृति, सी) भगवद गीता, डी) रामायण")</f>
        <v>ए) अर्थशास्त्र, बी) मनुस्मृति, सी) भगवद गीता, डी) रामायण</v>
      </c>
      <c r="I271" s="5" t="str">
        <f>IFERROR(__xludf.DUMMYFUNCTION("GOOGLETRANSLATE(D271, ""en"", ""hi"")"),"A) अर्थशास्त्र")</f>
        <v>A) अर्थशास्त्र</v>
      </c>
    </row>
    <row r="272" ht="22.5" customHeight="1">
      <c r="A272" s="3">
        <v>271.0</v>
      </c>
      <c r="B272" s="4" t="s">
        <v>4280</v>
      </c>
      <c r="C272" s="4" t="s">
        <v>2588</v>
      </c>
      <c r="D272" s="4" t="s">
        <v>2589</v>
      </c>
      <c r="F272" s="5" t="str">
        <f>IFERROR(__xludf.DUMMYFUNCTION("GOOGLETRANSLATE(A272, ""en"", ""hi"")"),"271")</f>
        <v>271</v>
      </c>
      <c r="G272" s="5" t="str">
        <f>IFERROR(__xludf.DUMMYFUNCTION("GOOGLETRANSLATE(B272, ""en"", ""hi"")"),"कौन सा मुगल शासक पारंपरिक भारतीय खेलों और खेलकूद, जैसे लागोरी, के समर्थन के लिए जाना जाता है?")</f>
        <v>कौन सा मुगल शासक पारंपरिक भारतीय खेलों और खेलकूद, जैसे लागोरी, के समर्थन के लिए जाना जाता है?</v>
      </c>
      <c r="H272" s="5" t="str">
        <f>IFERROR(__xludf.DUMMYFUNCTION("GOOGLETRANSLATE(C272, ""en"", ""hi"")"),"A) अकबर, B) जहाँगीर, C) शाहजहाँ, D) औरंगज़ेब")</f>
        <v>A) अकबर, B) जहाँगीर, C) शाहजहाँ, D) औरंगज़ेब</v>
      </c>
      <c r="I272" s="5" t="str">
        <f>IFERROR(__xludf.DUMMYFUNCTION("GOOGLETRANSLATE(D272, ""en"", ""hi"")"),"बी) जहांगीर")</f>
        <v>बी) जहांगीर</v>
      </c>
    </row>
    <row r="273" ht="22.5" customHeight="1">
      <c r="A273" s="3">
        <v>272.0</v>
      </c>
      <c r="B273" s="4" t="s">
        <v>4281</v>
      </c>
      <c r="C273" s="4" t="s">
        <v>3763</v>
      </c>
      <c r="D273" s="4" t="s">
        <v>842</v>
      </c>
      <c r="F273" s="5" t="str">
        <f>IFERROR(__xludf.DUMMYFUNCTION("GOOGLETRANSLATE(A273, ""en"", ""hi"")"),"272")</f>
        <v>272</v>
      </c>
      <c r="G273" s="5" t="str">
        <f>IFERROR(__xludf.DUMMYFUNCTION("GOOGLETRANSLATE(B273, ""en"", ""hi"")"),"किस भारतीय राज्य के पारंपरिक लागोरी खेल में विशेष रूप से तैयार की गई गेंदों या पत्थरों का उपयोग किया जाता है?")</f>
        <v>किस भारतीय राज्य के पारंपरिक लागोरी खेल में विशेष रूप से तैयार की गई गेंदों या पत्थरों का उपयोग किया जाता है?</v>
      </c>
      <c r="H273" s="5" t="str">
        <f>IFERROR(__xludf.DUMMYFUNCTION("GOOGLETRANSLATE(C273, ""en"", ""hi"")"),"ए) तमिलनाडु, बी) कर्नाटक, सी) महाराष्ट्र, डी) आंध्र प्रदेश")</f>
        <v>ए) तमिलनाडु, बी) कर्नाटक, सी) महाराष्ट्र, डी) आंध्र प्रदेश</v>
      </c>
      <c r="I273" s="5" t="str">
        <f>IFERROR(__xludf.DUMMYFUNCTION("GOOGLETRANSLATE(D273, ""en"", ""hi"")"),"C) महाराष्ट्र")</f>
        <v>C) महाराष्ट्र</v>
      </c>
    </row>
    <row r="274" ht="22.5" customHeight="1">
      <c r="A274" s="3">
        <v>273.0</v>
      </c>
      <c r="B274" s="4" t="s">
        <v>4282</v>
      </c>
      <c r="C274" s="4" t="s">
        <v>3906</v>
      </c>
      <c r="D274" s="4" t="s">
        <v>3907</v>
      </c>
      <c r="F274" s="5" t="str">
        <f>IFERROR(__xludf.DUMMYFUNCTION("GOOGLETRANSLATE(A274, ""en"", ""hi"")"),"273")</f>
        <v>273</v>
      </c>
      <c r="G274" s="5" t="str">
        <f>IFERROR(__xludf.DUMMYFUNCTION("GOOGLETRANSLATE(B274, ""en"", ""hi"")"),"विजयनगर साम्राज्य का कौन सा ऐतिहासिक व्यक्ति लागोरी को अपनी दरबारी गतिविधियों में शामिल करने के लिए जाना जाता है?")</f>
        <v>विजयनगर साम्राज्य का कौन सा ऐतिहासिक व्यक्ति लागोरी को अपनी दरबारी गतिविधियों में शामिल करने के लिए जाना जाता है?</v>
      </c>
      <c r="H274" s="5" t="str">
        <f>IFERROR(__xludf.DUMMYFUNCTION("GOOGLETRANSLATE(C274, ""en"", ""hi"")"),"ए) कृष्णदेवराय, बी) हरिहर प्रथम, सी) बुक्का प्रथम, डी) अच्युता देव राय")</f>
        <v>ए) कृष्णदेवराय, बी) हरिहर प्रथम, सी) बुक्का प्रथम, डी) अच्युता देव राय</v>
      </c>
      <c r="I274" s="5" t="str">
        <f>IFERROR(__xludf.DUMMYFUNCTION("GOOGLETRANSLATE(D274, ""en"", ""hi"")"),"A) कृष्णदेवराय")</f>
        <v>A) कृष्णदेवराय</v>
      </c>
    </row>
    <row r="275" ht="22.5" customHeight="1">
      <c r="A275" s="3">
        <v>274.0</v>
      </c>
      <c r="B275" s="4" t="s">
        <v>4283</v>
      </c>
      <c r="C275" s="4" t="s">
        <v>4182</v>
      </c>
      <c r="D275" s="4" t="s">
        <v>4164</v>
      </c>
      <c r="F275" s="5" t="str">
        <f>IFERROR(__xludf.DUMMYFUNCTION("GOOGLETRANSLATE(A275, ""en"", ""hi"")"),"274")</f>
        <v>274</v>
      </c>
      <c r="G275" s="5" t="str">
        <f>IFERROR(__xludf.DUMMYFUNCTION("GOOGLETRANSLATE(B275, ""en"", ""hi"")"),"किस भारतीय राजा को मनोरंजन और रणनीतिक विकास दोनों के लिए लागोरी को एक उपकरण के रूप में उपयोग करने का श्रेय दिया जाता है?")</f>
        <v>किस भारतीय राजा को मनोरंजन और रणनीतिक विकास दोनों के लिए लागोरी को एक उपकरण के रूप में उपयोग करने का श्रेय दिया जाता है?</v>
      </c>
      <c r="H275" s="5" t="str">
        <f>IFERROR(__xludf.DUMMYFUNCTION("GOOGLETRANSLATE(C275, ""en"", ""hi"")"),"ए) शिवाजी महाराज, बी) चंद्रगुप्त मौर्य, सी) राजेंद्र चोल, डी) अशोक")</f>
        <v>ए) शिवाजी महाराज, बी) चंद्रगुप्त मौर्य, सी) राजेंद्र चोल, डी) अशोक</v>
      </c>
      <c r="I275" s="5" t="str">
        <f>IFERROR(__xludf.DUMMYFUNCTION("GOOGLETRANSLATE(D275, ""en"", ""hi"")"),"A) शिवाजी महाराज")</f>
        <v>A) शिवाजी महाराज</v>
      </c>
    </row>
    <row r="276" ht="22.5" customHeight="1">
      <c r="A276" s="3">
        <v>275.0</v>
      </c>
      <c r="B276" s="4" t="s">
        <v>4284</v>
      </c>
      <c r="C276" s="4" t="s">
        <v>4116</v>
      </c>
      <c r="D276" s="4" t="s">
        <v>2616</v>
      </c>
      <c r="F276" s="5" t="str">
        <f>IFERROR(__xludf.DUMMYFUNCTION("GOOGLETRANSLATE(A276, ""en"", ""hi"")"),"275")</f>
        <v>275</v>
      </c>
      <c r="G276" s="5" t="str">
        <f>IFERROR(__xludf.DUMMYFUNCTION("GOOGLETRANSLATE(B276, ""en"", ""hi"")"),"कौन सा ऐतिहासिक भारतीय ग्रंथ लागोरी को टीमवर्क और रणनीतिक सोच को बढ़ाने के लिए डिज़ाइन किए गए खेल के रूप में वर्णित करता है?")</f>
        <v>कौन सा ऐतिहासिक भारतीय ग्रंथ लागोरी को टीमवर्क और रणनीतिक सोच को बढ़ाने के लिए डिज़ाइन किए गए खेल के रूप में वर्णित करता है?</v>
      </c>
      <c r="H276" s="5" t="str">
        <f>IFERROR(__xludf.DUMMYFUNCTION("GOOGLETRANSLATE(C276, ""en"", ""hi"")"),"ए) अर्थशास्त्र, बी) मनुस्मृति, सी) भगवद गीता, डी) रामायण")</f>
        <v>ए) अर्थशास्त्र, बी) मनुस्मृति, सी) भगवद गीता, डी) रामायण</v>
      </c>
      <c r="I276" s="5" t="str">
        <f>IFERROR(__xludf.DUMMYFUNCTION("GOOGLETRANSLATE(D276, ""en"", ""hi"")"),"A) अर्थशास्त्र")</f>
        <v>A) अर्थशास्त्र</v>
      </c>
    </row>
    <row r="277" ht="22.5" customHeight="1">
      <c r="A277" s="3">
        <v>276.0</v>
      </c>
      <c r="B277" s="4" t="s">
        <v>4285</v>
      </c>
      <c r="C277" s="4" t="s">
        <v>2588</v>
      </c>
      <c r="D277" s="4" t="s">
        <v>4152</v>
      </c>
      <c r="F277" s="5" t="str">
        <f>IFERROR(__xludf.DUMMYFUNCTION("GOOGLETRANSLATE(A277, ""en"", ""hi"")"),"276")</f>
        <v>276</v>
      </c>
      <c r="G277" s="5" t="str">
        <f>IFERROR(__xludf.DUMMYFUNCTION("GOOGLETRANSLATE(B277, ""en"", ""hi"")"),"कौन सा मुगल सम्राट लगोरी के उत्सव और संरक्षण में अपनी भूमिका के लिए जाना जाता है?")</f>
        <v>कौन सा मुगल सम्राट लगोरी के उत्सव और संरक्षण में अपनी भूमिका के लिए जाना जाता है?</v>
      </c>
      <c r="H277" s="5" t="str">
        <f>IFERROR(__xludf.DUMMYFUNCTION("GOOGLETRANSLATE(C277, ""en"", ""hi"")"),"A) अकबर, B) जहाँगीर, C) शाहजहाँ, D) औरंगज़ेब")</f>
        <v>A) अकबर, B) जहाँगीर, C) शाहजहाँ, D) औरंगज़ेब</v>
      </c>
      <c r="I277" s="5" t="str">
        <f>IFERROR(__xludf.DUMMYFUNCTION("GOOGLETRANSLATE(D277, ""en"", ""hi"")"),"C) शाहजहाँ")</f>
        <v>C) शाहजहाँ</v>
      </c>
    </row>
    <row r="278" ht="22.5" customHeight="1">
      <c r="A278" s="3">
        <v>277.0</v>
      </c>
      <c r="B278" s="4" t="s">
        <v>4286</v>
      </c>
      <c r="C278" s="4" t="s">
        <v>4139</v>
      </c>
      <c r="D278" s="4" t="s">
        <v>842</v>
      </c>
      <c r="F278" s="5" t="str">
        <f>IFERROR(__xludf.DUMMYFUNCTION("GOOGLETRANSLATE(A278, ""en"", ""hi"")"),"277")</f>
        <v>277</v>
      </c>
      <c r="G278" s="5" t="str">
        <f>IFERROR(__xludf.DUMMYFUNCTION("GOOGLETRANSLATE(B278, ""en"", ""hi"")"),"किस भारतीय राज्य के पारंपरिक लागोरी खेल में महत्वपूर्ण सांस्कृतिक उत्सवों के दौरान उपयोग किए जाने वाले औपचारिक पत्थर शामिल हैं?")</f>
        <v>किस भारतीय राज्य के पारंपरिक लागोरी खेल में महत्वपूर्ण सांस्कृतिक उत्सवों के दौरान उपयोग किए जाने वाले औपचारिक पत्थर शामिल हैं?</v>
      </c>
      <c r="H278" s="5" t="str">
        <f>IFERROR(__xludf.DUMMYFUNCTION("GOOGLETRANSLATE(C278, ""en"", ""hi"")"),"ए) कर्नाटक, बी) तमिलनाडु, सी) महाराष्ट्र, डी) आंध्र प्रदेश")</f>
        <v>ए) कर्नाटक, बी) तमिलनाडु, सी) महाराष्ट्र, डी) आंध्र प्रदेश</v>
      </c>
      <c r="I278" s="5" t="str">
        <f>IFERROR(__xludf.DUMMYFUNCTION("GOOGLETRANSLATE(D278, ""en"", ""hi"")"),"C) महाराष्ट्र")</f>
        <v>C) महाराष्ट्र</v>
      </c>
    </row>
    <row r="279" ht="22.5" customHeight="1">
      <c r="A279" s="3">
        <v>278.0</v>
      </c>
      <c r="B279" s="4" t="s">
        <v>4287</v>
      </c>
      <c r="C279" s="4" t="s">
        <v>4267</v>
      </c>
      <c r="D279" s="4" t="s">
        <v>4145</v>
      </c>
      <c r="F279" s="5" t="str">
        <f>IFERROR(__xludf.DUMMYFUNCTION("GOOGLETRANSLATE(A279, ""en"", ""hi"")"),"278")</f>
        <v>278</v>
      </c>
      <c r="G279" s="5" t="str">
        <f>IFERROR(__xludf.DUMMYFUNCTION("GOOGLETRANSLATE(B279, ""en"", ""hi"")"),"लागोरी से निकटता से संबंधित कौन सा प्राचीन भारतीय खेल प्राचीन काल में शारीरिक और रणनीतिक कौशल विकसित करने के लिए उपयोग किया जाता था?")</f>
        <v>लागोरी से निकटता से संबंधित कौन सा प्राचीन भारतीय खेल प्राचीन काल में शारीरिक और रणनीतिक कौशल विकसित करने के लिए उपयोग किया जाता था?</v>
      </c>
      <c r="H279" s="5" t="str">
        <f>IFERROR(__xludf.DUMMYFUNCTION("GOOGLETRANSLATE(C279, ""en"", ""hi"")"),"ए) पिट्ठू, बी) गिल्ली-डंडा, सी) खो-खो, डी) कबड्डी")</f>
        <v>ए) पिट्ठू, बी) गिल्ली-डंडा, सी) खो-खो, डी) कबड्डी</v>
      </c>
      <c r="I279" s="5" t="str">
        <f>IFERROR(__xludf.DUMMYFUNCTION("GOOGLETRANSLATE(D279, ""en"", ""hi"")"),"A) पिट्टू")</f>
        <v>A) पिट्टू</v>
      </c>
    </row>
    <row r="280" ht="22.5" customHeight="1">
      <c r="A280" s="3">
        <v>279.0</v>
      </c>
      <c r="B280" s="4" t="s">
        <v>4288</v>
      </c>
      <c r="C280" s="4" t="s">
        <v>4276</v>
      </c>
      <c r="D280" s="4" t="s">
        <v>3208</v>
      </c>
      <c r="F280" s="5" t="str">
        <f>IFERROR(__xludf.DUMMYFUNCTION("GOOGLETRANSLATE(A280, ""en"", ""hi"")"),"279")</f>
        <v>279</v>
      </c>
      <c r="G280" s="5" t="str">
        <f>IFERROR(__xludf.DUMMYFUNCTION("GOOGLETRANSLATE(B280, ""en"", ""hi"")"),"किस भारतीय शासक को अपनी सेना को प्रशिक्षित करने और अपने दरबार का मनोरंजन करने के लिए लागोरी का उपयोग करने के लिए जाना जाता है?")</f>
        <v>किस भारतीय शासक को अपनी सेना को प्रशिक्षित करने और अपने दरबार का मनोरंजन करने के लिए लागोरी का उपयोग करने के लिए जाना जाता है?</v>
      </c>
      <c r="H280" s="5" t="str">
        <f>IFERROR(__xludf.DUMMYFUNCTION("GOOGLETRANSLATE(C280, ""en"", ""hi"")"),"ए) राजा राजा चोल, बी) शिवाजी महाराज, सी) कृष्णदेवराय, डी) अशोक")</f>
        <v>ए) राजा राजा चोल, बी) शिवाजी महाराज, सी) कृष्णदेवराय, डी) अशोक</v>
      </c>
      <c r="I280" s="5" t="str">
        <f>IFERROR(__xludf.DUMMYFUNCTION("GOOGLETRANSLATE(D280, ""en"", ""hi"")"),"B) शिवाजी महाराज")</f>
        <v>B) शिवाजी महाराज</v>
      </c>
    </row>
    <row r="281" ht="22.5" customHeight="1">
      <c r="A281" s="3">
        <v>280.0</v>
      </c>
      <c r="B281" s="4" t="s">
        <v>4289</v>
      </c>
      <c r="C281" s="4" t="s">
        <v>2588</v>
      </c>
      <c r="D281" s="4" t="s">
        <v>2589</v>
      </c>
      <c r="F281" s="5" t="str">
        <f>IFERROR(__xludf.DUMMYFUNCTION("GOOGLETRANSLATE(A281, ""en"", ""hi"")"),"280")</f>
        <v>280</v>
      </c>
      <c r="G281" s="5" t="str">
        <f>IFERROR(__xludf.DUMMYFUNCTION("GOOGLETRANSLATE(B281, ""en"", ""hi"")"),"कौन सा मुगल सम्राट अपने व्यापक दस्तावेजीकरण और लागोरी जैसे पारंपरिक भारतीय खेलों के समर्थन के लिए जाना जाता है?")</f>
        <v>कौन सा मुगल सम्राट अपने व्यापक दस्तावेजीकरण और लागोरी जैसे पारंपरिक भारतीय खेलों के समर्थन के लिए जाना जाता है?</v>
      </c>
      <c r="H281" s="5" t="str">
        <f>IFERROR(__xludf.DUMMYFUNCTION("GOOGLETRANSLATE(C281, ""en"", ""hi"")"),"A) अकबर, B) जहाँगीर, C) शाहजहाँ, D) औरंगज़ेब")</f>
        <v>A) अकबर, B) जहाँगीर, C) शाहजहाँ, D) औरंगज़ेब</v>
      </c>
      <c r="I281" s="5" t="str">
        <f>IFERROR(__xludf.DUMMYFUNCTION("GOOGLETRANSLATE(D281, ""en"", ""hi"")"),"बी) जहांगीर")</f>
        <v>बी) जहांगीर</v>
      </c>
    </row>
    <row r="282" ht="22.5" customHeight="1">
      <c r="A282" s="3">
        <v>281.0</v>
      </c>
      <c r="B282" s="4" t="s">
        <v>4290</v>
      </c>
      <c r="C282" s="4" t="s">
        <v>3763</v>
      </c>
      <c r="D282" s="4" t="s">
        <v>842</v>
      </c>
      <c r="F282" s="5" t="str">
        <f>IFERROR(__xludf.DUMMYFUNCTION("GOOGLETRANSLATE(A282, ""en"", ""hi"")"),"281")</f>
        <v>281</v>
      </c>
      <c r="G282" s="5" t="str">
        <f>IFERROR(__xludf.DUMMYFUNCTION("GOOGLETRANSLATE(B282, ""en"", ""hi"")"),"किस भारतीय राज्य के पारंपरिक लागोरी खेल में औपचारिक प्रयोजनों के लिए विशिष्ट रूप से डिज़ाइन किए गए पत्थरों का उपयोग किया जाता है?")</f>
        <v>किस भारतीय राज्य के पारंपरिक लागोरी खेल में औपचारिक प्रयोजनों के लिए विशिष्ट रूप से डिज़ाइन किए गए पत्थरों का उपयोग किया जाता है?</v>
      </c>
      <c r="H282" s="5" t="str">
        <f>IFERROR(__xludf.DUMMYFUNCTION("GOOGLETRANSLATE(C282, ""en"", ""hi"")"),"ए) तमिलनाडु, बी) कर्नाटक, सी) महाराष्ट्र, डी) आंध्र प्रदेश")</f>
        <v>ए) तमिलनाडु, बी) कर्नाटक, सी) महाराष्ट्र, डी) आंध्र प्रदेश</v>
      </c>
      <c r="I282" s="5" t="str">
        <f>IFERROR(__xludf.DUMMYFUNCTION("GOOGLETRANSLATE(D282, ""en"", ""hi"")"),"C) महाराष्ट्र")</f>
        <v>C) महाराष्ट्र</v>
      </c>
    </row>
    <row r="283" ht="22.5" customHeight="1">
      <c r="A283" s="3">
        <v>282.0</v>
      </c>
      <c r="B283" s="4" t="s">
        <v>4291</v>
      </c>
      <c r="C283" s="4" t="s">
        <v>4187</v>
      </c>
      <c r="D283" s="4" t="s">
        <v>3907</v>
      </c>
      <c r="F283" s="5" t="str">
        <f>IFERROR(__xludf.DUMMYFUNCTION("GOOGLETRANSLATE(A283, ""en"", ""hi"")"),"282")</f>
        <v>282</v>
      </c>
      <c r="G283" s="5" t="str">
        <f>IFERROR(__xludf.DUMMYFUNCTION("GOOGLETRANSLATE(B283, ""en"", ""hi"")"),"कौन सा ऐतिहासिक भारतीय राजा लागोरी को शैक्षिक और मनोरंजक दोनों गतिविधियों में एकीकृत करने के लिए प्रसिद्ध है?")</f>
        <v>कौन सा ऐतिहासिक भारतीय राजा लागोरी को शैक्षिक और मनोरंजक दोनों गतिविधियों में एकीकृत करने के लिए प्रसिद्ध है?</v>
      </c>
      <c r="H283" s="5" t="str">
        <f>IFERROR(__xludf.DUMMYFUNCTION("GOOGLETRANSLATE(C283, ""en"", ""hi"")"),"ए) कृष्णदेवराय, बी) राजा राज चोल, सी) शिवाजी महाराज, डी) अशोक")</f>
        <v>ए) कृष्णदेवराय, बी) राजा राज चोल, सी) शिवाजी महाराज, डी) अशोक</v>
      </c>
      <c r="I283" s="5" t="str">
        <f>IFERROR(__xludf.DUMMYFUNCTION("GOOGLETRANSLATE(D283, ""en"", ""hi"")"),"A) कृष्णदेवराय")</f>
        <v>A) कृष्णदेवराय</v>
      </c>
    </row>
    <row r="284" ht="22.5" customHeight="1">
      <c r="A284" s="3">
        <v>283.0</v>
      </c>
      <c r="B284" s="4" t="s">
        <v>4292</v>
      </c>
      <c r="C284" s="4" t="s">
        <v>4116</v>
      </c>
      <c r="D284" s="4" t="s">
        <v>2616</v>
      </c>
      <c r="F284" s="5" t="str">
        <f>IFERROR(__xludf.DUMMYFUNCTION("GOOGLETRANSLATE(A284, ""en"", ""hi"")"),"283")</f>
        <v>283</v>
      </c>
      <c r="G284" s="5" t="str">
        <f>IFERROR(__xludf.DUMMYFUNCTION("GOOGLETRANSLATE(B284, ""en"", ""hi"")"),"कौन सा प्राचीन भारतीय ग्रंथ रणनीतिक और नेतृत्व कौशल विकसित करने के लिए इस्तेमाल किए जाने वाले खेल के रूप में लागोरी का वर्णन प्रदान करता है?")</f>
        <v>कौन सा प्राचीन भारतीय ग्रंथ रणनीतिक और नेतृत्व कौशल विकसित करने के लिए इस्तेमाल किए जाने वाले खेल के रूप में लागोरी का वर्णन प्रदान करता है?</v>
      </c>
      <c r="H284" s="5" t="str">
        <f>IFERROR(__xludf.DUMMYFUNCTION("GOOGLETRANSLATE(C284, ""en"", ""hi"")"),"ए) अर्थशास्त्र, बी) मनुस्मृति, सी) भगवद गीता, डी) रामायण")</f>
        <v>ए) अर्थशास्त्र, बी) मनुस्मृति, सी) भगवद गीता, डी) रामायण</v>
      </c>
      <c r="I284" s="5" t="str">
        <f>IFERROR(__xludf.DUMMYFUNCTION("GOOGLETRANSLATE(D284, ""en"", ""hi"")"),"A) अर्थशास्त्र")</f>
        <v>A) अर्थशास्त्र</v>
      </c>
    </row>
    <row r="285" ht="22.5" customHeight="1">
      <c r="A285" s="3">
        <v>284.0</v>
      </c>
      <c r="B285" s="4" t="s">
        <v>4293</v>
      </c>
      <c r="C285" s="4" t="s">
        <v>2588</v>
      </c>
      <c r="D285" s="4" t="s">
        <v>4152</v>
      </c>
      <c r="F285" s="5" t="str">
        <f>IFERROR(__xludf.DUMMYFUNCTION("GOOGLETRANSLATE(A285, ""en"", ""hi"")"),"284")</f>
        <v>284</v>
      </c>
      <c r="G285" s="5" t="str">
        <f>IFERROR(__xludf.DUMMYFUNCTION("GOOGLETRANSLATE(B285, ""en"", ""hi"")"),"कौन सा मुगल शासक लागोरी सहित पारंपरिक भारतीय खेलों के प्रति अपने उत्साह के लिए जाना जाता है?")</f>
        <v>कौन सा मुगल शासक लागोरी सहित पारंपरिक भारतीय खेलों के प्रति अपने उत्साह के लिए जाना जाता है?</v>
      </c>
      <c r="H285" s="5" t="str">
        <f>IFERROR(__xludf.DUMMYFUNCTION("GOOGLETRANSLATE(C285, ""en"", ""hi"")"),"A) अकबर, B) जहाँगीर, C) शाहजहाँ, D) औरंगज़ेब")</f>
        <v>A) अकबर, B) जहाँगीर, C) शाहजहाँ, D) औरंगज़ेब</v>
      </c>
      <c r="I285" s="5" t="str">
        <f>IFERROR(__xludf.DUMMYFUNCTION("GOOGLETRANSLATE(D285, ""en"", ""hi"")"),"C) शाहजहाँ")</f>
        <v>C) शाहजहाँ</v>
      </c>
    </row>
    <row r="286" ht="22.5" customHeight="1">
      <c r="A286" s="3">
        <v>285.0</v>
      </c>
      <c r="B286" s="4" t="s">
        <v>4294</v>
      </c>
      <c r="C286" s="4" t="s">
        <v>4075</v>
      </c>
      <c r="D286" s="4" t="s">
        <v>158</v>
      </c>
      <c r="F286" s="5" t="str">
        <f>IFERROR(__xludf.DUMMYFUNCTION("GOOGLETRANSLATE(A286, ""en"", ""hi"")"),"285")</f>
        <v>285</v>
      </c>
      <c r="G286" s="5" t="str">
        <f>IFERROR(__xludf.DUMMYFUNCTION("GOOGLETRANSLATE(B286, ""en"", ""hi"")"),"किस भारतीय राज्य की लोककथा में फसल और जीत का जश्न मनाने के लिए खेले जाने वाले खेल के रूप में लागोरी शामिल है?")</f>
        <v>किस भारतीय राज्य की लोककथा में फसल और जीत का जश्न मनाने के लिए खेले जाने वाले खेल के रूप में लागोरी शामिल है?</v>
      </c>
      <c r="H286" s="5" t="str">
        <f>IFERROR(__xludf.DUMMYFUNCTION("GOOGLETRANSLATE(C286, ""en"", ""hi"")"),"ए) महाराष्ट्र, बी) कर्नाटक, सी) तमिलनाडु, डी) आंध्र प्रदेश")</f>
        <v>ए) महाराष्ट्र, बी) कर्नाटक, सी) तमिलनाडु, डी) आंध्र प्रदेश</v>
      </c>
      <c r="I286" s="5" t="str">
        <f>IFERROR(__xludf.DUMMYFUNCTION("GOOGLETRANSLATE(D286, ""en"", ""hi"")"),"A) महाराष्ट्र")</f>
        <v>A) महाराष्ट्र</v>
      </c>
    </row>
    <row r="287" ht="22.5" customHeight="1">
      <c r="A287" s="3">
        <v>286.0</v>
      </c>
      <c r="B287" s="4" t="s">
        <v>4295</v>
      </c>
      <c r="C287" s="4" t="s">
        <v>4116</v>
      </c>
      <c r="D287" s="4" t="s">
        <v>2616</v>
      </c>
      <c r="F287" s="5" t="str">
        <f>IFERROR(__xludf.DUMMYFUNCTION("GOOGLETRANSLATE(A287, ""en"", ""hi"")"),"286")</f>
        <v>286</v>
      </c>
      <c r="G287" s="5" t="str">
        <f>IFERROR(__xludf.DUMMYFUNCTION("GOOGLETRANSLATE(B287, ""en"", ""hi"")"),"किस ऐतिहासिक भारतीय ग्रंथ में लागोरी का उल्लेख एक ऐसे खेल के रूप में किया गया है जो रणनीतिक योजना और टीम वर्क को बढ़ाता है?")</f>
        <v>किस ऐतिहासिक भारतीय ग्रंथ में लागोरी का उल्लेख एक ऐसे खेल के रूप में किया गया है जो रणनीतिक योजना और टीम वर्क को बढ़ाता है?</v>
      </c>
      <c r="H287" s="5" t="str">
        <f>IFERROR(__xludf.DUMMYFUNCTION("GOOGLETRANSLATE(C287, ""en"", ""hi"")"),"ए) अर्थशास्त्र, बी) मनुस्मृति, सी) भगवद गीता, डी) रामायण")</f>
        <v>ए) अर्थशास्त्र, बी) मनुस्मृति, सी) भगवद गीता, डी) रामायण</v>
      </c>
      <c r="I287" s="5" t="str">
        <f>IFERROR(__xludf.DUMMYFUNCTION("GOOGLETRANSLATE(D287, ""en"", ""hi"")"),"A) अर्थशास्त्र")</f>
        <v>A) अर्थशास्त्र</v>
      </c>
    </row>
    <row r="288" ht="22.5" customHeight="1">
      <c r="A288" s="3">
        <v>287.0</v>
      </c>
      <c r="B288" s="4" t="s">
        <v>4296</v>
      </c>
      <c r="C288" s="4" t="s">
        <v>2588</v>
      </c>
      <c r="D288" s="4" t="s">
        <v>2589</v>
      </c>
      <c r="F288" s="5" t="str">
        <f>IFERROR(__xludf.DUMMYFUNCTION("GOOGLETRANSLATE(A288, ""en"", ""hi"")"),"287")</f>
        <v>287</v>
      </c>
      <c r="G288" s="5" t="str">
        <f>IFERROR(__xludf.DUMMYFUNCTION("GOOGLETRANSLATE(B288, ""en"", ""hi"")"),"कौन सा मुगल सम्राट लगोरी को दरबारी मनोरंजन के एक महत्वपूर्ण हिस्से के रूप में बढ़ावा देने से जुड़ा है?")</f>
        <v>कौन सा मुगल सम्राट लगोरी को दरबारी मनोरंजन के एक महत्वपूर्ण हिस्से के रूप में बढ़ावा देने से जुड़ा है?</v>
      </c>
      <c r="H288" s="5" t="str">
        <f>IFERROR(__xludf.DUMMYFUNCTION("GOOGLETRANSLATE(C288, ""en"", ""hi"")"),"A) अकबर, B) जहाँगीर, C) शाहजहाँ, D) औरंगज़ेब")</f>
        <v>A) अकबर, B) जहाँगीर, C) शाहजहाँ, D) औरंगज़ेब</v>
      </c>
      <c r="I288" s="5" t="str">
        <f>IFERROR(__xludf.DUMMYFUNCTION("GOOGLETRANSLATE(D288, ""en"", ""hi"")"),"बी) जहांगीर")</f>
        <v>बी) जहांगीर</v>
      </c>
    </row>
    <row r="289" ht="22.5" customHeight="1">
      <c r="A289" s="3">
        <v>288.0</v>
      </c>
      <c r="B289" s="4" t="s">
        <v>4297</v>
      </c>
      <c r="C289" s="4" t="s">
        <v>3763</v>
      </c>
      <c r="D289" s="4" t="s">
        <v>842</v>
      </c>
      <c r="F289" s="5" t="str">
        <f>IFERROR(__xludf.DUMMYFUNCTION("GOOGLETRANSLATE(A289, ""en"", ""hi"")"),"288")</f>
        <v>288</v>
      </c>
      <c r="G289" s="5" t="str">
        <f>IFERROR(__xludf.DUMMYFUNCTION("GOOGLETRANSLATE(B289, ""en"", ""hi"")"),"किस भारतीय राज्य के पारंपरिक लागोरी खेल में अलंकृत और औपचारिक पत्थरों का उपयोग शामिल है?")</f>
        <v>किस भारतीय राज्य के पारंपरिक लागोरी खेल में अलंकृत और औपचारिक पत्थरों का उपयोग शामिल है?</v>
      </c>
      <c r="H289" s="5" t="str">
        <f>IFERROR(__xludf.DUMMYFUNCTION("GOOGLETRANSLATE(C289, ""en"", ""hi"")"),"ए) तमिलनाडु, बी) कर्नाटक, सी) महाराष्ट्र, डी) आंध्र प्रदेश")</f>
        <v>ए) तमिलनाडु, बी) कर्नाटक, सी) महाराष्ट्र, डी) आंध्र प्रदेश</v>
      </c>
      <c r="I289" s="5" t="str">
        <f>IFERROR(__xludf.DUMMYFUNCTION("GOOGLETRANSLATE(D289, ""en"", ""hi"")"),"C) महाराष्ट्र")</f>
        <v>C) महाराष्ट्र</v>
      </c>
    </row>
    <row r="290" ht="22.5" customHeight="1">
      <c r="A290" s="3">
        <v>289.0</v>
      </c>
      <c r="B290" s="4" t="s">
        <v>4298</v>
      </c>
      <c r="C290" s="4" t="s">
        <v>4182</v>
      </c>
      <c r="D290" s="4" t="s">
        <v>4164</v>
      </c>
      <c r="F290" s="5" t="str">
        <f>IFERROR(__xludf.DUMMYFUNCTION("GOOGLETRANSLATE(A290, ""en"", ""hi"")"),"289")</f>
        <v>289</v>
      </c>
      <c r="G290" s="5" t="str">
        <f>IFERROR(__xludf.DUMMYFUNCTION("GOOGLETRANSLATE(B290, ""en"", ""hi"")"),"कौन सा भारतीय राजा अपनी सैन्य और दरबारी प्रथाओं के हिस्से के रूप में लागोरी का उपयोग करने के लिए प्रसिद्ध है?")</f>
        <v>कौन सा भारतीय राजा अपनी सैन्य और दरबारी प्रथाओं के हिस्से के रूप में लागोरी का उपयोग करने के लिए प्रसिद्ध है?</v>
      </c>
      <c r="H290" s="5" t="str">
        <f>IFERROR(__xludf.DUMMYFUNCTION("GOOGLETRANSLATE(C290, ""en"", ""hi"")"),"ए) शिवाजी महाराज, बी) चंद्रगुप्त मौर्य, सी) राजेंद्र चोल, डी) अशोक")</f>
        <v>ए) शिवाजी महाराज, बी) चंद्रगुप्त मौर्य, सी) राजेंद्र चोल, डी) अशोक</v>
      </c>
      <c r="I290" s="5" t="str">
        <f>IFERROR(__xludf.DUMMYFUNCTION("GOOGLETRANSLATE(D290, ""en"", ""hi"")"),"A) शिवाजी महाराज")</f>
        <v>A) शिवाजी महाराज</v>
      </c>
    </row>
    <row r="291" ht="22.5" customHeight="1">
      <c r="A291" s="3">
        <v>290.0</v>
      </c>
      <c r="B291" s="4" t="s">
        <v>4299</v>
      </c>
      <c r="C291" s="4" t="s">
        <v>2588</v>
      </c>
      <c r="D291" s="4" t="s">
        <v>4152</v>
      </c>
      <c r="F291" s="5" t="str">
        <f>IFERROR(__xludf.DUMMYFUNCTION("GOOGLETRANSLATE(A291, ""en"", ""hi"")"),"290")</f>
        <v>290</v>
      </c>
      <c r="G291" s="5" t="str">
        <f>IFERROR(__xludf.DUMMYFUNCTION("GOOGLETRANSLATE(B291, ""en"", ""hi"")"),"कौन सा मुगल सम्राट अपने दरबार की सांस्कृतिक और मनोरंजक गतिविधियों में लागोरी को शामिल करने के लिए जाना जाता है?")</f>
        <v>कौन सा मुगल सम्राट अपने दरबार की सांस्कृतिक और मनोरंजक गतिविधियों में लागोरी को शामिल करने के लिए जाना जाता है?</v>
      </c>
      <c r="H291" s="5" t="str">
        <f>IFERROR(__xludf.DUMMYFUNCTION("GOOGLETRANSLATE(C291, ""en"", ""hi"")"),"A) अकबर, B) जहाँगीर, C) शाहजहाँ, D) औरंगज़ेब")</f>
        <v>A) अकबर, B) जहाँगीर, C) शाहजहाँ, D) औरंगज़ेब</v>
      </c>
      <c r="I291" s="5" t="str">
        <f>IFERROR(__xludf.DUMMYFUNCTION("GOOGLETRANSLATE(D291, ""en"", ""hi"")"),"C) शाहजहाँ")</f>
        <v>C) शाहजहाँ</v>
      </c>
    </row>
    <row r="292" ht="22.5" customHeight="1">
      <c r="A292" s="3">
        <v>291.0</v>
      </c>
      <c r="B292" s="4" t="s">
        <v>4300</v>
      </c>
      <c r="C292" s="4" t="s">
        <v>4075</v>
      </c>
      <c r="D292" s="4" t="s">
        <v>158</v>
      </c>
      <c r="F292" s="5" t="str">
        <f>IFERROR(__xludf.DUMMYFUNCTION("GOOGLETRANSLATE(A292, ""en"", ""hi"")"),"291")</f>
        <v>291</v>
      </c>
      <c r="G292" s="5" t="str">
        <f>IFERROR(__xludf.DUMMYFUNCTION("GOOGLETRANSLATE(B292, ""en"", ""hi"")"),"किस भारतीय राज्य की ऐतिहासिक परंपराओं में महत्वपूर्ण सांस्कृतिक उत्सवों के दौरान खेले जाने वाले खेल के रूप में लागोरी शामिल है?")</f>
        <v>किस भारतीय राज्य की ऐतिहासिक परंपराओं में महत्वपूर्ण सांस्कृतिक उत्सवों के दौरान खेले जाने वाले खेल के रूप में लागोरी शामिल है?</v>
      </c>
      <c r="H292" s="5" t="str">
        <f>IFERROR(__xludf.DUMMYFUNCTION("GOOGLETRANSLATE(C292, ""en"", ""hi"")"),"ए) महाराष्ट्र, बी) कर्नाटक, सी) तमिलनाडु, डी) आंध्र प्रदेश")</f>
        <v>ए) महाराष्ट्र, बी) कर्नाटक, सी) तमिलनाडु, डी) आंध्र प्रदेश</v>
      </c>
      <c r="I292" s="5" t="str">
        <f>IFERROR(__xludf.DUMMYFUNCTION("GOOGLETRANSLATE(D292, ""en"", ""hi"")"),"A) महाराष्ट्र")</f>
        <v>A) महाराष्ट्र</v>
      </c>
    </row>
    <row r="293" ht="22.5" customHeight="1">
      <c r="A293" s="3">
        <v>292.0</v>
      </c>
      <c r="B293" s="4" t="s">
        <v>4301</v>
      </c>
      <c r="C293" s="4" t="s">
        <v>4267</v>
      </c>
      <c r="D293" s="4" t="s">
        <v>4145</v>
      </c>
      <c r="F293" s="5" t="str">
        <f>IFERROR(__xludf.DUMMYFUNCTION("GOOGLETRANSLATE(A293, ""en"", ""hi"")"),"292")</f>
        <v>292</v>
      </c>
      <c r="G293" s="5" t="str">
        <f>IFERROR(__xludf.DUMMYFUNCTION("GOOGLETRANSLATE(B293, ""en"", ""hi"")"),"प्राचीन भारत में योद्धाओं और रणनीतिकारों को प्रशिक्षित करने के लिए लागोरी के समान कौन सा प्राचीन भारतीय खेल इस्तेमाल किया जाता था?")</f>
        <v>प्राचीन भारत में योद्धाओं और रणनीतिकारों को प्रशिक्षित करने के लिए लागोरी के समान कौन सा प्राचीन भारतीय खेल इस्तेमाल किया जाता था?</v>
      </c>
      <c r="H293" s="5" t="str">
        <f>IFERROR(__xludf.DUMMYFUNCTION("GOOGLETRANSLATE(C293, ""en"", ""hi"")"),"ए) पिट्ठू, बी) गिल्ली-डंडा, सी) खो-खो, डी) कबड्डी")</f>
        <v>ए) पिट्ठू, बी) गिल्ली-डंडा, सी) खो-खो, डी) कबड्डी</v>
      </c>
      <c r="I293" s="5" t="str">
        <f>IFERROR(__xludf.DUMMYFUNCTION("GOOGLETRANSLATE(D293, ""en"", ""hi"")"),"A) पिट्टू")</f>
        <v>A) पिट्टू</v>
      </c>
    </row>
    <row r="294" ht="22.5" customHeight="1">
      <c r="A294" s="3">
        <v>293.0</v>
      </c>
      <c r="B294" s="4" t="s">
        <v>4302</v>
      </c>
      <c r="C294" s="4" t="s">
        <v>4303</v>
      </c>
      <c r="D294" s="4" t="s">
        <v>4164</v>
      </c>
      <c r="F294" s="5" t="str">
        <f>IFERROR(__xludf.DUMMYFUNCTION("GOOGLETRANSLATE(A294, ""en"", ""hi"")"),"293")</f>
        <v>293</v>
      </c>
      <c r="G294" s="5" t="str">
        <f>IFERROR(__xludf.DUMMYFUNCTION("GOOGLETRANSLATE(B294, ""en"", ""hi"")"),"कौन सा भारतीय शासक शैक्षणिक उद्देश्यों और मनोरंजक गतिविधियों दोनों के लिए लागोरी का उपयोग करने से जुड़ा हुआ है?")</f>
        <v>कौन सा भारतीय शासक शैक्षणिक उद्देश्यों और मनोरंजक गतिविधियों दोनों के लिए लागोरी का उपयोग करने से जुड़ा हुआ है?</v>
      </c>
      <c r="H294" s="5" t="str">
        <f>IFERROR(__xludf.DUMMYFUNCTION("GOOGLETRANSLATE(C294, ""en"", ""hi"")"),"ए) शिवाजी महाराज, बी) चंद्रगुप्त मौर्य, सी) कृष्णदेवराय, डी) अशोक")</f>
        <v>ए) शिवाजी महाराज, बी) चंद्रगुप्त मौर्य, सी) कृष्णदेवराय, डी) अशोक</v>
      </c>
      <c r="I294" s="5" t="str">
        <f>IFERROR(__xludf.DUMMYFUNCTION("GOOGLETRANSLATE(D294, ""en"", ""hi"")"),"A) शिवाजी महाराज")</f>
        <v>A) शिवाजी महाराज</v>
      </c>
    </row>
    <row r="295" ht="22.5" customHeight="1">
      <c r="A295" s="3">
        <v>294.0</v>
      </c>
      <c r="B295" s="4" t="s">
        <v>4304</v>
      </c>
      <c r="C295" s="4" t="s">
        <v>2588</v>
      </c>
      <c r="D295" s="4" t="s">
        <v>2589</v>
      </c>
      <c r="F295" s="5" t="str">
        <f>IFERROR(__xludf.DUMMYFUNCTION("GOOGLETRANSLATE(A295, ""en"", ""hi"")"),"294")</f>
        <v>294</v>
      </c>
      <c r="G295" s="5" t="str">
        <f>IFERROR(__xludf.DUMMYFUNCTION("GOOGLETRANSLATE(B295, ""en"", ""hi"")"),"कौन सा मुगल सम्राट अपने विस्तृत अभिलेखों और लागोरी सहित पारंपरिक खेलों के समर्थन के लिए जाना जाता है?")</f>
        <v>कौन सा मुगल सम्राट अपने विस्तृत अभिलेखों और लागोरी सहित पारंपरिक खेलों के समर्थन के लिए जाना जाता है?</v>
      </c>
      <c r="H295" s="5" t="str">
        <f>IFERROR(__xludf.DUMMYFUNCTION("GOOGLETRANSLATE(C295, ""en"", ""hi"")"),"A) अकबर, B) जहाँगीर, C) शाहजहाँ, D) औरंगज़ेब")</f>
        <v>A) अकबर, B) जहाँगीर, C) शाहजहाँ, D) औरंगज़ेब</v>
      </c>
      <c r="I295" s="5" t="str">
        <f>IFERROR(__xludf.DUMMYFUNCTION("GOOGLETRANSLATE(D295, ""en"", ""hi"")"),"बी) जहांगीर")</f>
        <v>बी) जहांगीर</v>
      </c>
    </row>
    <row r="296" ht="22.5" customHeight="1">
      <c r="A296" s="3">
        <v>295.0</v>
      </c>
      <c r="B296" s="4" t="s">
        <v>4305</v>
      </c>
      <c r="C296" s="4" t="s">
        <v>3763</v>
      </c>
      <c r="D296" s="4" t="s">
        <v>842</v>
      </c>
      <c r="F296" s="5" t="str">
        <f>IFERROR(__xludf.DUMMYFUNCTION("GOOGLETRANSLATE(A296, ""en"", ""hi"")"),"295")</f>
        <v>295</v>
      </c>
      <c r="G296" s="5" t="str">
        <f>IFERROR(__xludf.DUMMYFUNCTION("GOOGLETRANSLATE(B296, ""en"", ""hi"")"),"किस भारतीय राज्य के पारंपरिक लागोरी खेल में महत्वपूर्ण सांस्कृतिक आयोजनों के दौरान उपयोग किए जाने वाले औपचारिक पत्थर शामिल हैं?")</f>
        <v>किस भारतीय राज्य के पारंपरिक लागोरी खेल में महत्वपूर्ण सांस्कृतिक आयोजनों के दौरान उपयोग किए जाने वाले औपचारिक पत्थर शामिल हैं?</v>
      </c>
      <c r="H296" s="5" t="str">
        <f>IFERROR(__xludf.DUMMYFUNCTION("GOOGLETRANSLATE(C296, ""en"", ""hi"")"),"ए) तमिलनाडु, बी) कर्नाटक, सी) महाराष्ट्र, डी) आंध्र प्रदेश")</f>
        <v>ए) तमिलनाडु, बी) कर्नाटक, सी) महाराष्ट्र, डी) आंध्र प्रदेश</v>
      </c>
      <c r="I296" s="5" t="str">
        <f>IFERROR(__xludf.DUMMYFUNCTION("GOOGLETRANSLATE(D296, ""en"", ""hi"")"),"C) महाराष्ट्र")</f>
        <v>C) महाराष्ट्र</v>
      </c>
    </row>
    <row r="297" ht="22.5" customHeight="1">
      <c r="A297" s="3">
        <v>296.0</v>
      </c>
      <c r="B297" s="4" t="s">
        <v>4306</v>
      </c>
      <c r="C297" s="4" t="s">
        <v>3906</v>
      </c>
      <c r="D297" s="4" t="s">
        <v>3907</v>
      </c>
      <c r="F297" s="5" t="str">
        <f>IFERROR(__xludf.DUMMYFUNCTION("GOOGLETRANSLATE(A297, ""en"", ""hi"")"),"296")</f>
        <v>296</v>
      </c>
      <c r="G297" s="5" t="str">
        <f>IFERROR(__xludf.DUMMYFUNCTION("GOOGLETRANSLATE(B297, ""en"", ""hi"")"),"विजयनगर साम्राज्य का कौन सा ऐतिहासिक व्यक्ति अपने दरबारी खेलों में लागोरी को शामिल करने के लिए जाना जाता है?")</f>
        <v>विजयनगर साम्राज्य का कौन सा ऐतिहासिक व्यक्ति अपने दरबारी खेलों में लागोरी को शामिल करने के लिए जाना जाता है?</v>
      </c>
      <c r="H297" s="5" t="str">
        <f>IFERROR(__xludf.DUMMYFUNCTION("GOOGLETRANSLATE(C297, ""en"", ""hi"")"),"ए) कृष्णदेवराय, बी) हरिहर प्रथम, सी) बुक्का प्रथम, डी) अच्युता देव राय")</f>
        <v>ए) कृष्णदेवराय, बी) हरिहर प्रथम, सी) बुक्का प्रथम, डी) अच्युता देव राय</v>
      </c>
      <c r="I297" s="5" t="str">
        <f>IFERROR(__xludf.DUMMYFUNCTION("GOOGLETRANSLATE(D297, ""en"", ""hi"")"),"A) कृष्णदेवराय")</f>
        <v>A) कृष्णदेवराय</v>
      </c>
    </row>
    <row r="298" ht="22.5" customHeight="1">
      <c r="A298" s="3">
        <v>297.0</v>
      </c>
      <c r="B298" s="4" t="s">
        <v>4307</v>
      </c>
      <c r="C298" s="4" t="s">
        <v>4276</v>
      </c>
      <c r="D298" s="4" t="s">
        <v>3208</v>
      </c>
      <c r="F298" s="5" t="str">
        <f>IFERROR(__xludf.DUMMYFUNCTION("GOOGLETRANSLATE(A298, ""en"", ""hi"")"),"297")</f>
        <v>297</v>
      </c>
      <c r="G298" s="5" t="str">
        <f>IFERROR(__xludf.DUMMYFUNCTION("GOOGLETRANSLATE(B298, ""en"", ""hi"")"),"किस भारतीय राजा को अपने सैनिकों को प्रशिक्षित करने और अपने दरबार का मनोरंजन करने के लिए लागोरी का उपयोग करने के लिए जाना जाता है?")</f>
        <v>किस भारतीय राजा को अपने सैनिकों को प्रशिक्षित करने और अपने दरबार का मनोरंजन करने के लिए लागोरी का उपयोग करने के लिए जाना जाता है?</v>
      </c>
      <c r="H298" s="5" t="str">
        <f>IFERROR(__xludf.DUMMYFUNCTION("GOOGLETRANSLATE(C298, ""en"", ""hi"")"),"ए) राजा राजा चोल, बी) शिवाजी महाराज, सी) कृष्णदेवराय, डी) अशोक")</f>
        <v>ए) राजा राजा चोल, बी) शिवाजी महाराज, सी) कृष्णदेवराय, डी) अशोक</v>
      </c>
      <c r="I298" s="5" t="str">
        <f>IFERROR(__xludf.DUMMYFUNCTION("GOOGLETRANSLATE(D298, ""en"", ""hi"")"),"B) शिवाजी महाराज")</f>
        <v>B) शिवाजी महाराज</v>
      </c>
    </row>
    <row r="299" ht="22.5" customHeight="1">
      <c r="A299" s="3">
        <v>298.0</v>
      </c>
      <c r="B299" s="4" t="s">
        <v>4308</v>
      </c>
      <c r="C299" s="4" t="s">
        <v>4116</v>
      </c>
      <c r="D299" s="4" t="s">
        <v>2616</v>
      </c>
      <c r="F299" s="5" t="str">
        <f>IFERROR(__xludf.DUMMYFUNCTION("GOOGLETRANSLATE(A299, ""en"", ""hi"")"),"298")</f>
        <v>298</v>
      </c>
      <c r="G299" s="5" t="str">
        <f>IFERROR(__xludf.DUMMYFUNCTION("GOOGLETRANSLATE(B299, ""en"", ""hi"")"),"कौन सा प्राचीन भारतीय ग्रंथ लागोरी को समन्वय और टीमवर्क सिखाने के लिए इस्तेमाल किए जाने वाले रणनीतिक खेल के रूप में वर्णित करता है?")</f>
        <v>कौन सा प्राचीन भारतीय ग्रंथ लागोरी को समन्वय और टीमवर्क सिखाने के लिए इस्तेमाल किए जाने वाले रणनीतिक खेल के रूप में वर्णित करता है?</v>
      </c>
      <c r="H299" s="5" t="str">
        <f>IFERROR(__xludf.DUMMYFUNCTION("GOOGLETRANSLATE(C299, ""en"", ""hi"")"),"ए) अर्थशास्त्र, बी) मनुस्मृति, सी) भगवद गीता, डी) रामायण")</f>
        <v>ए) अर्थशास्त्र, बी) मनुस्मृति, सी) भगवद गीता, डी) रामायण</v>
      </c>
      <c r="I299" s="5" t="str">
        <f>IFERROR(__xludf.DUMMYFUNCTION("GOOGLETRANSLATE(D299, ""en"", ""hi"")"),"A) अर्थशास्त्र")</f>
        <v>A) अर्थशास्त्र</v>
      </c>
    </row>
    <row r="300" ht="22.5" customHeight="1">
      <c r="A300" s="3">
        <v>299.0</v>
      </c>
      <c r="B300" s="4" t="s">
        <v>4309</v>
      </c>
      <c r="C300" s="4" t="s">
        <v>2588</v>
      </c>
      <c r="D300" s="4" t="s">
        <v>4152</v>
      </c>
      <c r="F300" s="5" t="str">
        <f>IFERROR(__xludf.DUMMYFUNCTION("GOOGLETRANSLATE(A300, ""en"", ""hi"")"),"299")</f>
        <v>299</v>
      </c>
      <c r="G300" s="5" t="str">
        <f>IFERROR(__xludf.DUMMYFUNCTION("GOOGLETRANSLATE(B300, ""en"", ""hi"")"),"किस मुगल सम्राट को लागोरी सहित पारंपरिक भारतीय खेलों को बढ़ावा देने और उनका दस्तावेजीकरण करने में उनकी भूमिका के लिए जाना जाता है?")</f>
        <v>किस मुगल सम्राट को लागोरी सहित पारंपरिक भारतीय खेलों को बढ़ावा देने और उनका दस्तावेजीकरण करने में उनकी भूमिका के लिए जाना जाता है?</v>
      </c>
      <c r="H300" s="5" t="str">
        <f>IFERROR(__xludf.DUMMYFUNCTION("GOOGLETRANSLATE(C300, ""en"", ""hi"")"),"A) अकबर, B) जहाँगीर, C) शाहजहाँ, D) औरंगज़ेब")</f>
        <v>A) अकबर, B) जहाँगीर, C) शाहजहाँ, D) औरंगज़ेब</v>
      </c>
      <c r="I300" s="5" t="str">
        <f>IFERROR(__xludf.DUMMYFUNCTION("GOOGLETRANSLATE(D300, ""en"", ""hi"")"),"C) शाहजहाँ")</f>
        <v>C) शाहजहाँ</v>
      </c>
    </row>
    <row r="301" ht="22.5" customHeight="1">
      <c r="A301" s="3">
        <v>300.0</v>
      </c>
      <c r="B301" s="4" t="s">
        <v>4310</v>
      </c>
      <c r="C301" s="4" t="s">
        <v>4139</v>
      </c>
      <c r="D301" s="4" t="s">
        <v>842</v>
      </c>
      <c r="F301" s="5" t="str">
        <f>IFERROR(__xludf.DUMMYFUNCTION("GOOGLETRANSLATE(A301, ""en"", ""hi"")"),"300")</f>
        <v>300</v>
      </c>
      <c r="G301" s="5" t="str">
        <f>IFERROR(__xludf.DUMMYFUNCTION("GOOGLETRANSLATE(B301, ""en"", ""hi"")"),"किस भारतीय राज्य के पारंपरिक लागोरी खेल में सांस्कृतिक समारोहों के दौरान औपचारिक पत्थरों या गेंदों का उपयोग किया जाता है?")</f>
        <v>किस भारतीय राज्य के पारंपरिक लागोरी खेल में सांस्कृतिक समारोहों के दौरान औपचारिक पत्थरों या गेंदों का उपयोग किया जाता है?</v>
      </c>
      <c r="H301" s="5" t="str">
        <f>IFERROR(__xludf.DUMMYFUNCTION("GOOGLETRANSLATE(C301, ""en"", ""hi"")"),"ए) कर्नाटक, बी) तमिलनाडु, सी) महाराष्ट्र, डी) आंध्र प्रदेश")</f>
        <v>ए) कर्नाटक, बी) तमिलनाडु, सी) महाराष्ट्र, डी) आंध्र प्रदेश</v>
      </c>
      <c r="I301" s="5" t="str">
        <f>IFERROR(__xludf.DUMMYFUNCTION("GOOGLETRANSLATE(D301, ""en"", ""hi"")"),"C) महाराष्ट्र")</f>
        <v>C) महाराष्ट्र</v>
      </c>
    </row>
    <row r="302" ht="22.5" customHeight="1">
      <c r="A302" s="3">
        <v>301.0</v>
      </c>
      <c r="B302" s="4" t="s">
        <v>4311</v>
      </c>
      <c r="C302" s="4" t="s">
        <v>4267</v>
      </c>
      <c r="D302" s="4" t="s">
        <v>4145</v>
      </c>
      <c r="F302" s="5" t="str">
        <f>IFERROR(__xludf.DUMMYFUNCTION("GOOGLETRANSLATE(A302, ""en"", ""hi"")"),"301")</f>
        <v>301</v>
      </c>
      <c r="G302" s="5" t="str">
        <f>IFERROR(__xludf.DUMMYFUNCTION("GOOGLETRANSLATE(B302, ""en"", ""hi"")"),"लागोरी के समान कौन सा प्राचीन भारतीय खेल ऐतिहासिक रूप से रणनीतिक और शारीरिक कौशल विकसित करने के लिए उपयोग किया जाता था?")</f>
        <v>लागोरी के समान कौन सा प्राचीन भारतीय खेल ऐतिहासिक रूप से रणनीतिक और शारीरिक कौशल विकसित करने के लिए उपयोग किया जाता था?</v>
      </c>
      <c r="H302" s="5" t="str">
        <f>IFERROR(__xludf.DUMMYFUNCTION("GOOGLETRANSLATE(C302, ""en"", ""hi"")"),"ए) पिट्ठू, बी) गिल्ली-डंडा, सी) खो-खो, डी) कबड्डी")</f>
        <v>ए) पिट्ठू, बी) गिल्ली-डंडा, सी) खो-खो, डी) कबड्डी</v>
      </c>
      <c r="I302" s="5" t="str">
        <f>IFERROR(__xludf.DUMMYFUNCTION("GOOGLETRANSLATE(D302, ""en"", ""hi"")"),"A) पिट्टू")</f>
        <v>A) पिट्टू</v>
      </c>
    </row>
    <row r="303" ht="22.5" customHeight="1">
      <c r="A303" s="3">
        <v>302.0</v>
      </c>
      <c r="B303" s="4" t="s">
        <v>4312</v>
      </c>
      <c r="C303" s="4" t="s">
        <v>4182</v>
      </c>
      <c r="D303" s="4" t="s">
        <v>4164</v>
      </c>
      <c r="F303" s="5" t="str">
        <f>IFERROR(__xludf.DUMMYFUNCTION("GOOGLETRANSLATE(A303, ""en"", ""hi"")"),"302")</f>
        <v>302</v>
      </c>
      <c r="G303" s="5" t="str">
        <f>IFERROR(__xludf.DUMMYFUNCTION("GOOGLETRANSLATE(B303, ""en"", ""hi"")"),"कौन सा भारतीय शासक अपने सैन्य प्रशिक्षण और मनोरंजन गतिविधियों दोनों में लागोरी को शामिल करने के लिए प्रसिद्ध है?")</f>
        <v>कौन सा भारतीय शासक अपने सैन्य प्रशिक्षण और मनोरंजन गतिविधियों दोनों में लागोरी को शामिल करने के लिए प्रसिद्ध है?</v>
      </c>
      <c r="H303" s="5" t="str">
        <f>IFERROR(__xludf.DUMMYFUNCTION("GOOGLETRANSLATE(C303, ""en"", ""hi"")"),"ए) शिवाजी महाराज, बी) चंद्रगुप्त मौर्य, सी) राजेंद्र चोल, डी) अशोक")</f>
        <v>ए) शिवाजी महाराज, बी) चंद्रगुप्त मौर्य, सी) राजेंद्र चोल, डी) अशोक</v>
      </c>
      <c r="I303" s="5" t="str">
        <f>IFERROR(__xludf.DUMMYFUNCTION("GOOGLETRANSLATE(D303, ""en"", ""hi"")"),"A) शिवाजी महाराज")</f>
        <v>A) शिवाजी महाराज</v>
      </c>
    </row>
    <row r="304" ht="22.5" customHeight="1">
      <c r="A304" s="3">
        <v>303.0</v>
      </c>
      <c r="B304" s="4" t="s">
        <v>4313</v>
      </c>
      <c r="C304" s="4" t="s">
        <v>2588</v>
      </c>
      <c r="D304" s="4" t="s">
        <v>2589</v>
      </c>
      <c r="F304" s="5" t="str">
        <f>IFERROR(__xludf.DUMMYFUNCTION("GOOGLETRANSLATE(A304, ""en"", ""hi"")"),"303")</f>
        <v>303</v>
      </c>
      <c r="G304" s="5" t="str">
        <f>IFERROR(__xludf.DUMMYFUNCTION("GOOGLETRANSLATE(B304, ""en"", ""hi"")"),"कौन सा मुगल सम्राट लागोरी सहित पारंपरिक भारतीय खेलों में अपनी रुचि के लिए जाना जाता है?")</f>
        <v>कौन सा मुगल सम्राट लागोरी सहित पारंपरिक भारतीय खेलों में अपनी रुचि के लिए जाना जाता है?</v>
      </c>
      <c r="H304" s="5" t="str">
        <f>IFERROR(__xludf.DUMMYFUNCTION("GOOGLETRANSLATE(C304, ""en"", ""hi"")"),"A) अकबर, B) जहाँगीर, C) शाहजहाँ, D) औरंगज़ेब")</f>
        <v>A) अकबर, B) जहाँगीर, C) शाहजहाँ, D) औरंगज़ेब</v>
      </c>
      <c r="I304" s="5" t="str">
        <f>IFERROR(__xludf.DUMMYFUNCTION("GOOGLETRANSLATE(D304, ""en"", ""hi"")"),"बी) जहांगीर")</f>
        <v>बी) जहांगीर</v>
      </c>
    </row>
    <row r="305" ht="22.5" customHeight="1">
      <c r="A305" s="3">
        <v>304.0</v>
      </c>
      <c r="B305" s="4" t="s">
        <v>4314</v>
      </c>
      <c r="C305" s="4" t="s">
        <v>3763</v>
      </c>
      <c r="D305" s="4" t="s">
        <v>842</v>
      </c>
      <c r="F305" s="5" t="str">
        <f>IFERROR(__xludf.DUMMYFUNCTION("GOOGLETRANSLATE(A305, ""en"", ""hi"")"),"304")</f>
        <v>304</v>
      </c>
      <c r="G305" s="5" t="str">
        <f>IFERROR(__xludf.DUMMYFUNCTION("GOOGLETRANSLATE(B305, ""en"", ""hi"")"),"किस भारतीय राज्य की ऐतिहासिक परंपराओं में लागोरी को अलंकृत औपचारिक पत्थरों के साथ खेले जाने वाले खेल के रूप में दर्शाया गया है?")</f>
        <v>किस भारतीय राज्य की ऐतिहासिक परंपराओं में लागोरी को अलंकृत औपचारिक पत्थरों के साथ खेले जाने वाले खेल के रूप में दर्शाया गया है?</v>
      </c>
      <c r="H305" s="5" t="str">
        <f>IFERROR(__xludf.DUMMYFUNCTION("GOOGLETRANSLATE(C305, ""en"", ""hi"")"),"ए) तमिलनाडु, बी) कर्नाटक, सी) महाराष्ट्र, डी) आंध्र प्रदेश")</f>
        <v>ए) तमिलनाडु, बी) कर्नाटक, सी) महाराष्ट्र, डी) आंध्र प्रदेश</v>
      </c>
      <c r="I305" s="5" t="str">
        <f>IFERROR(__xludf.DUMMYFUNCTION("GOOGLETRANSLATE(D305, ""en"", ""hi"")"),"C) महाराष्ट्र")</f>
        <v>C) महाराष्ट्र</v>
      </c>
    </row>
    <row r="306" ht="22.5" customHeight="1">
      <c r="A306" s="3">
        <v>305.0</v>
      </c>
      <c r="B306" s="4" t="s">
        <v>4315</v>
      </c>
      <c r="C306" s="4" t="s">
        <v>4187</v>
      </c>
      <c r="D306" s="4" t="s">
        <v>3907</v>
      </c>
      <c r="F306" s="5" t="str">
        <f>IFERROR(__xludf.DUMMYFUNCTION("GOOGLETRANSLATE(A306, ""en"", ""hi"")"),"305")</f>
        <v>305</v>
      </c>
      <c r="G306" s="5" t="str">
        <f>IFERROR(__xludf.DUMMYFUNCTION("GOOGLETRANSLATE(B306, ""en"", ""hi"")"),"कौन सा ऐतिहासिक भारतीय राजा लागोरी को शैक्षिक और मनोरंजक दोनों प्रथाओं में एकीकृत करने के लिए जाना जाता है?")</f>
        <v>कौन सा ऐतिहासिक भारतीय राजा लागोरी को शैक्षिक और मनोरंजक दोनों प्रथाओं में एकीकृत करने के लिए जाना जाता है?</v>
      </c>
      <c r="H306" s="5" t="str">
        <f>IFERROR(__xludf.DUMMYFUNCTION("GOOGLETRANSLATE(C306, ""en"", ""hi"")"),"ए) कृष्णदेवराय, बी) राजा राज चोल, सी) शिवाजी महाराज, डी) अशोक")</f>
        <v>ए) कृष्णदेवराय, बी) राजा राज चोल, सी) शिवाजी महाराज, डी) अशोक</v>
      </c>
      <c r="I306" s="5" t="str">
        <f>IFERROR(__xludf.DUMMYFUNCTION("GOOGLETRANSLATE(D306, ""en"", ""hi"")"),"A) कृष्णदेवराय")</f>
        <v>A) कृष्णदेवराय</v>
      </c>
    </row>
    <row r="307" ht="22.5" customHeight="1">
      <c r="A307" s="3">
        <v>306.0</v>
      </c>
      <c r="B307" s="4" t="s">
        <v>4316</v>
      </c>
      <c r="C307" s="4" t="s">
        <v>4116</v>
      </c>
      <c r="D307" s="4" t="s">
        <v>2616</v>
      </c>
      <c r="F307" s="5" t="str">
        <f>IFERROR(__xludf.DUMMYFUNCTION("GOOGLETRANSLATE(A307, ""en"", ""hi"")"),"306")</f>
        <v>306</v>
      </c>
      <c r="G307" s="5" t="str">
        <f>IFERROR(__xludf.DUMMYFUNCTION("GOOGLETRANSLATE(B307, ""en"", ""hi"")"),"किस प्राचीन भारतीय ग्रंथ में लागोरी को रणनीतिक योजना और टीमवर्क को बढ़ाने के लिए डिज़ाइन किए गए खेल के रूप में शामिल किया गया है?")</f>
        <v>किस प्राचीन भारतीय ग्रंथ में लागोरी को रणनीतिक योजना और टीमवर्क को बढ़ाने के लिए डिज़ाइन किए गए खेल के रूप में शामिल किया गया है?</v>
      </c>
      <c r="H307" s="5" t="str">
        <f>IFERROR(__xludf.DUMMYFUNCTION("GOOGLETRANSLATE(C307, ""en"", ""hi"")"),"ए) अर्थशास्त्र, बी) मनुस्मृति, सी) भगवद गीता, डी) रामायण")</f>
        <v>ए) अर्थशास्त्र, बी) मनुस्मृति, सी) भगवद गीता, डी) रामायण</v>
      </c>
      <c r="I307" s="5" t="str">
        <f>IFERROR(__xludf.DUMMYFUNCTION("GOOGLETRANSLATE(D307, ""en"", ""hi"")"),"A) अर्थशास्त्र")</f>
        <v>A) अर्थशास्त्र</v>
      </c>
    </row>
    <row r="308" ht="22.5" customHeight="1">
      <c r="A308" s="3">
        <v>307.0</v>
      </c>
      <c r="B308" s="4" t="s">
        <v>4317</v>
      </c>
      <c r="C308" s="4" t="s">
        <v>2588</v>
      </c>
      <c r="D308" s="4" t="s">
        <v>4152</v>
      </c>
      <c r="F308" s="5" t="str">
        <f>IFERROR(__xludf.DUMMYFUNCTION("GOOGLETRANSLATE(A308, ""en"", ""hi"")"),"307")</f>
        <v>307</v>
      </c>
      <c r="G308" s="5" t="str">
        <f>IFERROR(__xludf.DUMMYFUNCTION("GOOGLETRANSLATE(B308, ""en"", ""hi"")"),"किस मुगल सम्राट को लागोरी जैसे पारंपरिक भारतीय खेलों को लोकप्रिय बनाने और उनका दस्तावेजीकरण करने में उनकी भूमिका के लिए जाना जाता है?")</f>
        <v>किस मुगल सम्राट को लागोरी जैसे पारंपरिक भारतीय खेलों को लोकप्रिय बनाने और उनका दस्तावेजीकरण करने में उनकी भूमिका के लिए जाना जाता है?</v>
      </c>
      <c r="H308" s="5" t="str">
        <f>IFERROR(__xludf.DUMMYFUNCTION("GOOGLETRANSLATE(C308, ""en"", ""hi"")"),"A) अकबर, B) जहाँगीर, C) शाहजहाँ, D) औरंगज़ेब")</f>
        <v>A) अकबर, B) जहाँगीर, C) शाहजहाँ, D) औरंगज़ेब</v>
      </c>
      <c r="I308" s="5" t="str">
        <f>IFERROR(__xludf.DUMMYFUNCTION("GOOGLETRANSLATE(D308, ""en"", ""hi"")"),"C) शाहजहाँ")</f>
        <v>C) शाहजहाँ</v>
      </c>
    </row>
    <row r="309" ht="22.5" customHeight="1">
      <c r="A309" s="3">
        <v>308.0</v>
      </c>
      <c r="B309" s="4" t="s">
        <v>4318</v>
      </c>
      <c r="C309" s="4" t="s">
        <v>4139</v>
      </c>
      <c r="D309" s="4" t="s">
        <v>842</v>
      </c>
      <c r="F309" s="5" t="str">
        <f>IFERROR(__xludf.DUMMYFUNCTION("GOOGLETRANSLATE(A309, ""en"", ""hi"")"),"308")</f>
        <v>308</v>
      </c>
      <c r="G309" s="5" t="str">
        <f>IFERROR(__xludf.DUMMYFUNCTION("GOOGLETRANSLATE(B309, ""en"", ""hi"")"),"किस भारतीय राज्य के पारंपरिक लागोरी खेल में प्रमुख सांस्कृतिक त्योहारों के दौरान इस्तेमाल किए जाने वाले औपचारिक पत्थर शामिल हैं?")</f>
        <v>किस भारतीय राज्य के पारंपरिक लागोरी खेल में प्रमुख सांस्कृतिक त्योहारों के दौरान इस्तेमाल किए जाने वाले औपचारिक पत्थर शामिल हैं?</v>
      </c>
      <c r="H309" s="5" t="str">
        <f>IFERROR(__xludf.DUMMYFUNCTION("GOOGLETRANSLATE(C309, ""en"", ""hi"")"),"ए) कर्नाटक, बी) तमिलनाडु, सी) महाराष्ट्र, डी) आंध्र प्रदेश")</f>
        <v>ए) कर्नाटक, बी) तमिलनाडु, सी) महाराष्ट्र, डी) आंध्र प्रदेश</v>
      </c>
      <c r="I309" s="5" t="str">
        <f>IFERROR(__xludf.DUMMYFUNCTION("GOOGLETRANSLATE(D309, ""en"", ""hi"")"),"C) महाराष्ट्र")</f>
        <v>C) महाराष्ट्र</v>
      </c>
    </row>
    <row r="310" ht="22.5" customHeight="1">
      <c r="A310" s="3">
        <v>309.0</v>
      </c>
      <c r="B310" s="4" t="s">
        <v>4319</v>
      </c>
      <c r="C310" s="4" t="s">
        <v>4267</v>
      </c>
      <c r="D310" s="4" t="s">
        <v>4145</v>
      </c>
      <c r="F310" s="5" t="str">
        <f>IFERROR(__xludf.DUMMYFUNCTION("GOOGLETRANSLATE(A310, ""en"", ""hi"")"),"309")</f>
        <v>309</v>
      </c>
      <c r="G310" s="5" t="str">
        <f>IFERROR(__xludf.DUMMYFUNCTION("GOOGLETRANSLATE(B310, ""en"", ""hi"")"),"लागोरी से संबंधित कौन सा प्राचीन भारतीय खेल ऐतिहासिक समय में शारीरिक और रणनीतिक कौशल विकसित करने के लिए इस्तेमाल किया जाता था?")</f>
        <v>लागोरी से संबंधित कौन सा प्राचीन भारतीय खेल ऐतिहासिक समय में शारीरिक और रणनीतिक कौशल विकसित करने के लिए इस्तेमाल किया जाता था?</v>
      </c>
      <c r="H310" s="5" t="str">
        <f>IFERROR(__xludf.DUMMYFUNCTION("GOOGLETRANSLATE(C310, ""en"", ""hi"")"),"ए) पिट्ठू, बी) गिल्ली-डंडा, सी) खो-खो, डी) कबड्डी")</f>
        <v>ए) पिट्ठू, बी) गिल्ली-डंडा, सी) खो-खो, डी) कबड्डी</v>
      </c>
      <c r="I310" s="5" t="str">
        <f>IFERROR(__xludf.DUMMYFUNCTION("GOOGLETRANSLATE(D310, ""en"", ""hi"")"),"A) पिट्टू")</f>
        <v>A) पिट्टू</v>
      </c>
    </row>
    <row r="311" ht="22.5" customHeight="1">
      <c r="A311" s="3">
        <v>310.0</v>
      </c>
      <c r="B311" s="4" t="s">
        <v>4320</v>
      </c>
      <c r="C311" s="4" t="s">
        <v>4303</v>
      </c>
      <c r="D311" s="4" t="s">
        <v>4164</v>
      </c>
      <c r="F311" s="5" t="str">
        <f>IFERROR(__xludf.DUMMYFUNCTION("GOOGLETRANSLATE(A311, ""en"", ""hi"")"),"310")</f>
        <v>310</v>
      </c>
      <c r="G311" s="5" t="str">
        <f>IFERROR(__xludf.DUMMYFUNCTION("GOOGLETRANSLATE(B311, ""en"", ""hi"")"),"कौन सा भारतीय शासक सैन्य प्रशिक्षण और दरबारी मनोरंजन दोनों के लिए लागोरी को एक उपकरण के रूप में उपयोग करने के लिए जाना जाता है?")</f>
        <v>कौन सा भारतीय शासक सैन्य प्रशिक्षण और दरबारी मनोरंजन दोनों के लिए लागोरी को एक उपकरण के रूप में उपयोग करने के लिए जाना जाता है?</v>
      </c>
      <c r="H311" s="5" t="str">
        <f>IFERROR(__xludf.DUMMYFUNCTION("GOOGLETRANSLATE(C311, ""en"", ""hi"")"),"ए) शिवाजी महाराज, बी) चंद्रगुप्त मौर्य, सी) कृष्णदेवराय, डी) अशोक")</f>
        <v>ए) शिवाजी महाराज, बी) चंद्रगुप्त मौर्य, सी) कृष्णदेवराय, डी) अशोक</v>
      </c>
      <c r="I311" s="5" t="str">
        <f>IFERROR(__xludf.DUMMYFUNCTION("GOOGLETRANSLATE(D311, ""en"", ""hi"")"),"A) शिवाजी महाराज")</f>
        <v>A) शिवाजी महाराज</v>
      </c>
    </row>
    <row r="312" ht="22.5" customHeight="1">
      <c r="A312" s="3">
        <v>311.0</v>
      </c>
      <c r="B312" s="4" t="s">
        <v>4321</v>
      </c>
      <c r="C312" s="4" t="s">
        <v>2588</v>
      </c>
      <c r="D312" s="4" t="s">
        <v>2589</v>
      </c>
      <c r="F312" s="5" t="str">
        <f>IFERROR(__xludf.DUMMYFUNCTION("GOOGLETRANSLATE(A312, ""en"", ""hi"")"),"311")</f>
        <v>311</v>
      </c>
      <c r="G312" s="5" t="str">
        <f>IFERROR(__xludf.DUMMYFUNCTION("GOOGLETRANSLATE(B312, ""en"", ""hi"")"),"कौन सा मुगल सम्राट अपने विस्तृत अभिलेखों और पारंपरिक भारतीय खेलों जैसे लगोरी के समर्थन के लिए प्रसिद्ध है?")</f>
        <v>कौन सा मुगल सम्राट अपने विस्तृत अभिलेखों और पारंपरिक भारतीय खेलों जैसे लगोरी के समर्थन के लिए प्रसिद्ध है?</v>
      </c>
      <c r="H312" s="5" t="str">
        <f>IFERROR(__xludf.DUMMYFUNCTION("GOOGLETRANSLATE(C312, ""en"", ""hi"")"),"A) अकबर, B) जहाँगीर, C) शाहजहाँ, D) औरंगज़ेब")</f>
        <v>A) अकबर, B) जहाँगीर, C) शाहजहाँ, D) औरंगज़ेब</v>
      </c>
      <c r="I312" s="5" t="str">
        <f>IFERROR(__xludf.DUMMYFUNCTION("GOOGLETRANSLATE(D312, ""en"", ""hi"")"),"बी) जहांगीर")</f>
        <v>बी) जहांगीर</v>
      </c>
    </row>
    <row r="313" ht="22.5" customHeight="1">
      <c r="A313" s="3">
        <v>312.0</v>
      </c>
      <c r="B313" s="4" t="s">
        <v>4322</v>
      </c>
      <c r="C313" s="4" t="s">
        <v>3763</v>
      </c>
      <c r="D313" s="4" t="s">
        <v>842</v>
      </c>
      <c r="F313" s="5" t="str">
        <f>IFERROR(__xludf.DUMMYFUNCTION("GOOGLETRANSLATE(A313, ""en"", ""hi"")"),"312")</f>
        <v>312</v>
      </c>
      <c r="G313" s="5" t="str">
        <f>IFERROR(__xludf.DUMMYFUNCTION("GOOGLETRANSLATE(B313, ""en"", ""hi"")"),"किस भारतीय राज्य के पारंपरिक लागोरी खेल में महत्वपूर्ण सांस्कृतिक और धार्मिक आयोजनों के दौरान उपयोग किए जाने वाले औपचारिक पत्थर शामिल हैं?")</f>
        <v>किस भारतीय राज्य के पारंपरिक लागोरी खेल में महत्वपूर्ण सांस्कृतिक और धार्मिक आयोजनों के दौरान उपयोग किए जाने वाले औपचारिक पत्थर शामिल हैं?</v>
      </c>
      <c r="H313" s="5" t="str">
        <f>IFERROR(__xludf.DUMMYFUNCTION("GOOGLETRANSLATE(C313, ""en"", ""hi"")"),"ए) तमिलनाडु, बी) कर्नाटक, सी) महाराष्ट्र, डी) आंध्र प्रदेश")</f>
        <v>ए) तमिलनाडु, बी) कर्नाटक, सी) महाराष्ट्र, डी) आंध्र प्रदेश</v>
      </c>
      <c r="I313" s="5" t="str">
        <f>IFERROR(__xludf.DUMMYFUNCTION("GOOGLETRANSLATE(D313, ""en"", ""hi"")"),"C) महाराष्ट्र")</f>
        <v>C) महाराष्ट्र</v>
      </c>
    </row>
    <row r="314" ht="22.5" customHeight="1">
      <c r="A314" s="3">
        <v>313.0</v>
      </c>
      <c r="B314" s="4" t="s">
        <v>4323</v>
      </c>
      <c r="C314" s="4" t="s">
        <v>3906</v>
      </c>
      <c r="D314" s="4" t="s">
        <v>3907</v>
      </c>
      <c r="F314" s="5" t="str">
        <f>IFERROR(__xludf.DUMMYFUNCTION("GOOGLETRANSLATE(A314, ""en"", ""hi"")"),"313")</f>
        <v>313</v>
      </c>
      <c r="G314" s="5" t="str">
        <f>IFERROR(__xludf.DUMMYFUNCTION("GOOGLETRANSLATE(B314, ""en"", ""hi"")"),"विजयनगर साम्राज्य का कौन सा ऐतिहासिक व्यक्ति लागोरी को अपने दरबारी मनोरंजन में शामिल करने के लिए जाना जाता है?")</f>
        <v>विजयनगर साम्राज्य का कौन सा ऐतिहासिक व्यक्ति लागोरी को अपने दरबारी मनोरंजन में शामिल करने के लिए जाना जाता है?</v>
      </c>
      <c r="H314" s="5" t="str">
        <f>IFERROR(__xludf.DUMMYFUNCTION("GOOGLETRANSLATE(C314, ""en"", ""hi"")"),"ए) कृष्णदेवराय, बी) हरिहर प्रथम, सी) बुक्का प्रथम, डी) अच्युता देव राय")</f>
        <v>ए) कृष्णदेवराय, बी) हरिहर प्रथम, सी) बुक्का प्रथम, डी) अच्युता देव राय</v>
      </c>
      <c r="I314" s="5" t="str">
        <f>IFERROR(__xludf.DUMMYFUNCTION("GOOGLETRANSLATE(D314, ""en"", ""hi"")"),"A) कृष्णदेवराय")</f>
        <v>A) कृष्णदेवराय</v>
      </c>
    </row>
    <row r="315" ht="22.5" customHeight="1">
      <c r="A315" s="3">
        <v>314.0</v>
      </c>
      <c r="B315" s="4" t="s">
        <v>4324</v>
      </c>
      <c r="C315" s="4" t="s">
        <v>4276</v>
      </c>
      <c r="D315" s="4" t="s">
        <v>3208</v>
      </c>
      <c r="F315" s="5" t="str">
        <f>IFERROR(__xludf.DUMMYFUNCTION("GOOGLETRANSLATE(A315, ""en"", ""hi"")"),"314")</f>
        <v>314</v>
      </c>
      <c r="G315" s="5" t="str">
        <f>IFERROR(__xludf.DUMMYFUNCTION("GOOGLETRANSLATE(B315, ""en"", ""hi"")"),"किस भारतीय राजा को मनोरंजक और रणनीतिक दोनों उद्देश्यों के लिए लागोरी का उपयोग करने के लिए जाना जाता है?")</f>
        <v>किस भारतीय राजा को मनोरंजक और रणनीतिक दोनों उद्देश्यों के लिए लागोरी का उपयोग करने के लिए जाना जाता है?</v>
      </c>
      <c r="H315" s="5" t="str">
        <f>IFERROR(__xludf.DUMMYFUNCTION("GOOGLETRANSLATE(C315, ""en"", ""hi"")"),"ए) राजा राजा चोल, बी) शिवाजी महाराज, सी) कृष्णदेवराय, डी) अशोक")</f>
        <v>ए) राजा राजा चोल, बी) शिवाजी महाराज, सी) कृष्णदेवराय, डी) अशोक</v>
      </c>
      <c r="I315" s="5" t="str">
        <f>IFERROR(__xludf.DUMMYFUNCTION("GOOGLETRANSLATE(D315, ""en"", ""hi"")"),"B) शिवाजी महाराज")</f>
        <v>B) शिवाजी महाराज</v>
      </c>
    </row>
    <row r="316" ht="22.5" customHeight="1">
      <c r="A316" s="3">
        <v>315.0</v>
      </c>
      <c r="B316" s="4" t="s">
        <v>4325</v>
      </c>
      <c r="C316" s="4" t="s">
        <v>4116</v>
      </c>
      <c r="D316" s="4" t="s">
        <v>2616</v>
      </c>
      <c r="F316" s="5" t="str">
        <f>IFERROR(__xludf.DUMMYFUNCTION("GOOGLETRANSLATE(A316, ""en"", ""hi"")"),"315")</f>
        <v>315</v>
      </c>
      <c r="G316" s="5" t="str">
        <f>IFERROR(__xludf.DUMMYFUNCTION("GOOGLETRANSLATE(B316, ""en"", ""hi"")"),"कौन सा प्राचीन भारतीय ग्रंथ लागोरी को रणनीतिक योजना और समन्वय को बढ़ाने के लिए डिज़ाइन किए गए खेल के रूप में वर्णित करता है?")</f>
        <v>कौन सा प्राचीन भारतीय ग्रंथ लागोरी को रणनीतिक योजना और समन्वय को बढ़ाने के लिए डिज़ाइन किए गए खेल के रूप में वर्णित करता है?</v>
      </c>
      <c r="H316" s="5" t="str">
        <f>IFERROR(__xludf.DUMMYFUNCTION("GOOGLETRANSLATE(C316, ""en"", ""hi"")"),"ए) अर्थशास्त्र, बी) मनुस्मृति, सी) भगवद गीता, डी) रामायण")</f>
        <v>ए) अर्थशास्त्र, बी) मनुस्मृति, सी) भगवद गीता, डी) रामायण</v>
      </c>
      <c r="I316" s="5" t="str">
        <f>IFERROR(__xludf.DUMMYFUNCTION("GOOGLETRANSLATE(D316, ""en"", ""hi"")"),"A) अर्थशास्त्र")</f>
        <v>A) अर्थशास्त्र</v>
      </c>
    </row>
    <row r="317" ht="22.5" customHeight="1">
      <c r="A317" s="3">
        <v>316.0</v>
      </c>
      <c r="B317" s="4" t="s">
        <v>4326</v>
      </c>
      <c r="C317" s="4" t="s">
        <v>2588</v>
      </c>
      <c r="D317" s="4" t="s">
        <v>4152</v>
      </c>
      <c r="F317" s="5" t="str">
        <f>IFERROR(__xludf.DUMMYFUNCTION("GOOGLETRANSLATE(A317, ""en"", ""hi"")"),"316")</f>
        <v>316</v>
      </c>
      <c r="G317" s="5" t="str">
        <f>IFERROR(__xludf.DUMMYFUNCTION("GOOGLETRANSLATE(B317, ""en"", ""hi"")"),"कौन सा मुगल सम्राट लागोरी सहित पारंपरिक भारतीय खेलों के व्यापक समर्थन और दस्तावेजीकरण के लिए जाना जाता है?")</f>
        <v>कौन सा मुगल सम्राट लागोरी सहित पारंपरिक भारतीय खेलों के व्यापक समर्थन और दस्तावेजीकरण के लिए जाना जाता है?</v>
      </c>
      <c r="H317" s="5" t="str">
        <f>IFERROR(__xludf.DUMMYFUNCTION("GOOGLETRANSLATE(C317, ""en"", ""hi"")"),"A) अकबर, B) जहाँगीर, C) शाहजहाँ, D) औरंगज़ेब")</f>
        <v>A) अकबर, B) जहाँगीर, C) शाहजहाँ, D) औरंगज़ेब</v>
      </c>
      <c r="I317" s="5" t="str">
        <f>IFERROR(__xludf.DUMMYFUNCTION("GOOGLETRANSLATE(D317, ""en"", ""hi"")"),"C) शाहजहाँ")</f>
        <v>C) शाहजहाँ</v>
      </c>
    </row>
    <row r="318" ht="22.5" customHeight="1">
      <c r="A318" s="3">
        <v>317.0</v>
      </c>
      <c r="B318" s="4" t="s">
        <v>4327</v>
      </c>
      <c r="C318" s="4" t="s">
        <v>4075</v>
      </c>
      <c r="D318" s="4" t="s">
        <v>158</v>
      </c>
      <c r="F318" s="5" t="str">
        <f>IFERROR(__xludf.DUMMYFUNCTION("GOOGLETRANSLATE(A318, ""en"", ""hi"")"),"317")</f>
        <v>317</v>
      </c>
      <c r="G318" s="5" t="str">
        <f>IFERROR(__xludf.DUMMYFUNCTION("GOOGLETRANSLATE(B318, ""en"", ""hi"")"),"किस भारतीय राज्य की लोककथाओं में सांस्कृतिक कार्यक्रमों के दौरान औपचारिक पत्थरों के साथ खेले जाने वाले पारंपरिक खेल के रूप में लागोरी शामिल है?")</f>
        <v>किस भारतीय राज्य की लोककथाओं में सांस्कृतिक कार्यक्रमों के दौरान औपचारिक पत्थरों के साथ खेले जाने वाले पारंपरिक खेल के रूप में लागोरी शामिल है?</v>
      </c>
      <c r="H318" s="5" t="str">
        <f>IFERROR(__xludf.DUMMYFUNCTION("GOOGLETRANSLATE(C318, ""en"", ""hi"")"),"ए) महाराष्ट्र, बी) कर्नाटक, सी) तमिलनाडु, डी) आंध्र प्रदेश")</f>
        <v>ए) महाराष्ट्र, बी) कर्नाटक, सी) तमिलनाडु, डी) आंध्र प्रदेश</v>
      </c>
      <c r="I318" s="5" t="str">
        <f>IFERROR(__xludf.DUMMYFUNCTION("GOOGLETRANSLATE(D318, ""en"", ""hi"")"),"A) महाराष्ट्र")</f>
        <v>A) महाराष्ट्र</v>
      </c>
    </row>
    <row r="319" ht="22.5" customHeight="1">
      <c r="A319" s="3">
        <v>318.0</v>
      </c>
      <c r="B319" s="4" t="s">
        <v>4328</v>
      </c>
      <c r="C319" s="4" t="s">
        <v>4267</v>
      </c>
      <c r="D319" s="4" t="s">
        <v>4145</v>
      </c>
      <c r="F319" s="5" t="str">
        <f>IFERROR(__xludf.DUMMYFUNCTION("GOOGLETRANSLATE(A319, ""en"", ""hi"")"),"318")</f>
        <v>318</v>
      </c>
      <c r="G319" s="5" t="str">
        <f>IFERROR(__xludf.DUMMYFUNCTION("GOOGLETRANSLATE(B319, ""en"", ""hi"")"),"प्राचीन सैन्य प्रशिक्षण में सामरिक और शारीरिक कौशल विकसित करने के लिए लागोरी के समान किस प्राचीन भारतीय खेल का उपयोग किया जाता था?")</f>
        <v>प्राचीन सैन्य प्रशिक्षण में सामरिक और शारीरिक कौशल विकसित करने के लिए लागोरी के समान किस प्राचीन भारतीय खेल का उपयोग किया जाता था?</v>
      </c>
      <c r="H319" s="5" t="str">
        <f>IFERROR(__xludf.DUMMYFUNCTION("GOOGLETRANSLATE(C319, ""en"", ""hi"")"),"ए) पिट्ठू, बी) गिल्ली-डंडा, सी) खो-खो, डी) कबड्डी")</f>
        <v>ए) पिट्ठू, बी) गिल्ली-डंडा, सी) खो-खो, डी) कबड्डी</v>
      </c>
      <c r="I319" s="5" t="str">
        <f>IFERROR(__xludf.DUMMYFUNCTION("GOOGLETRANSLATE(D319, ""en"", ""hi"")"),"A) पिट्टू")</f>
        <v>A) पिट्टू</v>
      </c>
    </row>
    <row r="320" ht="22.5" customHeight="1">
      <c r="A320" s="3">
        <v>319.0</v>
      </c>
      <c r="B320" s="4" t="s">
        <v>4329</v>
      </c>
      <c r="C320" s="4" t="s">
        <v>4182</v>
      </c>
      <c r="D320" s="4" t="s">
        <v>4164</v>
      </c>
      <c r="F320" s="5" t="str">
        <f>IFERROR(__xludf.DUMMYFUNCTION("GOOGLETRANSLATE(A320, ""en"", ""hi"")"),"319")</f>
        <v>319</v>
      </c>
      <c r="G320" s="5" t="str">
        <f>IFERROR(__xludf.DUMMYFUNCTION("GOOGLETRANSLATE(B320, ""en"", ""hi"")"),"कौन सा भारतीय शासक सैन्य अभ्यास और दरबारी मनोरंजन दोनों में लागोरी को शामिल करने के लिए जाना जाता है?")</f>
        <v>कौन सा भारतीय शासक सैन्य अभ्यास और दरबारी मनोरंजन दोनों में लागोरी को शामिल करने के लिए जाना जाता है?</v>
      </c>
      <c r="H320" s="5" t="str">
        <f>IFERROR(__xludf.DUMMYFUNCTION("GOOGLETRANSLATE(C320, ""en"", ""hi"")"),"ए) शिवाजी महाराज, बी) चंद्रगुप्त मौर्य, सी) राजेंद्र चोल, डी) अशोक")</f>
        <v>ए) शिवाजी महाराज, बी) चंद्रगुप्त मौर्य, सी) राजेंद्र चोल, डी) अशोक</v>
      </c>
      <c r="I320" s="5" t="str">
        <f>IFERROR(__xludf.DUMMYFUNCTION("GOOGLETRANSLATE(D320, ""en"", ""hi"")"),"A) शिवाजी महाराज")</f>
        <v>A) शिवाजी महाराज</v>
      </c>
    </row>
    <row r="321" ht="22.5" customHeight="1">
      <c r="A321" s="3">
        <v>320.0</v>
      </c>
      <c r="B321" s="4" t="s">
        <v>4330</v>
      </c>
      <c r="C321" s="4" t="s">
        <v>2588</v>
      </c>
      <c r="D321" s="4" t="s">
        <v>4152</v>
      </c>
      <c r="F321" s="5" t="str">
        <f>IFERROR(__xludf.DUMMYFUNCTION("GOOGLETRANSLATE(A321, ""en"", ""hi"")"),"320")</f>
        <v>320</v>
      </c>
      <c r="G321" s="5" t="str">
        <f>IFERROR(__xludf.DUMMYFUNCTION("GOOGLETRANSLATE(B321, ""en"", ""hi"")"),"किस मुगल सम्राट को लागोरी सहित पारंपरिक भारतीय खेलों को लोकप्रिय बनाने और उनका दस्तावेजीकरण करने में उनकी भूमिका के लिए जाना जाता है?")</f>
        <v>किस मुगल सम्राट को लागोरी सहित पारंपरिक भारतीय खेलों को लोकप्रिय बनाने और उनका दस्तावेजीकरण करने में उनकी भूमिका के लिए जाना जाता है?</v>
      </c>
      <c r="H321" s="5" t="str">
        <f>IFERROR(__xludf.DUMMYFUNCTION("GOOGLETRANSLATE(C321, ""en"", ""hi"")"),"A) अकबर, B) जहाँगीर, C) शाहजहाँ, D) औरंगज़ेब")</f>
        <v>A) अकबर, B) जहाँगीर, C) शाहजहाँ, D) औरंगज़ेब</v>
      </c>
      <c r="I321" s="5" t="str">
        <f>IFERROR(__xludf.DUMMYFUNCTION("GOOGLETRANSLATE(D321, ""en"", ""hi"")"),"C) शाहजहाँ")</f>
        <v>C) शाहजहाँ</v>
      </c>
    </row>
    <row r="322" ht="22.5" customHeight="1">
      <c r="A322" s="3">
        <v>321.0</v>
      </c>
      <c r="B322" s="4" t="s">
        <v>4331</v>
      </c>
      <c r="C322" s="4" t="s">
        <v>4139</v>
      </c>
      <c r="D322" s="4" t="s">
        <v>842</v>
      </c>
      <c r="F322" s="5" t="str">
        <f>IFERROR(__xludf.DUMMYFUNCTION("GOOGLETRANSLATE(A322, ""en"", ""hi"")"),"321")</f>
        <v>321</v>
      </c>
      <c r="G322" s="5" t="str">
        <f>IFERROR(__xludf.DUMMYFUNCTION("GOOGLETRANSLATE(B322, ""en"", ""hi"")"),"किस भारतीय राज्य के पारंपरिक लागोरी खेल में महत्वपूर्ण सांस्कृतिक समारोहों के दौरान उपयोग किए जाने वाले औपचारिक पत्थर शामिल हैं?")</f>
        <v>किस भारतीय राज्य के पारंपरिक लागोरी खेल में महत्वपूर्ण सांस्कृतिक समारोहों के दौरान उपयोग किए जाने वाले औपचारिक पत्थर शामिल हैं?</v>
      </c>
      <c r="H322" s="5" t="str">
        <f>IFERROR(__xludf.DUMMYFUNCTION("GOOGLETRANSLATE(C322, ""en"", ""hi"")"),"ए) कर्नाटक, बी) तमिलनाडु, सी) महाराष्ट्र, डी) आंध्र प्रदेश")</f>
        <v>ए) कर्नाटक, बी) तमिलनाडु, सी) महाराष्ट्र, डी) आंध्र प्रदेश</v>
      </c>
      <c r="I322" s="5" t="str">
        <f>IFERROR(__xludf.DUMMYFUNCTION("GOOGLETRANSLATE(D322, ""en"", ""hi"")"),"C) महाराष्ट्र")</f>
        <v>C) महाराष्ट्र</v>
      </c>
    </row>
    <row r="323" ht="22.5" customHeight="1">
      <c r="A323" s="3">
        <v>322.0</v>
      </c>
      <c r="B323" s="4" t="s">
        <v>4291</v>
      </c>
      <c r="C323" s="4" t="s">
        <v>4187</v>
      </c>
      <c r="D323" s="4" t="s">
        <v>3907</v>
      </c>
      <c r="F323" s="5" t="str">
        <f>IFERROR(__xludf.DUMMYFUNCTION("GOOGLETRANSLATE(A323, ""en"", ""hi"")"),"322")</f>
        <v>322</v>
      </c>
      <c r="G323" s="5" t="str">
        <f>IFERROR(__xludf.DUMMYFUNCTION("GOOGLETRANSLATE(B323, ""en"", ""hi"")"),"कौन सा ऐतिहासिक भारतीय राजा लागोरी को शैक्षिक और मनोरंजक दोनों गतिविधियों में एकीकृत करने के लिए प्रसिद्ध है?")</f>
        <v>कौन सा ऐतिहासिक भारतीय राजा लागोरी को शैक्षिक और मनोरंजक दोनों गतिविधियों में एकीकृत करने के लिए प्रसिद्ध है?</v>
      </c>
      <c r="H323" s="5" t="str">
        <f>IFERROR(__xludf.DUMMYFUNCTION("GOOGLETRANSLATE(C323, ""en"", ""hi"")"),"ए) कृष्णदेवराय, बी) राजा राज चोल, सी) शिवाजी महाराज, डी) अशोक")</f>
        <v>ए) कृष्णदेवराय, बी) राजा राज चोल, सी) शिवाजी महाराज, डी) अशोक</v>
      </c>
      <c r="I323" s="5" t="str">
        <f>IFERROR(__xludf.DUMMYFUNCTION("GOOGLETRANSLATE(D323, ""en"", ""hi"")"),"A) कृष्णदेवराय")</f>
        <v>A) कृष्णदेवराय</v>
      </c>
    </row>
    <row r="324" ht="22.5" customHeight="1">
      <c r="A324" s="3">
        <v>323.0</v>
      </c>
      <c r="B324" s="4" t="s">
        <v>4332</v>
      </c>
      <c r="C324" s="4" t="s">
        <v>4116</v>
      </c>
      <c r="D324" s="4" t="s">
        <v>2616</v>
      </c>
      <c r="F324" s="5" t="str">
        <f>IFERROR(__xludf.DUMMYFUNCTION("GOOGLETRANSLATE(A324, ""en"", ""hi"")"),"323")</f>
        <v>323</v>
      </c>
      <c r="G324" s="5" t="str">
        <f>IFERROR(__xludf.DUMMYFUNCTION("GOOGLETRANSLATE(B324, ""en"", ""hi"")"),"कौन सा प्राचीन भारतीय ग्रंथ लागोरी को रणनीतिक योजना और टीमवर्क कौशल विकसित करने के लिए उपयोग किए जाने वाले खेल के रूप में वर्णित करता है?")</f>
        <v>कौन सा प्राचीन भारतीय ग्रंथ लागोरी को रणनीतिक योजना और टीमवर्क कौशल विकसित करने के लिए उपयोग किए जाने वाले खेल के रूप में वर्णित करता है?</v>
      </c>
      <c r="H324" s="5" t="str">
        <f>IFERROR(__xludf.DUMMYFUNCTION("GOOGLETRANSLATE(C324, ""en"", ""hi"")"),"ए) अर्थशास्त्र, बी) मनुस्मृति, सी) भगवद गीता, डी) रामायण")</f>
        <v>ए) अर्थशास्त्र, बी) मनुस्मृति, सी) भगवद गीता, डी) रामायण</v>
      </c>
      <c r="I324" s="5" t="str">
        <f>IFERROR(__xludf.DUMMYFUNCTION("GOOGLETRANSLATE(D324, ""en"", ""hi"")"),"A) अर्थशास्त्र")</f>
        <v>A) अर्थशास्त्र</v>
      </c>
    </row>
    <row r="325" ht="22.5" customHeight="1">
      <c r="A325" s="3">
        <v>324.0</v>
      </c>
      <c r="B325" s="4" t="s">
        <v>4333</v>
      </c>
      <c r="C325" s="4" t="s">
        <v>2588</v>
      </c>
      <c r="D325" s="4" t="s">
        <v>4152</v>
      </c>
      <c r="F325" s="5" t="str">
        <f>IFERROR(__xludf.DUMMYFUNCTION("GOOGLETRANSLATE(A325, ""en"", ""hi"")"),"324")</f>
        <v>324</v>
      </c>
      <c r="G325" s="5" t="str">
        <f>IFERROR(__xludf.DUMMYFUNCTION("GOOGLETRANSLATE(B325, ""en"", ""hi"")"),"कौन सा मुगल सम्राट लागोरी जैसे पारंपरिक भारतीय खेलों के प्रचार और दस्तावेजीकरण में अपनी भूमिका के लिए जाना जाता है?")</f>
        <v>कौन सा मुगल सम्राट लागोरी जैसे पारंपरिक भारतीय खेलों के प्रचार और दस्तावेजीकरण में अपनी भूमिका के लिए जाना जाता है?</v>
      </c>
      <c r="H325" s="5" t="str">
        <f>IFERROR(__xludf.DUMMYFUNCTION("GOOGLETRANSLATE(C325, ""en"", ""hi"")"),"A) अकबर, B) जहाँगीर, C) शाहजहाँ, D) औरंगज़ेब")</f>
        <v>A) अकबर, B) जहाँगीर, C) शाहजहाँ, D) औरंगज़ेब</v>
      </c>
      <c r="I325" s="5" t="str">
        <f>IFERROR(__xludf.DUMMYFUNCTION("GOOGLETRANSLATE(D325, ""en"", ""hi"")"),"C) शाहजहाँ")</f>
        <v>C) शाहजहाँ</v>
      </c>
    </row>
    <row r="326" ht="22.5" customHeight="1">
      <c r="A326" s="3">
        <v>325.0</v>
      </c>
      <c r="B326" s="4" t="s">
        <v>4334</v>
      </c>
      <c r="C326" s="4" t="s">
        <v>3763</v>
      </c>
      <c r="D326" s="4" t="s">
        <v>842</v>
      </c>
      <c r="F326" s="5" t="str">
        <f>IFERROR(__xludf.DUMMYFUNCTION("GOOGLETRANSLATE(A326, ""en"", ""hi"")"),"325")</f>
        <v>325</v>
      </c>
      <c r="G326" s="5" t="str">
        <f>IFERROR(__xludf.DUMMYFUNCTION("GOOGLETRANSLATE(B326, ""en"", ""hi"")"),"किस भारतीय राज्य की ऐतिहासिक परंपराओं में प्रमुख सांस्कृतिक आयोजनों के दौरान औपचारिक पत्थरों के साथ खेले जाने वाले खेल के रूप में लागोरी को शामिल किया गया है?")</f>
        <v>किस भारतीय राज्य की ऐतिहासिक परंपराओं में प्रमुख सांस्कृतिक आयोजनों के दौरान औपचारिक पत्थरों के साथ खेले जाने वाले खेल के रूप में लागोरी को शामिल किया गया है?</v>
      </c>
      <c r="H326" s="5" t="str">
        <f>IFERROR(__xludf.DUMMYFUNCTION("GOOGLETRANSLATE(C326, ""en"", ""hi"")"),"ए) तमिलनाडु, बी) कर्नाटक, सी) महाराष्ट्र, डी) आंध्र प्रदेश")</f>
        <v>ए) तमिलनाडु, बी) कर्नाटक, सी) महाराष्ट्र, डी) आंध्र प्रदेश</v>
      </c>
      <c r="I326" s="5" t="str">
        <f>IFERROR(__xludf.DUMMYFUNCTION("GOOGLETRANSLATE(D326, ""en"", ""hi"")"),"C) महाराष्ट्र")</f>
        <v>C) महाराष्ट्र</v>
      </c>
    </row>
    <row r="327" ht="22.5" customHeight="1">
      <c r="A327" s="3">
        <v>326.0</v>
      </c>
      <c r="B327" s="4" t="s">
        <v>4335</v>
      </c>
      <c r="C327" s="4" t="s">
        <v>4267</v>
      </c>
      <c r="D327" s="4" t="s">
        <v>4145</v>
      </c>
      <c r="F327" s="5" t="str">
        <f>IFERROR(__xludf.DUMMYFUNCTION("GOOGLETRANSLATE(A327, ""en"", ""hi"")"),"326")</f>
        <v>326</v>
      </c>
      <c r="G327" s="5" t="str">
        <f>IFERROR(__xludf.DUMMYFUNCTION("GOOGLETRANSLATE(B327, ""en"", ""hi"")"),"लागोरी से संबंधित कौन सा प्राचीन भारतीय खेल ऐतिहासिक रूप से योद्धाओं में रणनीतिक और शारीरिक कौशल विकसित करने के लिए इस्तेमाल किया जाता था?")</f>
        <v>लागोरी से संबंधित कौन सा प्राचीन भारतीय खेल ऐतिहासिक रूप से योद्धाओं में रणनीतिक और शारीरिक कौशल विकसित करने के लिए इस्तेमाल किया जाता था?</v>
      </c>
      <c r="H327" s="5" t="str">
        <f>IFERROR(__xludf.DUMMYFUNCTION("GOOGLETRANSLATE(C327, ""en"", ""hi"")"),"ए) पिट्ठू, बी) गिल्ली-डंडा, सी) खो-खो, डी) कबड्डी")</f>
        <v>ए) पिट्ठू, बी) गिल्ली-डंडा, सी) खो-खो, डी) कबड्डी</v>
      </c>
      <c r="I327" s="5" t="str">
        <f>IFERROR(__xludf.DUMMYFUNCTION("GOOGLETRANSLATE(D327, ""en"", ""hi"")"),"A) पिट्टू")</f>
        <v>A) पिट्टू</v>
      </c>
    </row>
    <row r="328" ht="22.5" customHeight="1">
      <c r="A328" s="3">
        <v>327.0</v>
      </c>
      <c r="B328" s="4" t="s">
        <v>4336</v>
      </c>
      <c r="C328" s="4" t="s">
        <v>4303</v>
      </c>
      <c r="D328" s="4" t="s">
        <v>4164</v>
      </c>
      <c r="F328" s="5" t="str">
        <f>IFERROR(__xludf.DUMMYFUNCTION("GOOGLETRANSLATE(A328, ""en"", ""hi"")"),"327")</f>
        <v>327</v>
      </c>
      <c r="G328" s="5" t="str">
        <f>IFERROR(__xludf.DUMMYFUNCTION("GOOGLETRANSLATE(B328, ""en"", ""hi"")"),"कौन सा भारतीय शासक सैन्य प्रशिक्षण और मनोरंजन दोनों उद्देश्यों के लिए लागोरी का उपयोग करने से जुड़ा है?")</f>
        <v>कौन सा भारतीय शासक सैन्य प्रशिक्षण और मनोरंजन दोनों उद्देश्यों के लिए लागोरी का उपयोग करने से जुड़ा है?</v>
      </c>
      <c r="H328" s="5" t="str">
        <f>IFERROR(__xludf.DUMMYFUNCTION("GOOGLETRANSLATE(C328, ""en"", ""hi"")"),"ए) शिवाजी महाराज, बी) चंद्रगुप्त मौर्य, सी) कृष्णदेवराय, डी) अशोक")</f>
        <v>ए) शिवाजी महाराज, बी) चंद्रगुप्त मौर्य, सी) कृष्णदेवराय, डी) अशोक</v>
      </c>
      <c r="I328" s="5" t="str">
        <f>IFERROR(__xludf.DUMMYFUNCTION("GOOGLETRANSLATE(D328, ""en"", ""hi"")"),"A) शिवाजी महाराज")</f>
        <v>A) शिवाजी महाराज</v>
      </c>
    </row>
    <row r="329" ht="22.5" customHeight="1">
      <c r="A329" s="3">
        <v>328.0</v>
      </c>
      <c r="B329" s="4" t="s">
        <v>4337</v>
      </c>
      <c r="C329" s="4" t="s">
        <v>2588</v>
      </c>
      <c r="D329" s="4" t="s">
        <v>2589</v>
      </c>
      <c r="F329" s="5" t="str">
        <f>IFERROR(__xludf.DUMMYFUNCTION("GOOGLETRANSLATE(A329, ""en"", ""hi"")"),"328")</f>
        <v>328</v>
      </c>
      <c r="G329" s="5" t="str">
        <f>IFERROR(__xludf.DUMMYFUNCTION("GOOGLETRANSLATE(B329, ""en"", ""hi"")"),"किस मुगल सम्राट को उनके विस्तृत अभिलेखों और पारंपरिक भारतीय खेलों जैसे लागोरी के समर्थन के लिए जाना जाता है?")</f>
        <v>किस मुगल सम्राट को उनके विस्तृत अभिलेखों और पारंपरिक भारतीय खेलों जैसे लागोरी के समर्थन के लिए जाना जाता है?</v>
      </c>
      <c r="H329" s="5" t="str">
        <f>IFERROR(__xludf.DUMMYFUNCTION("GOOGLETRANSLATE(C329, ""en"", ""hi"")"),"A) अकबर, B) जहाँगीर, C) शाहजहाँ, D) औरंगज़ेब")</f>
        <v>A) अकबर, B) जहाँगीर, C) शाहजहाँ, D) औरंगज़ेब</v>
      </c>
      <c r="I329" s="5" t="str">
        <f>IFERROR(__xludf.DUMMYFUNCTION("GOOGLETRANSLATE(D329, ""en"", ""hi"")"),"बी) जहांगीर")</f>
        <v>बी) जहांगीर</v>
      </c>
    </row>
    <row r="330" ht="22.5" customHeight="1">
      <c r="A330" s="3">
        <v>329.0</v>
      </c>
      <c r="B330" s="4" t="s">
        <v>4338</v>
      </c>
      <c r="C330" s="4" t="s">
        <v>3763</v>
      </c>
      <c r="D330" s="4" t="s">
        <v>842</v>
      </c>
      <c r="F330" s="5" t="str">
        <f>IFERROR(__xludf.DUMMYFUNCTION("GOOGLETRANSLATE(A330, ""en"", ""hi"")"),"329")</f>
        <v>329</v>
      </c>
      <c r="G330" s="5" t="str">
        <f>IFERROR(__xludf.DUMMYFUNCTION("GOOGLETRANSLATE(B330, ""en"", ""hi"")"),"किस भारतीय राज्य के पारंपरिक लागोरी खेल में महत्वपूर्ण सांस्कृतिक और धार्मिक त्योहारों के दौरान उपयोग किए जाने वाले औपचारिक पत्थर शामिल हैं?")</f>
        <v>किस भारतीय राज्य के पारंपरिक लागोरी खेल में महत्वपूर्ण सांस्कृतिक और धार्मिक त्योहारों के दौरान उपयोग किए जाने वाले औपचारिक पत्थर शामिल हैं?</v>
      </c>
      <c r="H330" s="5" t="str">
        <f>IFERROR(__xludf.DUMMYFUNCTION("GOOGLETRANSLATE(C330, ""en"", ""hi"")"),"ए) तमिलनाडु, बी) कर्नाटक, सी) महाराष्ट्र, डी) आंध्र प्रदेश")</f>
        <v>ए) तमिलनाडु, बी) कर्नाटक, सी) महाराष्ट्र, डी) आंध्र प्रदेश</v>
      </c>
      <c r="I330" s="5" t="str">
        <f>IFERROR(__xludf.DUMMYFUNCTION("GOOGLETRANSLATE(D330, ""en"", ""hi"")"),"C) महाराष्ट्र")</f>
        <v>C) महाराष्ट्र</v>
      </c>
    </row>
    <row r="331" ht="22.5" customHeight="1">
      <c r="A331" s="3">
        <v>330.0</v>
      </c>
      <c r="B331" s="4" t="s">
        <v>4339</v>
      </c>
      <c r="C331" s="4" t="s">
        <v>3906</v>
      </c>
      <c r="D331" s="4" t="s">
        <v>3907</v>
      </c>
      <c r="F331" s="5" t="str">
        <f>IFERROR(__xludf.DUMMYFUNCTION("GOOGLETRANSLATE(A331, ""en"", ""hi"")"),"330")</f>
        <v>330</v>
      </c>
      <c r="G331" s="5" t="str">
        <f>IFERROR(__xludf.DUMMYFUNCTION("GOOGLETRANSLATE(B331, ""en"", ""hi"")"),"विजयनगर साम्राज्य का कौन सा ऐतिहासिक व्यक्ति लागोरी को अपने दरबारी खेलों में शामिल करने के लिए जाना जाता है?")</f>
        <v>विजयनगर साम्राज्य का कौन सा ऐतिहासिक व्यक्ति लागोरी को अपने दरबारी खेलों में शामिल करने के लिए जाना जाता है?</v>
      </c>
      <c r="H331" s="5" t="str">
        <f>IFERROR(__xludf.DUMMYFUNCTION("GOOGLETRANSLATE(C331, ""en"", ""hi"")"),"ए) कृष्णदेवराय, बी) हरिहर प्रथम, सी) बुक्का प्रथम, डी) अच्युता देव राय")</f>
        <v>ए) कृष्णदेवराय, बी) हरिहर प्रथम, सी) बुक्का प्रथम, डी) अच्युता देव राय</v>
      </c>
      <c r="I331" s="5" t="str">
        <f>IFERROR(__xludf.DUMMYFUNCTION("GOOGLETRANSLATE(D331, ""en"", ""hi"")"),"A) कृष्णदेवराय")</f>
        <v>A) कृष्णदेवराय</v>
      </c>
    </row>
    <row r="332" ht="22.5" customHeight="1">
      <c r="A332" s="3">
        <v>331.0</v>
      </c>
      <c r="B332" s="4" t="s">
        <v>4340</v>
      </c>
      <c r="C332" s="4" t="s">
        <v>4276</v>
      </c>
      <c r="D332" s="4" t="s">
        <v>3208</v>
      </c>
      <c r="F332" s="5" t="str">
        <f>IFERROR(__xludf.DUMMYFUNCTION("GOOGLETRANSLATE(A332, ""en"", ""hi"")"),"331")</f>
        <v>331</v>
      </c>
      <c r="G332" s="5" t="str">
        <f>IFERROR(__xludf.DUMMYFUNCTION("GOOGLETRANSLATE(B332, ""en"", ""hi"")"),"किस भारतीय राजा को शैक्षणिक और मनोरंजक दोनों प्रथाओं में लागोरी को शामिल करने के लिए जाना जाता है?")</f>
        <v>किस भारतीय राजा को शैक्षणिक और मनोरंजक दोनों प्रथाओं में लागोरी को शामिल करने के लिए जाना जाता है?</v>
      </c>
      <c r="H332" s="5" t="str">
        <f>IFERROR(__xludf.DUMMYFUNCTION("GOOGLETRANSLATE(C332, ""en"", ""hi"")"),"ए) राजा राजा चोल, बी) शिवाजी महाराज, सी) कृष्णदेवराय, डी) अशोक")</f>
        <v>ए) राजा राजा चोल, बी) शिवाजी महाराज, सी) कृष्णदेवराय, डी) अशोक</v>
      </c>
      <c r="I332" s="5" t="str">
        <f>IFERROR(__xludf.DUMMYFUNCTION("GOOGLETRANSLATE(D332, ""en"", ""hi"")"),"B) शिवाजी महाराज")</f>
        <v>B) शिवाजी महाराज</v>
      </c>
    </row>
    <row r="333" ht="22.5" customHeight="1">
      <c r="A333" s="3">
        <v>332.0</v>
      </c>
      <c r="B333" s="4" t="s">
        <v>4325</v>
      </c>
      <c r="C333" s="4" t="s">
        <v>4116</v>
      </c>
      <c r="D333" s="4" t="s">
        <v>2616</v>
      </c>
      <c r="F333" s="5" t="str">
        <f>IFERROR(__xludf.DUMMYFUNCTION("GOOGLETRANSLATE(A333, ""en"", ""hi"")"),"332")</f>
        <v>332</v>
      </c>
      <c r="G333" s="5" t="str">
        <f>IFERROR(__xludf.DUMMYFUNCTION("GOOGLETRANSLATE(B333, ""en"", ""hi"")"),"कौन सा प्राचीन भारतीय ग्रंथ लागोरी को रणनीतिक योजना और समन्वय को बढ़ाने के लिए डिज़ाइन किए गए खेल के रूप में वर्णित करता है?")</f>
        <v>कौन सा प्राचीन भारतीय ग्रंथ लागोरी को रणनीतिक योजना और समन्वय को बढ़ाने के लिए डिज़ाइन किए गए खेल के रूप में वर्णित करता है?</v>
      </c>
      <c r="H333" s="5" t="str">
        <f>IFERROR(__xludf.DUMMYFUNCTION("GOOGLETRANSLATE(C333, ""en"", ""hi"")"),"ए) अर्थशास्त्र, बी) मनुस्मृति, सी) भगवद गीता, डी) रामायण")</f>
        <v>ए) अर्थशास्त्र, बी) मनुस्मृति, सी) भगवद गीता, डी) रामायण</v>
      </c>
      <c r="I333" s="5" t="str">
        <f>IFERROR(__xludf.DUMMYFUNCTION("GOOGLETRANSLATE(D333, ""en"", ""hi"")"),"A) अर्थशास्त्र")</f>
        <v>A) अर्थशास्त्र</v>
      </c>
    </row>
    <row r="334" ht="22.5" customHeight="1">
      <c r="A334" s="3">
        <v>333.0</v>
      </c>
      <c r="B334" s="4" t="s">
        <v>4341</v>
      </c>
      <c r="C334" s="4" t="s">
        <v>2588</v>
      </c>
      <c r="D334" s="4" t="s">
        <v>4152</v>
      </c>
      <c r="F334" s="5" t="str">
        <f>IFERROR(__xludf.DUMMYFUNCTION("GOOGLETRANSLATE(A334, ""en"", ""hi"")"),"333")</f>
        <v>333</v>
      </c>
      <c r="G334" s="5" t="str">
        <f>IFERROR(__xludf.DUMMYFUNCTION("GOOGLETRANSLATE(B334, ""en"", ""hi"")"),"किस मुगल सम्राट को पारंपरिक भारतीय खेलों जैसे लागोरी को बढ़ावा देने और उनका दस्तावेजीकरण करने में उनकी भूमिका के लिए जाना जाता है?")</f>
        <v>किस मुगल सम्राट को पारंपरिक भारतीय खेलों जैसे लागोरी को बढ़ावा देने और उनका दस्तावेजीकरण करने में उनकी भूमिका के लिए जाना जाता है?</v>
      </c>
      <c r="H334" s="5" t="str">
        <f>IFERROR(__xludf.DUMMYFUNCTION("GOOGLETRANSLATE(C334, ""en"", ""hi"")"),"A) अकबर, B) जहाँगीर, C) शाहजहाँ, D) औरंगज़ेब")</f>
        <v>A) अकबर, B) जहाँगीर, C) शाहजहाँ, D) औरंगज़ेब</v>
      </c>
      <c r="I334" s="5" t="str">
        <f>IFERROR(__xludf.DUMMYFUNCTION("GOOGLETRANSLATE(D334, ""en"", ""hi"")"),"C) शाहजहाँ")</f>
        <v>C) शाहजहाँ</v>
      </c>
    </row>
    <row r="335" ht="22.5" customHeight="1">
      <c r="A335" s="3">
        <v>334.0</v>
      </c>
      <c r="B335" s="4" t="s">
        <v>4342</v>
      </c>
      <c r="C335" s="4" t="s">
        <v>4139</v>
      </c>
      <c r="D335" s="4" t="s">
        <v>842</v>
      </c>
      <c r="F335" s="5" t="str">
        <f>IFERROR(__xludf.DUMMYFUNCTION("GOOGLETRANSLATE(A335, ""en"", ""hi"")"),"334")</f>
        <v>334</v>
      </c>
      <c r="G335" s="5" t="str">
        <f>IFERROR(__xludf.DUMMYFUNCTION("GOOGLETRANSLATE(B335, ""en"", ""hi"")"),"किस भारतीय राज्य के पारंपरिक लागोरी खेल में प्रमुख सांस्कृतिक आयोजनों के दौरान इस्तेमाल किए जाने वाले औपचारिक पत्थर शामिल हैं?")</f>
        <v>किस भारतीय राज्य के पारंपरिक लागोरी खेल में प्रमुख सांस्कृतिक आयोजनों के दौरान इस्तेमाल किए जाने वाले औपचारिक पत्थर शामिल हैं?</v>
      </c>
      <c r="H335" s="5" t="str">
        <f>IFERROR(__xludf.DUMMYFUNCTION("GOOGLETRANSLATE(C335, ""en"", ""hi"")"),"ए) कर्नाटक, बी) तमिलनाडु, सी) महाराष्ट्र, डी) आंध्र प्रदेश")</f>
        <v>ए) कर्नाटक, बी) तमिलनाडु, सी) महाराष्ट्र, डी) आंध्र प्रदेश</v>
      </c>
      <c r="I335" s="5" t="str">
        <f>IFERROR(__xludf.DUMMYFUNCTION("GOOGLETRANSLATE(D335, ""en"", ""hi"")"),"C) महाराष्ट्र")</f>
        <v>C) महाराष्ट्र</v>
      </c>
    </row>
    <row r="336" ht="22.5" customHeight="1">
      <c r="A336" s="3">
        <v>335.0</v>
      </c>
      <c r="B336" s="4" t="s">
        <v>4343</v>
      </c>
      <c r="C336" s="4" t="s">
        <v>4267</v>
      </c>
      <c r="D336" s="4" t="s">
        <v>4145</v>
      </c>
      <c r="F336" s="5" t="str">
        <f>IFERROR(__xludf.DUMMYFUNCTION("GOOGLETRANSLATE(A336, ""en"", ""hi"")"),"335")</f>
        <v>335</v>
      </c>
      <c r="G336" s="5" t="str">
        <f>IFERROR(__xludf.DUMMYFUNCTION("GOOGLETRANSLATE(B336, ""en"", ""hi"")"),"ऐतिहासिक प्रशिक्षण में रणनीतिक और शारीरिक कौशल विकसित करने के लिए लागोरी के समान किस प्राचीन भारतीय खेल का उपयोग किया जाता था?")</f>
        <v>ऐतिहासिक प्रशिक्षण में रणनीतिक और शारीरिक कौशल विकसित करने के लिए लागोरी के समान किस प्राचीन भारतीय खेल का उपयोग किया जाता था?</v>
      </c>
      <c r="H336" s="5" t="str">
        <f>IFERROR(__xludf.DUMMYFUNCTION("GOOGLETRANSLATE(C336, ""en"", ""hi"")"),"ए) पिट्ठू, बी) गिल्ली-डंडा, सी) खो-खो, डी) कबड्डी")</f>
        <v>ए) पिट्ठू, बी) गिल्ली-डंडा, सी) खो-खो, डी) कबड्डी</v>
      </c>
      <c r="I336" s="5" t="str">
        <f>IFERROR(__xludf.DUMMYFUNCTION("GOOGLETRANSLATE(D336, ""en"", ""hi"")"),"A) पिट्टू")</f>
        <v>A) पिट्टू</v>
      </c>
    </row>
    <row r="337" ht="22.5" customHeight="1">
      <c r="A337" s="3">
        <v>336.0</v>
      </c>
      <c r="B337" s="4" t="s">
        <v>4344</v>
      </c>
      <c r="C337" s="4" t="s">
        <v>4182</v>
      </c>
      <c r="D337" s="4" t="s">
        <v>4164</v>
      </c>
      <c r="F337" s="5" t="str">
        <f>IFERROR(__xludf.DUMMYFUNCTION("GOOGLETRANSLATE(A337, ""en"", ""hi"")"),"336")</f>
        <v>336</v>
      </c>
      <c r="G337" s="5" t="str">
        <f>IFERROR(__xludf.DUMMYFUNCTION("GOOGLETRANSLATE(B337, ""en"", ""hi"")"),"कौन सा भारतीय शासक सैन्य प्रशिक्षण और दरबारी मनोरंजन दोनों के लिए लागोरी का उपयोग करने के लिए जाना जाता है?")</f>
        <v>कौन सा भारतीय शासक सैन्य प्रशिक्षण और दरबारी मनोरंजन दोनों के लिए लागोरी का उपयोग करने के लिए जाना जाता है?</v>
      </c>
      <c r="H337" s="5" t="str">
        <f>IFERROR(__xludf.DUMMYFUNCTION("GOOGLETRANSLATE(C337, ""en"", ""hi"")"),"ए) शिवाजी महाराज, बी) चंद्रगुप्त मौर्य, सी) राजेंद्र चोल, डी) अशोक")</f>
        <v>ए) शिवाजी महाराज, बी) चंद्रगुप्त मौर्य, सी) राजेंद्र चोल, डी) अशोक</v>
      </c>
      <c r="I337" s="5" t="str">
        <f>IFERROR(__xludf.DUMMYFUNCTION("GOOGLETRANSLATE(D337, ""en"", ""hi"")"),"A) शिवाजी महाराज")</f>
        <v>A) शिवाजी महाराज</v>
      </c>
    </row>
    <row r="338" ht="22.5" customHeight="1">
      <c r="A338" s="3">
        <v>337.0</v>
      </c>
      <c r="B338" s="4" t="s">
        <v>4345</v>
      </c>
      <c r="C338" s="4" t="s">
        <v>2588</v>
      </c>
      <c r="D338" s="4" t="s">
        <v>4152</v>
      </c>
      <c r="F338" s="5" t="str">
        <f>IFERROR(__xludf.DUMMYFUNCTION("GOOGLETRANSLATE(A338, ""en"", ""hi"")"),"337")</f>
        <v>337</v>
      </c>
      <c r="G338" s="5" t="str">
        <f>IFERROR(__xludf.DUMMYFUNCTION("GOOGLETRANSLATE(B338, ""en"", ""hi"")"),"किस मुगल सम्राट को लगोरी सहित पारंपरिक भारतीय खेलों के समर्थन और विस्तृत अभिलेखों के लिए जाना जाता है?")</f>
        <v>किस मुगल सम्राट को लगोरी सहित पारंपरिक भारतीय खेलों के समर्थन और विस्तृत अभिलेखों के लिए जाना जाता है?</v>
      </c>
      <c r="H338" s="5" t="str">
        <f>IFERROR(__xludf.DUMMYFUNCTION("GOOGLETRANSLATE(C338, ""en"", ""hi"")"),"A) अकबर, B) जहाँगीर, C) शाहजहाँ, D) औरंगज़ेब")</f>
        <v>A) अकबर, B) जहाँगीर, C) शाहजहाँ, D) औरंगज़ेब</v>
      </c>
      <c r="I338" s="5" t="str">
        <f>IFERROR(__xludf.DUMMYFUNCTION("GOOGLETRANSLATE(D338, ""en"", ""hi"")"),"C) शाहजहाँ")</f>
        <v>C) शाहजहाँ</v>
      </c>
    </row>
    <row r="339" ht="22.5" customHeight="1">
      <c r="A339" s="3">
        <v>338.0</v>
      </c>
      <c r="B339" s="4" t="s">
        <v>4346</v>
      </c>
      <c r="C339" s="4" t="s">
        <v>3763</v>
      </c>
      <c r="D339" s="4" t="s">
        <v>842</v>
      </c>
      <c r="F339" s="5" t="str">
        <f>IFERROR(__xludf.DUMMYFUNCTION("GOOGLETRANSLATE(A339, ""en"", ""hi"")"),"338")</f>
        <v>338</v>
      </c>
      <c r="G339" s="5" t="str">
        <f>IFERROR(__xludf.DUMMYFUNCTION("GOOGLETRANSLATE(B339, ""en"", ""hi"")"),"किस भारतीय राज्य की ऐतिहासिक परंपराओं में महत्वपूर्ण सांस्कृतिक उत्सवों के दौरान औपचारिक पत्थरों के साथ खेले जाने वाले खेल के रूप में लागोरी को शामिल किया गया है?")</f>
        <v>किस भारतीय राज्य की ऐतिहासिक परंपराओं में महत्वपूर्ण सांस्कृतिक उत्सवों के दौरान औपचारिक पत्थरों के साथ खेले जाने वाले खेल के रूप में लागोरी को शामिल किया गया है?</v>
      </c>
      <c r="H339" s="5" t="str">
        <f>IFERROR(__xludf.DUMMYFUNCTION("GOOGLETRANSLATE(C339, ""en"", ""hi"")"),"ए) तमिलनाडु, बी) कर्नाटक, सी) महाराष्ट्र, डी) आंध्र प्रदेश")</f>
        <v>ए) तमिलनाडु, बी) कर्नाटक, सी) महाराष्ट्र, डी) आंध्र प्रदेश</v>
      </c>
      <c r="I339" s="5" t="str">
        <f>IFERROR(__xludf.DUMMYFUNCTION("GOOGLETRANSLATE(D339, ""en"", ""hi"")"),"C) महाराष्ट्र")</f>
        <v>C) महाराष्ट्र</v>
      </c>
    </row>
    <row r="340" ht="22.5" customHeight="1">
      <c r="A340" s="3">
        <v>339.0</v>
      </c>
      <c r="B340" s="4" t="s">
        <v>4347</v>
      </c>
      <c r="C340" s="4" t="s">
        <v>4267</v>
      </c>
      <c r="D340" s="4" t="s">
        <v>4145</v>
      </c>
      <c r="F340" s="5" t="str">
        <f>IFERROR(__xludf.DUMMYFUNCTION("GOOGLETRANSLATE(A340, ""en"", ""hi"")"),"339")</f>
        <v>339</v>
      </c>
      <c r="G340" s="5" t="str">
        <f>IFERROR(__xludf.DUMMYFUNCTION("GOOGLETRANSLATE(B340, ""en"", ""hi"")"),"लागोरी से संबंधित कौन सा प्राचीन भारतीय खेल ऐतिहासिक रूप से योद्धाओं में शारीरिक और रणनीतिक कौशल विकसित करने के लिए उपयोग किया जाता था?")</f>
        <v>लागोरी से संबंधित कौन सा प्राचीन भारतीय खेल ऐतिहासिक रूप से योद्धाओं में शारीरिक और रणनीतिक कौशल विकसित करने के लिए उपयोग किया जाता था?</v>
      </c>
      <c r="H340" s="5" t="str">
        <f>IFERROR(__xludf.DUMMYFUNCTION("GOOGLETRANSLATE(C340, ""en"", ""hi"")"),"ए) पिट्ठू, बी) गिल्ली-डंडा, सी) खो-खो, डी) कबड्डी")</f>
        <v>ए) पिट्ठू, बी) गिल्ली-डंडा, सी) खो-खो, डी) कबड्डी</v>
      </c>
      <c r="I340" s="5" t="str">
        <f>IFERROR(__xludf.DUMMYFUNCTION("GOOGLETRANSLATE(D340, ""en"", ""hi"")"),"A) पिट्टू")</f>
        <v>A) पिट्टू</v>
      </c>
    </row>
    <row r="341" ht="22.5" customHeight="1">
      <c r="A341" s="3">
        <v>340.0</v>
      </c>
      <c r="B341" s="4" t="s">
        <v>4348</v>
      </c>
      <c r="C341" s="4" t="s">
        <v>4303</v>
      </c>
      <c r="D341" s="4" t="s">
        <v>4164</v>
      </c>
      <c r="F341" s="5" t="str">
        <f>IFERROR(__xludf.DUMMYFUNCTION("GOOGLETRANSLATE(A341, ""en"", ""hi"")"),"340")</f>
        <v>340</v>
      </c>
      <c r="G341" s="5" t="str">
        <f>IFERROR(__xludf.DUMMYFUNCTION("GOOGLETRANSLATE(B341, ""en"", ""hi"")"),"किस भारतीय शासक को सैन्य प्रशिक्षण और दरबारी मनोरंजन दोनों में लागोरी को शामिल करने के लिए जाना जाता है?")</f>
        <v>किस भारतीय शासक को सैन्य प्रशिक्षण और दरबारी मनोरंजन दोनों में लागोरी को शामिल करने के लिए जाना जाता है?</v>
      </c>
      <c r="H341" s="5" t="str">
        <f>IFERROR(__xludf.DUMMYFUNCTION("GOOGLETRANSLATE(C341, ""en"", ""hi"")"),"ए) शिवाजी महाराज, बी) चंद्रगुप्त मौर्य, सी) कृष्णदेवराय, डी) अशोक")</f>
        <v>ए) शिवाजी महाराज, बी) चंद्रगुप्त मौर्य, सी) कृष्णदेवराय, डी) अशोक</v>
      </c>
      <c r="I341" s="5" t="str">
        <f>IFERROR(__xludf.DUMMYFUNCTION("GOOGLETRANSLATE(D341, ""en"", ""hi"")"),"A) शिवाजी महाराज")</f>
        <v>A) शिवाजी महाराज</v>
      </c>
    </row>
    <row r="342" ht="22.5" customHeight="1">
      <c r="A342" s="3">
        <v>341.0</v>
      </c>
      <c r="B342" s="4" t="s">
        <v>4349</v>
      </c>
      <c r="C342" s="4" t="s">
        <v>2588</v>
      </c>
      <c r="D342" s="4" t="s">
        <v>2589</v>
      </c>
      <c r="F342" s="5" t="str">
        <f>IFERROR(__xludf.DUMMYFUNCTION("GOOGLETRANSLATE(A342, ""en"", ""hi"")"),"341")</f>
        <v>341</v>
      </c>
      <c r="G342" s="5" t="str">
        <f>IFERROR(__xludf.DUMMYFUNCTION("GOOGLETRANSLATE(B342, ""en"", ""hi"")"),"कौन सा मुगल सम्राट लागोरी जैसे पारंपरिक भारतीय खेलों के विस्तृत दस्तावेजीकरण और समर्थन के लिए जाना जाता है?")</f>
        <v>कौन सा मुगल सम्राट लागोरी जैसे पारंपरिक भारतीय खेलों के विस्तृत दस्तावेजीकरण और समर्थन के लिए जाना जाता है?</v>
      </c>
      <c r="H342" s="5" t="str">
        <f>IFERROR(__xludf.DUMMYFUNCTION("GOOGLETRANSLATE(C342, ""en"", ""hi"")"),"A) अकबर, B) जहाँगीर, C) शाहजहाँ, D) औरंगज़ेब")</f>
        <v>A) अकबर, B) जहाँगीर, C) शाहजहाँ, D) औरंगज़ेब</v>
      </c>
      <c r="I342" s="5" t="str">
        <f>IFERROR(__xludf.DUMMYFUNCTION("GOOGLETRANSLATE(D342, ""en"", ""hi"")"),"बी) जहांगीर")</f>
        <v>बी) जहांगीर</v>
      </c>
    </row>
    <row r="343" ht="22.5" customHeight="1">
      <c r="A343" s="3">
        <v>342.0</v>
      </c>
      <c r="B343" s="4" t="s">
        <v>4350</v>
      </c>
      <c r="C343" s="4" t="s">
        <v>3763</v>
      </c>
      <c r="D343" s="4" t="s">
        <v>842</v>
      </c>
      <c r="F343" s="5" t="str">
        <f>IFERROR(__xludf.DUMMYFUNCTION("GOOGLETRANSLATE(A343, ""en"", ""hi"")"),"342")</f>
        <v>342</v>
      </c>
      <c r="G343" s="5" t="str">
        <f>IFERROR(__xludf.DUMMYFUNCTION("GOOGLETRANSLATE(B343, ""en"", ""hi"")"),"किस भारतीय राज्य के पारंपरिक लागोरी खेल में महत्वपूर्ण सांस्कृतिक उत्सवों के दौरान उपयोग किए जाने वाले औपचारिक पत्थर शामिल हैं?")</f>
        <v>किस भारतीय राज्य के पारंपरिक लागोरी खेल में महत्वपूर्ण सांस्कृतिक उत्सवों के दौरान उपयोग किए जाने वाले औपचारिक पत्थर शामिल हैं?</v>
      </c>
      <c r="H343" s="5" t="str">
        <f>IFERROR(__xludf.DUMMYFUNCTION("GOOGLETRANSLATE(C343, ""en"", ""hi"")"),"ए) तमिलनाडु, बी) कर्नाटक, सी) महाराष्ट्र, डी) आंध्र प्रदेश")</f>
        <v>ए) तमिलनाडु, बी) कर्नाटक, सी) महाराष्ट्र, डी) आंध्र प्रदेश</v>
      </c>
      <c r="I343" s="5" t="str">
        <f>IFERROR(__xludf.DUMMYFUNCTION("GOOGLETRANSLATE(D343, ""en"", ""hi"")"),"C) महाराष्ट्र")</f>
        <v>C) महाराष्ट्र</v>
      </c>
    </row>
    <row r="344" ht="22.5" customHeight="1">
      <c r="A344" s="3">
        <v>343.0</v>
      </c>
      <c r="B344" s="4" t="s">
        <v>4351</v>
      </c>
      <c r="C344" s="4" t="s">
        <v>4267</v>
      </c>
      <c r="D344" s="4" t="s">
        <v>4145</v>
      </c>
      <c r="F344" s="5" t="str">
        <f>IFERROR(__xludf.DUMMYFUNCTION("GOOGLETRANSLATE(A344, ""en"", ""hi"")"),"343")</f>
        <v>343</v>
      </c>
      <c r="G344" s="5" t="str">
        <f>IFERROR(__xludf.DUMMYFUNCTION("GOOGLETRANSLATE(B344, ""en"", ""hi"")"),"लागोरी के समान कौन सा प्राचीन भारतीय खेल ऐतिहासिक रूप से रणनीतिक और शारीरिक कौशल विकसित करने के लिए इस्तेमाल किया जाता था?")</f>
        <v>लागोरी के समान कौन सा प्राचीन भारतीय खेल ऐतिहासिक रूप से रणनीतिक और शारीरिक कौशल विकसित करने के लिए इस्तेमाल किया जाता था?</v>
      </c>
      <c r="H344" s="5" t="str">
        <f>IFERROR(__xludf.DUMMYFUNCTION("GOOGLETRANSLATE(C344, ""en"", ""hi"")"),"ए) पिट्ठू, बी) गिल्ली-डंडा, सी) खो-खो, डी) कबड्डी")</f>
        <v>ए) पिट्ठू, बी) गिल्ली-डंडा, सी) खो-खो, डी) कबड्डी</v>
      </c>
      <c r="I344" s="5" t="str">
        <f>IFERROR(__xludf.DUMMYFUNCTION("GOOGLETRANSLATE(D344, ""en"", ""hi"")"),"A) पिट्टू")</f>
        <v>A) पिट्टू</v>
      </c>
    </row>
    <row r="345" ht="22.5" customHeight="1">
      <c r="A345" s="3">
        <v>344.0</v>
      </c>
      <c r="B345" s="4" t="s">
        <v>4352</v>
      </c>
      <c r="C345" s="4" t="s">
        <v>4303</v>
      </c>
      <c r="D345" s="4" t="s">
        <v>4164</v>
      </c>
      <c r="F345" s="5" t="str">
        <f>IFERROR(__xludf.DUMMYFUNCTION("GOOGLETRANSLATE(A345, ""en"", ""hi"")"),"344")</f>
        <v>344</v>
      </c>
      <c r="G345" s="5" t="str">
        <f>IFERROR(__xludf.DUMMYFUNCTION("GOOGLETRANSLATE(B345, ""en"", ""hi"")"),"कौन सा भारतीय राजा सैन्य प्रशिक्षण और दरबारी मनोरंजन दोनों में लागोरी को शामिल करने के लिए प्रसिद्ध है?")</f>
        <v>कौन सा भारतीय राजा सैन्य प्रशिक्षण और दरबारी मनोरंजन दोनों में लागोरी को शामिल करने के लिए प्रसिद्ध है?</v>
      </c>
      <c r="H345" s="5" t="str">
        <f>IFERROR(__xludf.DUMMYFUNCTION("GOOGLETRANSLATE(C345, ""en"", ""hi"")"),"ए) शिवाजी महाराज, बी) चंद्रगुप्त मौर्य, सी) कृष्णदेवराय, डी) अशोक")</f>
        <v>ए) शिवाजी महाराज, बी) चंद्रगुप्त मौर्य, सी) कृष्णदेवराय, डी) अशोक</v>
      </c>
      <c r="I345" s="5" t="str">
        <f>IFERROR(__xludf.DUMMYFUNCTION("GOOGLETRANSLATE(D345, ""en"", ""hi"")"),"A) शिवाजी महाराज")</f>
        <v>A) शिवाजी महाराज</v>
      </c>
    </row>
    <row r="346" ht="22.5" customHeight="1">
      <c r="A346" s="3">
        <v>345.0</v>
      </c>
      <c r="B346" s="4" t="s">
        <v>4341</v>
      </c>
      <c r="C346" s="4" t="s">
        <v>2588</v>
      </c>
      <c r="D346" s="4" t="s">
        <v>4152</v>
      </c>
      <c r="F346" s="5" t="str">
        <f>IFERROR(__xludf.DUMMYFUNCTION("GOOGLETRANSLATE(A346, ""en"", ""hi"")"),"345")</f>
        <v>345</v>
      </c>
      <c r="G346" s="5" t="str">
        <f>IFERROR(__xludf.DUMMYFUNCTION("GOOGLETRANSLATE(B346, ""en"", ""hi"")"),"किस मुगल सम्राट को पारंपरिक भारतीय खेलों जैसे लागोरी को बढ़ावा देने और उनका दस्तावेजीकरण करने में उनकी भूमिका के लिए जाना जाता है?")</f>
        <v>किस मुगल सम्राट को पारंपरिक भारतीय खेलों जैसे लागोरी को बढ़ावा देने और उनका दस्तावेजीकरण करने में उनकी भूमिका के लिए जाना जाता है?</v>
      </c>
      <c r="H346" s="5" t="str">
        <f>IFERROR(__xludf.DUMMYFUNCTION("GOOGLETRANSLATE(C346, ""en"", ""hi"")"),"A) अकबर, B) जहाँगीर, C) शाहजहाँ, D) औरंगज़ेब")</f>
        <v>A) अकबर, B) जहाँगीर, C) शाहजहाँ, D) औरंगज़ेब</v>
      </c>
      <c r="I346" s="5" t="str">
        <f>IFERROR(__xludf.DUMMYFUNCTION("GOOGLETRANSLATE(D346, ""en"", ""hi"")"),"C) शाहजहाँ")</f>
        <v>C) शाहजहाँ</v>
      </c>
    </row>
    <row r="347" ht="22.5" customHeight="1">
      <c r="A347" s="3">
        <v>346.0</v>
      </c>
      <c r="B347" s="4" t="s">
        <v>4353</v>
      </c>
      <c r="C347" s="4" t="s">
        <v>4354</v>
      </c>
      <c r="D347" s="4" t="s">
        <v>4355</v>
      </c>
      <c r="F347" s="5" t="str">
        <f>IFERROR(__xludf.DUMMYFUNCTION("GOOGLETRANSLATE(A347, ""en"", ""hi"")"),"346")</f>
        <v>346</v>
      </c>
      <c r="G347" s="5" t="str">
        <f>IFERROR(__xludf.DUMMYFUNCTION("GOOGLETRANSLATE(B347, ""en"", ""hi"")"),"भारत के कुछ क्षेत्रों में लागोरी का दूसरा नाम क्या है?")</f>
        <v>भारत के कुछ क्षेत्रों में लागोरी का दूसरा नाम क्या है?</v>
      </c>
      <c r="H347" s="5" t="str">
        <f>IFERROR(__xludf.DUMMYFUNCTION("GOOGLETRANSLATE(C347, ""en"", ""hi"")"),"ए) पिट्टू, बी) सातोलिया, सी) सेवन स्टोन्स, डी) हॉप्सकॉच")</f>
        <v>ए) पिट्टू, बी) सातोलिया, सी) सेवन स्टोन्स, डी) हॉप्सकॉच</v>
      </c>
      <c r="I347" s="5" t="str">
        <f>IFERROR(__xludf.DUMMYFUNCTION("GOOGLETRANSLATE(D347, ""en"", ""hi"")"),"बी) सतोलिया")</f>
        <v>बी) सतोलिया</v>
      </c>
    </row>
    <row r="348" ht="22.5" customHeight="1">
      <c r="A348" s="3">
        <v>347.0</v>
      </c>
      <c r="B348" s="4" t="s">
        <v>4356</v>
      </c>
      <c r="C348" s="4" t="s">
        <v>4357</v>
      </c>
      <c r="D348" s="4" t="s">
        <v>4358</v>
      </c>
      <c r="F348" s="5" t="str">
        <f>IFERROR(__xludf.DUMMYFUNCTION("GOOGLETRANSLATE(A348, ""en"", ""hi"")"),"347")</f>
        <v>347</v>
      </c>
      <c r="G348" s="5" t="str">
        <f>IFERROR(__xludf.DUMMYFUNCTION("GOOGLETRANSLATE(B348, ""en"", ""hi"")"),"लागोरी पारंपरिक रूप से कितने पत्थरों से खेला जाता है?")</f>
        <v>लागोरी पारंपरिक रूप से कितने पत्थरों से खेला जाता है?</v>
      </c>
      <c r="H348" s="5" t="str">
        <f>IFERROR(__xludf.DUMMYFUNCTION("GOOGLETRANSLATE(C348, ""en"", ""hi"")"),"ए) 5, बी) 6, सी) 7, डी) 8")</f>
        <v>ए) 5, बी) 6, सी) 7, डी) 8</v>
      </c>
      <c r="I348" s="5" t="str">
        <f>IFERROR(__xludf.DUMMYFUNCTION("GOOGLETRANSLATE(D348, ""en"", ""hi"")"),"सी) 7")</f>
        <v>सी) 7</v>
      </c>
    </row>
    <row r="349" ht="22.5" customHeight="1">
      <c r="A349" s="3">
        <v>348.0</v>
      </c>
      <c r="B349" s="4" t="s">
        <v>4359</v>
      </c>
      <c r="C349" s="4" t="s">
        <v>4360</v>
      </c>
      <c r="D349" s="4" t="s">
        <v>4361</v>
      </c>
      <c r="F349" s="5" t="str">
        <f>IFERROR(__xludf.DUMMYFUNCTION("GOOGLETRANSLATE(A349, ""en"", ""hi"")"),"348")</f>
        <v>348</v>
      </c>
      <c r="G349" s="5" t="str">
        <f>IFERROR(__xludf.DUMMYFUNCTION("GOOGLETRANSLATE(B349, ""en"", ""hi"")"),"भारत के किस क्षेत्र में लागोरी विशेष रूप से लोकप्रिय है?")</f>
        <v>भारत के किस क्षेत्र में लागोरी विशेष रूप से लोकप्रिय है?</v>
      </c>
      <c r="H349" s="5" t="str">
        <f>IFERROR(__xludf.DUMMYFUNCTION("GOOGLETRANSLATE(C349, ""en"", ""hi"")"),"A) उत्तर भारत, B) दक्षिण भारत, C) पूर्वी भारत, D) पश्चिम भारत")</f>
        <v>A) उत्तर भारत, B) दक्षिण भारत, C) पूर्वी भारत, D) पश्चिम भारत</v>
      </c>
      <c r="I349" s="5" t="str">
        <f>IFERROR(__xludf.DUMMYFUNCTION("GOOGLETRANSLATE(D349, ""en"", ""hi"")"),"A) उत्तर भारत")</f>
        <v>A) उत्तर भारत</v>
      </c>
    </row>
    <row r="350" ht="22.5" customHeight="1">
      <c r="A350" s="3">
        <v>349.0</v>
      </c>
      <c r="B350" s="4" t="s">
        <v>4362</v>
      </c>
      <c r="C350" s="4" t="s">
        <v>4363</v>
      </c>
      <c r="D350" s="4" t="s">
        <v>4364</v>
      </c>
      <c r="F350" s="5" t="str">
        <f>IFERROR(__xludf.DUMMYFUNCTION("GOOGLETRANSLATE(A350, ""en"", ""hi"")"),"349")</f>
        <v>349</v>
      </c>
      <c r="G350" s="5" t="str">
        <f>IFERROR(__xludf.DUMMYFUNCTION("GOOGLETRANSLATE(B350, ""en"", ""hi"")"),"लागोरी खेल का प्राथमिक उद्देश्य क्या है?")</f>
        <v>लागोरी खेल का प्राथमिक उद्देश्य क्या है?</v>
      </c>
      <c r="H350" s="5" t="str">
        <f>IFERROR(__xludf.DUMMYFUNCTION("GOOGLETRANSLATE(C350, ""en"", ""hi"")"),"A) पत्थरों को गिराना और फिर उन्हें फिर से बनाना, B) गेंद को पकड़ना, C) गोल करना, D) टैगर से बचना")</f>
        <v>A) पत्थरों को गिराना और फिर उन्हें फिर से बनाना, B) गेंद को पकड़ना, C) गोल करना, D) टैगर से बचना</v>
      </c>
      <c r="I350" s="5" t="str">
        <f>IFERROR(__xludf.DUMMYFUNCTION("GOOGLETRANSLATE(D350, ""en"", ""hi"")"),"A) पत्थरों को गिराना और फिर उन्हें फिर से बनाना")</f>
        <v>A) पत्थरों को गिराना और फिर उन्हें फिर से बनाना</v>
      </c>
    </row>
    <row r="351" ht="22.5" customHeight="1">
      <c r="A351" s="3">
        <v>350.0</v>
      </c>
      <c r="B351" s="4" t="s">
        <v>4365</v>
      </c>
      <c r="C351" s="4" t="s">
        <v>4366</v>
      </c>
      <c r="D351" s="4" t="s">
        <v>4367</v>
      </c>
      <c r="F351" s="5" t="str">
        <f>IFERROR(__xludf.DUMMYFUNCTION("GOOGLETRANSLATE(A351, ""en"", ""hi"")"),"350")</f>
        <v>350</v>
      </c>
      <c r="G351" s="5" t="str">
        <f>IFERROR(__xludf.DUMMYFUNCTION("GOOGLETRANSLATE(B351, ""en"", ""hi"")"),"लागोरी की उत्पत्ति किस ऐतिहासिक काल से मानी जाती है?")</f>
        <v>लागोरी की उत्पत्ति किस ऐतिहासिक काल से मानी जाती है?</v>
      </c>
      <c r="H351" s="5" t="str">
        <f>IFERROR(__xludf.DUMMYFUNCTION("GOOGLETRANSLATE(C351, ""en"", ""hi"")"),"A) प्राचीन, B) मध्यकालीन, C) आधुनिक, D) उत्तर-आधुनिक")</f>
        <v>A) प्राचीन, B) मध्यकालीन, C) आधुनिक, D) उत्तर-आधुनिक</v>
      </c>
      <c r="I351" s="5" t="str">
        <f>IFERROR(__xludf.DUMMYFUNCTION("GOOGLETRANSLATE(D351, ""en"", ""hi"")"),"ए) प्राचीन")</f>
        <v>ए) प्राचीन</v>
      </c>
    </row>
    <row r="352" ht="22.5" customHeight="1">
      <c r="A352" s="3">
        <v>351.0</v>
      </c>
      <c r="B352" s="4" t="s">
        <v>4368</v>
      </c>
      <c r="C352" s="4" t="s">
        <v>4369</v>
      </c>
      <c r="D352" s="4" t="s">
        <v>4370</v>
      </c>
      <c r="F352" s="5" t="str">
        <f>IFERROR(__xludf.DUMMYFUNCTION("GOOGLETRANSLATE(A352, ""en"", ""hi"")"),"351")</f>
        <v>351</v>
      </c>
      <c r="G352" s="5" t="str">
        <f>IFERROR(__xludf.DUMMYFUNCTION("GOOGLETRANSLATE(B352, ""en"", ""hi"")"),"महाराष्ट्र में लागोरी को किस नाम से जाना जाता है?")</f>
        <v>महाराष्ट्र में लागोरी को किस नाम से जाना जाता है?</v>
      </c>
      <c r="H352" s="5" t="str">
        <f>IFERROR(__xludf.DUMMYFUNCTION("GOOGLETRANSLATE(C352, ""en"", ""hi"")"),"ए) सतोलिया, बी) पिट्टू, सी) लिंगोर, डी) कब्बडी")</f>
        <v>ए) सतोलिया, बी) पिट्टू, सी) लिंगोर, डी) कब्बडी</v>
      </c>
      <c r="I352" s="5" t="str">
        <f>IFERROR(__xludf.DUMMYFUNCTION("GOOGLETRANSLATE(D352, ""en"", ""hi"")"),"C) लिंगोर")</f>
        <v>C) लिंगोर</v>
      </c>
    </row>
    <row r="353" ht="22.5" customHeight="1">
      <c r="A353" s="3">
        <v>352.0</v>
      </c>
      <c r="B353" s="4" t="s">
        <v>4371</v>
      </c>
      <c r="C353" s="4" t="s">
        <v>4357</v>
      </c>
      <c r="D353" s="4" t="s">
        <v>4358</v>
      </c>
      <c r="F353" s="5" t="str">
        <f>IFERROR(__xludf.DUMMYFUNCTION("GOOGLETRANSLATE(A353, ""en"", ""hi"")"),"352")</f>
        <v>352</v>
      </c>
      <c r="G353" s="5" t="str">
        <f>IFERROR(__xludf.DUMMYFUNCTION("GOOGLETRANSLATE(B353, ""en"", ""hi"")"),"लागोरी में प्रत्येक टीम में खिलाड़ियों की मानक संख्या क्या है?")</f>
        <v>लागोरी में प्रत्येक टीम में खिलाड़ियों की मानक संख्या क्या है?</v>
      </c>
      <c r="H353" s="5" t="str">
        <f>IFERROR(__xludf.DUMMYFUNCTION("GOOGLETRANSLATE(C353, ""en"", ""hi"")"),"ए) 5, बी) 6, सी) 7, डी) 8")</f>
        <v>ए) 5, बी) 6, सी) 7, डी) 8</v>
      </c>
      <c r="I353" s="5" t="str">
        <f>IFERROR(__xludf.DUMMYFUNCTION("GOOGLETRANSLATE(D353, ""en"", ""hi"")"),"सी) 7")</f>
        <v>सी) 7</v>
      </c>
    </row>
    <row r="354" ht="22.5" customHeight="1">
      <c r="A354" s="3">
        <v>353.0</v>
      </c>
      <c r="B354" s="4" t="s">
        <v>4372</v>
      </c>
      <c r="C354" s="4" t="s">
        <v>4373</v>
      </c>
      <c r="D354" s="4" t="s">
        <v>4374</v>
      </c>
      <c r="F354" s="5" t="str">
        <f>IFERROR(__xludf.DUMMYFUNCTION("GOOGLETRANSLATE(A354, ""en"", ""hi"")"),"353")</f>
        <v>353</v>
      </c>
      <c r="G354" s="5" t="str">
        <f>IFERROR(__xludf.DUMMYFUNCTION("GOOGLETRANSLATE(B354, ""en"", ""hi"")"),"लागोरी के खेल में टीमें आमतौर पर कितनी बार भूमिकाएं बदलती हैं?")</f>
        <v>लागोरी के खेल में टीमें आमतौर पर कितनी बार भूमिकाएं बदलती हैं?</v>
      </c>
      <c r="H354" s="5" t="str">
        <f>IFERROR(__xludf.DUMMYFUNCTION("GOOGLETRANSLATE(C354, ""en"", ""hi"")"),"A) एक बार, B) दो बार, C) तीन बार, D) चार बार")</f>
        <v>A) एक बार, B) दो बार, C) तीन बार, D) चार बार</v>
      </c>
      <c r="I354" s="5" t="str">
        <f>IFERROR(__xludf.DUMMYFUNCTION("GOOGLETRANSLATE(D354, ""en"", ""hi"")"),"बी) दो बार")</f>
        <v>बी) दो बार</v>
      </c>
    </row>
    <row r="355" ht="22.5" customHeight="1">
      <c r="A355" s="3">
        <v>354.0</v>
      </c>
      <c r="B355" s="4" t="s">
        <v>4375</v>
      </c>
      <c r="C355" s="4" t="s">
        <v>4376</v>
      </c>
      <c r="D355" s="4" t="s">
        <v>4377</v>
      </c>
      <c r="F355" s="5" t="str">
        <f>IFERROR(__xludf.DUMMYFUNCTION("GOOGLETRANSLATE(A355, ""en"", ""hi"")"),"354")</f>
        <v>354</v>
      </c>
      <c r="G355" s="5" t="str">
        <f>IFERROR(__xludf.DUMMYFUNCTION("GOOGLETRANSLATE(B355, ""en"", ""hi"")"),"लागोरी में गेंद के लिए प्रयुक्त पारंपरिक सामग्री क्या है?")</f>
        <v>लागोरी में गेंद के लिए प्रयुक्त पारंपरिक सामग्री क्या है?</v>
      </c>
      <c r="H355" s="5" t="str">
        <f>IFERROR(__xludf.DUMMYFUNCTION("GOOGLETRANSLATE(C355, ""en"", ""hi"")"),"A) रबर, B) चमड़ा, C) कपड़ा, D) प्लास्टिक")</f>
        <v>A) रबर, B) चमड़ा, C) कपड़ा, D) प्लास्टिक</v>
      </c>
      <c r="I355" s="5" t="str">
        <f>IFERROR(__xludf.DUMMYFUNCTION("GOOGLETRANSLATE(D355, ""en"", ""hi"")"),"C) कपड़ा")</f>
        <v>C) कपड़ा</v>
      </c>
    </row>
    <row r="356" ht="22.5" customHeight="1">
      <c r="A356" s="3">
        <v>355.0</v>
      </c>
      <c r="B356" s="4" t="s">
        <v>4378</v>
      </c>
      <c r="C356" s="4" t="s">
        <v>4379</v>
      </c>
      <c r="D356" s="4" t="s">
        <v>66</v>
      </c>
      <c r="F356" s="5" t="str">
        <f>IFERROR(__xludf.DUMMYFUNCTION("GOOGLETRANSLATE(A356, ""en"", ""hi"")"),"355")</f>
        <v>355</v>
      </c>
      <c r="G356" s="5" t="str">
        <f>IFERROR(__xludf.DUMMYFUNCTION("GOOGLETRANSLATE(B356, ""en"", ""hi"")"),"भारत के किस भाग में लगोरी जैसा ही एक खेल 'सतोलिया' के नाम से जाना जाता है?")</f>
        <v>भारत के किस भाग में लगोरी जैसा ही एक खेल 'सतोलिया' के नाम से जाना जाता है?</v>
      </c>
      <c r="H356" s="5" t="str">
        <f>IFERROR(__xludf.DUMMYFUNCTION("GOOGLETRANSLATE(C356, ""en"", ""hi"")"),"A) पंजाब, B) तमिलनाडु, C) पश्चिम बंगाल, D) गुजरात")</f>
        <v>A) पंजाब, B) तमिलनाडु, C) पश्चिम बंगाल, D) गुजरात</v>
      </c>
      <c r="I356" s="5" t="str">
        <f>IFERROR(__xludf.DUMMYFUNCTION("GOOGLETRANSLATE(D356, ""en"", ""hi"")"),"A) पंजाब")</f>
        <v>A) पंजाब</v>
      </c>
    </row>
    <row r="357" ht="22.5" customHeight="1">
      <c r="A357" s="3">
        <v>356.0</v>
      </c>
      <c r="B357" s="4" t="s">
        <v>4380</v>
      </c>
      <c r="C357" s="4" t="s">
        <v>4381</v>
      </c>
      <c r="D357" s="4" t="s">
        <v>4382</v>
      </c>
      <c r="F357" s="5" t="str">
        <f>IFERROR(__xludf.DUMMYFUNCTION("GOOGLETRANSLATE(A357, ""en"", ""hi"")"),"356")</f>
        <v>356</v>
      </c>
      <c r="G357" s="5" t="str">
        <f>IFERROR(__xludf.DUMMYFUNCTION("GOOGLETRANSLATE(B357, ""en"", ""hi"")"),"लागोरी में आक्रमणकारी टीम का मुख्य उद्देश्य क्या है?")</f>
        <v>लागोरी में आक्रमणकारी टीम का मुख्य उद्देश्य क्या है?</v>
      </c>
      <c r="H357" s="5" t="str">
        <f>IFERROR(__xludf.DUMMYFUNCTION("GOOGLETRANSLATE(C357, ""en"", ""hi"")"),"A) दूसरी टीम को पत्थरों को फिर से बनाने से रोकना, B) पत्थरों को मारना, C) गेंद को पकड़ना, D) अंक हासिल करना")</f>
        <v>A) दूसरी टीम को पत्थरों को फिर से बनाने से रोकना, B) पत्थरों को मारना, C) गेंद को पकड़ना, D) अंक हासिल करना</v>
      </c>
      <c r="I357" s="5" t="str">
        <f>IFERROR(__xludf.DUMMYFUNCTION("GOOGLETRANSLATE(D357, ""en"", ""hi"")"),"A) दूसरी टीम को पत्थरों का पुनर्निर्माण करने से रोकने के लिए")</f>
        <v>A) दूसरी टीम को पत्थरों का पुनर्निर्माण करने से रोकने के लिए</v>
      </c>
    </row>
    <row r="358" ht="22.5" customHeight="1">
      <c r="A358" s="3">
        <v>357.0</v>
      </c>
      <c r="B358" s="4" t="s">
        <v>4383</v>
      </c>
      <c r="C358" s="4" t="s">
        <v>4384</v>
      </c>
      <c r="D358" s="4" t="s">
        <v>4385</v>
      </c>
      <c r="F358" s="5" t="str">
        <f>IFERROR(__xludf.DUMMYFUNCTION("GOOGLETRANSLATE(A358, ""en"", ""hi"")"),"357")</f>
        <v>357</v>
      </c>
      <c r="G358" s="5" t="str">
        <f>IFERROR(__xludf.DUMMYFUNCTION("GOOGLETRANSLATE(B358, ""en"", ""hi"")"),"स्थानीय बोली में 'लागोरी' शब्द का क्या अर्थ है?")</f>
        <v>स्थानीय बोली में 'लागोरी' शब्द का क्या अर्थ है?</v>
      </c>
      <c r="H358" s="5" t="str">
        <f>IFERROR(__xludf.DUMMYFUNCTION("GOOGLETRANSLATE(C358, ""en"", ""hi"")"),"A) सात पत्थर, B) पत्थरों का खेल, C) गेंद का खेल, D) पकड़ने का खेल")</f>
        <v>A) सात पत्थर, B) पत्थरों का खेल, C) गेंद का खेल, D) पकड़ने का खेल</v>
      </c>
      <c r="I358" s="5" t="str">
        <f>IFERROR(__xludf.DUMMYFUNCTION("GOOGLETRANSLATE(D358, ""en"", ""hi"")"),"बी) पत्थरों का खेल")</f>
        <v>बी) पत्थरों का खेल</v>
      </c>
    </row>
    <row r="359" ht="22.5" customHeight="1">
      <c r="A359" s="3">
        <v>358.0</v>
      </c>
      <c r="B359" s="4" t="s">
        <v>4386</v>
      </c>
      <c r="C359" s="4" t="s">
        <v>4387</v>
      </c>
      <c r="D359" s="4" t="s">
        <v>125</v>
      </c>
      <c r="F359" s="5" t="str">
        <f>IFERROR(__xludf.DUMMYFUNCTION("GOOGLETRANSLATE(A359, ""en"", ""hi"")"),"358")</f>
        <v>358</v>
      </c>
      <c r="G359" s="5" t="str">
        <f>IFERROR(__xludf.DUMMYFUNCTION("GOOGLETRANSLATE(B359, ""en"", ""hi"")"),"कौन सा क्षेत्र लागोरी को 'सतोलिया' कहता है?")</f>
        <v>कौन सा क्षेत्र लागोरी को 'सतोलिया' कहता है?</v>
      </c>
      <c r="H359" s="5" t="str">
        <f>IFERROR(__xludf.DUMMYFUNCTION("GOOGLETRANSLATE(C359, ""en"", ""hi"")"),"ए) राजस्थान, बी) महाराष्ट्र, सी) कर्नाटक, डी) आंध्र प्रदेश")</f>
        <v>ए) राजस्थान, बी) महाराष्ट्र, सी) कर्नाटक, डी) आंध्र प्रदेश</v>
      </c>
      <c r="I359" s="5" t="str">
        <f>IFERROR(__xludf.DUMMYFUNCTION("GOOGLETRANSLATE(D359, ""en"", ""hi"")"),"A) राजस्थान")</f>
        <v>A) राजस्थान</v>
      </c>
    </row>
    <row r="360" ht="22.5" customHeight="1">
      <c r="A360" s="3">
        <v>359.0</v>
      </c>
      <c r="B360" s="4" t="s">
        <v>4388</v>
      </c>
      <c r="C360" s="4" t="s">
        <v>4389</v>
      </c>
      <c r="D360" s="4" t="s">
        <v>4390</v>
      </c>
      <c r="F360" s="5" t="str">
        <f>IFERROR(__xludf.DUMMYFUNCTION("GOOGLETRANSLATE(A360, ""en"", ""hi"")"),"359")</f>
        <v>359</v>
      </c>
      <c r="G360" s="5" t="str">
        <f>IFERROR(__xludf.DUMMYFUNCTION("GOOGLETRANSLATE(B360, ""en"", ""hi"")"),"लागोरी खेलने के लिए आमतौर पर किस प्रकार की सतह का उपयोग किया जाता है?")</f>
        <v>लागोरी खेलने के लिए आमतौर पर किस प्रकार की सतह का उपयोग किया जाता है?</v>
      </c>
      <c r="H360" s="5" t="str">
        <f>IFERROR(__xludf.DUMMYFUNCTION("GOOGLETRANSLATE(C360, ""en"", ""hi"")"),"A) घास, B) रेत, C) कंक्रीट, D) कालीन")</f>
        <v>A) घास, B) रेत, C) कंक्रीट, D) कालीन</v>
      </c>
      <c r="I360" s="5" t="str">
        <f>IFERROR(__xludf.DUMMYFUNCTION("GOOGLETRANSLATE(D360, ""en"", ""hi"")"),"सी) कंक्रीट")</f>
        <v>सी) कंक्रीट</v>
      </c>
    </row>
    <row r="361" ht="22.5" customHeight="1">
      <c r="A361" s="3">
        <v>360.0</v>
      </c>
      <c r="B361" s="4" t="s">
        <v>4391</v>
      </c>
      <c r="C361" s="4" t="s">
        <v>4392</v>
      </c>
      <c r="D361" s="4" t="s">
        <v>4393</v>
      </c>
      <c r="F361" s="5" t="str">
        <f>IFERROR(__xludf.DUMMYFUNCTION("GOOGLETRANSLATE(A361, ""en"", ""hi"")"),"360")</f>
        <v>360</v>
      </c>
      <c r="G361" s="5" t="str">
        <f>IFERROR(__xludf.DUMMYFUNCTION("GOOGLETRANSLATE(B361, ""en"", ""hi"")"),"लागोरी में कौन सी टीम जीतेगी?")</f>
        <v>लागोरी में कौन सी टीम जीतेगी?</v>
      </c>
      <c r="H361" s="5" t="str">
        <f>IFERROR(__xludf.DUMMYFUNCTION("GOOGLETRANSLATE(C361, ""en"", ""hi"")"),"A) वह टीम जो सबसे अधिक पत्थर गिराती है, B) वह टीम जो सबसे पहले पत्थरों का पुनर्निर्माण करती है, C) वह टीम जो सबसे अधिक कैच पकड़ती है, D) वह टीम जिसके सबसे अधिक अंक होते हैं")</f>
        <v>A) वह टीम जो सबसे अधिक पत्थर गिराती है, B) वह टीम जो सबसे पहले पत्थरों का पुनर्निर्माण करती है, C) वह टीम जो सबसे अधिक कैच पकड़ती है, D) वह टीम जिसके सबसे अधिक अंक होते हैं</v>
      </c>
      <c r="I361" s="5" t="str">
        <f>IFERROR(__xludf.DUMMYFUNCTION("GOOGLETRANSLATE(D361, ""en"", ""hi"")"),"B) वह टीम जो सबसे पहले पत्थरों का पुनर्निर्माण करती है")</f>
        <v>B) वह टीम जो सबसे पहले पत्थरों का पुनर्निर्माण करती है</v>
      </c>
    </row>
    <row r="362" ht="22.5" customHeight="1">
      <c r="A362" s="3">
        <v>361.0</v>
      </c>
      <c r="B362" s="4" t="s">
        <v>4394</v>
      </c>
      <c r="C362" s="4" t="s">
        <v>4395</v>
      </c>
      <c r="D362" s="4" t="s">
        <v>4396</v>
      </c>
      <c r="F362" s="5" t="str">
        <f>IFERROR(__xludf.DUMMYFUNCTION("GOOGLETRANSLATE(A362, ""en"", ""hi"")"),"361")</f>
        <v>361</v>
      </c>
      <c r="G362" s="5" t="str">
        <f>IFERROR(__xludf.DUMMYFUNCTION("GOOGLETRANSLATE(B362, ""en"", ""hi"")"),"लागोरी में बचाव दल की भूमिका क्या है?")</f>
        <v>लागोरी में बचाव दल की भूमिका क्या है?</v>
      </c>
      <c r="H362" s="5" t="str">
        <f>IFERROR(__xludf.DUMMYFUNCTION("GOOGLETRANSLATE(C362, ""en"", ""hi"")"),"A) पत्थरों को गिराना, B) पत्थरों को दोबारा बनने से रोकना, C) गेंद को पकड़ना, D) गोल करना")</f>
        <v>A) पत्थरों को गिराना, B) पत्थरों को दोबारा बनने से रोकना, C) गेंद को पकड़ना, D) गोल करना</v>
      </c>
      <c r="I362" s="5" t="str">
        <f>IFERROR(__xludf.DUMMYFUNCTION("GOOGLETRANSLATE(D362, ""en"", ""hi"")"),"B) पत्थरों को दोबारा बनने से रोकने के लिए")</f>
        <v>B) पत्थरों को दोबारा बनने से रोकने के लिए</v>
      </c>
    </row>
    <row r="363" ht="22.5" customHeight="1">
      <c r="A363" s="3">
        <v>362.0</v>
      </c>
      <c r="B363" s="4" t="s">
        <v>4397</v>
      </c>
      <c r="C363" s="4" t="s">
        <v>4398</v>
      </c>
      <c r="D363" s="4" t="s">
        <v>4399</v>
      </c>
      <c r="F363" s="5" t="str">
        <f>IFERROR(__xludf.DUMMYFUNCTION("GOOGLETRANSLATE(A363, ""en"", ""hi"")"),"362")</f>
        <v>362</v>
      </c>
      <c r="G363" s="5" t="str">
        <f>IFERROR(__xludf.DUMMYFUNCTION("GOOGLETRANSLATE(B363, ""en"", ""hi"")"),"लागोरी में जब किसी खिलाड़ी को गेंद लगती है तो क्या होता है?")</f>
        <v>लागोरी में जब किसी खिलाड़ी को गेंद लगती है तो क्या होता है?</v>
      </c>
      <c r="H363" s="5" t="str">
        <f>IFERROR(__xludf.DUMMYFUNCTION("GOOGLETRANSLATE(C363, ""en"", ""hi"")"),"A) खिलाड़ी बाहर हो जाता है, B) खिलाड़ी पक्ष बदल लेता है, C) खिलाड़ी एक राउंड के लिए बाहर बैठ जाता है, D) कुछ नहीं होता")</f>
        <v>A) खिलाड़ी बाहर हो जाता है, B) खिलाड़ी पक्ष बदल लेता है, C) खिलाड़ी एक राउंड के लिए बाहर बैठ जाता है, D) कुछ नहीं होता</v>
      </c>
      <c r="I363" s="5" t="str">
        <f>IFERROR(__xludf.DUMMYFUNCTION("GOOGLETRANSLATE(D363, ""en"", ""hi"")"),"A) खिलाड़ी आउट हो गया है")</f>
        <v>A) खिलाड़ी आउट हो गया है</v>
      </c>
    </row>
    <row r="364" ht="22.5" customHeight="1">
      <c r="A364" s="3">
        <v>363.0</v>
      </c>
      <c r="B364" s="4" t="s">
        <v>4400</v>
      </c>
      <c r="C364" s="4" t="s">
        <v>4401</v>
      </c>
      <c r="D364" s="4" t="s">
        <v>4402</v>
      </c>
      <c r="F364" s="5" t="str">
        <f>IFERROR(__xludf.DUMMYFUNCTION("GOOGLETRANSLATE(A364, ""en"", ""hi"")"),"363")</f>
        <v>363</v>
      </c>
      <c r="G364" s="5" t="str">
        <f>IFERROR(__xludf.DUMMYFUNCTION("GOOGLETRANSLATE(B364, ""en"", ""hi"")"),"लागोरी में कौन सा पत्थर लक्ष्य के रूप में केंद्र में रखा गया है?")</f>
        <v>लागोरी में कौन सा पत्थर लक्ष्य के रूप में केंद्र में रखा गया है?</v>
      </c>
      <c r="H364" s="5" t="str">
        <f>IFERROR(__xludf.DUMMYFUNCTION("GOOGLETRANSLATE(C364, ""en"", ""hi"")"),"A) सबसे बड़ा पत्थर, B) सबसे छोटा पत्थर, C) सबसे भारी पत्थर, D) सबसे हल्का पत्थर")</f>
        <v>A) सबसे बड़ा पत्थर, B) सबसे छोटा पत्थर, C) सबसे भारी पत्थर, D) सबसे हल्का पत्थर</v>
      </c>
      <c r="I364" s="5" t="str">
        <f>IFERROR(__xludf.DUMMYFUNCTION("GOOGLETRANSLATE(D364, ""en"", ""hi"")"),"A) सबसे बड़ा पत्थर")</f>
        <v>A) सबसे बड़ा पत्थर</v>
      </c>
    </row>
    <row r="365" ht="22.5" customHeight="1">
      <c r="A365" s="3">
        <v>364.0</v>
      </c>
      <c r="B365" s="4" t="s">
        <v>4403</v>
      </c>
      <c r="C365" s="4" t="s">
        <v>4404</v>
      </c>
      <c r="D365" s="4" t="s">
        <v>4405</v>
      </c>
      <c r="F365" s="5" t="str">
        <f>IFERROR(__xludf.DUMMYFUNCTION("GOOGLETRANSLATE(A365, ""en"", ""hi"")"),"364")</f>
        <v>364</v>
      </c>
      <c r="G365" s="5" t="str">
        <f>IFERROR(__xludf.DUMMYFUNCTION("GOOGLETRANSLATE(B365, ""en"", ""hi"")"),"लागोरी में किस टीम को 'आक्रमक' के रूप में नामित किया गया है?")</f>
        <v>लागोरी में किस टीम को 'आक्रमक' के रूप में नामित किया गया है?</v>
      </c>
      <c r="H365" s="5" t="str">
        <f>IFERROR(__xludf.DUMMYFUNCTION("GOOGLETRANSLATE(C365, ""en"", ""hi"")"),"A) गेंद वाली टीम, B) गेंद के बिना टीम, C) पत्थरों को गिराने वाली टीम, D) बचाव करने वाली टीम")</f>
        <v>A) गेंद वाली टीम, B) गेंद के बिना टीम, C) पत्थरों को गिराने वाली टीम, D) बचाव करने वाली टीम</v>
      </c>
      <c r="I365" s="5" t="str">
        <f>IFERROR(__xludf.DUMMYFUNCTION("GOOGLETRANSLATE(D365, ""en"", ""hi"")"),"C) पत्थरों को गिराने वाली टीम")</f>
        <v>C) पत्थरों को गिराने वाली टीम</v>
      </c>
    </row>
    <row r="366" ht="22.5" customHeight="1">
      <c r="A366" s="3">
        <v>365.0</v>
      </c>
      <c r="B366" s="4" t="s">
        <v>4406</v>
      </c>
      <c r="C366" s="4" t="s">
        <v>4407</v>
      </c>
      <c r="D366" s="4" t="s">
        <v>4408</v>
      </c>
      <c r="F366" s="5" t="str">
        <f>IFERROR(__xludf.DUMMYFUNCTION("GOOGLETRANSLATE(A366, ""en"", ""hi"")"),"365")</f>
        <v>365</v>
      </c>
      <c r="G366" s="5" t="str">
        <f>IFERROR(__xludf.DUMMYFUNCTION("GOOGLETRANSLATE(B366, ""en"", ""hi"")"),"तमिलनाडु में लागोरी खेल को कभी-कभी क्या कहा जाता है?")</f>
        <v>तमिलनाडु में लागोरी खेल को कभी-कभी क्या कहा जाता है?</v>
      </c>
      <c r="H366" s="5" t="str">
        <f>IFERROR(__xludf.DUMMYFUNCTION("GOOGLETRANSLATE(C366, ""en"", ""hi"")"),"ए) लिंगोर, बी) सातोलिया, सी) पिट्टू, डी) कबड्डी")</f>
        <v>ए) लिंगोर, बी) सातोलिया, सी) पिट्टू, डी) कबड्डी</v>
      </c>
      <c r="I366" s="5" t="str">
        <f>IFERROR(__xludf.DUMMYFUNCTION("GOOGLETRANSLATE(D366, ""en"", ""hi"")"),"ए) लिंगोर")</f>
        <v>ए) लिंगोर</v>
      </c>
    </row>
    <row r="367" ht="22.5" customHeight="1">
      <c r="A367" s="3">
        <v>366.0</v>
      </c>
      <c r="B367" s="4" t="s">
        <v>4409</v>
      </c>
      <c r="C367" s="4" t="s">
        <v>4410</v>
      </c>
      <c r="D367" s="4" t="s">
        <v>3301</v>
      </c>
      <c r="F367" s="5" t="str">
        <f>IFERROR(__xludf.DUMMYFUNCTION("GOOGLETRANSLATE(A367, ""en"", ""hi"")"),"366")</f>
        <v>366</v>
      </c>
      <c r="G367" s="5" t="str">
        <f>IFERROR(__xludf.DUMMYFUNCTION("GOOGLETRANSLATE(B367, ""en"", ""hi"")"),"किस ऐतिहासिक व्यक्ति को लागोरी की भूमिका निभाने के लिए जाना जाता है?")</f>
        <v>किस ऐतिहासिक व्यक्ति को लागोरी की भूमिका निभाने के लिए जाना जाता है?</v>
      </c>
      <c r="H367" s="5" t="str">
        <f>IFERROR(__xludf.DUMMYFUNCTION("GOOGLETRANSLATE(C367, ""en"", ""hi"")"),"ए) राजा भोज, बी) अकबर, सी) शिवाजी महाराज, डी) अशोक")</f>
        <v>ए) राजा भोज, बी) अकबर, सी) शिवाजी महाराज, डी) अशोक</v>
      </c>
      <c r="I367" s="5" t="str">
        <f>IFERROR(__xludf.DUMMYFUNCTION("GOOGLETRANSLATE(D367, ""en"", ""hi"")"),"C) शिवाजी महाराज")</f>
        <v>C) शिवाजी महाराज</v>
      </c>
    </row>
    <row r="368" ht="22.5" customHeight="1">
      <c r="A368" s="3">
        <v>367.0</v>
      </c>
      <c r="B368" s="4" t="s">
        <v>4411</v>
      </c>
      <c r="C368" s="4" t="s">
        <v>4412</v>
      </c>
      <c r="D368" s="4" t="s">
        <v>4413</v>
      </c>
      <c r="F368" s="5" t="str">
        <f>IFERROR(__xludf.DUMMYFUNCTION("GOOGLETRANSLATE(A368, ""en"", ""hi"")"),"367")</f>
        <v>367</v>
      </c>
      <c r="G368" s="5" t="str">
        <f>IFERROR(__xludf.DUMMYFUNCTION("GOOGLETRANSLATE(B368, ""en"", ""hi"")"),"लागोरी में बचाव दल का प्राथमिक उद्देश्य क्या है?")</f>
        <v>लागोरी में बचाव दल का प्राथमिक उद्देश्य क्या है?</v>
      </c>
      <c r="H368" s="5" t="str">
        <f>IFERROR(__xludf.DUMMYFUNCTION("GOOGLETRANSLATE(C368, ""en"", ""hi"")"),"A) पत्थरों को फिर से बनाना, B) गेंद को पकड़ना, C) हमलावर टीम को पत्थरों को फिर से बनाने से रोकना, D) गोल करना")</f>
        <v>A) पत्थरों को फिर से बनाना, B) गेंद को पकड़ना, C) हमलावर टीम को पत्थरों को फिर से बनाने से रोकना, D) गोल करना</v>
      </c>
      <c r="I368" s="5" t="str">
        <f>IFERROR(__xludf.DUMMYFUNCTION("GOOGLETRANSLATE(D368, ""en"", ""hi"")"),"C) हमलावर टीम को पत्थरों का पुनर्निर्माण करने से रोकने के लिए")</f>
        <v>C) हमलावर टीम को पत्थरों का पुनर्निर्माण करने से रोकने के लिए</v>
      </c>
    </row>
    <row r="369" ht="22.5" customHeight="1">
      <c r="A369" s="3">
        <v>368.0</v>
      </c>
      <c r="B369" s="4" t="s">
        <v>4414</v>
      </c>
      <c r="C369" s="4" t="s">
        <v>4415</v>
      </c>
      <c r="D369" s="4" t="s">
        <v>4416</v>
      </c>
      <c r="F369" s="5" t="str">
        <f>IFERROR(__xludf.DUMMYFUNCTION("GOOGLETRANSLATE(A369, ""en"", ""hi"")"),"368")</f>
        <v>368</v>
      </c>
      <c r="G369" s="5" t="str">
        <f>IFERROR(__xludf.DUMMYFUNCTION("GOOGLETRANSLATE(B369, ""en"", ""hi"")"),"लागोरी का खेल कैसे समाप्त होता है?")</f>
        <v>लागोरी का खेल कैसे समाप्त होता है?</v>
      </c>
      <c r="H369" s="5" t="str">
        <f>IFERROR(__xludf.DUMMYFUNCTION("GOOGLETRANSLATE(C369, ""en"", ""hi"")"),"A) जब सभी पत्थर पुनः निर्मित हो जाएं, B) जब सभी खिलाड़ी आउट हो जाएं, C) जब समय सीमा पूरी हो जाए, D) जब गेंद खो जाए")</f>
        <v>A) जब सभी पत्थर पुनः निर्मित हो जाएं, B) जब सभी खिलाड़ी आउट हो जाएं, C) जब समय सीमा पूरी हो जाए, D) जब गेंद खो जाए</v>
      </c>
      <c r="I369" s="5" t="str">
        <f>IFERROR(__xludf.DUMMYFUNCTION("GOOGLETRANSLATE(D369, ""en"", ""hi"")"),"B) जब सभी खिलाड़ी आउट हो जाएं")</f>
        <v>B) जब सभी खिलाड़ी आउट हो जाएं</v>
      </c>
    </row>
    <row r="370" ht="22.5" customHeight="1">
      <c r="A370" s="3">
        <v>369.0</v>
      </c>
      <c r="B370" s="4" t="s">
        <v>4417</v>
      </c>
      <c r="C370" s="4" t="s">
        <v>4418</v>
      </c>
      <c r="D370" s="4" t="s">
        <v>4419</v>
      </c>
      <c r="F370" s="5" t="str">
        <f>IFERROR(__xludf.DUMMYFUNCTION("GOOGLETRANSLATE(A370, ""en"", ""hi"")"),"369")</f>
        <v>369</v>
      </c>
      <c r="G370" s="5" t="str">
        <f>IFERROR(__xludf.DUMMYFUNCTION("GOOGLETRANSLATE(B370, ""en"", ""hi"")"),"भारतीय संस्कृति में लागोरी का क्या महत्व है?")</f>
        <v>भारतीय संस्कृति में लागोरी का क्या महत्व है?</v>
      </c>
      <c r="H370" s="5" t="str">
        <f>IFERROR(__xludf.DUMMYFUNCTION("GOOGLETRANSLATE(C370, ""en"", ""hi"")"),"A) यह एक पारंपरिक खेल है, B) यह एक त्यौहार का खेल है, C) यह एक आधुनिक आविष्कार है, D) यह एक अनुष्ठानिक नृत्य है")</f>
        <v>A) यह एक पारंपरिक खेल है, B) यह एक त्यौहार का खेल है, C) यह एक आधुनिक आविष्कार है, D) यह एक अनुष्ठानिक नृत्य है</v>
      </c>
      <c r="I370" s="5" t="str">
        <f>IFERROR(__xludf.DUMMYFUNCTION("GOOGLETRANSLATE(D370, ""en"", ""hi"")"),"A) यह एक पारंपरिक खेल है")</f>
        <v>A) यह एक पारंपरिक खेल है</v>
      </c>
    </row>
    <row r="371" ht="22.5" customHeight="1">
      <c r="A371" s="3">
        <v>370.0</v>
      </c>
      <c r="B371" s="4" t="s">
        <v>4420</v>
      </c>
      <c r="C371" s="4" t="s">
        <v>4421</v>
      </c>
      <c r="D371" s="4" t="s">
        <v>4422</v>
      </c>
      <c r="F371" s="5" t="str">
        <f>IFERROR(__xludf.DUMMYFUNCTION("GOOGLETRANSLATE(A371, ""en"", ""hi"")"),"370")</f>
        <v>370</v>
      </c>
      <c r="G371" s="5" t="str">
        <f>IFERROR(__xludf.DUMMYFUNCTION("GOOGLETRANSLATE(B371, ""en"", ""hi"")"),"भारत में लागोरी पारंपरिक रूप से किस मौसम में खेली जाती है?")</f>
        <v>भारत में लागोरी पारंपरिक रूप से किस मौसम में खेली जाती है?</v>
      </c>
      <c r="H371" s="5" t="str">
        <f>IFERROR(__xludf.DUMMYFUNCTION("GOOGLETRANSLATE(C371, ""en"", ""hi"")"),"A) ग्रीष्म, B) शीत, C) मानसून, D) वसंत")</f>
        <v>A) ग्रीष्म, B) शीत, C) मानसून, D) वसंत</v>
      </c>
      <c r="I371" s="5" t="str">
        <f>IFERROR(__xludf.DUMMYFUNCTION("GOOGLETRANSLATE(D371, ""en"", ""hi"")"),"एक गर्मी")</f>
        <v>एक गर्मी</v>
      </c>
    </row>
    <row r="372" ht="22.5" customHeight="1">
      <c r="A372" s="3">
        <v>371.0</v>
      </c>
      <c r="B372" s="4" t="s">
        <v>4423</v>
      </c>
      <c r="C372" s="4" t="s">
        <v>4424</v>
      </c>
      <c r="D372" s="4" t="s">
        <v>4425</v>
      </c>
      <c r="F372" s="5" t="str">
        <f>IFERROR(__xludf.DUMMYFUNCTION("GOOGLETRANSLATE(A372, ""en"", ""hi"")"),"371")</f>
        <v>371</v>
      </c>
      <c r="G372" s="5" t="str">
        <f>IFERROR(__xludf.DUMMYFUNCTION("GOOGLETRANSLATE(B372, ""en"", ""hi"")"),"लागोरी खेल में किस पत्थर का उपयोग नहीं किया जाता है?")</f>
        <v>लागोरी खेल में किस पत्थर का उपयोग नहीं किया जाता है?</v>
      </c>
      <c r="H372" s="5" t="str">
        <f>IFERROR(__xludf.DUMMYFUNCTION("GOOGLETRANSLATE(C372, ""en"", ""hi"")"),"A) लाल, B) हरा, C) पीला, D) नीला")</f>
        <v>A) लाल, B) हरा, C) पीला, D) नीला</v>
      </c>
      <c r="I372" s="5" t="str">
        <f>IFERROR(__xludf.DUMMYFUNCTION("GOOGLETRANSLATE(D372, ""en"", ""hi"")"),"D) नीला")</f>
        <v>D) नीला</v>
      </c>
    </row>
    <row r="373" ht="22.5" customHeight="1">
      <c r="A373" s="3">
        <v>372.0</v>
      </c>
      <c r="B373" s="4" t="s">
        <v>4426</v>
      </c>
      <c r="C373" s="4" t="s">
        <v>4427</v>
      </c>
      <c r="D373" s="4" t="s">
        <v>4428</v>
      </c>
      <c r="F373" s="5" t="str">
        <f>IFERROR(__xludf.DUMMYFUNCTION("GOOGLETRANSLATE(A373, ""en"", ""hi"")"),"372")</f>
        <v>372</v>
      </c>
      <c r="G373" s="5" t="str">
        <f>IFERROR(__xludf.DUMMYFUNCTION("GOOGLETRANSLATE(B373, ""en"", ""hi"")"),"प्राचीन काल में लागोरी खेलने के लिए पारंपरिक परिवेश क्या था?")</f>
        <v>प्राचीन काल में लागोरी खेलने के लिए पारंपरिक परिवेश क्या था?</v>
      </c>
      <c r="H373" s="5" t="str">
        <f>IFERROR(__xludf.DUMMYFUNCTION("GOOGLETRANSLATE(C373, ""en"", ""hi"")"),"A) सड़कें, B) खुले मैदान, C) मंदिर परिसर, D) स्कूल के खेल के मैदान")</f>
        <v>A) सड़कें, B) खुले मैदान, C) मंदिर परिसर, D) स्कूल के खेल के मैदान</v>
      </c>
      <c r="I373" s="5" t="str">
        <f>IFERROR(__xludf.DUMMYFUNCTION("GOOGLETRANSLATE(D373, ""en"", ""hi"")"),"बी) खुले मैदान")</f>
        <v>बी) खुले मैदान</v>
      </c>
    </row>
    <row r="374" ht="22.5" customHeight="1">
      <c r="A374" s="3">
        <v>373.0</v>
      </c>
      <c r="B374" s="4" t="s">
        <v>4429</v>
      </c>
      <c r="C374" s="4" t="s">
        <v>4430</v>
      </c>
      <c r="D374" s="4" t="s">
        <v>4370</v>
      </c>
      <c r="F374" s="5" t="str">
        <f>IFERROR(__xludf.DUMMYFUNCTION("GOOGLETRANSLATE(A374, ""en"", ""hi"")"),"373")</f>
        <v>373</v>
      </c>
      <c r="G374" s="5" t="str">
        <f>IFERROR(__xludf.DUMMYFUNCTION("GOOGLETRANSLATE(B374, ""en"", ""hi"")"),"आंध्र प्रदेश में लागोरी का वैकल्पिक नाम क्या है?")</f>
        <v>आंध्र प्रदेश में लागोरी का वैकल्पिक नाम क्या है?</v>
      </c>
      <c r="H374" s="5" t="str">
        <f>IFERROR(__xludf.DUMMYFUNCTION("GOOGLETRANSLATE(C374, ""en"", ""hi"")"),"ए) पिट्टू, बी) सातोलिया, सी) लिंगोर, डी) सातोलिया")</f>
        <v>ए) पिट्टू, बी) सातोलिया, सी) लिंगोर, डी) सातोलिया</v>
      </c>
      <c r="I374" s="5" t="str">
        <f>IFERROR(__xludf.DUMMYFUNCTION("GOOGLETRANSLATE(D374, ""en"", ""hi"")"),"C) लिंगोर")</f>
        <v>C) लिंगोर</v>
      </c>
    </row>
    <row r="375" ht="22.5" customHeight="1">
      <c r="A375" s="3">
        <v>374.0</v>
      </c>
      <c r="B375" s="4" t="s">
        <v>4431</v>
      </c>
      <c r="C375" s="4" t="s">
        <v>4432</v>
      </c>
      <c r="D375" s="4" t="s">
        <v>4433</v>
      </c>
      <c r="F375" s="5" t="str">
        <f>IFERROR(__xludf.DUMMYFUNCTION("GOOGLETRANSLATE(A375, ""en"", ""hi"")"),"374")</f>
        <v>374</v>
      </c>
      <c r="G375" s="5" t="str">
        <f>IFERROR(__xludf.DUMMYFUNCTION("GOOGLETRANSLATE(B375, ""en"", ""hi"")"),"लागोरी किस प्रसिद्ध भारतीय त्यौहार से संबंधित है?")</f>
        <v>लागोरी किस प्रसिद्ध भारतीय त्यौहार से संबंधित है?</v>
      </c>
      <c r="H375" s="5" t="str">
        <f>IFERROR(__xludf.DUMMYFUNCTION("GOOGLETRANSLATE(C375, ""en"", ""hi"")"),"ए) दिवाली, बी) होली, सी) पोंगल, डी) नवरात्रि")</f>
        <v>ए) दिवाली, बी) होली, सी) पोंगल, डी) नवरात्रि</v>
      </c>
      <c r="I375" s="5" t="str">
        <f>IFERROR(__xludf.DUMMYFUNCTION("GOOGLETRANSLATE(D375, ""en"", ""hi"")"),"बी) होली")</f>
        <v>बी) होली</v>
      </c>
    </row>
    <row r="376" ht="22.5" customHeight="1">
      <c r="A376" s="3">
        <v>375.0</v>
      </c>
      <c r="B376" s="4" t="s">
        <v>4434</v>
      </c>
      <c r="C376" s="4" t="s">
        <v>4435</v>
      </c>
      <c r="D376" s="4" t="s">
        <v>4436</v>
      </c>
      <c r="F376" s="5" t="str">
        <f>IFERROR(__xludf.DUMMYFUNCTION("GOOGLETRANSLATE(A376, ""en"", ""hi"")"),"375")</f>
        <v>375</v>
      </c>
      <c r="G376" s="5" t="str">
        <f>IFERROR(__xludf.DUMMYFUNCTION("GOOGLETRANSLATE(B376, ""en"", ""hi"")"),"ऐतिहासिक संदर्भ में, लागोरी किसका प्रतीक था?")</f>
        <v>ऐतिहासिक संदर्भ में, लागोरी किसका प्रतीक था?</v>
      </c>
      <c r="H376" s="5" t="str">
        <f>IFERROR(__xludf.DUMMYFUNCTION("GOOGLETRANSLATE(C376, ""en"", ""hi"")"),"A) शक्ति और कौशल, B) धार्मिक विश्वास, C) राजनीतिक शक्ति, D) कलात्मक अभिव्यक्ति")</f>
        <v>A) शक्ति और कौशल, B) धार्मिक विश्वास, C) राजनीतिक शक्ति, D) कलात्मक अभिव्यक्ति</v>
      </c>
      <c r="I376" s="5" t="str">
        <f>IFERROR(__xludf.DUMMYFUNCTION("GOOGLETRANSLATE(D376, ""en"", ""hi"")"),"A) शक्ति और कौशल")</f>
        <v>A) शक्ति और कौशल</v>
      </c>
    </row>
    <row r="377" ht="22.5" customHeight="1">
      <c r="A377" s="3">
        <v>376.0</v>
      </c>
      <c r="B377" s="4" t="s">
        <v>4437</v>
      </c>
      <c r="C377" s="4" t="s">
        <v>4438</v>
      </c>
      <c r="D377" s="4" t="s">
        <v>4439</v>
      </c>
      <c r="F377" s="5" t="str">
        <f>IFERROR(__xludf.DUMMYFUNCTION("GOOGLETRANSLATE(A377, ""en"", ""hi"")"),"376")</f>
        <v>376</v>
      </c>
      <c r="G377" s="5" t="str">
        <f>IFERROR(__xludf.DUMMYFUNCTION("GOOGLETRANSLATE(B377, ""en"", ""hi"")"),"कौन सा शाही राजवंश अपने शासनकाल के दौरान लागोरी खेलने के लिए जाना जाता था?")</f>
        <v>कौन सा शाही राजवंश अपने शासनकाल के दौरान लागोरी खेलने के लिए जाना जाता था?</v>
      </c>
      <c r="H377" s="5" t="str">
        <f>IFERROR(__xludf.DUMMYFUNCTION("GOOGLETRANSLATE(C377, ""en"", ""hi"")"),"A) मुगल, B) मराठा, C) चोल, D) मौर्य")</f>
        <v>A) मुगल, B) मराठा, C) चोल, D) मौर्य</v>
      </c>
      <c r="I377" s="5" t="str">
        <f>IFERROR(__xludf.DUMMYFUNCTION("GOOGLETRANSLATE(D377, ""en"", ""hi"")"),"बी) मराठा")</f>
        <v>बी) मराठा</v>
      </c>
    </row>
    <row r="378" ht="22.5" customHeight="1">
      <c r="A378" s="3">
        <v>377.0</v>
      </c>
      <c r="B378" s="4" t="s">
        <v>4440</v>
      </c>
      <c r="C378" s="4" t="s">
        <v>4441</v>
      </c>
      <c r="D378" s="4" t="s">
        <v>4442</v>
      </c>
      <c r="F378" s="5" t="str">
        <f>IFERROR(__xludf.DUMMYFUNCTION("GOOGLETRANSLATE(A378, ""en"", ""hi"")"),"377")</f>
        <v>377</v>
      </c>
      <c r="G378" s="5" t="str">
        <f>IFERROR(__xludf.DUMMYFUNCTION("GOOGLETRANSLATE(B378, ""en"", ""hi"")"),"पारंपरिक लागोरी पत्थर किस सामग्री से बने होते थे?")</f>
        <v>पारंपरिक लागोरी पत्थर किस सामग्री से बने होते थे?</v>
      </c>
      <c r="H378" s="5" t="str">
        <f>IFERROR(__xludf.DUMMYFUNCTION("GOOGLETRANSLATE(C378, ""en"", ""hi"")"),"A) लकड़ी, B) धातु, C) मिट्टी, D) पत्थर")</f>
        <v>A) लकड़ी, B) धातु, C) मिट्टी, D) पत्थर</v>
      </c>
      <c r="I378" s="5" t="str">
        <f>IFERROR(__xludf.DUMMYFUNCTION("GOOGLETRANSLATE(D378, ""en"", ""hi"")"),"D) पत्थर")</f>
        <v>D) पत्थर</v>
      </c>
    </row>
    <row r="379" ht="22.5" customHeight="1">
      <c r="A379" s="3">
        <v>378.0</v>
      </c>
      <c r="B379" s="4" t="s">
        <v>4443</v>
      </c>
      <c r="C379" s="4" t="s">
        <v>4444</v>
      </c>
      <c r="D379" s="4" t="s">
        <v>4445</v>
      </c>
      <c r="F379" s="5" t="str">
        <f>IFERROR(__xludf.DUMMYFUNCTION("GOOGLETRANSLATE(A379, ""en"", ""hi"")"),"378")</f>
        <v>378</v>
      </c>
      <c r="G379" s="5" t="str">
        <f>IFERROR(__xludf.DUMMYFUNCTION("GOOGLETRANSLATE(B379, ""en"", ""hi"")"),"प्राचीन भारतीय शिक्षा में लागोरी का मुख्य उपयोग क्या था?")</f>
        <v>प्राचीन भारतीय शिक्षा में लागोरी का मुख्य उपयोग क्या था?</v>
      </c>
      <c r="H379" s="5" t="str">
        <f>IFERROR(__xludf.DUMMYFUNCTION("GOOGLETRANSLATE(C379, ""en"", ""hi"")"),"A) शारीरिक प्रशिक्षण, B) रणनीतिक सोच, C) नैतिक शिक्षा, D) सामाजिक संपर्क")</f>
        <v>A) शारीरिक प्रशिक्षण, B) रणनीतिक सोच, C) नैतिक शिक्षा, D) सामाजिक संपर्क</v>
      </c>
      <c r="I379" s="5" t="str">
        <f>IFERROR(__xludf.DUMMYFUNCTION("GOOGLETRANSLATE(D379, ""en"", ""hi"")"),"ए) शारीरिक प्रशिक्षण")</f>
        <v>ए) शारीरिक प्रशिक्षण</v>
      </c>
    </row>
    <row r="380" ht="22.5" customHeight="1">
      <c r="A380" s="3">
        <v>379.0</v>
      </c>
      <c r="B380" s="4" t="s">
        <v>4446</v>
      </c>
      <c r="C380" s="4" t="s">
        <v>221</v>
      </c>
      <c r="D380" s="4" t="s">
        <v>3959</v>
      </c>
      <c r="F380" s="5" t="str">
        <f>IFERROR(__xludf.DUMMYFUNCTION("GOOGLETRANSLATE(A380, ""en"", ""hi"")"),"379")</f>
        <v>379</v>
      </c>
      <c r="G380" s="5" t="str">
        <f>IFERROR(__xludf.DUMMYFUNCTION("GOOGLETRANSLATE(B380, ""en"", ""hi"")"),"किस महाकाव्य में लागोरी जैसे खेल का उल्लेख है?")</f>
        <v>किस महाकाव्य में लागोरी जैसे खेल का उल्लेख है?</v>
      </c>
      <c r="H380" s="5" t="str">
        <f>IFERROR(__xludf.DUMMYFUNCTION("GOOGLETRANSLATE(C380, ""en"", ""hi"")"),"ए) महाभारत, बी) रामायण, सी) वेद, डी) पुराण")</f>
        <v>ए) महाभारत, बी) रामायण, सी) वेद, डी) पुराण</v>
      </c>
      <c r="I380" s="5" t="str">
        <f>IFERROR(__xludf.DUMMYFUNCTION("GOOGLETRANSLATE(D380, ""en"", ""hi"")"),"बी) रामायण")</f>
        <v>बी) रामायण</v>
      </c>
    </row>
    <row r="381" ht="22.5" customHeight="1">
      <c r="A381" s="3">
        <v>380.0</v>
      </c>
      <c r="B381" s="4" t="s">
        <v>4447</v>
      </c>
      <c r="C381" s="4" t="s">
        <v>4448</v>
      </c>
      <c r="D381" s="4" t="s">
        <v>4449</v>
      </c>
      <c r="F381" s="5" t="str">
        <f>IFERROR(__xludf.DUMMYFUNCTION("GOOGLETRANSLATE(A381, ""en"", ""hi"")"),"380")</f>
        <v>380</v>
      </c>
      <c r="G381" s="5" t="str">
        <f>IFERROR(__xludf.DUMMYFUNCTION("GOOGLETRANSLATE(B381, ""en"", ""hi"")"),"लागोरी की तुलना अक्सर किस अन्य पारंपरिक खेल से की जाती है?")</f>
        <v>लागोरी की तुलना अक्सर किस अन्य पारंपरिक खेल से की जाती है?</v>
      </c>
      <c r="H381" s="5" t="str">
        <f>IFERROR(__xludf.DUMMYFUNCTION("GOOGLETRANSLATE(C381, ""en"", ""hi"")"),"A) कबड्डी, B) खो-खो, C) क्रिकेट, D) हॉकी")</f>
        <v>A) कबड्डी, B) खो-खो, C) क्रिकेट, D) हॉकी</v>
      </c>
      <c r="I381" s="5" t="str">
        <f>IFERROR(__xludf.DUMMYFUNCTION("GOOGLETRANSLATE(D381, ""en"", ""hi"")"),"बी) खो-खो")</f>
        <v>बी) खो-खो</v>
      </c>
    </row>
    <row r="382" ht="22.5" customHeight="1">
      <c r="A382" s="3">
        <v>381.0</v>
      </c>
      <c r="B382" s="4" t="s">
        <v>4450</v>
      </c>
      <c r="C382" s="4" t="s">
        <v>4451</v>
      </c>
      <c r="D382" s="4" t="s">
        <v>4452</v>
      </c>
      <c r="F382" s="5" t="str">
        <f>IFERROR(__xludf.DUMMYFUNCTION("GOOGLETRANSLATE(A382, ""en"", ""hi"")"),"381")</f>
        <v>381</v>
      </c>
      <c r="G382" s="5" t="str">
        <f>IFERROR(__xludf.DUMMYFUNCTION("GOOGLETRANSLATE(B382, ""en"", ""hi"")"),"लागोरी में जब कोई खिलाड़ी गेंद पकड़ता है तो क्या होता है?")</f>
        <v>लागोरी में जब कोई खिलाड़ी गेंद पकड़ता है तो क्या होता है?</v>
      </c>
      <c r="H382" s="5" t="str">
        <f>IFERROR(__xludf.DUMMYFUNCTION("GOOGLETRANSLATE(C382, ""en"", ""hi"")"),"A) खिलाड़ी नया गेंद वाहक बन जाता है, B) खिलाड़ी आउट हो जाता है, C) खिलाड़ी अंक अर्जित करता है, D) खिलाड़ी टीम बदल लेता है")</f>
        <v>A) खिलाड़ी नया गेंद वाहक बन जाता है, B) खिलाड़ी आउट हो जाता है, C) खिलाड़ी अंक अर्जित करता है, D) खिलाड़ी टीम बदल लेता है</v>
      </c>
      <c r="I382" s="5" t="str">
        <f>IFERROR(__xludf.DUMMYFUNCTION("GOOGLETRANSLATE(D382, ""en"", ""hi"")"),"B) खिलाड़ी आउट हो गया है")</f>
        <v>B) खिलाड़ी आउट हो गया है</v>
      </c>
    </row>
    <row r="383" ht="22.5" customHeight="1">
      <c r="A383" s="3">
        <v>382.0</v>
      </c>
      <c r="B383" s="4" t="s">
        <v>4453</v>
      </c>
      <c r="C383" s="4" t="s">
        <v>4454</v>
      </c>
      <c r="D383" s="4" t="s">
        <v>4455</v>
      </c>
      <c r="F383" s="5" t="str">
        <f>IFERROR(__xludf.DUMMYFUNCTION("GOOGLETRANSLATE(A383, ""en"", ""hi"")"),"382")</f>
        <v>382</v>
      </c>
      <c r="G383" s="5" t="str">
        <f>IFERROR(__xludf.DUMMYFUNCTION("GOOGLETRANSLATE(B383, ""en"", ""hi"")"),"एक मानक लागोरी खेल में आमतौर पर कितने राउंड खेले जाते हैं?")</f>
        <v>एक मानक लागोरी खेल में आमतौर पर कितने राउंड खेले जाते हैं?</v>
      </c>
      <c r="H383" s="5" t="str">
        <f>IFERROR(__xludf.DUMMYFUNCTION("GOOGLETRANSLATE(C383, ""en"", ""hi"")"),"ए) 2, बी) 3, सी) 4, डी) 5")</f>
        <v>ए) 2, बी) 3, सी) 4, डी) 5</v>
      </c>
      <c r="I383" s="5" t="str">
        <f>IFERROR(__xludf.DUMMYFUNCTION("GOOGLETRANSLATE(D383, ""en"", ""hi"")"),"ए) 2")</f>
        <v>ए) 2</v>
      </c>
    </row>
    <row r="384" ht="22.5" customHeight="1">
      <c r="A384" s="3">
        <v>383.0</v>
      </c>
      <c r="B384" s="4" t="s">
        <v>4456</v>
      </c>
      <c r="C384" s="4" t="s">
        <v>4457</v>
      </c>
      <c r="D384" s="4" t="s">
        <v>4458</v>
      </c>
      <c r="F384" s="5" t="str">
        <f>IFERROR(__xludf.DUMMYFUNCTION("GOOGLETRANSLATE(A384, ""en"", ""hi"")"),"383")</f>
        <v>383</v>
      </c>
      <c r="G384" s="5" t="str">
        <f>IFERROR(__xludf.DUMMYFUNCTION("GOOGLETRANSLATE(B384, ""en"", ""hi"")"),"किस क्षेत्र ने लागोरी के लिए पारंपरिक नियमों से अलग अनोखे नियम विकसित किए हैं?")</f>
        <v>किस क्षेत्र ने लागोरी के लिए पारंपरिक नियमों से अलग अनोखे नियम विकसित किए हैं?</v>
      </c>
      <c r="H384" s="5" t="str">
        <f>IFERROR(__xludf.DUMMYFUNCTION("GOOGLETRANSLATE(C384, ""en"", ""hi"")"),"ए) पंजाब, बी) गुजरात, सी) महाराष्ट्र, डी) कर्नाटक")</f>
        <v>ए) पंजाब, बी) गुजरात, सी) महाराष्ट्र, डी) कर्नाटक</v>
      </c>
      <c r="I384" s="5" t="str">
        <f>IFERROR(__xludf.DUMMYFUNCTION("GOOGLETRANSLATE(D384, ""en"", ""hi"")"),"बी) गुजरात")</f>
        <v>बी) गुजरात</v>
      </c>
    </row>
    <row r="385" ht="22.5" customHeight="1">
      <c r="A385" s="3">
        <v>384.0</v>
      </c>
      <c r="B385" s="4" t="s">
        <v>4459</v>
      </c>
      <c r="C385" s="4" t="s">
        <v>4460</v>
      </c>
      <c r="D385" s="4" t="s">
        <v>4461</v>
      </c>
      <c r="F385" s="5" t="str">
        <f>IFERROR(__xludf.DUMMYFUNCTION("GOOGLETRANSLATE(A385, ""en"", ""hi"")"),"384")</f>
        <v>384</v>
      </c>
      <c r="G385" s="5" t="str">
        <f>IFERROR(__xludf.DUMMYFUNCTION("GOOGLETRANSLATE(B385, ""en"", ""hi"")"),"लागोरी खेल में पत्थर की क्या भूमिका होती है?")</f>
        <v>लागोरी खेल में पत्थर की क्या भूमिका होती है?</v>
      </c>
      <c r="H385" s="5" t="str">
        <f>IFERROR(__xludf.DUMMYFUNCTION("GOOGLETRANSLATE(C385, ""en"", ""hi"")"),"A) यह लक्ष्य है, B) यह गेंद है, C) यह एक मार्कर है, D) यह बचाव का एक उपकरण है")</f>
        <v>A) यह लक्ष्य है, B) यह गेंद है, C) यह एक मार्कर है, D) यह बचाव का एक उपकरण है</v>
      </c>
      <c r="I385" s="5" t="str">
        <f>IFERROR(__xludf.DUMMYFUNCTION("GOOGLETRANSLATE(D385, ""en"", ""hi"")"),"A) यह लक्ष्य है")</f>
        <v>A) यह लक्ष्य है</v>
      </c>
    </row>
    <row r="386" ht="22.5" customHeight="1">
      <c r="A386" s="3">
        <v>385.0</v>
      </c>
      <c r="B386" s="4" t="s">
        <v>4462</v>
      </c>
      <c r="C386" s="4" t="s">
        <v>4463</v>
      </c>
      <c r="D386" s="4" t="s">
        <v>4464</v>
      </c>
      <c r="F386" s="5" t="str">
        <f>IFERROR(__xludf.DUMMYFUNCTION("GOOGLETRANSLATE(A386, ""en"", ""hi"")"),"385")</f>
        <v>385</v>
      </c>
      <c r="G386" s="5" t="str">
        <f>IFERROR(__xludf.DUMMYFUNCTION("GOOGLETRANSLATE(B386, ""en"", ""hi"")"),"लागोरी में खेल क्षेत्र को चिह्नित करने के लिए किस पारंपरिक वस्तु का उपयोग किया जाता है?")</f>
        <v>लागोरी में खेल क्षेत्र को चिह्नित करने के लिए किस पारंपरिक वस्तु का उपयोग किया जाता है?</v>
      </c>
      <c r="H386" s="5" t="str">
        <f>IFERROR(__xludf.DUMMYFUNCTION("GOOGLETRANSLATE(C386, ""en"", ""hi"")"),"A) चाक, B) रेत, C) पत्थर, D) कपड़ा")</f>
        <v>A) चाक, B) रेत, C) पत्थर, D) कपड़ा</v>
      </c>
      <c r="I386" s="5" t="str">
        <f>IFERROR(__xludf.DUMMYFUNCTION("GOOGLETRANSLATE(D386, ""en"", ""hi"")"),"सी) पत्थर")</f>
        <v>सी) पत्थर</v>
      </c>
    </row>
    <row r="387" ht="22.5" customHeight="1">
      <c r="A387" s="3">
        <v>386.0</v>
      </c>
      <c r="B387" s="4" t="s">
        <v>4465</v>
      </c>
      <c r="C387" s="4" t="s">
        <v>4466</v>
      </c>
      <c r="D387" s="4" t="s">
        <v>4467</v>
      </c>
      <c r="F387" s="5" t="str">
        <f>IFERROR(__xludf.DUMMYFUNCTION("GOOGLETRANSLATE(A387, ""en"", ""hi"")"),"386")</f>
        <v>386</v>
      </c>
      <c r="G387" s="5" t="str">
        <f>IFERROR(__xludf.DUMMYFUNCTION("GOOGLETRANSLATE(B387, ""en"", ""hi"")"),"प्राचीन भारतीय समुदायों में लागोरी का ऐतिहासिक महत्व क्या था?")</f>
        <v>प्राचीन भारतीय समुदायों में लागोरी का ऐतिहासिक महत्व क्या था?</v>
      </c>
      <c r="H387" s="5" t="str">
        <f>IFERROR(__xludf.DUMMYFUNCTION("GOOGLETRANSLATE(C387, ""en"", ""hi"")"),"A) सामाजिक बंधन, B) धार्मिक अनुष्ठान, C) युद्ध के लिए प्रशिक्षण, D) आर्थिक व्यापार")</f>
        <v>A) सामाजिक बंधन, B) धार्मिक अनुष्ठान, C) युद्ध के लिए प्रशिक्षण, D) आर्थिक व्यापार</v>
      </c>
      <c r="I387" s="5" t="str">
        <f>IFERROR(__xludf.DUMMYFUNCTION("GOOGLETRANSLATE(D387, ""en"", ""hi"")"),"A) सामाजिक बंधन")</f>
        <v>A) सामाजिक बंधन</v>
      </c>
    </row>
    <row r="388" ht="22.5" customHeight="1">
      <c r="A388" s="3">
        <v>387.0</v>
      </c>
      <c r="B388" s="4" t="s">
        <v>4468</v>
      </c>
      <c r="C388" s="4" t="s">
        <v>4469</v>
      </c>
      <c r="D388" s="4" t="s">
        <v>4470</v>
      </c>
      <c r="F388" s="5" t="str">
        <f>IFERROR(__xludf.DUMMYFUNCTION("GOOGLETRANSLATE(A388, ""en"", ""hi"")"),"387")</f>
        <v>387</v>
      </c>
      <c r="G388" s="5" t="str">
        <f>IFERROR(__xludf.DUMMYFUNCTION("GOOGLETRANSLATE(B388, ""en"", ""hi"")"),"किस काल में लागोरी का लोकप्रिय खेल के रूप में उदय हुआ?")</f>
        <v>किस काल में लागोरी का लोकप्रिय खेल के रूप में उदय हुआ?</v>
      </c>
      <c r="H388" s="5" t="str">
        <f>IFERROR(__xludf.DUMMYFUNCTION("GOOGLETRANSLATE(C388, ""en"", ""hi"")"),"A) वैदिक काल, B) मौर्य काल, C) गुप्त काल, D) मुगल काल")</f>
        <v>A) वैदिक काल, B) मौर्य काल, C) गुप्त काल, D) मुगल काल</v>
      </c>
      <c r="I388" s="5" t="str">
        <f>IFERROR(__xludf.DUMMYFUNCTION("GOOGLETRANSLATE(D388, ""en"", ""hi"")"),"C) गुप्त काल")</f>
        <v>C) गुप्त काल</v>
      </c>
    </row>
    <row r="389" ht="22.5" customHeight="1">
      <c r="A389" s="3">
        <v>388.0</v>
      </c>
      <c r="B389" s="4" t="s">
        <v>4471</v>
      </c>
      <c r="C389" s="4" t="s">
        <v>4472</v>
      </c>
      <c r="D389" s="4" t="s">
        <v>4473</v>
      </c>
      <c r="F389" s="5" t="str">
        <f>IFERROR(__xludf.DUMMYFUNCTION("GOOGLETRANSLATE(A389, ""en"", ""hi"")"),"388")</f>
        <v>388</v>
      </c>
      <c r="G389" s="5" t="str">
        <f>IFERROR(__xludf.DUMMYFUNCTION("GOOGLETRANSLATE(B389, ""en"", ""hi"")"),"लागोरी में, पत्थरों पर न मारने पर आक्रमणकारी टीम को किस प्रकार दंडित किया जाता है?")</f>
        <v>लागोरी में, पत्थरों पर न मारने पर आक्रमणकारी टीम को किस प्रकार दंडित किया जाता है?</v>
      </c>
      <c r="H389" s="5" t="str">
        <f>IFERROR(__xludf.DUMMYFUNCTION("GOOGLETRANSLATE(C389, ""en"", ""hi"")"),"A) बारी का नुकसान, B) अतिरिक्त समय, C) अंकों में कमी, D) खिलाड़ी आउट हो गया")</f>
        <v>A) बारी का नुकसान, B) अतिरिक्त समय, C) अंकों में कमी, D) खिलाड़ी आउट हो गया</v>
      </c>
      <c r="I389" s="5" t="str">
        <f>IFERROR(__xludf.DUMMYFUNCTION("GOOGLETRANSLATE(D389, ""en"", ""hi"")"),"A) मोड़ का नुकसान")</f>
        <v>A) मोड़ का नुकसान</v>
      </c>
    </row>
    <row r="390" ht="22.5" customHeight="1">
      <c r="A390" s="3">
        <v>389.0</v>
      </c>
      <c r="B390" s="4" t="s">
        <v>4474</v>
      </c>
      <c r="C390" s="4" t="s">
        <v>4475</v>
      </c>
      <c r="D390" s="4" t="s">
        <v>4476</v>
      </c>
      <c r="F390" s="5" t="str">
        <f>IFERROR(__xludf.DUMMYFUNCTION("GOOGLETRANSLATE(A390, ""en"", ""hi"")"),"389")</f>
        <v>389</v>
      </c>
      <c r="G390" s="5" t="str">
        <f>IFERROR(__xludf.DUMMYFUNCTION("GOOGLETRANSLATE(B390, ""en"", ""hi"")"),"आधुनिक समय में लागोरी गेंद के लिए प्रयुक्त प्राथमिक सामग्री क्या है?")</f>
        <v>आधुनिक समय में लागोरी गेंद के लिए प्रयुक्त प्राथमिक सामग्री क्या है?</v>
      </c>
      <c r="H390" s="5" t="str">
        <f>IFERROR(__xludf.DUMMYFUNCTION("GOOGLETRANSLATE(C390, ""en"", ""hi"")"),"A) रबर, B) सिंथेटिक कपड़ा, C) चमड़ा, D) प्लास्टिक")</f>
        <v>A) रबर, B) सिंथेटिक कपड़ा, C) चमड़ा, D) प्लास्टिक</v>
      </c>
      <c r="I390" s="5" t="str">
        <f>IFERROR(__xludf.DUMMYFUNCTION("GOOGLETRANSLATE(D390, ""en"", ""hi"")"),"बी) सिंथेटिक कपड़ा")</f>
        <v>बी) सिंथेटिक कपड़ा</v>
      </c>
    </row>
    <row r="391" ht="22.5" customHeight="1">
      <c r="A391" s="3">
        <v>390.0</v>
      </c>
      <c r="B391" s="4" t="s">
        <v>4477</v>
      </c>
      <c r="C391" s="4" t="s">
        <v>171</v>
      </c>
      <c r="D391" s="4" t="s">
        <v>4097</v>
      </c>
      <c r="F391" s="5" t="str">
        <f>IFERROR(__xludf.DUMMYFUNCTION("GOOGLETRANSLATE(A391, ""en"", ""hi"")"),"390")</f>
        <v>390</v>
      </c>
      <c r="G391" s="5" t="str">
        <f>IFERROR(__xludf.DUMMYFUNCTION("GOOGLETRANSLATE(B391, ""en"", ""hi"")"),"किस भारतीय राज्य में लागोरी का एक अनोखा संस्करण है जिसे 'पिट्ठू' के नाम से जाना जाता है?")</f>
        <v>किस भारतीय राज्य में लागोरी का एक अनोखा संस्करण है जिसे 'पिट्ठू' के नाम से जाना जाता है?</v>
      </c>
      <c r="H391" s="5" t="str">
        <f>IFERROR(__xludf.DUMMYFUNCTION("GOOGLETRANSLATE(C391, ""en"", ""hi"")"),"A) केरल, B) तमिलनाडु, C) कर्नाटक, D) आंध्र प्रदेश")</f>
        <v>A) केरल, B) तमिलनाडु, C) कर्नाटक, D) आंध्र प्रदेश</v>
      </c>
      <c r="I391" s="5" t="str">
        <f>IFERROR(__xludf.DUMMYFUNCTION("GOOGLETRANSLATE(D391, ""en"", ""hi"")"),"D) आंध्र प्रदेश")</f>
        <v>D) आंध्र प्रदेश</v>
      </c>
    </row>
    <row r="392" ht="22.5" customHeight="1">
      <c r="A392" s="3">
        <v>391.0</v>
      </c>
      <c r="B392" s="4" t="s">
        <v>4478</v>
      </c>
      <c r="C392" s="4" t="s">
        <v>4479</v>
      </c>
      <c r="D392" s="4" t="s">
        <v>4480</v>
      </c>
      <c r="F392" s="5" t="str">
        <f>IFERROR(__xludf.DUMMYFUNCTION("GOOGLETRANSLATE(A392, ""en"", ""hi"")"),"391")</f>
        <v>391</v>
      </c>
      <c r="G392" s="5" t="str">
        <f>IFERROR(__xludf.DUMMYFUNCTION("GOOGLETRANSLATE(B392, ""en"", ""hi"")"),"लागोरी में 'पुनर्निर्माण' चरण की क्या भूमिका है?")</f>
        <v>लागोरी में 'पुनर्निर्माण' चरण की क्या भूमिका है?</v>
      </c>
      <c r="H392" s="5" t="str">
        <f>IFERROR(__xludf.DUMMYFUNCTION("GOOGLETRANSLATE(C392, ""en"", ""hi"")"),"A) यह विजेता का निर्धारण करता है, B) यह आक्रमणकारी टीम को स्कोर करने की अनुमति देता है, C) यह खेल को पुनः आरंभ करता है, D) यह पत्थरों को पुनः स्थापित करता है")</f>
        <v>A) यह विजेता का निर्धारण करता है, B) यह आक्रमणकारी टीम को स्कोर करने की अनुमति देता है, C) यह खेल को पुनः आरंभ करता है, D) यह पत्थरों को पुनः स्थापित करता है</v>
      </c>
      <c r="I392" s="5" t="str">
        <f>IFERROR(__xludf.DUMMYFUNCTION("GOOGLETRANSLATE(D392, ""en"", ""hi"")"),"A) यह विजेता का निर्धारण करता है")</f>
        <v>A) यह विजेता का निर्धारण करता है</v>
      </c>
    </row>
    <row r="393" ht="22.5" customHeight="1">
      <c r="A393" s="3">
        <v>392.0</v>
      </c>
      <c r="B393" s="4" t="s">
        <v>4481</v>
      </c>
      <c r="C393" s="4" t="s">
        <v>4482</v>
      </c>
      <c r="D393" s="4" t="s">
        <v>3791</v>
      </c>
      <c r="F393" s="5" t="str">
        <f>IFERROR(__xludf.DUMMYFUNCTION("GOOGLETRANSLATE(A393, ""en"", ""hi"")"),"392")</f>
        <v>392</v>
      </c>
      <c r="G393" s="5" t="str">
        <f>IFERROR(__xludf.DUMMYFUNCTION("GOOGLETRANSLATE(B393, ""en"", ""hi"")"),"कौन सी प्रसिद्ध भारतीय हस्ती अपनी युवावस्था में लागोरी की भूमिका निभाने के लिए जानी जाती है?")</f>
        <v>कौन सी प्रसिद्ध भारतीय हस्ती अपनी युवावस्था में लागोरी की भूमिका निभाने के लिए जानी जाती है?</v>
      </c>
      <c r="H393" s="5" t="str">
        <f>IFERROR(__xludf.DUMMYFUNCTION("GOOGLETRANSLATE(C393, ""en"", ""hi"")"),"ए) जवाहरलाल नेहरू, बी) महात्मा गांधी, सी) राजीव गांधी, डी) सरदार पटेल")</f>
        <v>ए) जवाहरलाल नेहरू, बी) महात्मा गांधी, सी) राजीव गांधी, डी) सरदार पटेल</v>
      </c>
      <c r="I393" s="5" t="str">
        <f>IFERROR(__xludf.DUMMYFUNCTION("GOOGLETRANSLATE(D393, ""en"", ""hi"")"),"बी) महात्मा गांधी")</f>
        <v>बी) महात्मा गांधी</v>
      </c>
    </row>
    <row r="394" ht="22.5" customHeight="1">
      <c r="A394" s="3">
        <v>393.0</v>
      </c>
      <c r="B394" s="4" t="s">
        <v>4483</v>
      </c>
      <c r="C394" s="4" t="s">
        <v>4484</v>
      </c>
      <c r="D394" s="4" t="s">
        <v>4485</v>
      </c>
      <c r="F394" s="5" t="str">
        <f>IFERROR(__xludf.DUMMYFUNCTION("GOOGLETRANSLATE(A394, ""en"", ""hi"")"),"393")</f>
        <v>393</v>
      </c>
      <c r="G394" s="5" t="str">
        <f>IFERROR(__xludf.DUMMYFUNCTION("GOOGLETRANSLATE(B394, ""en"", ""hi"")"),"पारंपरिक भारतीय त्योहारों में लागोरी का ऐतिहासिक महत्व क्या है?")</f>
        <v>पारंपरिक भारतीय त्योहारों में लागोरी का ऐतिहासिक महत्व क्या है?</v>
      </c>
      <c r="H394" s="5" t="str">
        <f>IFERROR(__xludf.DUMMYFUNCTION("GOOGLETRANSLATE(C394, ""en"", ""hi"")"),"A) यह एकता का प्रतिनिधित्व करता है, B) यह विजय का प्रतीक है, C) यह सद्भाव का प्रतीक है, D) यह मनोरंजन का एक रूप है")</f>
        <v>A) यह एकता का प्रतिनिधित्व करता है, B) यह विजय का प्रतीक है, C) यह सद्भाव का प्रतीक है, D) यह मनोरंजन का एक रूप है</v>
      </c>
      <c r="I394" s="5" t="str">
        <f>IFERROR(__xludf.DUMMYFUNCTION("GOOGLETRANSLATE(D394, ""en"", ""hi"")"),"C) यह सद्भाव का प्रतीक है")</f>
        <v>C) यह सद्भाव का प्रतीक है</v>
      </c>
    </row>
    <row r="395" ht="22.5" customHeight="1">
      <c r="A395" s="3">
        <v>394.0</v>
      </c>
      <c r="B395" s="4" t="s">
        <v>4486</v>
      </c>
      <c r="C395" s="4" t="s">
        <v>4487</v>
      </c>
      <c r="D395" s="4" t="s">
        <v>2556</v>
      </c>
      <c r="F395" s="5" t="str">
        <f>IFERROR(__xludf.DUMMYFUNCTION("GOOGLETRANSLATE(A395, ""en"", ""hi"")"),"394")</f>
        <v>394</v>
      </c>
      <c r="G395" s="5" t="str">
        <f>IFERROR(__xludf.DUMMYFUNCTION("GOOGLETRANSLATE(B395, ""en"", ""hi"")"),"किस मुगल सम्राट को लगोरी जैसे पारंपरिक भारतीय खेल खेलने का शौक था?")</f>
        <v>किस मुगल सम्राट को लगोरी जैसे पारंपरिक भारतीय खेल खेलने का शौक था?</v>
      </c>
      <c r="H395" s="5" t="str">
        <f>IFERROR(__xludf.DUMMYFUNCTION("GOOGLETRANSLATE(C395, ""en"", ""hi"")"),"A) अकबर, B) शाहजहाँ, C) औरंगज़ेब, D) बाबर")</f>
        <v>A) अकबर, B) शाहजहाँ, C) औरंगज़ेब, D) बाबर</v>
      </c>
      <c r="I395" s="5" t="str">
        <f>IFERROR(__xludf.DUMMYFUNCTION("GOOGLETRANSLATE(D395, ""en"", ""hi"")"),"A) अकबर")</f>
        <v>A) अकबर</v>
      </c>
    </row>
    <row r="396" ht="22.5" customHeight="1">
      <c r="A396" s="3">
        <v>395.0</v>
      </c>
      <c r="B396" s="4" t="s">
        <v>4488</v>
      </c>
      <c r="C396" s="4" t="s">
        <v>4489</v>
      </c>
      <c r="D396" s="4" t="s">
        <v>4490</v>
      </c>
      <c r="F396" s="5" t="str">
        <f>IFERROR(__xludf.DUMMYFUNCTION("GOOGLETRANSLATE(A396, ""en"", ""hi"")"),"395")</f>
        <v>395</v>
      </c>
      <c r="G396" s="5" t="str">
        <f>IFERROR(__xludf.DUMMYFUNCTION("GOOGLETRANSLATE(B396, ""en"", ""hi"")"),"लागोरी के बारे में जानकारी का प्राथमिक ऐतिहासिक स्रोत क्या है?")</f>
        <v>लागोरी के बारे में जानकारी का प्राथमिक ऐतिहासिक स्रोत क्या है?</v>
      </c>
      <c r="H396" s="5" t="str">
        <f>IFERROR(__xludf.DUMMYFUNCTION("GOOGLETRANSLATE(C396, ""en"", ""hi"")"),"A) प्राचीन पांडुलिपियाँ, B) मौखिक परंपराएँ, C) मूर्तियाँ, D) चित्रकारी")</f>
        <v>A) प्राचीन पांडुलिपियाँ, B) मौखिक परंपराएँ, C) मूर्तियाँ, D) चित्रकारी</v>
      </c>
      <c r="I396" s="5" t="str">
        <f>IFERROR(__xludf.DUMMYFUNCTION("GOOGLETRANSLATE(D396, ""en"", ""hi"")"),"बी) मौखिक परंपराएँ")</f>
        <v>बी) मौखिक परंपराएँ</v>
      </c>
    </row>
    <row r="397" ht="22.5" customHeight="1">
      <c r="A397" s="3">
        <v>396.0</v>
      </c>
      <c r="B397" s="4" t="s">
        <v>4491</v>
      </c>
      <c r="C397" s="4" t="s">
        <v>4492</v>
      </c>
      <c r="D397" s="4" t="s">
        <v>4493</v>
      </c>
      <c r="F397" s="5" t="str">
        <f>IFERROR(__xludf.DUMMYFUNCTION("GOOGLETRANSLATE(A397, ""en"", ""hi"")"),"396")</f>
        <v>396</v>
      </c>
      <c r="G397" s="5" t="str">
        <f>IFERROR(__xludf.DUMMYFUNCTION("GOOGLETRANSLATE(B397, ""en"", ""hi"")"),"भारत के किस शहर में लागोरी पारंपरिक रूप से स्कूल गतिविधियों के हिस्से के रूप में खेली जाती है?")</f>
        <v>भारत के किस शहर में लागोरी पारंपरिक रूप से स्कूल गतिविधियों के हिस्से के रूप में खेली जाती है?</v>
      </c>
      <c r="H397" s="5" t="str">
        <f>IFERROR(__xludf.DUMMYFUNCTION("GOOGLETRANSLATE(C397, ""en"", ""hi"")"),"A) दिल्ली, B) मुंबई, C) बैंगलोर, D) जयपुर")</f>
        <v>A) दिल्ली, B) मुंबई, C) बैंगलोर, D) जयपुर</v>
      </c>
      <c r="I397" s="5" t="str">
        <f>IFERROR(__xludf.DUMMYFUNCTION("GOOGLETRANSLATE(D397, ""en"", ""hi"")"),"D) जयपुर")</f>
        <v>D) जयपुर</v>
      </c>
    </row>
    <row r="398" ht="22.5" customHeight="1">
      <c r="A398" s="3">
        <v>397.0</v>
      </c>
      <c r="B398" s="4" t="s">
        <v>4494</v>
      </c>
      <c r="C398" s="4" t="s">
        <v>4495</v>
      </c>
      <c r="D398" s="4" t="s">
        <v>4496</v>
      </c>
      <c r="F398" s="5" t="str">
        <f>IFERROR(__xludf.DUMMYFUNCTION("GOOGLETRANSLATE(A398, ""en"", ""hi"")"),"397")</f>
        <v>397</v>
      </c>
      <c r="G398" s="5" t="str">
        <f>IFERROR(__xludf.DUMMYFUNCTION("GOOGLETRANSLATE(B398, ""en"", ""hi"")"),"पारंपरिक लागोरी गेमप्ले के लिए कौन सा ऐतिहासिक तत्व आवश्यक माना जाता है?")</f>
        <v>पारंपरिक लागोरी गेमप्ले के लिए कौन सा ऐतिहासिक तत्व आवश्यक माना जाता है?</v>
      </c>
      <c r="H398" s="5" t="str">
        <f>IFERROR(__xludf.DUMMYFUNCTION("GOOGLETRANSLATE(C398, ""en"", ""hi"")"),"A) लकड़ी की छड़ें, B) मिट्टी के गोले, C) पत्थर के निशान, D) कपड़े के कपड़े")</f>
        <v>A) लकड़ी की छड़ें, B) मिट्टी के गोले, C) पत्थर के निशान, D) कपड़े के कपड़े</v>
      </c>
      <c r="I398" s="5" t="str">
        <f>IFERROR(__xludf.DUMMYFUNCTION("GOOGLETRANSLATE(D398, ""en"", ""hi"")"),"C) पत्थर के निशान")</f>
        <v>C) पत्थर के निशान</v>
      </c>
    </row>
    <row r="399" ht="22.5" customHeight="1">
      <c r="A399" s="3">
        <v>398.0</v>
      </c>
      <c r="B399" s="4" t="s">
        <v>4497</v>
      </c>
      <c r="C399" s="4" t="s">
        <v>4498</v>
      </c>
      <c r="D399" s="4" t="s">
        <v>4499</v>
      </c>
      <c r="F399" s="5" t="str">
        <f>IFERROR(__xludf.DUMMYFUNCTION("GOOGLETRANSLATE(A399, ""en"", ""hi"")"),"398")</f>
        <v>398</v>
      </c>
      <c r="G399" s="5" t="str">
        <f>IFERROR(__xludf.DUMMYFUNCTION("GOOGLETRANSLATE(B399, ""en"", ""hi"")"),"कौन सा भारतीय त्यौहार अक्सर अपने उत्सव के एक भाग के रूप में लागोरी को शामिल करता है?")</f>
        <v>कौन सा भारतीय त्यौहार अक्सर अपने उत्सव के एक भाग के रूप में लागोरी को शामिल करता है?</v>
      </c>
      <c r="H399" s="5" t="str">
        <f>IFERROR(__xludf.DUMMYFUNCTION("GOOGLETRANSLATE(C399, ""en"", ""hi"")"),"ए) दिवाली, बी) मकर संक्रांति, सी) होली, डी) रक्षा बंधन")</f>
        <v>ए) दिवाली, बी) मकर संक्रांति, सी) होली, डी) रक्षा बंधन</v>
      </c>
      <c r="I399" s="5" t="str">
        <f>IFERROR(__xludf.DUMMYFUNCTION("GOOGLETRANSLATE(D399, ""en"", ""hi"")"),"C) होली")</f>
        <v>C) होली</v>
      </c>
    </row>
    <row r="400" ht="22.5" customHeight="1">
      <c r="A400" s="3">
        <v>399.0</v>
      </c>
      <c r="B400" s="4" t="s">
        <v>4500</v>
      </c>
      <c r="C400" s="4" t="s">
        <v>4501</v>
      </c>
      <c r="D400" s="4" t="s">
        <v>222</v>
      </c>
      <c r="F400" s="5" t="str">
        <f>IFERROR(__xludf.DUMMYFUNCTION("GOOGLETRANSLATE(A400, ""en"", ""hi"")"),"399")</f>
        <v>399</v>
      </c>
      <c r="G400" s="5" t="str">
        <f>IFERROR(__xludf.DUMMYFUNCTION("GOOGLETRANSLATE(B400, ""en"", ""hi"")"),"किस प्राचीन ग्रंथ में लागोरी जैसे खेल का उल्लेख मिलता है?")</f>
        <v>किस प्राचीन ग्रंथ में लागोरी जैसे खेल का उल्लेख मिलता है?</v>
      </c>
      <c r="H400" s="5" t="str">
        <f>IFERROR(__xludf.DUMMYFUNCTION("GOOGLETRANSLATE(C400, ""en"", ""hi"")"),"ए) महाभारत, बी) मनुस्मृति, सी) रामायण, डी) अर्थशास्त्र")</f>
        <v>ए) महाभारत, बी) मनुस्मृति, सी) रामायण, डी) अर्थशास्त्र</v>
      </c>
      <c r="I400" s="5" t="str">
        <f>IFERROR(__xludf.DUMMYFUNCTION("GOOGLETRANSLATE(D400, ""en"", ""hi"")"),"A) महाभारत")</f>
        <v>A) महाभारत</v>
      </c>
    </row>
    <row r="401" ht="22.5" customHeight="1">
      <c r="A401" s="3">
        <v>400.0</v>
      </c>
      <c r="B401" s="4" t="s">
        <v>4502</v>
      </c>
      <c r="C401" s="4" t="s">
        <v>4503</v>
      </c>
      <c r="D401" s="4" t="s">
        <v>4504</v>
      </c>
      <c r="F401" s="5" t="str">
        <f>IFERROR(__xludf.DUMMYFUNCTION("GOOGLETRANSLATE(A401, ""en"", ""hi"")"),"400")</f>
        <v>400</v>
      </c>
      <c r="G401" s="5" t="str">
        <f>IFERROR(__xludf.DUMMYFUNCTION("GOOGLETRANSLATE(B401, ""en"", ""hi"")"),"ग्रामीण भारतीय समुदायों में लागोरी क्या पारंपरिक भूमिका निभाते हैं?")</f>
        <v>ग्रामीण भारतीय समुदायों में लागोरी क्या पारंपरिक भूमिका निभाते हैं?</v>
      </c>
      <c r="H401" s="5" t="str">
        <f>IFERROR(__xludf.DUMMYFUNCTION("GOOGLETRANSLATE(C401, ""en"", ""hi"")"),"A) शैक्षिक उपकरण, B) सामुदायिक संबंध, C) धार्मिक अभ्यास, D) आर्थिक गतिविधि")</f>
        <v>A) शैक्षिक उपकरण, B) सामुदायिक संबंध, C) धार्मिक अभ्यास, D) आर्थिक गतिविधि</v>
      </c>
      <c r="I401" s="5" t="str">
        <f>IFERROR(__xludf.DUMMYFUNCTION("GOOGLETRANSLATE(D401, ""en"", ""hi"")"),"बी) सामुदायिक बंधन")</f>
        <v>बी) सामुदायिक बंधन</v>
      </c>
    </row>
    <row r="402" ht="22.5" customHeight="1">
      <c r="A402" s="3">
        <v>401.0</v>
      </c>
      <c r="B402" s="4" t="s">
        <v>4505</v>
      </c>
      <c r="C402" s="4" t="s">
        <v>4506</v>
      </c>
      <c r="D402" s="4" t="s">
        <v>4507</v>
      </c>
      <c r="F402" s="5" t="str">
        <f>IFERROR(__xludf.DUMMYFUNCTION("GOOGLETRANSLATE(A402, ""en"", ""hi"")"),"401")</f>
        <v>401</v>
      </c>
      <c r="G402" s="5" t="str">
        <f>IFERROR(__xludf.DUMMYFUNCTION("GOOGLETRANSLATE(B402, ""en"", ""hi"")"),"लागोरी का पहला लिखित विवरण किस काल में देखा गया?")</f>
        <v>लागोरी का पहला लिखित विवरण किस काल में देखा गया?</v>
      </c>
      <c r="H402" s="5" t="str">
        <f>IFERROR(__xludf.DUMMYFUNCTION("GOOGLETRANSLATE(C402, ""en"", ""hi"")"),"A) प्राचीन भारतीय, B) मध्यकालीन भारतीय, C) औपनिवेशिक भारतीय, D) उत्तर-औपनिवेशिक भारतीय")</f>
        <v>A) प्राचीन भारतीय, B) मध्यकालीन भारतीय, C) औपनिवेशिक भारतीय, D) उत्तर-औपनिवेशिक भारतीय</v>
      </c>
      <c r="I402" s="5" t="str">
        <f>IFERROR(__xludf.DUMMYFUNCTION("GOOGLETRANSLATE(D402, ""en"", ""hi"")"),"A) प्राचीन भारतीय")</f>
        <v>A) प्राचीन भारतीय</v>
      </c>
    </row>
    <row r="403" ht="22.5" customHeight="1">
      <c r="A403" s="3">
        <v>402.0</v>
      </c>
      <c r="B403" s="4" t="s">
        <v>4508</v>
      </c>
      <c r="C403" s="4" t="s">
        <v>4509</v>
      </c>
      <c r="D403" s="4" t="s">
        <v>3301</v>
      </c>
      <c r="F403" s="5" t="str">
        <f>IFERROR(__xludf.DUMMYFUNCTION("GOOGLETRANSLATE(A403, ""en"", ""hi"")"),"402")</f>
        <v>402</v>
      </c>
      <c r="G403" s="5" t="str">
        <f>IFERROR(__xludf.DUMMYFUNCTION("GOOGLETRANSLATE(B403, ""en"", ""hi"")"),"किस राजा ने अपने दरबारियों के बीच लागोरी को लोकप्रिय बनाया?")</f>
        <v>किस राजा ने अपने दरबारियों के बीच लागोरी को लोकप्रिय बनाया?</v>
      </c>
      <c r="H403" s="5" t="str">
        <f>IFERROR(__xludf.DUMMYFUNCTION("GOOGLETRANSLATE(C403, ""en"", ""hi"")"),"A) चंद्रगुप्त मौर्य, B) अशोक महान, C) शिवाजी महाराज, D) अकबर महान")</f>
        <v>A) चंद्रगुप्त मौर्य, B) अशोक महान, C) शिवाजी महाराज, D) अकबर महान</v>
      </c>
      <c r="I403" s="5" t="str">
        <f>IFERROR(__xludf.DUMMYFUNCTION("GOOGLETRANSLATE(D403, ""en"", ""hi"")"),"C) शिवाजी महाराज")</f>
        <v>C) शिवाजी महाराज</v>
      </c>
    </row>
    <row r="404" ht="22.5" customHeight="1">
      <c r="A404" s="3">
        <v>403.0</v>
      </c>
      <c r="B404" s="4" t="s">
        <v>4510</v>
      </c>
      <c r="C404" s="4" t="s">
        <v>4511</v>
      </c>
      <c r="D404" s="4" t="s">
        <v>4512</v>
      </c>
      <c r="F404" s="5" t="str">
        <f>IFERROR(__xludf.DUMMYFUNCTION("GOOGLETRANSLATE(A404, ""en"", ""hi"")"),"403")</f>
        <v>403</v>
      </c>
      <c r="G404" s="5" t="str">
        <f>IFERROR(__xludf.DUMMYFUNCTION("GOOGLETRANSLATE(B404, ""en"", ""hi"")"),"लागोरी की ऐतिहासिक लोकप्रियता का प्राथमिक स्रोत क्या है?")</f>
        <v>लागोरी की ऐतिहासिक लोकप्रियता का प्राथमिक स्रोत क्या है?</v>
      </c>
      <c r="H404" s="5" t="str">
        <f>IFERROR(__xludf.DUMMYFUNCTION("GOOGLETRANSLATE(C404, ""en"", ""hi"")"),"A) शाही समर्थन, B) मौखिक परंपरा, C) धार्मिक ग्रंथ, D) ऐतिहासिक चित्रकारी")</f>
        <v>A) शाही समर्थन, B) मौखिक परंपरा, C) धार्मिक ग्रंथ, D) ऐतिहासिक चित्रकारी</v>
      </c>
      <c r="I404" s="5" t="str">
        <f>IFERROR(__xludf.DUMMYFUNCTION("GOOGLETRANSLATE(D404, ""en"", ""hi"")"),"बी) मौखिक परंपरा")</f>
        <v>बी) मौखिक परंपरा</v>
      </c>
    </row>
    <row r="405" ht="22.5" customHeight="1">
      <c r="A405" s="3">
        <v>404.0</v>
      </c>
      <c r="B405" s="4" t="s">
        <v>4513</v>
      </c>
      <c r="C405" s="4" t="s">
        <v>4514</v>
      </c>
      <c r="D405" s="4" t="s">
        <v>842</v>
      </c>
      <c r="F405" s="5" t="str">
        <f>IFERROR(__xludf.DUMMYFUNCTION("GOOGLETRANSLATE(A405, ""en"", ""hi"")"),"404")</f>
        <v>404</v>
      </c>
      <c r="G405" s="5" t="str">
        <f>IFERROR(__xludf.DUMMYFUNCTION("GOOGLETRANSLATE(B405, ""en"", ""hi"")"),"किस क्षेत्र में लागोरी को 'लिंगोर' के नाम से भी जाना जाता है?")</f>
        <v>किस क्षेत्र में लागोरी को 'लिंगोर' के नाम से भी जाना जाता है?</v>
      </c>
      <c r="H405" s="5" t="str">
        <f>IFERROR(__xludf.DUMMYFUNCTION("GOOGLETRANSLATE(C405, ""en"", ""hi"")"),"ए) गुजरात, बी) कर्नाटक, सी) महाराष्ट्र, डी) तमिलनाडु")</f>
        <v>ए) गुजरात, बी) कर्नाटक, सी) महाराष्ट्र, डी) तमिलनाडु</v>
      </c>
      <c r="I405" s="5" t="str">
        <f>IFERROR(__xludf.DUMMYFUNCTION("GOOGLETRANSLATE(D405, ""en"", ""hi"")"),"C) महाराष्ट्र")</f>
        <v>C) महाराष्ट्र</v>
      </c>
    </row>
    <row r="406" ht="22.5" customHeight="1">
      <c r="A406" s="3">
        <v>405.0</v>
      </c>
      <c r="B406" s="4" t="s">
        <v>4515</v>
      </c>
      <c r="C406" s="4" t="s">
        <v>4516</v>
      </c>
      <c r="D406" s="4" t="s">
        <v>4517</v>
      </c>
      <c r="F406" s="5" t="str">
        <f>IFERROR(__xludf.DUMMYFUNCTION("GOOGLETRANSLATE(A406, ""en"", ""hi"")"),"405")</f>
        <v>405</v>
      </c>
      <c r="G406" s="5" t="str">
        <f>IFERROR(__xludf.DUMMYFUNCTION("GOOGLETRANSLATE(B406, ""en"", ""hi"")"),"गेमप्ले के संदर्भ में लागोरी की तुलना अक्सर किस गेम से की जाती है?")</f>
        <v>गेमप्ले के संदर्भ में लागोरी की तुलना अक्सर किस गेम से की जाती है?</v>
      </c>
      <c r="H406" s="5" t="str">
        <f>IFERROR(__xludf.DUMMYFUNCTION("GOOGLETRANSLATE(C406, ""en"", ""hi"")"),"A) फुटबॉल, B) क्रिकेट, C) बेसबॉल, D) डॉजबॉल")</f>
        <v>A) फुटबॉल, B) क्रिकेट, C) बेसबॉल, D) डॉजबॉल</v>
      </c>
      <c r="I406" s="5" t="str">
        <f>IFERROR(__xludf.DUMMYFUNCTION("GOOGLETRANSLATE(D406, ""en"", ""hi"")"),"डी) डॉजबॉल")</f>
        <v>डी) डॉजबॉल</v>
      </c>
    </row>
    <row r="407" ht="22.5" customHeight="1">
      <c r="A407" s="3">
        <v>406.0</v>
      </c>
      <c r="B407" s="4" t="s">
        <v>4518</v>
      </c>
      <c r="C407" s="4" t="s">
        <v>4519</v>
      </c>
      <c r="D407" s="4" t="s">
        <v>4520</v>
      </c>
      <c r="F407" s="5" t="str">
        <f>IFERROR(__xludf.DUMMYFUNCTION("GOOGLETRANSLATE(A407, ""en"", ""hi"")"),"406")</f>
        <v>406</v>
      </c>
      <c r="G407" s="5" t="str">
        <f>IFERROR(__xludf.DUMMYFUNCTION("GOOGLETRANSLATE(B407, ""en"", ""hi"")"),"प्राचीन भारतीय युद्ध प्रशिक्षण में लागोरी ने क्या ऐतिहासिक भूमिका निभाई?")</f>
        <v>प्राचीन भारतीय युद्ध प्रशिक्षण में लागोरी ने क्या ऐतिहासिक भूमिका निभाई?</v>
      </c>
      <c r="H407" s="5" t="str">
        <f>IFERROR(__xludf.DUMMYFUNCTION("GOOGLETRANSLATE(C407, ""en"", ""hi"")"),"A) शारीरिक सहनशक्ति, B) सामरिक रणनीतियाँ, C) हथियार प्रशिक्षण, D) टीम समन्वय")</f>
        <v>A) शारीरिक सहनशक्ति, B) सामरिक रणनीतियाँ, C) हथियार प्रशिक्षण, D) टीम समन्वय</v>
      </c>
      <c r="I407" s="5" t="str">
        <f>IFERROR(__xludf.DUMMYFUNCTION("GOOGLETRANSLATE(D407, ""en"", ""hi"")"),"डी) टीम समन्वय")</f>
        <v>डी) टीम समन्वय</v>
      </c>
    </row>
    <row r="408" ht="22.5" customHeight="1">
      <c r="A408" s="3">
        <v>407.0</v>
      </c>
      <c r="B408" s="4" t="s">
        <v>4521</v>
      </c>
      <c r="C408" s="4" t="s">
        <v>4522</v>
      </c>
      <c r="D408" s="4" t="s">
        <v>4355</v>
      </c>
      <c r="F408" s="5" t="str">
        <f>IFERROR(__xludf.DUMMYFUNCTION("GOOGLETRANSLATE(A408, ""en"", ""hi"")"),"407")</f>
        <v>407</v>
      </c>
      <c r="G408" s="5" t="str">
        <f>IFERROR(__xludf.DUMMYFUNCTION("GOOGLETRANSLATE(B408, ""en"", ""hi"")"),"कौन सा पारंपरिक भारतीय खेल लागोरी के समान है और इसमें पत्थर शामिल होते हैं?")</f>
        <v>कौन सा पारंपरिक भारतीय खेल लागोरी के समान है और इसमें पत्थर शामिल होते हैं?</v>
      </c>
      <c r="H408" s="5" t="str">
        <f>IFERROR(__xludf.DUMMYFUNCTION("GOOGLETRANSLATE(C408, ""en"", ""hi"")"),"ए) गिल्ली डंडा, बी) सातोलिया, सी) खो-खो, डी) कबड्डी")</f>
        <v>ए) गिल्ली डंडा, बी) सातोलिया, सी) खो-खो, डी) कबड्डी</v>
      </c>
      <c r="I408" s="5" t="str">
        <f>IFERROR(__xludf.DUMMYFUNCTION("GOOGLETRANSLATE(D408, ""en"", ""hi"")"),"बी) सतोलिया")</f>
        <v>बी) सतोलिया</v>
      </c>
    </row>
    <row r="409" ht="22.5" customHeight="1">
      <c r="A409" s="3">
        <v>408.0</v>
      </c>
      <c r="B409" s="4" t="s">
        <v>4523</v>
      </c>
      <c r="C409" s="4" t="s">
        <v>4524</v>
      </c>
      <c r="D409" s="4" t="s">
        <v>4525</v>
      </c>
      <c r="F409" s="5" t="str">
        <f>IFERROR(__xludf.DUMMYFUNCTION("GOOGLETRANSLATE(A409, ""en"", ""hi"")"),"408")</f>
        <v>408</v>
      </c>
      <c r="G409" s="5" t="str">
        <f>IFERROR(__xludf.DUMMYFUNCTION("GOOGLETRANSLATE(B409, ""en"", ""hi"")"),"लागोरी का उल्लेख निम्नलिखित में से किस प्राचीन ग्रंथ में किया गया है?")</f>
        <v>लागोरी का उल्लेख निम्नलिखित में से किस प्राचीन ग्रंथ में किया गया है?</v>
      </c>
      <c r="H409" s="5" t="str">
        <f>IFERROR(__xludf.DUMMYFUNCTION("GOOGLETRANSLATE(C409, ""en"", ""hi"")"),"ए) ऋग्वेद, बी) उपनिषद, सी) महाभारत, डी) रामायण")</f>
        <v>ए) ऋग्वेद, बी) उपनिषद, सी) महाभारत, डी) रामायण</v>
      </c>
      <c r="I409" s="5" t="str">
        <f>IFERROR(__xludf.DUMMYFUNCTION("GOOGLETRANSLATE(D409, ""en"", ""hi"")"),"D) रामायण")</f>
        <v>D) रामायण</v>
      </c>
    </row>
    <row r="410" ht="22.5" customHeight="1">
      <c r="A410" s="3">
        <v>409.0</v>
      </c>
      <c r="B410" s="4" t="s">
        <v>4526</v>
      </c>
      <c r="C410" s="4" t="s">
        <v>4527</v>
      </c>
      <c r="D410" s="4" t="s">
        <v>4442</v>
      </c>
      <c r="F410" s="5" t="str">
        <f>IFERROR(__xludf.DUMMYFUNCTION("GOOGLETRANSLATE(A410, ""en"", ""hi"")"),"409")</f>
        <v>409</v>
      </c>
      <c r="G410" s="5" t="str">
        <f>IFERROR(__xludf.DUMMYFUNCTION("GOOGLETRANSLATE(B410, ""en"", ""hi"")"),"प्राचीन भारत में लागोरी में प्रयुक्त होने वाली कौन सी पारंपरिक सामग्री प्रचलित थी?")</f>
        <v>प्राचीन भारत में लागोरी में प्रयुक्त होने वाली कौन सी पारंपरिक सामग्री प्रचलित थी?</v>
      </c>
      <c r="H410" s="5" t="str">
        <f>IFERROR(__xludf.DUMMYFUNCTION("GOOGLETRANSLATE(C410, ""en"", ""hi"")"),"A) मिट्टी, B) लकड़ी, C) धातु, D) पत्थर")</f>
        <v>A) मिट्टी, B) लकड़ी, C) धातु, D) पत्थर</v>
      </c>
      <c r="I410" s="5" t="str">
        <f>IFERROR(__xludf.DUMMYFUNCTION("GOOGLETRANSLATE(D410, ""en"", ""hi"")"),"D) पत्थर")</f>
        <v>D) पत्थर</v>
      </c>
    </row>
    <row r="411" ht="22.5" customHeight="1">
      <c r="A411" s="3">
        <v>410.0</v>
      </c>
      <c r="B411" s="4" t="s">
        <v>4528</v>
      </c>
      <c r="C411" s="4" t="s">
        <v>4529</v>
      </c>
      <c r="D411" s="4" t="s">
        <v>4530</v>
      </c>
      <c r="F411" s="5" t="str">
        <f>IFERROR(__xludf.DUMMYFUNCTION("GOOGLETRANSLATE(A411, ""en"", ""hi"")"),"410")</f>
        <v>410</v>
      </c>
      <c r="G411" s="5" t="str">
        <f>IFERROR(__xludf.DUMMYFUNCTION("GOOGLETRANSLATE(B411, ""en"", ""hi"")"),"लागोरी का कौन सा पहलू इसे भारत में सांस्कृतिक रूप से महत्वपूर्ण खेल बनाता है?")</f>
        <v>लागोरी का कौन सा पहलू इसे भारत में सांस्कृतिक रूप से महत्वपूर्ण खेल बनाता है?</v>
      </c>
      <c r="H411" s="5" t="str">
        <f>IFERROR(__xludf.DUMMYFUNCTION("GOOGLETRANSLATE(C411, ""en"", ""hi"")"),"A) इसकी ऐतिहासिक जड़ें, B) इसके आधुनिक रूपांतर, C) इसकी सरलता, D) इसका मनोरंजन मूल्य")</f>
        <v>A) इसकी ऐतिहासिक जड़ें, B) इसके आधुनिक रूपांतर, C) इसकी सरलता, D) इसका मनोरंजन मूल्य</v>
      </c>
      <c r="I411" s="5" t="str">
        <f>IFERROR(__xludf.DUMMYFUNCTION("GOOGLETRANSLATE(D411, ""en"", ""hi"")"),"A) इसकी ऐतिहासिक जड़ें")</f>
        <v>A) इसकी ऐतिहासिक जड़ें</v>
      </c>
    </row>
    <row r="412" ht="22.5" customHeight="1">
      <c r="A412" s="3">
        <v>411.0</v>
      </c>
      <c r="B412" s="4" t="s">
        <v>4531</v>
      </c>
      <c r="C412" s="4" t="s">
        <v>4532</v>
      </c>
      <c r="D412" s="4" t="s">
        <v>4533</v>
      </c>
      <c r="F412" s="5" t="str">
        <f>IFERROR(__xludf.DUMMYFUNCTION("GOOGLETRANSLATE(A412, ""en"", ""hi"")"),"411")</f>
        <v>411</v>
      </c>
      <c r="G412" s="5" t="str">
        <f>IFERROR(__xludf.DUMMYFUNCTION("GOOGLETRANSLATE(B412, ""en"", ""hi"")"),"भारत के किस राज्य में लागोरी को 'पिट्टू' के नाम से जाना जाता है?")</f>
        <v>भारत के किस राज्य में लागोरी को 'पिट्टू' के नाम से जाना जाता है?</v>
      </c>
      <c r="H412" s="5" t="str">
        <f>IFERROR(__xludf.DUMMYFUNCTION("GOOGLETRANSLATE(C412, ""en"", ""hi"")"),"A) आंध्र प्रदेश, B) तमिलनाडु, C) केरल, D) कर्नाटक")</f>
        <v>A) आंध्र प्रदेश, B) तमिलनाडु, C) केरल, D) कर्नाटक</v>
      </c>
      <c r="I412" s="5" t="str">
        <f>IFERROR(__xludf.DUMMYFUNCTION("GOOGLETRANSLATE(D412, ""en"", ""hi"")"),"A) आंध्र प्रदेश")</f>
        <v>A) आंध्र प्रदेश</v>
      </c>
    </row>
    <row r="413" ht="22.5" customHeight="1">
      <c r="A413" s="3">
        <v>412.0</v>
      </c>
      <c r="B413" s="4" t="s">
        <v>4534</v>
      </c>
      <c r="C413" s="4" t="s">
        <v>4535</v>
      </c>
      <c r="D413" s="4" t="s">
        <v>4536</v>
      </c>
      <c r="F413" s="5" t="str">
        <f>IFERROR(__xludf.DUMMYFUNCTION("GOOGLETRANSLATE(A413, ""en"", ""hi"")"),"412")</f>
        <v>412</v>
      </c>
      <c r="G413" s="5" t="str">
        <f>IFERROR(__xludf.DUMMYFUNCTION("GOOGLETRANSLATE(B413, ""en"", ""hi"")"),"लागोरी गेमप्ले के किस पहलू के लिए रणनीतिक सोच की आवश्यकता होती है?")</f>
        <v>लागोरी गेमप्ले के किस पहलू के लिए रणनीतिक सोच की आवश्यकता होती है?</v>
      </c>
      <c r="H413" s="5" t="str">
        <f>IFERROR(__xludf.DUMMYFUNCTION("GOOGLETRANSLATE(C413, ""en"", ""hi"")"),"A) पत्थरों का पुनर्निर्माण करना, B) गेंद फेंकना, C) गेंद पकड़ना, D) पत्थरों की रक्षा करना")</f>
        <v>A) पत्थरों का पुनर्निर्माण करना, B) गेंद फेंकना, C) गेंद पकड़ना, D) पत्थरों की रक्षा करना</v>
      </c>
      <c r="I413" s="5" t="str">
        <f>IFERROR(__xludf.DUMMYFUNCTION("GOOGLETRANSLATE(D413, ""en"", ""hi"")"),"D) पत्थरों की रक्षा करना")</f>
        <v>D) पत्थरों की रक्षा करना</v>
      </c>
    </row>
    <row r="414" ht="22.5" customHeight="1">
      <c r="A414" s="3">
        <v>413.0</v>
      </c>
      <c r="B414" s="4" t="s">
        <v>4537</v>
      </c>
      <c r="C414" s="4" t="s">
        <v>4538</v>
      </c>
      <c r="D414" s="4" t="s">
        <v>4539</v>
      </c>
      <c r="F414" s="5" t="str">
        <f>IFERROR(__xludf.DUMMYFUNCTION("GOOGLETRANSLATE(A414, ""en"", ""hi"")"),"413")</f>
        <v>413</v>
      </c>
      <c r="G414" s="5" t="str">
        <f>IFERROR(__xludf.DUMMYFUNCTION("GOOGLETRANSLATE(B414, ""en"", ""hi"")"),"किस ऐतिहासिक घटना के कारण लागोरी का औपचारिक दस्तावेजीकरण हुआ?")</f>
        <v>किस ऐतिहासिक घटना के कारण लागोरी का औपचारिक दस्तावेजीकरण हुआ?</v>
      </c>
      <c r="H414" s="5" t="str">
        <f>IFERROR(__xludf.DUMMYFUNCTION("GOOGLETRANSLATE(C414, ""en"", ""hi"")"),"A) ब्रिटिश उपनिवेशवाद, B) भारतीय स्वतंत्रता, C) प्राचीन शाही संरक्षण, D) आधुनिक शैक्षिक सुधार")</f>
        <v>A) ब्रिटिश उपनिवेशवाद, B) भारतीय स्वतंत्रता, C) प्राचीन शाही संरक्षण, D) आधुनिक शैक्षिक सुधार</v>
      </c>
      <c r="I414" s="5" t="str">
        <f>IFERROR(__xludf.DUMMYFUNCTION("GOOGLETRANSLATE(D414, ""en"", ""hi"")"),"C) प्राचीन शाही संरक्षण")</f>
        <v>C) प्राचीन शाही संरक्षण</v>
      </c>
    </row>
    <row r="415" ht="22.5" customHeight="1">
      <c r="A415" s="3">
        <v>414.0</v>
      </c>
      <c r="B415" s="4" t="s">
        <v>4540</v>
      </c>
      <c r="C415" s="4" t="s">
        <v>4541</v>
      </c>
      <c r="D415" s="4" t="s">
        <v>4542</v>
      </c>
      <c r="F415" s="5" t="str">
        <f>IFERROR(__xludf.DUMMYFUNCTION("GOOGLETRANSLATE(A415, ""en"", ""hi"")"),"414")</f>
        <v>414</v>
      </c>
      <c r="G415" s="5" t="str">
        <f>IFERROR(__xludf.DUMMYFUNCTION("GOOGLETRANSLATE(B415, ""en"", ""hi"")"),"लागोरी बजाने के लिए कौन सी पारंपरिक सेटिंग आदर्श है?")</f>
        <v>लागोरी बजाने के लिए कौन सी पारंपरिक सेटिंग आदर्श है?</v>
      </c>
      <c r="H415" s="5" t="str">
        <f>IFERROR(__xludf.DUMMYFUNCTION("GOOGLETRANSLATE(C415, ""en"", ""hi"")"),"A) सार्वजनिक मैदान, B) निजी कोर्ट, C) मंदिर परिसर, D) स्कूल के खेल के मैदान")</f>
        <v>A) सार्वजनिक मैदान, B) निजी कोर्ट, C) मंदिर परिसर, D) स्कूल के खेल के मैदान</v>
      </c>
      <c r="I415" s="5" t="str">
        <f>IFERROR(__xludf.DUMMYFUNCTION("GOOGLETRANSLATE(D415, ""en"", ""hi"")"),"ए) सार्वजनिक मैदान")</f>
        <v>ए) सार्वजनिक मैदान</v>
      </c>
    </row>
    <row r="416" ht="22.5" customHeight="1">
      <c r="A416" s="3">
        <v>415.0</v>
      </c>
      <c r="B416" s="4" t="s">
        <v>4543</v>
      </c>
      <c r="C416" s="4" t="s">
        <v>4544</v>
      </c>
      <c r="D416" s="4" t="s">
        <v>2556</v>
      </c>
      <c r="F416" s="5" t="str">
        <f>IFERROR(__xludf.DUMMYFUNCTION("GOOGLETRANSLATE(A416, ""en"", ""hi"")"),"415")</f>
        <v>415</v>
      </c>
      <c r="G416" s="5" t="str">
        <f>IFERROR(__xludf.DUMMYFUNCTION("GOOGLETRANSLATE(B416, ""en"", ""hi"")"),"कौन सा भारतीय सम्राट अपने शासनकाल के दौरान लागोरी जैसे पारंपरिक खेलों का आनंद लेने के लिए जाना जाता था?")</f>
        <v>कौन सा भारतीय सम्राट अपने शासनकाल के दौरान लागोरी जैसे पारंपरिक खेलों का आनंद लेने के लिए जाना जाता था?</v>
      </c>
      <c r="H416" s="5" t="str">
        <f>IFERROR(__xludf.DUMMYFUNCTION("GOOGLETRANSLATE(C416, ""en"", ""hi"")"),"A) अकबर, B) औरंगजेब, C) बाबर, D) शाहजहाँ")</f>
        <v>A) अकबर, B) औरंगजेब, C) बाबर, D) शाहजहाँ</v>
      </c>
      <c r="I416" s="5" t="str">
        <f>IFERROR(__xludf.DUMMYFUNCTION("GOOGLETRANSLATE(D416, ""en"", ""hi"")"),"A) अकबर")</f>
        <v>A) अकबर</v>
      </c>
    </row>
    <row r="417" ht="22.5" customHeight="1">
      <c r="A417" s="3">
        <v>416.0</v>
      </c>
      <c r="B417" s="4" t="s">
        <v>4545</v>
      </c>
      <c r="C417" s="4" t="s">
        <v>4546</v>
      </c>
      <c r="D417" s="4" t="s">
        <v>2811</v>
      </c>
      <c r="F417" s="5" t="str">
        <f>IFERROR(__xludf.DUMMYFUNCTION("GOOGLETRANSLATE(A417, ""en"", ""hi"")"),"416")</f>
        <v>416</v>
      </c>
      <c r="G417" s="5" t="str">
        <f>IFERROR(__xludf.DUMMYFUNCTION("GOOGLETRANSLATE(B417, ""en"", ""hi"")"),"प्राचीन भारतीय ग्रंथों में लागोरी को अक्सर किससे जोड़ा जाता है?")</f>
        <v>प्राचीन भारतीय ग्रंथों में लागोरी को अक्सर किससे जोड़ा जाता है?</v>
      </c>
      <c r="H417" s="5" t="str">
        <f>IFERROR(__xludf.DUMMYFUNCTION("GOOGLETRANSLATE(C417, ""en"", ""hi"")"),"A) शाही अवकाश, B) सैन्य प्रशिक्षण, C) धार्मिक समारोह, D) उत्सव समारोह")</f>
        <v>A) शाही अवकाश, B) सैन्य प्रशिक्षण, C) धार्मिक समारोह, D) उत्सव समारोह</v>
      </c>
      <c r="I417" s="5" t="str">
        <f>IFERROR(__xludf.DUMMYFUNCTION("GOOGLETRANSLATE(D417, ""en"", ""hi"")"),"बी) सैन्य प्रशिक्षण")</f>
        <v>बी) सैन्य प्रशिक्षण</v>
      </c>
    </row>
    <row r="418" ht="22.5" customHeight="1">
      <c r="A418" s="3">
        <v>417.0</v>
      </c>
      <c r="B418" s="4" t="s">
        <v>4547</v>
      </c>
      <c r="C418" s="4" t="s">
        <v>4548</v>
      </c>
      <c r="D418" s="4" t="s">
        <v>811</v>
      </c>
      <c r="F418" s="5" t="str">
        <f>IFERROR(__xludf.DUMMYFUNCTION("GOOGLETRANSLATE(A418, ""en"", ""hi"")"),"417")</f>
        <v>417</v>
      </c>
      <c r="G418" s="5" t="str">
        <f>IFERROR(__xludf.DUMMYFUNCTION("GOOGLETRANSLATE(B418, ""en"", ""hi"")"),"कौन सा भारतीय राज्य अपनी स्थानीय बोली में लागोरी को 'पिट्टू' कहता है?")</f>
        <v>कौन सा भारतीय राज्य अपनी स्थानीय बोली में लागोरी को 'पिट्टू' कहता है?</v>
      </c>
      <c r="H418" s="5" t="str">
        <f>IFERROR(__xludf.DUMMYFUNCTION("GOOGLETRANSLATE(C418, ""en"", ""hi"")"),"ए) पंजाब, बी) आंध्र प्रदेश, सी) कर्नाटक, डी) महाराष्ट्र")</f>
        <v>ए) पंजाब, बी) आंध्र प्रदेश, सी) कर्नाटक, डी) महाराष्ट्र</v>
      </c>
      <c r="I418" s="5" t="str">
        <f>IFERROR(__xludf.DUMMYFUNCTION("GOOGLETRANSLATE(D418, ""en"", ""hi"")"),"बी) आंध्र प्रदेश")</f>
        <v>बी) आंध्र प्रदेश</v>
      </c>
    </row>
    <row r="419" ht="22.5" customHeight="1">
      <c r="A419" s="3">
        <v>418.0</v>
      </c>
      <c r="B419" s="4" t="s">
        <v>4549</v>
      </c>
      <c r="C419" s="4" t="s">
        <v>4550</v>
      </c>
      <c r="D419" s="4" t="s">
        <v>3805</v>
      </c>
      <c r="F419" s="5" t="str">
        <f>IFERROR(__xludf.DUMMYFUNCTION("GOOGLETRANSLATE(A419, ""en"", ""hi"")"),"418")</f>
        <v>418</v>
      </c>
      <c r="G419" s="5" t="str">
        <f>IFERROR(__xludf.DUMMYFUNCTION("GOOGLETRANSLATE(B419, ""en"", ""hi"")"),"मध्यकालीन भारतीय गांवों में लागोरी की क्या भूमिका थी?")</f>
        <v>मध्यकालीन भारतीय गांवों में लागोरी की क्या भूमिका थी?</v>
      </c>
      <c r="H419" s="5" t="str">
        <f>IFERROR(__xludf.DUMMYFUNCTION("GOOGLETRANSLATE(C419, ""en"", ""hi"")"),"A) कौशल विकास, B) सामाजिक बंधन, C) अनुष्ठानिक अभ्यास, D) व्यापार")</f>
        <v>A) कौशल विकास, B) सामाजिक बंधन, C) अनुष्ठानिक अभ्यास, D) व्यापार</v>
      </c>
      <c r="I419" s="5" t="str">
        <f>IFERROR(__xludf.DUMMYFUNCTION("GOOGLETRANSLATE(D419, ""en"", ""hi"")"),"बी) सामाजिक बंधन")</f>
        <v>बी) सामाजिक बंधन</v>
      </c>
    </row>
    <row r="420" ht="22.5" customHeight="1">
      <c r="A420" s="3">
        <v>419.0</v>
      </c>
      <c r="B420" s="4" t="s">
        <v>4551</v>
      </c>
      <c r="C420" s="4" t="s">
        <v>4552</v>
      </c>
      <c r="D420" s="4" t="s">
        <v>4553</v>
      </c>
      <c r="F420" s="5" t="str">
        <f>IFERROR(__xludf.DUMMYFUNCTION("GOOGLETRANSLATE(A420, ""en"", ""hi"")"),"419")</f>
        <v>419</v>
      </c>
      <c r="G420" s="5" t="str">
        <f>IFERROR(__xludf.DUMMYFUNCTION("GOOGLETRANSLATE(B420, ""en"", ""hi"")"),"प्राचीन भारतीय काल में लागोरी की विशिष्ट स्थिति क्या थी?")</f>
        <v>प्राचीन भारतीय काल में लागोरी की विशिष्ट स्थिति क्या थी?</v>
      </c>
      <c r="H420" s="5" t="str">
        <f>IFERROR(__xludf.DUMMYFUNCTION("GOOGLETRANSLATE(C420, ""en"", ""hi"")"),"A) प्रांगण, B) युद्धक्षेत्र, C) मंदिर, D) नदी तट")</f>
        <v>A) प्रांगण, B) युद्धक्षेत्र, C) मंदिर, D) नदी तट</v>
      </c>
      <c r="I420" s="5" t="str">
        <f>IFERROR(__xludf.DUMMYFUNCTION("GOOGLETRANSLATE(D420, ""en"", ""hi"")"),"ए) आंगन")</f>
        <v>ए) आंगन</v>
      </c>
    </row>
    <row r="421" ht="22.5" customHeight="1">
      <c r="A421" s="3">
        <v>420.0</v>
      </c>
      <c r="B421" s="4" t="s">
        <v>4554</v>
      </c>
      <c r="C421" s="4" t="s">
        <v>4555</v>
      </c>
      <c r="D421" s="4" t="s">
        <v>4556</v>
      </c>
      <c r="F421" s="5" t="str">
        <f>IFERROR(__xludf.DUMMYFUNCTION("GOOGLETRANSLATE(A421, ""en"", ""hi"")"),"420")</f>
        <v>420</v>
      </c>
      <c r="G421" s="5" t="str">
        <f>IFERROR(__xludf.DUMMYFUNCTION("GOOGLETRANSLATE(B421, ""en"", ""hi"")"),"किस राजवंश को लागोरी को अपने दरबारी क्रियाकलापों में शामिल करने के लिए जाना जाता है?")</f>
        <v>किस राजवंश को लागोरी को अपने दरबारी क्रियाकलापों में शामिल करने के लिए जाना जाता है?</v>
      </c>
      <c r="H421" s="5" t="str">
        <f>IFERROR(__xludf.DUMMYFUNCTION("GOOGLETRANSLATE(C421, ""en"", ""hi"")"),"A) गुप्त वंश, B) चोल वंश, C) मुगल वंश, D) मौर्य वंश")</f>
        <v>A) गुप्त वंश, B) चोल वंश, C) मुगल वंश, D) मौर्य वंश</v>
      </c>
      <c r="I421" s="5" t="str">
        <f>IFERROR(__xludf.DUMMYFUNCTION("GOOGLETRANSLATE(D421, ""en"", ""hi"")"),"C) मुगल वंश")</f>
        <v>C) मुगल वंश</v>
      </c>
    </row>
    <row r="422" ht="22.5" customHeight="1">
      <c r="A422" s="3">
        <v>421.0</v>
      </c>
      <c r="B422" s="4" t="s">
        <v>4557</v>
      </c>
      <c r="C422" s="4" t="s">
        <v>4558</v>
      </c>
      <c r="D422" s="4" t="s">
        <v>3791</v>
      </c>
      <c r="F422" s="5" t="str">
        <f>IFERROR(__xludf.DUMMYFUNCTION("GOOGLETRANSLATE(A422, ""en"", ""hi"")"),"421")</f>
        <v>421</v>
      </c>
      <c r="G422" s="5" t="str">
        <f>IFERROR(__xludf.DUMMYFUNCTION("GOOGLETRANSLATE(B422, ""en"", ""hi"")"),"किस प्रसिद्ध ऐतिहासिक हस्ती ने बचपन में लागोरी खेला था और अक्सर उसे इसके प्रचार से जोड़ा जाता है?")</f>
        <v>किस प्रसिद्ध ऐतिहासिक हस्ती ने बचपन में लागोरी खेला था और अक्सर उसे इसके प्रचार से जोड़ा जाता है?</v>
      </c>
      <c r="H422" s="5" t="str">
        <f>IFERROR(__xludf.DUMMYFUNCTION("GOOGLETRANSLATE(C422, ""en"", ""hi"")"),"A) जवाहरलाल नेहरू, B) महात्मा गांधी, C) रवींद्रनाथ टैगोर, D) सरदार पटेल")</f>
        <v>A) जवाहरलाल नेहरू, B) महात्मा गांधी, C) रवींद्रनाथ टैगोर, D) सरदार पटेल</v>
      </c>
      <c r="I422" s="5" t="str">
        <f>IFERROR(__xludf.DUMMYFUNCTION("GOOGLETRANSLATE(D422, ""en"", ""hi"")"),"बी) महात्मा गांधी")</f>
        <v>बी) महात्मा गांधी</v>
      </c>
    </row>
    <row r="423" ht="22.5" customHeight="1">
      <c r="A423" s="3">
        <v>422.0</v>
      </c>
      <c r="B423" s="4" t="s">
        <v>4559</v>
      </c>
      <c r="C423" s="4" t="s">
        <v>4560</v>
      </c>
      <c r="D423" s="4" t="s">
        <v>4561</v>
      </c>
      <c r="F423" s="5" t="str">
        <f>IFERROR(__xludf.DUMMYFUNCTION("GOOGLETRANSLATE(A423, ""en"", ""hi"")"),"422")</f>
        <v>422</v>
      </c>
      <c r="G423" s="5" t="str">
        <f>IFERROR(__xludf.DUMMYFUNCTION("GOOGLETRANSLATE(B423, ""en"", ""hi"")"),"किस युग के दौरान लागोरी ने भारतीय राजघरानों के बीच एक आम खेल के रूप में लोकप्रियता हासिल की?")</f>
        <v>किस युग के दौरान लागोरी ने भारतीय राजघरानों के बीच एक आम खेल के रूप में लोकप्रियता हासिल की?</v>
      </c>
      <c r="H423" s="5" t="str">
        <f>IFERROR(__xludf.DUMMYFUNCTION("GOOGLETRANSLATE(C423, ""en"", ""hi"")"),"A) प्राचीन युग, B) मध्यकालीन युग, C) औपनिवेशिक युग, D) आधुनिक युग")</f>
        <v>A) प्राचीन युग, B) मध्यकालीन युग, C) औपनिवेशिक युग, D) आधुनिक युग</v>
      </c>
      <c r="I423" s="5" t="str">
        <f>IFERROR(__xludf.DUMMYFUNCTION("GOOGLETRANSLATE(D423, ""en"", ""hi"")"),"बी) मध्यकालीन युग")</f>
        <v>बी) मध्यकालीन युग</v>
      </c>
    </row>
    <row r="424" ht="22.5" customHeight="1">
      <c r="A424" s="3">
        <v>423.0</v>
      </c>
      <c r="B424" s="4" t="s">
        <v>4562</v>
      </c>
      <c r="C424" s="4" t="s">
        <v>4563</v>
      </c>
      <c r="D424" s="4" t="s">
        <v>4564</v>
      </c>
      <c r="F424" s="5" t="str">
        <f>IFERROR(__xludf.DUMMYFUNCTION("GOOGLETRANSLATE(A424, ""en"", ""hi"")"),"423")</f>
        <v>423</v>
      </c>
      <c r="G424" s="5" t="str">
        <f>IFERROR(__xludf.DUMMYFUNCTION("GOOGLETRANSLATE(B424, ""en"", ""hi"")"),"प्राचीन भारत की शिक्षा प्रणाली में लागोरी का प्राथमिक उद्देश्य क्या था?")</f>
        <v>प्राचीन भारत की शिक्षा प्रणाली में लागोरी का प्राथमिक उद्देश्य क्या था?</v>
      </c>
      <c r="H424" s="5" t="str">
        <f>IFERROR(__xludf.DUMMYFUNCTION("GOOGLETRANSLATE(C424, ""en"", ""hi"")"),"A) संज्ञानात्मक विकास, B) शारीरिक फिटनेस, C) सामाजिक संपर्क, D) धार्मिक निर्देश")</f>
        <v>A) संज्ञानात्मक विकास, B) शारीरिक फिटनेस, C) सामाजिक संपर्क, D) धार्मिक निर्देश</v>
      </c>
      <c r="I424" s="5" t="str">
        <f>IFERROR(__xludf.DUMMYFUNCTION("GOOGLETRANSLATE(D424, ""en"", ""hi"")"),"बी) शारीरिक फिटनेस")</f>
        <v>बी) शारीरिक फिटनेस</v>
      </c>
    </row>
    <row r="425" ht="22.5" customHeight="1">
      <c r="A425" s="3">
        <v>424.0</v>
      </c>
      <c r="B425" s="4" t="s">
        <v>4565</v>
      </c>
      <c r="C425" s="4" t="s">
        <v>4566</v>
      </c>
      <c r="D425" s="4" t="s">
        <v>4112</v>
      </c>
      <c r="F425" s="5" t="str">
        <f>IFERROR(__xludf.DUMMYFUNCTION("GOOGLETRANSLATE(A425, ""en"", ""hi"")"),"424")</f>
        <v>424</v>
      </c>
      <c r="G425" s="5" t="str">
        <f>IFERROR(__xludf.DUMMYFUNCTION("GOOGLETRANSLATE(B425, ""en"", ""hi"")"),"किस भारतीय क्षेत्र में लागोरी का एक ऐतिहासिक रूप 'सतोलिया' के नाम से जाना जाता है?")</f>
        <v>किस भारतीय क्षेत्र में लागोरी का एक ऐतिहासिक रूप 'सतोलिया' के नाम से जाना जाता है?</v>
      </c>
      <c r="H425" s="5" t="str">
        <f>IFERROR(__xludf.DUMMYFUNCTION("GOOGLETRANSLATE(C425, ""en"", ""hi"")"),"ए) तमिलनाडु, बी) राजस्थान, सी) पंजाब, डी) गुजरात")</f>
        <v>ए) तमिलनाडु, बी) राजस्थान, सी) पंजाब, डी) गुजरात</v>
      </c>
      <c r="I425" s="5" t="str">
        <f>IFERROR(__xludf.DUMMYFUNCTION("GOOGLETRANSLATE(D425, ""en"", ""hi"")"),"बी) राजस्थान")</f>
        <v>बी) राजस्थान</v>
      </c>
    </row>
    <row r="426" ht="22.5" customHeight="1">
      <c r="A426" s="3">
        <v>425.0</v>
      </c>
      <c r="B426" s="4" t="s">
        <v>4567</v>
      </c>
      <c r="C426" s="4" t="s">
        <v>4360</v>
      </c>
      <c r="D426" s="4" t="s">
        <v>4361</v>
      </c>
      <c r="F426" s="5" t="str">
        <f>IFERROR(__xludf.DUMMYFUNCTION("GOOGLETRANSLATE(A426, ""en"", ""hi"")"),"425")</f>
        <v>425</v>
      </c>
      <c r="G426" s="5" t="str">
        <f>IFERROR(__xludf.DUMMYFUNCTION("GOOGLETRANSLATE(B426, ""en"", ""hi"")"),"प्रमुख फसल उत्सवों के दौरान पारंपरिक रूप से लागोरी किस क्षेत्र में बजाई जाती थी?")</f>
        <v>प्रमुख फसल उत्सवों के दौरान पारंपरिक रूप से लागोरी किस क्षेत्र में बजाई जाती थी?</v>
      </c>
      <c r="H426" s="5" t="str">
        <f>IFERROR(__xludf.DUMMYFUNCTION("GOOGLETRANSLATE(C426, ""en"", ""hi"")"),"A) उत्तर भारत, B) दक्षिण भारत, C) पूर्वी भारत, D) पश्चिम भारत")</f>
        <v>A) उत्तर भारत, B) दक्षिण भारत, C) पूर्वी भारत, D) पश्चिम भारत</v>
      </c>
      <c r="I426" s="5" t="str">
        <f>IFERROR(__xludf.DUMMYFUNCTION("GOOGLETRANSLATE(D426, ""en"", ""hi"")"),"A) उत्तर भारत")</f>
        <v>A) उत्तर भारत</v>
      </c>
    </row>
    <row r="427" ht="22.5" customHeight="1">
      <c r="A427" s="3">
        <v>426.0</v>
      </c>
      <c r="B427" s="4" t="s">
        <v>4568</v>
      </c>
      <c r="C427" s="4" t="s">
        <v>4569</v>
      </c>
      <c r="D427" s="4" t="s">
        <v>3996</v>
      </c>
      <c r="F427" s="5" t="str">
        <f>IFERROR(__xludf.DUMMYFUNCTION("GOOGLETRANSLATE(A427, ""en"", ""hi"")"),"426")</f>
        <v>426</v>
      </c>
      <c r="G427" s="5" t="str">
        <f>IFERROR(__xludf.DUMMYFUNCTION("GOOGLETRANSLATE(B427, ""en"", ""hi"")"),"किस प्राचीन ग्रंथ में लागोरी जैसे खेलों का उल्लेख मिलता है?")</f>
        <v>किस प्राचीन ग्रंथ में लागोरी जैसे खेलों का उल्लेख मिलता है?</v>
      </c>
      <c r="H427" s="5" t="str">
        <f>IFERROR(__xludf.DUMMYFUNCTION("GOOGLETRANSLATE(C427, ""en"", ""hi"")"),"ए) वेद, बी) उपनिषद, सी) रामायण, डी) महाभारत")</f>
        <v>ए) वेद, बी) उपनिषद, सी) रामायण, डी) महाभारत</v>
      </c>
      <c r="I427" s="5" t="str">
        <f>IFERROR(__xludf.DUMMYFUNCTION("GOOGLETRANSLATE(D427, ""en"", ""hi"")"),"D) महाभारत")</f>
        <v>D) महाभारत</v>
      </c>
    </row>
    <row r="428" ht="22.5" customHeight="1">
      <c r="A428" s="3">
        <v>427.0</v>
      </c>
      <c r="B428" s="4" t="s">
        <v>4570</v>
      </c>
      <c r="C428" s="4" t="s">
        <v>4571</v>
      </c>
      <c r="D428" s="4" t="s">
        <v>4572</v>
      </c>
      <c r="F428" s="5" t="str">
        <f>IFERROR(__xludf.DUMMYFUNCTION("GOOGLETRANSLATE(A428, ""en"", ""hi"")"),"427")</f>
        <v>427</v>
      </c>
      <c r="G428" s="5" t="str">
        <f>IFERROR(__xludf.DUMMYFUNCTION("GOOGLETRANSLATE(B428, ""en"", ""hi"")"),"किस ऐतिहासिक काल में लागोरी को भारतीय साहित्य में औपचारिक रूप से दर्ज किया गया?")</f>
        <v>किस ऐतिहासिक काल में लागोरी को भारतीय साहित्य में औपचारिक रूप से दर्ज किया गया?</v>
      </c>
      <c r="H428" s="5" t="str">
        <f>IFERROR(__xludf.DUMMYFUNCTION("GOOGLETRANSLATE(C428, ""en"", ""hi"")"),"A) वैदिक काल, B) मौर्य काल, C) गुप्त काल, D) मुगल काल")</f>
        <v>A) वैदिक काल, B) मौर्य काल, C) गुप्त काल, D) मुगल काल</v>
      </c>
      <c r="I428" s="5" t="str">
        <f>IFERROR(__xludf.DUMMYFUNCTION("GOOGLETRANSLATE(D428, ""en"", ""hi"")"),"C) गुप्त काल")</f>
        <v>C) गुप्त काल</v>
      </c>
    </row>
    <row r="429" ht="22.5" customHeight="1">
      <c r="A429" s="3">
        <v>428.0</v>
      </c>
      <c r="B429" s="4" t="s">
        <v>4573</v>
      </c>
      <c r="C429" s="4" t="s">
        <v>4522</v>
      </c>
      <c r="D429" s="4" t="s">
        <v>4355</v>
      </c>
      <c r="F429" s="5" t="str">
        <f>IFERROR(__xludf.DUMMYFUNCTION("GOOGLETRANSLATE(A429, ""en"", ""hi"")"),"428")</f>
        <v>428</v>
      </c>
      <c r="G429" s="5" t="str">
        <f>IFERROR(__xludf.DUMMYFUNCTION("GOOGLETRANSLATE(B429, ""en"", ""hi"")"),"कौन सा पारंपरिक भारतीय खेल लागोरी से समानता रखता है और इसमें गेंद और पत्थर शामिल होते हैं?")</f>
        <v>कौन सा पारंपरिक भारतीय खेल लागोरी से समानता रखता है और इसमें गेंद और पत्थर शामिल होते हैं?</v>
      </c>
      <c r="H429" s="5" t="str">
        <f>IFERROR(__xludf.DUMMYFUNCTION("GOOGLETRANSLATE(C429, ""en"", ""hi"")"),"ए) गिल्ली डंडा, बी) सातोलिया, सी) खो-खो, डी) कबड्डी")</f>
        <v>ए) गिल्ली डंडा, बी) सातोलिया, सी) खो-खो, डी) कबड्डी</v>
      </c>
      <c r="I429" s="5" t="str">
        <f>IFERROR(__xludf.DUMMYFUNCTION("GOOGLETRANSLATE(D429, ""en"", ""hi"")"),"बी) सतोलिया")</f>
        <v>बी) सतोलिया</v>
      </c>
    </row>
    <row r="430" ht="22.5" customHeight="1">
      <c r="A430" s="3">
        <v>429.0</v>
      </c>
      <c r="B430" s="4" t="s">
        <v>4574</v>
      </c>
      <c r="C430" s="4" t="s">
        <v>4575</v>
      </c>
      <c r="D430" s="4" t="s">
        <v>4576</v>
      </c>
      <c r="F430" s="5" t="str">
        <f>IFERROR(__xludf.DUMMYFUNCTION("GOOGLETRANSLATE(A430, ""en"", ""hi"")"),"429")</f>
        <v>429</v>
      </c>
      <c r="G430" s="5" t="str">
        <f>IFERROR(__xludf.DUMMYFUNCTION("GOOGLETRANSLATE(B430, ""en"", ""hi"")"),"भारतीय त्योहारों में लागोरी खेल का ऐतिहासिक महत्व क्या है?")</f>
        <v>भारतीय त्योहारों में लागोरी खेल का ऐतिहासिक महत्व क्या है?</v>
      </c>
      <c r="H430" s="5" t="str">
        <f>IFERROR(__xludf.DUMMYFUNCTION("GOOGLETRANSLATE(C430, ""en"", ""hi"")"),"A) यह समृद्धि का प्रतीक है, B) यह एकता का जश्न मनाता है, C) यह विजय का प्रतिनिधित्व करता है, D) यह फसल की समाप्ति का प्रतीक है")</f>
        <v>A) यह समृद्धि का प्रतीक है, B) यह एकता का जश्न मनाता है, C) यह विजय का प्रतिनिधित्व करता है, D) यह फसल की समाप्ति का प्रतीक है</v>
      </c>
      <c r="I430" s="5" t="str">
        <f>IFERROR(__xludf.DUMMYFUNCTION("GOOGLETRANSLATE(D430, ""en"", ""hi"")"),"B) यह एकता का जश्न मनाता है")</f>
        <v>B) यह एकता का जश्न मनाता है</v>
      </c>
    </row>
    <row r="431" ht="22.5" customHeight="1">
      <c r="A431" s="3">
        <v>430.0</v>
      </c>
      <c r="B431" s="4" t="s">
        <v>4577</v>
      </c>
      <c r="C431" s="4" t="s">
        <v>4578</v>
      </c>
      <c r="D431" s="4" t="s">
        <v>4579</v>
      </c>
      <c r="F431" s="5" t="str">
        <f>IFERROR(__xludf.DUMMYFUNCTION("GOOGLETRANSLATE(A431, ""en"", ""hi"")"),"430")</f>
        <v>430</v>
      </c>
      <c r="G431" s="5" t="str">
        <f>IFERROR(__xludf.DUMMYFUNCTION("GOOGLETRANSLATE(B431, ""en"", ""hi"")"),"किस राजा के बारे में कहा जाता है कि वह अपने खाली समय में लागोरी खेला करता था?")</f>
        <v>किस राजा के बारे में कहा जाता है कि वह अपने खाली समय में लागोरी खेला करता था?</v>
      </c>
      <c r="H431" s="5" t="str">
        <f>IFERROR(__xludf.DUMMYFUNCTION("GOOGLETRANSLATE(C431, ""en"", ""hi"")"),"A) राजा अशोक, B) राजा चंद्रगुप्त, C) राजा शिवाजी, D) राजा अकबर")</f>
        <v>A) राजा अशोक, B) राजा चंद्रगुप्त, C) राजा शिवाजी, D) राजा अकबर</v>
      </c>
      <c r="I431" s="5" t="str">
        <f>IFERROR(__xludf.DUMMYFUNCTION("GOOGLETRANSLATE(D431, ""en"", ""hi"")"),"C) राजा शिवाजी")</f>
        <v>C) राजा शिवाजी</v>
      </c>
    </row>
    <row r="432" ht="22.5" customHeight="1">
      <c r="A432" s="3">
        <v>431.0</v>
      </c>
      <c r="B432" s="4" t="s">
        <v>4580</v>
      </c>
      <c r="C432" s="4" t="s">
        <v>4581</v>
      </c>
      <c r="D432" s="4" t="s">
        <v>4582</v>
      </c>
      <c r="F432" s="5" t="str">
        <f>IFERROR(__xludf.DUMMYFUNCTION("GOOGLETRANSLATE(A432, ""en"", ""hi"")"),"431")</f>
        <v>431</v>
      </c>
      <c r="G432" s="5" t="str">
        <f>IFERROR(__xludf.DUMMYFUNCTION("GOOGLETRANSLATE(B432, ""en"", ""hi"")"),"किस प्राचीन भारतीय परिवेश में बच्चों द्वारा लागोरी खेली जाती थी?")</f>
        <v>किस प्राचीन भारतीय परिवेश में बच्चों द्वारा लागोरी खेली जाती थी?</v>
      </c>
      <c r="H432" s="5" t="str">
        <f>IFERROR(__xludf.DUMMYFUNCTION("GOOGLETRANSLATE(C432, ""en"", ""hi"")"),"A) गाँव, B) शाही दरबार, C) मंदिर, D) शैक्षणिक संस्थान")</f>
        <v>A) गाँव, B) शाही दरबार, C) मंदिर, D) शैक्षणिक संस्थान</v>
      </c>
      <c r="I432" s="5" t="str">
        <f>IFERROR(__xludf.DUMMYFUNCTION("GOOGLETRANSLATE(D432, ""en"", ""hi"")"),"ए) गाँव")</f>
        <v>ए) गाँव</v>
      </c>
    </row>
    <row r="433" ht="22.5" customHeight="1">
      <c r="A433" s="3">
        <v>432.0</v>
      </c>
      <c r="B433" s="4" t="s">
        <v>4583</v>
      </c>
      <c r="C433" s="4" t="s">
        <v>4584</v>
      </c>
      <c r="D433" s="4" t="s">
        <v>4585</v>
      </c>
      <c r="F433" s="5" t="str">
        <f>IFERROR(__xludf.DUMMYFUNCTION("GOOGLETRANSLATE(A433, ""en"", ""hi"")"),"432")</f>
        <v>432</v>
      </c>
      <c r="G433" s="5" t="str">
        <f>IFERROR(__xludf.DUMMYFUNCTION("GOOGLETRANSLATE(B433, ""en"", ""hi"")"),"पारंपरिक भारतीय खेलों के साथ लागोरी का मुख्य ऐतिहासिक जुड़ाव क्या है?")</f>
        <v>पारंपरिक भारतीय खेलों के साथ लागोरी का मुख्य ऐतिहासिक जुड़ाव क्या है?</v>
      </c>
      <c r="H433" s="5" t="str">
        <f>IFERROR(__xludf.DUMMYFUNCTION("GOOGLETRANSLATE(C433, ""en"", ""hi"")"),"A) इसका प्रयोग सैनिकों को प्रशिक्षण देने के लिए किया जाता था, B) यह एक शाही मनोरंजन था, C) यह एक सामुदायिक खेल था, D) यह एक अनुष्ठानिक गतिविधि थी")</f>
        <v>A) इसका प्रयोग सैनिकों को प्रशिक्षण देने के लिए किया जाता था, B) यह एक शाही मनोरंजन था, C) यह एक सामुदायिक खेल था, D) यह एक अनुष्ठानिक गतिविधि थी</v>
      </c>
      <c r="I433" s="5" t="str">
        <f>IFERROR(__xludf.DUMMYFUNCTION("GOOGLETRANSLATE(D433, ""en"", ""hi"")"),"C) यह एक सामुदायिक खेल था")</f>
        <v>C) यह एक सामुदायिक खेल था</v>
      </c>
    </row>
    <row r="434" ht="22.5" customHeight="1">
      <c r="A434" s="3">
        <v>433.0</v>
      </c>
      <c r="B434" s="4" t="s">
        <v>4586</v>
      </c>
      <c r="C434" s="4" t="s">
        <v>4587</v>
      </c>
      <c r="D434" s="4" t="s">
        <v>4588</v>
      </c>
      <c r="F434" s="5" t="str">
        <f>IFERROR(__xludf.DUMMYFUNCTION("GOOGLETRANSLATE(A434, ""en"", ""hi"")"),"433")</f>
        <v>433</v>
      </c>
      <c r="G434" s="5" t="str">
        <f>IFERROR(__xludf.DUMMYFUNCTION("GOOGLETRANSLATE(B434, ""en"", ""hi"")"),"कौन सी ऐतिहासिक कलाकृति लागोरी के समान खेल को दर्शाती है?")</f>
        <v>कौन सी ऐतिहासिक कलाकृति लागोरी के समान खेल को दर्शाती है?</v>
      </c>
      <c r="H434" s="5" t="str">
        <f>IFERROR(__xludf.DUMMYFUNCTION("GOOGLETRANSLATE(C434, ""en"", ""hi"")"),"A) प्राचीन मूर्तियां, B) चित्रकारी, C) सिक्के, D) मिट्टी के बर्तन")</f>
        <v>A) प्राचीन मूर्तियां, B) चित्रकारी, C) सिक्के, D) मिट्टी के बर्तन</v>
      </c>
      <c r="I434" s="5" t="str">
        <f>IFERROR(__xludf.DUMMYFUNCTION("GOOGLETRANSLATE(D434, ""en"", ""hi"")"),"A) प्राचीन मूर्तियां")</f>
        <v>A) प्राचीन मूर्तियां</v>
      </c>
    </row>
    <row r="435" ht="22.5" customHeight="1">
      <c r="A435" s="3">
        <v>434.0</v>
      </c>
      <c r="B435" s="4" t="s">
        <v>4589</v>
      </c>
      <c r="C435" s="4" t="s">
        <v>4590</v>
      </c>
      <c r="D435" s="4" t="s">
        <v>4591</v>
      </c>
      <c r="F435" s="5" t="str">
        <f>IFERROR(__xludf.DUMMYFUNCTION("GOOGLETRANSLATE(A435, ""en"", ""hi"")"),"434")</f>
        <v>434</v>
      </c>
      <c r="G435" s="5" t="str">
        <f>IFERROR(__xludf.DUMMYFUNCTION("GOOGLETRANSLATE(B435, ""en"", ""hi"")"),"मध्यकालीन भारतीय सामाजिक समारोहों में लागोरी की पारंपरिक भूमिका क्या थी?")</f>
        <v>मध्यकालीन भारतीय सामाजिक समारोहों में लागोरी की पारंपरिक भूमिका क्या थी?</v>
      </c>
      <c r="H435" s="5" t="str">
        <f>IFERROR(__xludf.DUMMYFUNCTION("GOOGLETRANSLATE(C435, ""en"", ""hi"")"),"A) मनोरंजन, B) शिक्षा, C) राजनीतिक चर्चाएँ, D) धार्मिक अनुष्ठान")</f>
        <v>A) मनोरंजन, B) शिक्षा, C) राजनीतिक चर्चाएँ, D) धार्मिक अनुष्ठान</v>
      </c>
      <c r="I435" s="5" t="str">
        <f>IFERROR(__xludf.DUMMYFUNCTION("GOOGLETRANSLATE(D435, ""en"", ""hi"")"),"ए) मनोरंजन")</f>
        <v>ए) मनोरंजन</v>
      </c>
    </row>
    <row r="436" ht="22.5" customHeight="1">
      <c r="A436" s="3">
        <v>435.0</v>
      </c>
      <c r="B436" s="4" t="s">
        <v>4592</v>
      </c>
      <c r="C436" s="4" t="s">
        <v>2588</v>
      </c>
      <c r="D436" s="4" t="s">
        <v>2556</v>
      </c>
      <c r="F436" s="5" t="str">
        <f>IFERROR(__xludf.DUMMYFUNCTION("GOOGLETRANSLATE(A436, ""en"", ""hi"")"),"435")</f>
        <v>435</v>
      </c>
      <c r="G436" s="5" t="str">
        <f>IFERROR(__xludf.DUMMYFUNCTION("GOOGLETRANSLATE(B436, ""en"", ""hi"")"),"किस मुगल सम्राट के बारे में अभिलेख है कि वह लागोरी जैसे पारंपरिक भारतीय खेल खेला करता था?")</f>
        <v>किस मुगल सम्राट के बारे में अभिलेख है कि वह लागोरी जैसे पारंपरिक भारतीय खेल खेला करता था?</v>
      </c>
      <c r="H436" s="5" t="str">
        <f>IFERROR(__xludf.DUMMYFUNCTION("GOOGLETRANSLATE(C436, ""en"", ""hi"")"),"A) अकबर, B) जहाँगीर, C) शाहजहाँ, D) औरंगज़ेब")</f>
        <v>A) अकबर, B) जहाँगीर, C) शाहजहाँ, D) औरंगज़ेब</v>
      </c>
      <c r="I436" s="5" t="str">
        <f>IFERROR(__xludf.DUMMYFUNCTION("GOOGLETRANSLATE(D436, ""en"", ""hi"")"),"A) अकबर")</f>
        <v>A) अकबर</v>
      </c>
    </row>
    <row r="437" ht="22.5" customHeight="1">
      <c r="A437" s="3">
        <v>436.0</v>
      </c>
      <c r="B437" s="4" t="s">
        <v>4593</v>
      </c>
      <c r="C437" s="4" t="s">
        <v>4594</v>
      </c>
      <c r="D437" s="4" t="s">
        <v>4595</v>
      </c>
      <c r="F437" s="5" t="str">
        <f>IFERROR(__xludf.DUMMYFUNCTION("GOOGLETRANSLATE(A437, ""en"", ""hi"")"),"436")</f>
        <v>436</v>
      </c>
      <c r="G437" s="5" t="str">
        <f>IFERROR(__xludf.DUMMYFUNCTION("GOOGLETRANSLATE(B437, ""en"", ""hi"")"),"ग्रामीण भारतीय जीवन में लागोरी का सांस्कृतिक महत्व क्या है?")</f>
        <v>ग्रामीण भारतीय जीवन में लागोरी का सांस्कृतिक महत्व क्या है?</v>
      </c>
      <c r="H437" s="5" t="str">
        <f>IFERROR(__xludf.DUMMYFUNCTION("GOOGLETRANSLATE(C437, ""en"", ""hi"")"),"A) यह शारीरिक स्वास्थ्य को बढ़ावा देता है, B) यह सामुदायिक भावना को बढ़ावा देता है, C) यह धार्मिक प्रथाओं का समर्थन करता है, D) यह आर्थिक विकास में सहायता करता है")</f>
        <v>A) यह शारीरिक स्वास्थ्य को बढ़ावा देता है, B) यह सामुदायिक भावना को बढ़ावा देता है, C) यह धार्मिक प्रथाओं का समर्थन करता है, D) यह आर्थिक विकास में सहायता करता है</v>
      </c>
      <c r="I437" s="5" t="str">
        <f>IFERROR(__xludf.DUMMYFUNCTION("GOOGLETRANSLATE(D437, ""en"", ""hi"")"),"B) यह सामुदायिक भावना को बढ़ावा देता है")</f>
        <v>B) यह सामुदायिक भावना को बढ़ावा देता है</v>
      </c>
    </row>
    <row r="438" ht="22.5" customHeight="1">
      <c r="A438" s="3">
        <v>437.0</v>
      </c>
      <c r="B438" s="4" t="s">
        <v>4596</v>
      </c>
      <c r="C438" s="4" t="s">
        <v>4597</v>
      </c>
      <c r="D438" s="4" t="s">
        <v>4598</v>
      </c>
      <c r="F438" s="5" t="str">
        <f>IFERROR(__xludf.DUMMYFUNCTION("GOOGLETRANSLATE(A438, ""en"", ""hi"")"),"437")</f>
        <v>437</v>
      </c>
      <c r="G438" s="5" t="str">
        <f>IFERROR(__xludf.DUMMYFUNCTION("GOOGLETRANSLATE(B438, ""en"", ""hi"")"),"किस प्राचीन भारतीय राजवंश ने अपने दरबारी खेलों में लागोरी को शामिल किया था?")</f>
        <v>किस प्राचीन भारतीय राजवंश ने अपने दरबारी खेलों में लागोरी को शामिल किया था?</v>
      </c>
      <c r="H438" s="5" t="str">
        <f>IFERROR(__xludf.DUMMYFUNCTION("GOOGLETRANSLATE(C438, ""en"", ""hi"")"),"A) मौर्य वंश, B) गुप्त वंश, C) चोल वंश, D) मुगल वंश")</f>
        <v>A) मौर्य वंश, B) गुप्त वंश, C) चोल वंश, D) मुगल वंश</v>
      </c>
      <c r="I438" s="5" t="str">
        <f>IFERROR(__xludf.DUMMYFUNCTION("GOOGLETRANSLATE(D438, ""en"", ""hi"")"),"बी) गुप्त वंश")</f>
        <v>बी) गुप्त वंश</v>
      </c>
    </row>
    <row r="439" ht="22.5" customHeight="1">
      <c r="A439" s="3">
        <v>438.0</v>
      </c>
      <c r="B439" s="4" t="s">
        <v>4599</v>
      </c>
      <c r="C439" s="4" t="s">
        <v>4600</v>
      </c>
      <c r="D439" s="4" t="s">
        <v>4442</v>
      </c>
      <c r="F439" s="5" t="str">
        <f>IFERROR(__xludf.DUMMYFUNCTION("GOOGLETRANSLATE(A439, ""en"", ""hi"")"),"438")</f>
        <v>438</v>
      </c>
      <c r="G439" s="5" t="str">
        <f>IFERROR(__xludf.DUMMYFUNCTION("GOOGLETRANSLATE(B439, ""en"", ""hi"")"),"प्राचीन भारत में लागोरी पत्थर किस पारंपरिक सामग्री से बनाये जाते थे?")</f>
        <v>प्राचीन भारत में लागोरी पत्थर किस पारंपरिक सामग्री से बनाये जाते थे?</v>
      </c>
      <c r="H439" s="5" t="str">
        <f>IFERROR(__xludf.DUMMYFUNCTION("GOOGLETRANSLATE(C439, ""en"", ""hi"")"),"A) मिट्टी, B) धातु, C) लकड़ी, D) पत्थर")</f>
        <v>A) मिट्टी, B) धातु, C) लकड़ी, D) पत्थर</v>
      </c>
      <c r="I439" s="5" t="str">
        <f>IFERROR(__xludf.DUMMYFUNCTION("GOOGLETRANSLATE(D439, ""en"", ""hi"")"),"D) पत्थर")</f>
        <v>D) पत्थर</v>
      </c>
    </row>
    <row r="440" ht="22.5" customHeight="1">
      <c r="A440" s="3">
        <v>439.0</v>
      </c>
      <c r="B440" s="4" t="s">
        <v>4601</v>
      </c>
      <c r="C440" s="4" t="s">
        <v>4602</v>
      </c>
      <c r="D440" s="4" t="s">
        <v>4603</v>
      </c>
      <c r="F440" s="5" t="str">
        <f>IFERROR(__xludf.DUMMYFUNCTION("GOOGLETRANSLATE(A440, ""en"", ""hi"")"),"439")</f>
        <v>439</v>
      </c>
      <c r="G440" s="5" t="str">
        <f>IFERROR(__xludf.DUMMYFUNCTION("GOOGLETRANSLATE(B440, ""en"", ""hi"")"),"प्राचीन भारतीय शिक्षा में लागोरी का पारंपरिक रूप से उपयोग कैसे किया जाता था?")</f>
        <v>प्राचीन भारतीय शिक्षा में लागोरी का पारंपरिक रूप से उपयोग कैसे किया जाता था?</v>
      </c>
      <c r="H440" s="5" t="str">
        <f>IFERROR(__xludf.DUMMYFUNCTION("GOOGLETRANSLATE(C440, ""en"", ""hi"")"),"A) शारीरिक प्रशिक्षण के लिए एक उपकरण के रूप में, B) रणनीति सीखने की एक विधि के रूप में, C) विश्राम के एक रूप के रूप में, D) एक धार्मिक अभ्यास के रूप में")</f>
        <v>A) शारीरिक प्रशिक्षण के लिए एक उपकरण के रूप में, B) रणनीति सीखने की एक विधि के रूप में, C) विश्राम के एक रूप के रूप में, D) एक धार्मिक अभ्यास के रूप में</v>
      </c>
      <c r="I440" s="5" t="str">
        <f>IFERROR(__xludf.DUMMYFUNCTION("GOOGLETRANSLATE(D440, ""en"", ""hi"")"),"A) शारीरिक प्रशिक्षण के लिए एक उपकरण के रूप में")</f>
        <v>A) शारीरिक प्रशिक्षण के लिए एक उपकरण के रूप में</v>
      </c>
    </row>
    <row r="441" ht="22.5" customHeight="1">
      <c r="A441" s="3">
        <v>440.0</v>
      </c>
      <c r="B441" s="4" t="s">
        <v>4604</v>
      </c>
      <c r="C441" s="4" t="s">
        <v>136</v>
      </c>
      <c r="D441" s="4" t="s">
        <v>49</v>
      </c>
      <c r="F441" s="5" t="str">
        <f>IFERROR(__xludf.DUMMYFUNCTION("GOOGLETRANSLATE(A441, ""en"", ""hi"")"),"440")</f>
        <v>440</v>
      </c>
      <c r="G441" s="5" t="str">
        <f>IFERROR(__xludf.DUMMYFUNCTION("GOOGLETRANSLATE(B441, ""en"", ""hi"")"),"किस भारतीय क्षेत्र ने लागोरी के लिए अनोखे नियम विकसित किए जो पारंपरिक नियमों से अलग हैं?")</f>
        <v>किस भारतीय क्षेत्र ने लागोरी के लिए अनोखे नियम विकसित किए जो पारंपरिक नियमों से अलग हैं?</v>
      </c>
      <c r="H441" s="5" t="str">
        <f>IFERROR(__xludf.DUMMYFUNCTION("GOOGLETRANSLATE(C441, ""en"", ""hi"")"),"ए) गुजरात, बी) महाराष्ट्र, सी) तमिलनाडु, डी) कर्नाटक")</f>
        <v>ए) गुजरात, बी) महाराष्ट्र, सी) तमिलनाडु, डी) कर्नाटक</v>
      </c>
      <c r="I441" s="5" t="str">
        <f>IFERROR(__xludf.DUMMYFUNCTION("GOOGLETRANSLATE(D441, ""en"", ""hi"")"),"A) गुजरात")</f>
        <v>A) गुजरात</v>
      </c>
    </row>
    <row r="442" ht="22.5" customHeight="1">
      <c r="A442" s="3">
        <v>441.0</v>
      </c>
      <c r="B442" s="4" t="s">
        <v>4605</v>
      </c>
      <c r="C442" s="4" t="s">
        <v>4606</v>
      </c>
      <c r="D442" s="4" t="s">
        <v>4499</v>
      </c>
      <c r="F442" s="5" t="str">
        <f>IFERROR(__xludf.DUMMYFUNCTION("GOOGLETRANSLATE(A442, ""en"", ""hi"")"),"441")</f>
        <v>441</v>
      </c>
      <c r="G442" s="5" t="str">
        <f>IFERROR(__xludf.DUMMYFUNCTION("GOOGLETRANSLATE(B442, ""en"", ""hi"")"),"प्राचीन भारत में, किस त्यौहार में लगोरी को एक प्रमुख खेल के रूप में मनाया जाता था?")</f>
        <v>प्राचीन भारत में, किस त्यौहार में लगोरी को एक प्रमुख खेल के रूप में मनाया जाता था?</v>
      </c>
      <c r="H442" s="5" t="str">
        <f>IFERROR(__xludf.DUMMYFUNCTION("GOOGLETRANSLATE(C442, ""en"", ""hi"")"),"ए) पोंगल, बी) दिवाली, सी) होली, डी) मकर संक्रांति")</f>
        <v>ए) पोंगल, बी) दिवाली, सी) होली, डी) मकर संक्रांति</v>
      </c>
      <c r="I442" s="5" t="str">
        <f>IFERROR(__xludf.DUMMYFUNCTION("GOOGLETRANSLATE(D442, ""en"", ""hi"")"),"C) होली")</f>
        <v>C) होली</v>
      </c>
    </row>
    <row r="443" ht="22.5" customHeight="1">
      <c r="A443" s="3">
        <v>442.0</v>
      </c>
      <c r="B443" s="4" t="s">
        <v>4607</v>
      </c>
      <c r="C443" s="4" t="s">
        <v>4608</v>
      </c>
      <c r="D443" s="4" t="s">
        <v>4609</v>
      </c>
      <c r="F443" s="5" t="str">
        <f>IFERROR(__xludf.DUMMYFUNCTION("GOOGLETRANSLATE(A443, ""en"", ""hi"")"),"442")</f>
        <v>442</v>
      </c>
      <c r="G443" s="5" t="str">
        <f>IFERROR(__xludf.DUMMYFUNCTION("GOOGLETRANSLATE(B443, ""en"", ""hi"")"),"पारंपरिक भारतीय ग्रामीण जीवन में लागोरी की क्या भूमिका थी?")</f>
        <v>पारंपरिक भारतीय ग्रामीण जीवन में लागोरी की क्या भूमिका थी?</v>
      </c>
      <c r="H443" s="5" t="str">
        <f>IFERROR(__xludf.DUMMYFUNCTION("GOOGLETRANSLATE(C443, ""en"", ""hi"")"),"A) आर्थिक गतिविधि, B) सामाजिक गतिविधि, C) धार्मिक अभ्यास, D) सैन्य प्रशिक्षण")</f>
        <v>A) आर्थिक गतिविधि, B) सामाजिक गतिविधि, C) धार्मिक अभ्यास, D) सैन्य प्रशिक्षण</v>
      </c>
      <c r="I443" s="5" t="str">
        <f>IFERROR(__xludf.DUMMYFUNCTION("GOOGLETRANSLATE(D443, ""en"", ""hi"")"),"बी) सामाजिक गतिविधि")</f>
        <v>बी) सामाजिक गतिविधि</v>
      </c>
    </row>
    <row r="444" ht="22.5" customHeight="1">
      <c r="A444" s="3">
        <v>443.0</v>
      </c>
      <c r="B444" s="4" t="s">
        <v>4610</v>
      </c>
      <c r="C444" s="4" t="s">
        <v>4611</v>
      </c>
      <c r="D444" s="4" t="s">
        <v>4612</v>
      </c>
      <c r="F444" s="5" t="str">
        <f>IFERROR(__xludf.DUMMYFUNCTION("GOOGLETRANSLATE(A444, ""en"", ""hi"")"),"443")</f>
        <v>443</v>
      </c>
      <c r="G444" s="5" t="str">
        <f>IFERROR(__xludf.DUMMYFUNCTION("GOOGLETRANSLATE(B444, ""en"", ""hi"")"),"किस ऐतिहासिक काल में लागोरी को शाही मनोरंजन के रूप में खेला जाता था?")</f>
        <v>किस ऐतिहासिक काल में लागोरी को शाही मनोरंजन के रूप में खेला जाता था?</v>
      </c>
      <c r="H444" s="5" t="str">
        <f>IFERROR(__xludf.DUMMYFUNCTION("GOOGLETRANSLATE(C444, ""en"", ""hi"")"),"A) प्राचीन काल, B) मध्यकाल, C) औपनिवेशिक काल, D) आधुनिक काल")</f>
        <v>A) प्राचीन काल, B) मध्यकाल, C) औपनिवेशिक काल, D) आधुनिक काल</v>
      </c>
      <c r="I444" s="5" t="str">
        <f>IFERROR(__xludf.DUMMYFUNCTION("GOOGLETRANSLATE(D444, ""en"", ""hi"")"),"बी) मध्यकालीन काल")</f>
        <v>बी) मध्यकालीन काल</v>
      </c>
    </row>
    <row r="445" ht="22.5" customHeight="1">
      <c r="A445" s="3">
        <v>444.0</v>
      </c>
      <c r="B445" s="4" t="s">
        <v>4613</v>
      </c>
      <c r="C445" s="4" t="s">
        <v>4614</v>
      </c>
      <c r="D445" s="4" t="s">
        <v>4615</v>
      </c>
      <c r="F445" s="5" t="str">
        <f>IFERROR(__xludf.DUMMYFUNCTION("GOOGLETRANSLATE(A445, ""en"", ""hi"")"),"444")</f>
        <v>444</v>
      </c>
      <c r="G445" s="5" t="str">
        <f>IFERROR(__xludf.DUMMYFUNCTION("GOOGLETRANSLATE(B445, ""en"", ""hi"")"),"कौन सा ऐतिहासिक व्यक्ति लागोरी को अपने दरबार में लाने के लिए जाना जाता है?")</f>
        <v>कौन सा ऐतिहासिक व्यक्ति लागोरी को अपने दरबार में लाने के लिए जाना जाता है?</v>
      </c>
      <c r="H445" s="5" t="str">
        <f>IFERROR(__xludf.DUMMYFUNCTION("GOOGLETRANSLATE(C445, ""en"", ""hi"")"),"ए) महाराजा रणजीत सिंह, बी) सम्राट अकबर, सी) छत्रपति शिवाजी, डी) राजा राजा चोल")</f>
        <v>ए) महाराजा रणजीत सिंह, बी) सम्राट अकबर, सी) छत्रपति शिवाजी, डी) राजा राजा चोल</v>
      </c>
      <c r="I445" s="5" t="str">
        <f>IFERROR(__xludf.DUMMYFUNCTION("GOOGLETRANSLATE(D445, ""en"", ""hi"")"),"बी) सम्राट अकबर")</f>
        <v>बी) सम्राट अकबर</v>
      </c>
    </row>
    <row r="446" ht="22.5" customHeight="1">
      <c r="A446" s="3">
        <v>445.0</v>
      </c>
      <c r="B446" s="4" t="s">
        <v>4616</v>
      </c>
      <c r="C446" s="4" t="s">
        <v>4617</v>
      </c>
      <c r="D446" s="4" t="s">
        <v>797</v>
      </c>
      <c r="F446" s="5" t="str">
        <f>IFERROR(__xludf.DUMMYFUNCTION("GOOGLETRANSLATE(A446, ""en"", ""hi"")"),"445")</f>
        <v>445</v>
      </c>
      <c r="G446" s="5" t="str">
        <f>IFERROR(__xludf.DUMMYFUNCTION("GOOGLETRANSLATE(B446, ""en"", ""hi"")"),"किस क्षेत्र का पारंपरिक खेल लागोरी जैसा है और अपने अनोखे नियमों के लिए जाना जाता है?")</f>
        <v>किस क्षेत्र का पारंपरिक खेल लागोरी जैसा है और अपने अनोखे नियमों के लिए जाना जाता है?</v>
      </c>
      <c r="H446" s="5" t="str">
        <f>IFERROR(__xludf.DUMMYFUNCTION("GOOGLETRANSLATE(C446, ""en"", ""hi"")"),"A) तमिलनाडु, B) कर्नाटक, C) आंध्र प्रदेश, D) पंजाब")</f>
        <v>A) तमिलनाडु, B) कर्नाटक, C) आंध्र प्रदेश, D) पंजाब</v>
      </c>
      <c r="I446" s="5" t="str">
        <f>IFERROR(__xludf.DUMMYFUNCTION("GOOGLETRANSLATE(D446, ""en"", ""hi"")"),"C) आंध्र प्रदेश")</f>
        <v>C) आंध्र प्रदेश</v>
      </c>
    </row>
    <row r="447" ht="22.5" customHeight="1">
      <c r="A447" s="3">
        <v>446.0</v>
      </c>
      <c r="B447" s="4" t="s">
        <v>4618</v>
      </c>
      <c r="C447" s="4" t="s">
        <v>4619</v>
      </c>
      <c r="D447" s="4" t="s">
        <v>4620</v>
      </c>
      <c r="F447" s="5" t="str">
        <f>IFERROR(__xludf.DUMMYFUNCTION("GOOGLETRANSLATE(A447, ""en"", ""hi"")"),"446")</f>
        <v>446</v>
      </c>
      <c r="G447" s="5" t="str">
        <f>IFERROR(__xludf.DUMMYFUNCTION("GOOGLETRANSLATE(B447, ""en"", ""hi"")"),"किस ऐतिहासिक दस्तावेज़ में पहली बार लागोरी के नियमों का वर्णन किया गया?")</f>
        <v>किस ऐतिहासिक दस्तावेज़ में पहली बार लागोरी के नियमों का वर्णन किया गया?</v>
      </c>
      <c r="H447" s="5" t="str">
        <f>IFERROR(__xludf.DUMMYFUNCTION("GOOGLETRANSLATE(C447, ""en"", ""hi"")"),"ए) मनुस्मृति, बी) अर्थशास्त्र, सी) राजतरंगिणी, डी) रामायण")</f>
        <v>ए) मनुस्मृति, बी) अर्थशास्त्र, सी) राजतरंगिणी, डी) रामायण</v>
      </c>
      <c r="I447" s="5" t="str">
        <f>IFERROR(__xludf.DUMMYFUNCTION("GOOGLETRANSLATE(D447, ""en"", ""hi"")"),"C) राजतरंगिणी")</f>
        <v>C) राजतरंगिणी</v>
      </c>
    </row>
    <row r="448" ht="22.5" customHeight="1">
      <c r="A448" s="3">
        <v>447.0</v>
      </c>
      <c r="B448" s="4" t="s">
        <v>4621</v>
      </c>
      <c r="C448" s="4" t="s">
        <v>4622</v>
      </c>
      <c r="D448" s="4" t="s">
        <v>4623</v>
      </c>
      <c r="F448" s="5" t="str">
        <f>IFERROR(__xludf.DUMMYFUNCTION("GOOGLETRANSLATE(A448, ""en"", ""hi"")"),"447")</f>
        <v>447</v>
      </c>
      <c r="G448" s="5" t="str">
        <f>IFERROR(__xludf.DUMMYFUNCTION("GOOGLETRANSLATE(B448, ""en"", ""hi"")"),"कौन सा प्राचीन भारतीय राजा अपने खाली समय में लागोरी खेलने के लिए जाना जाता था?")</f>
        <v>कौन सा प्राचीन भारतीय राजा अपने खाली समय में लागोरी खेलने के लिए जाना जाता था?</v>
      </c>
      <c r="H448" s="5" t="str">
        <f>IFERROR(__xludf.DUMMYFUNCTION("GOOGLETRANSLATE(C448, ""en"", ""hi"")"),"A) अशोक, B) चंद्रगुप्त, C) हर्ष, D) विक्रमादित्य")</f>
        <v>A) अशोक, B) चंद्रगुप्त, C) हर्ष, D) विक्रमादित्य</v>
      </c>
      <c r="I448" s="5" t="str">
        <f>IFERROR(__xludf.DUMMYFUNCTION("GOOGLETRANSLATE(D448, ""en"", ""hi"")"),"D) विक्रमादित्य")</f>
        <v>D) विक्रमादित्य</v>
      </c>
    </row>
    <row r="449" ht="22.5" customHeight="1">
      <c r="A449" s="3">
        <v>448.0</v>
      </c>
      <c r="B449" s="4" t="s">
        <v>4624</v>
      </c>
      <c r="C449" s="4" t="s">
        <v>4625</v>
      </c>
      <c r="D449" s="4" t="s">
        <v>4626</v>
      </c>
      <c r="F449" s="5" t="str">
        <f>IFERROR(__xludf.DUMMYFUNCTION("GOOGLETRANSLATE(A449, ""en"", ""hi"")"),"448")</f>
        <v>448</v>
      </c>
      <c r="G449" s="5" t="str">
        <f>IFERROR(__xludf.DUMMYFUNCTION("GOOGLETRANSLATE(B449, ""en"", ""hi"")"),"ऐतिहासिक भारतीय गांवों में लागोरी खेलने का प्राथमिक स्थान क्या था?")</f>
        <v>ऐतिहासिक भारतीय गांवों में लागोरी खेलने का प्राथमिक स्थान क्या था?</v>
      </c>
      <c r="H449" s="5" t="str">
        <f>IFERROR(__xludf.DUMMYFUNCTION("GOOGLETRANSLATE(C449, ""en"", ""hi"")"),"A) गाँव के चौराहे, B) शाही महल, C) मंदिर, D) स्कूल के मैदान")</f>
        <v>A) गाँव के चौराहे, B) शाही महल, C) मंदिर, D) स्कूल के मैदान</v>
      </c>
      <c r="I449" s="5" t="str">
        <f>IFERROR(__xludf.DUMMYFUNCTION("GOOGLETRANSLATE(D449, ""en"", ""hi"")"),"A) गाँव के चौराहे")</f>
        <v>A) गाँव के चौराहे</v>
      </c>
    </row>
    <row r="450" ht="22.5" customHeight="1">
      <c r="A450" s="3">
        <v>449.0</v>
      </c>
      <c r="B450" s="4" t="s">
        <v>4627</v>
      </c>
      <c r="C450" s="4" t="s">
        <v>4628</v>
      </c>
      <c r="D450" s="4" t="s">
        <v>4629</v>
      </c>
      <c r="F450" s="5" t="str">
        <f>IFERROR(__xludf.DUMMYFUNCTION("GOOGLETRANSLATE(A450, ""en"", ""hi"")"),"449")</f>
        <v>449</v>
      </c>
      <c r="G450" s="5" t="str">
        <f>IFERROR(__xludf.DUMMYFUNCTION("GOOGLETRANSLATE(B450, ""en"", ""hi"")"),"किस प्रसिद्ध भारतीय त्यौहार में पारंपरिक रूप से लागोरी खेल शामिल है?")</f>
        <v>किस प्रसिद्ध भारतीय त्यौहार में पारंपरिक रूप से लागोरी खेल शामिल है?</v>
      </c>
      <c r="H450" s="5" t="str">
        <f>IFERROR(__xludf.DUMMYFUNCTION("GOOGLETRANSLATE(C450, ""en"", ""hi"")"),"ए) होली, बी) दिवाली, सी) नवरात्रि, डी) पोंगल")</f>
        <v>ए) होली, बी) दिवाली, सी) नवरात्रि, डी) पोंगल</v>
      </c>
      <c r="I450" s="5" t="str">
        <f>IFERROR(__xludf.DUMMYFUNCTION("GOOGLETRANSLATE(D450, ""en"", ""hi"")"),"ए) होली")</f>
        <v>ए) होली</v>
      </c>
    </row>
    <row r="451" ht="22.5" customHeight="1">
      <c r="A451" s="3">
        <v>450.0</v>
      </c>
      <c r="B451" s="4" t="s">
        <v>4630</v>
      </c>
      <c r="C451" s="4" t="s">
        <v>4631</v>
      </c>
      <c r="D451" s="4" t="s">
        <v>4632</v>
      </c>
      <c r="F451" s="5" t="str">
        <f>IFERROR(__xludf.DUMMYFUNCTION("GOOGLETRANSLATE(A451, ""en"", ""hi"")"),"450")</f>
        <v>450</v>
      </c>
      <c r="G451" s="5" t="str">
        <f>IFERROR(__xludf.DUMMYFUNCTION("GOOGLETRANSLATE(B451, ""en"", ""hi"")"),"प्राचीन भारत में लागोरी पत्थरों का पारंपरिक उपयोग क्या था?")</f>
        <v>प्राचीन भारत में लागोरी पत्थरों का पारंपरिक उपयोग क्या था?</v>
      </c>
      <c r="H451" s="5" t="str">
        <f>IFERROR(__xludf.DUMMYFUNCTION("GOOGLETRANSLATE(C451, ""en"", ""hi"")"),"A) धार्मिक प्रसाद, B) शैक्षिक उपकरण, C) खेल मार्कर, D) कलाकृतियाँ")</f>
        <v>A) धार्मिक प्रसाद, B) शैक्षिक उपकरण, C) खेल मार्कर, D) कलाकृतियाँ</v>
      </c>
      <c r="I451" s="5" t="str">
        <f>IFERROR(__xludf.DUMMYFUNCTION("GOOGLETRANSLATE(D451, ""en"", ""hi"")"),"सी) गेम मार्कर")</f>
        <v>सी) गेम मार्कर</v>
      </c>
    </row>
    <row r="452" ht="22.5" customHeight="1">
      <c r="A452" s="3">
        <v>451.0</v>
      </c>
      <c r="B452" s="4" t="s">
        <v>4633</v>
      </c>
      <c r="C452" s="4" t="s">
        <v>4634</v>
      </c>
      <c r="D452" s="4" t="s">
        <v>2544</v>
      </c>
      <c r="F452" s="5" t="str">
        <f>IFERROR(__xludf.DUMMYFUNCTION("GOOGLETRANSLATE(A452, ""en"", ""hi"")"),"451")</f>
        <v>451</v>
      </c>
      <c r="G452" s="5" t="str">
        <f>IFERROR(__xludf.DUMMYFUNCTION("GOOGLETRANSLATE(B452, ""en"", ""hi"")"),"किस ऐतिहासिक ग्रंथ में प्राचीन भारत में खेले जाने वाले लागोरी जैसे खेल का उल्लेख है?")</f>
        <v>किस ऐतिहासिक ग्रंथ में प्राचीन भारत में खेले जाने वाले लागोरी जैसे खेल का उल्लेख है?</v>
      </c>
      <c r="H452" s="5" t="str">
        <f>IFERROR(__xludf.DUMMYFUNCTION("GOOGLETRANSLATE(C452, ""en"", ""hi"")"),"ए) अर्थशास्त्र, बी) महाभारत, सी) रामायण, डी) मनुस्मृति")</f>
        <v>ए) अर्थशास्त्र, बी) महाभारत, सी) रामायण, डी) मनुस्मृति</v>
      </c>
      <c r="I452" s="5" t="str">
        <f>IFERROR(__xludf.DUMMYFUNCTION("GOOGLETRANSLATE(D452, ""en"", ""hi"")"),"बी) महाभारत")</f>
        <v>बी) महाभारत</v>
      </c>
    </row>
    <row r="453" ht="22.5" customHeight="1">
      <c r="A453" s="3">
        <v>452.0</v>
      </c>
      <c r="B453" s="4" t="s">
        <v>4635</v>
      </c>
      <c r="C453" s="4" t="s">
        <v>4636</v>
      </c>
      <c r="D453" s="4" t="s">
        <v>4637</v>
      </c>
      <c r="F453" s="5" t="str">
        <f>IFERROR(__xludf.DUMMYFUNCTION("GOOGLETRANSLATE(A453, ""en"", ""hi"")"),"452")</f>
        <v>452</v>
      </c>
      <c r="G453" s="5" t="str">
        <f>IFERROR(__xludf.DUMMYFUNCTION("GOOGLETRANSLATE(B453, ""en"", ""hi"")"),"किस प्राचीन भारतीय राजा ने अपने दरबार में लागोरी को लोकप्रिय बनाया था?")</f>
        <v>किस प्राचीन भारतीय राजा ने अपने दरबार में लागोरी को लोकप्रिय बनाया था?</v>
      </c>
      <c r="H453" s="5" t="str">
        <f>IFERROR(__xludf.DUMMYFUNCTION("GOOGLETRANSLATE(C453, ""en"", ""hi"")"),"ए) अशोक, बी) चंद्रगुप्त, सी) अकबर, डी) शिवाजी")</f>
        <v>ए) अशोक, बी) चंद्रगुप्त, सी) अकबर, डी) शिवाजी</v>
      </c>
      <c r="I453" s="5" t="str">
        <f>IFERROR(__xludf.DUMMYFUNCTION("GOOGLETRANSLATE(D453, ""en"", ""hi"")"),"C) अकबर")</f>
        <v>C) अकबर</v>
      </c>
    </row>
    <row r="454" ht="22.5" customHeight="1">
      <c r="A454" s="3">
        <v>453.0</v>
      </c>
      <c r="B454" s="4" t="s">
        <v>4638</v>
      </c>
      <c r="C454" s="4" t="s">
        <v>4639</v>
      </c>
      <c r="D454" s="4" t="s">
        <v>4591</v>
      </c>
      <c r="F454" s="5" t="str">
        <f>IFERROR(__xludf.DUMMYFUNCTION("GOOGLETRANSLATE(A454, ""en"", ""hi"")"),"453")</f>
        <v>453</v>
      </c>
      <c r="G454" s="5" t="str">
        <f>IFERROR(__xludf.DUMMYFUNCTION("GOOGLETRANSLATE(B454, ""en"", ""hi"")"),"ऐतिहासिक भारतीय समुदायों में लागोरी ने क्या पारंपरिक भूमिका निभाई?")</f>
        <v>ऐतिहासिक भारतीय समुदायों में लागोरी ने क्या पारंपरिक भूमिका निभाई?</v>
      </c>
      <c r="H454" s="5" t="str">
        <f>IFERROR(__xludf.DUMMYFUNCTION("GOOGLETRANSLATE(C454, ""en"", ""hi"")"),"A) मनोरंजन, B) सैन्य प्रशिक्षण, C) धार्मिक अभ्यास, D) आर्थिक गतिविधि")</f>
        <v>A) मनोरंजन, B) सैन्य प्रशिक्षण, C) धार्मिक अभ्यास, D) आर्थिक गतिविधि</v>
      </c>
      <c r="I454" s="5" t="str">
        <f>IFERROR(__xludf.DUMMYFUNCTION("GOOGLETRANSLATE(D454, ""en"", ""hi"")"),"ए) मनोरंजन")</f>
        <v>ए) मनोरंजन</v>
      </c>
    </row>
    <row r="455" ht="22.5" customHeight="1">
      <c r="A455" s="3">
        <v>454.0</v>
      </c>
      <c r="B455" s="4" t="s">
        <v>4640</v>
      </c>
      <c r="C455" s="4" t="s">
        <v>4360</v>
      </c>
      <c r="D455" s="4" t="s">
        <v>4361</v>
      </c>
      <c r="F455" s="5" t="str">
        <f>IFERROR(__xludf.DUMMYFUNCTION("GOOGLETRANSLATE(A455, ""en"", ""hi"")"),"454")</f>
        <v>454</v>
      </c>
      <c r="G455" s="5" t="str">
        <f>IFERROR(__xludf.DUMMYFUNCTION("GOOGLETRANSLATE(B455, ""en"", ""hi"")"),"लागोरी किस प्राचीन भारतीय क्षेत्र में फसल उत्सव के दौरान बजाया जाता था?")</f>
        <v>लागोरी किस प्राचीन भारतीय क्षेत्र में फसल उत्सव के दौरान बजाया जाता था?</v>
      </c>
      <c r="H455" s="5" t="str">
        <f>IFERROR(__xludf.DUMMYFUNCTION("GOOGLETRANSLATE(C455, ""en"", ""hi"")"),"A) उत्तर भारत, B) दक्षिण भारत, C) पूर्वी भारत, D) पश्चिम भारत")</f>
        <v>A) उत्तर भारत, B) दक्षिण भारत, C) पूर्वी भारत, D) पश्चिम भारत</v>
      </c>
      <c r="I455" s="5" t="str">
        <f>IFERROR(__xludf.DUMMYFUNCTION("GOOGLETRANSLATE(D455, ""en"", ""hi"")"),"A) उत्तर भारत")</f>
        <v>A) उत्तर भारत</v>
      </c>
    </row>
    <row r="456" ht="22.5" customHeight="1">
      <c r="A456" s="3">
        <v>455.0</v>
      </c>
      <c r="B456" s="4" t="s">
        <v>4641</v>
      </c>
      <c r="C456" s="4" t="s">
        <v>4642</v>
      </c>
      <c r="D456" s="4" t="s">
        <v>4643</v>
      </c>
      <c r="F456" s="5" t="str">
        <f>IFERROR(__xludf.DUMMYFUNCTION("GOOGLETRANSLATE(A456, ""en"", ""hi"")"),"455")</f>
        <v>455</v>
      </c>
      <c r="G456" s="5" t="str">
        <f>IFERROR(__xludf.DUMMYFUNCTION("GOOGLETRANSLATE(B456, ""en"", ""hi"")"),"प्राचीन भारत में पारंपरिक लागोरी गेंदें किस सामग्री से बनाई जाती थीं?")</f>
        <v>प्राचीन भारत में पारंपरिक लागोरी गेंदें किस सामग्री से बनाई जाती थीं?</v>
      </c>
      <c r="H456" s="5" t="str">
        <f>IFERROR(__xludf.DUMMYFUNCTION("GOOGLETRANSLATE(C456, ""en"", ""hi"")"),"A) मिट्टी, B) लकड़ी, C) पत्थर, D) कपड़ा")</f>
        <v>A) मिट्टी, B) लकड़ी, C) पत्थर, D) कपड़ा</v>
      </c>
      <c r="I456" s="5" t="str">
        <f>IFERROR(__xludf.DUMMYFUNCTION("GOOGLETRANSLATE(D456, ""en"", ""hi"")"),"C) पत्थर")</f>
        <v>C) पत्थर</v>
      </c>
    </row>
    <row r="457" ht="22.5" customHeight="1">
      <c r="A457" s="3">
        <v>456.0</v>
      </c>
      <c r="B457" s="4" t="s">
        <v>4644</v>
      </c>
      <c r="C457" s="4" t="s">
        <v>4645</v>
      </c>
      <c r="D457" s="4" t="s">
        <v>4646</v>
      </c>
      <c r="F457" s="5" t="str">
        <f>IFERROR(__xludf.DUMMYFUNCTION("GOOGLETRANSLATE(A457, ""en"", ""hi"")"),"456")</f>
        <v>456</v>
      </c>
      <c r="G457" s="5" t="str">
        <f>IFERROR(__xludf.DUMMYFUNCTION("GOOGLETRANSLATE(B457, ""en"", ""hi"")"),"किस ऐतिहासिक भारतीय शासक को शाही दरबार के खेलों में लागोरी को शामिल करने के लिए जाना जाता है?")</f>
        <v>किस ऐतिहासिक भारतीय शासक को शाही दरबार के खेलों में लागोरी को शामिल करने के लिए जाना जाता है?</v>
      </c>
      <c r="H457" s="5" t="str">
        <f>IFERROR(__xludf.DUMMYFUNCTION("GOOGLETRANSLATE(C457, ""en"", ""hi"")"),"A) सम्राट अशोक, B) राजा चंद्रगुप्त, C) मुगल सम्राट अकबर, D) मराठा राजा शिवाजी")</f>
        <v>A) सम्राट अशोक, B) राजा चंद्रगुप्त, C) मुगल सम्राट अकबर, D) मराठा राजा शिवाजी</v>
      </c>
      <c r="I457" s="5" t="str">
        <f>IFERROR(__xludf.DUMMYFUNCTION("GOOGLETRANSLATE(D457, ""en"", ""hi"")"),"C) मुगल सम्राट अकबर")</f>
        <v>C) मुगल सम्राट अकबर</v>
      </c>
    </row>
    <row r="458" ht="22.5" customHeight="1">
      <c r="A458" s="3">
        <v>457.0</v>
      </c>
      <c r="B458" s="4" t="s">
        <v>4647</v>
      </c>
      <c r="C458" s="4" t="s">
        <v>4648</v>
      </c>
      <c r="D458" s="4" t="s">
        <v>4649</v>
      </c>
      <c r="F458" s="5" t="str">
        <f>IFERROR(__xludf.DUMMYFUNCTION("GOOGLETRANSLATE(A458, ""en"", ""hi"")"),"457")</f>
        <v>457</v>
      </c>
      <c r="G458" s="5" t="str">
        <f>IFERROR(__xludf.DUMMYFUNCTION("GOOGLETRANSLATE(B458, ""en"", ""hi"")"),"प्राचीन भारतीय समाज में लागोरी का ऐतिहासिक महत्व क्या है?")</f>
        <v>प्राचीन भारतीय समाज में लागोरी का ऐतिहासिक महत्व क्या है?</v>
      </c>
      <c r="H458" s="5" t="str">
        <f>IFERROR(__xludf.DUMMYFUNCTION("GOOGLETRANSLATE(C458, ""en"", ""hi"")"),"A) यह मनोरंजन का एक साधन था, B) इसका प्रयोग सैन्य प्रशिक्षण के लिए किया जाता था, C) यह एक अनुष्ठानिक प्रथा थी, D) यह एक व्यापारिक गतिविधि थी")</f>
        <v>A) यह मनोरंजन का एक साधन था, B) इसका प्रयोग सैन्य प्रशिक्षण के लिए किया जाता था, C) यह एक अनुष्ठानिक प्रथा थी, D) यह एक व्यापारिक गतिविधि थी</v>
      </c>
      <c r="I458" s="5" t="str">
        <f>IFERROR(__xludf.DUMMYFUNCTION("GOOGLETRANSLATE(D458, ""en"", ""hi"")"),"A) यह मनोरंजन का एक रूप था")</f>
        <v>A) यह मनोरंजन का एक रूप था</v>
      </c>
    </row>
    <row r="459" ht="22.5" customHeight="1">
      <c r="A459" s="3">
        <v>458.0</v>
      </c>
      <c r="B459" s="4" t="s">
        <v>4650</v>
      </c>
      <c r="C459" s="4" t="s">
        <v>4597</v>
      </c>
      <c r="D459" s="4" t="s">
        <v>4651</v>
      </c>
      <c r="F459" s="5" t="str">
        <f>IFERROR(__xludf.DUMMYFUNCTION("GOOGLETRANSLATE(A459, ""en"", ""hi"")"),"458")</f>
        <v>458</v>
      </c>
      <c r="G459" s="5" t="str">
        <f>IFERROR(__xludf.DUMMYFUNCTION("GOOGLETRANSLATE(B459, ""en"", ""hi"")"),"कौन सा भारतीय राजवंश ऐतिहासिक रूप से शाही दरबारों में लागोरी खेलने से जुड़ा हुआ है?")</f>
        <v>कौन सा भारतीय राजवंश ऐतिहासिक रूप से शाही दरबारों में लागोरी खेलने से जुड़ा हुआ है?</v>
      </c>
      <c r="H459" s="5" t="str">
        <f>IFERROR(__xludf.DUMMYFUNCTION("GOOGLETRANSLATE(C459, ""en"", ""hi"")"),"A) मौर्य वंश, B) गुप्त वंश, C) चोल वंश, D) मुगल वंश")</f>
        <v>A) मौर्य वंश, B) गुप्त वंश, C) चोल वंश, D) मुगल वंश</v>
      </c>
      <c r="I459" s="5" t="str">
        <f>IFERROR(__xludf.DUMMYFUNCTION("GOOGLETRANSLATE(D459, ""en"", ""hi"")"),"D) मुगल वंश")</f>
        <v>D) मुगल वंश</v>
      </c>
    </row>
    <row r="460" ht="22.5" customHeight="1">
      <c r="A460" s="3">
        <v>459.0</v>
      </c>
      <c r="B460" s="4" t="s">
        <v>4652</v>
      </c>
      <c r="C460" s="4" t="s">
        <v>4653</v>
      </c>
      <c r="D460" s="4" t="s">
        <v>3791</v>
      </c>
      <c r="F460" s="5" t="str">
        <f>IFERROR(__xludf.DUMMYFUNCTION("GOOGLETRANSLATE(A460, ""en"", ""hi"")"),"459")</f>
        <v>459</v>
      </c>
      <c r="G460" s="5" t="str">
        <f>IFERROR(__xludf.DUMMYFUNCTION("GOOGLETRANSLATE(B460, ""en"", ""hi"")"),"कौन सा ऐतिहासिक व्यक्ति अपनी युवावस्था में लागोरी की भूमिका निभाने के लिए जाना जाता है?")</f>
        <v>कौन सा ऐतिहासिक व्यक्ति अपनी युवावस्था में लागोरी की भूमिका निभाने के लिए जाना जाता है?</v>
      </c>
      <c r="H460" s="5" t="str">
        <f>IFERROR(__xludf.DUMMYFUNCTION("GOOGLETRANSLATE(C460, ""en"", ""hi"")"),"ए) जवाहरलाल नेहरू, बी) महात्मा गांधी, सी) सरदार पटेल, डी) राजीव गांधी")</f>
        <v>ए) जवाहरलाल नेहरू, बी) महात्मा गांधी, सी) सरदार पटेल, डी) राजीव गांधी</v>
      </c>
      <c r="I460" s="5" t="str">
        <f>IFERROR(__xludf.DUMMYFUNCTION("GOOGLETRANSLATE(D460, ""en"", ""hi"")"),"बी) महात्मा गांधी")</f>
        <v>बी) महात्मा गांधी</v>
      </c>
    </row>
    <row r="461" ht="22.5" customHeight="1">
      <c r="A461" s="3">
        <v>460.0</v>
      </c>
      <c r="B461" s="4" t="s">
        <v>4654</v>
      </c>
      <c r="C461" s="4" t="s">
        <v>3738</v>
      </c>
      <c r="D461" s="4" t="s">
        <v>4629</v>
      </c>
      <c r="F461" s="5" t="str">
        <f>IFERROR(__xludf.DUMMYFUNCTION("GOOGLETRANSLATE(A461, ""en"", ""hi"")"),"460")</f>
        <v>460</v>
      </c>
      <c r="G461" s="5" t="str">
        <f>IFERROR(__xludf.DUMMYFUNCTION("GOOGLETRANSLATE(B461, ""en"", ""hi"")"),"कौन सा भारतीय त्यौहार अपने पारंपरिक उत्सव के एक भाग के रूप में लागोरी को शामिल करने के लिए जाना जाता है?")</f>
        <v>कौन सा भारतीय त्यौहार अपने पारंपरिक उत्सव के एक भाग के रूप में लागोरी को शामिल करने के लिए जाना जाता है?</v>
      </c>
      <c r="H461" s="5" t="str">
        <f>IFERROR(__xludf.DUMMYFUNCTION("GOOGLETRANSLATE(C461, ""en"", ""hi"")"),"ए) होली, बी) दिवाली, सी) पोंगल, डी) मकर संक्रांति")</f>
        <v>ए) होली, बी) दिवाली, सी) पोंगल, डी) मकर संक्रांति</v>
      </c>
      <c r="I461" s="5" t="str">
        <f>IFERROR(__xludf.DUMMYFUNCTION("GOOGLETRANSLATE(D461, ""en"", ""hi"")"),"ए) होली")</f>
        <v>ए) होली</v>
      </c>
    </row>
    <row r="462" ht="22.5" customHeight="1">
      <c r="A462" s="3">
        <v>461.0</v>
      </c>
      <c r="B462" s="4" t="s">
        <v>4655</v>
      </c>
      <c r="C462" s="4" t="s">
        <v>4656</v>
      </c>
      <c r="D462" s="4" t="s">
        <v>4657</v>
      </c>
      <c r="F462" s="5" t="str">
        <f>IFERROR(__xludf.DUMMYFUNCTION("GOOGLETRANSLATE(A462, ""en"", ""hi"")"),"461")</f>
        <v>461</v>
      </c>
      <c r="G462" s="5" t="str">
        <f>IFERROR(__xludf.DUMMYFUNCTION("GOOGLETRANSLATE(B462, ""en"", ""hi"")"),"ऐतिहासिक ग्रंथों में लागोरी का उल्लेख पहली बार किस काल में हुआ था?")</f>
        <v>ऐतिहासिक ग्रंथों में लागोरी का उल्लेख पहली बार किस काल में हुआ था?</v>
      </c>
      <c r="H462" s="5" t="str">
        <f>IFERROR(__xludf.DUMMYFUNCTION("GOOGLETRANSLATE(C462, ""en"", ""hi"")"),"A) प्राचीन भारत, B) मध्यकालीन भारत, C) औपनिवेशिक भारत, D) आधुनिक भारत")</f>
        <v>A) प्राचीन भारत, B) मध्यकालीन भारत, C) औपनिवेशिक भारत, D) आधुनिक भारत</v>
      </c>
      <c r="I462" s="5" t="str">
        <f>IFERROR(__xludf.DUMMYFUNCTION("GOOGLETRANSLATE(D462, ""en"", ""hi"")"),"A) प्राचीन भारत")</f>
        <v>A) प्राचीन भारत</v>
      </c>
    </row>
    <row r="463" ht="22.5" customHeight="1">
      <c r="A463" s="3">
        <v>462.0</v>
      </c>
      <c r="B463" s="4" t="s">
        <v>4658</v>
      </c>
      <c r="C463" s="4" t="s">
        <v>4659</v>
      </c>
      <c r="D463" s="4" t="s">
        <v>98</v>
      </c>
      <c r="F463" s="5" t="str">
        <f>IFERROR(__xludf.DUMMYFUNCTION("GOOGLETRANSLATE(A463, ""en"", ""hi"")"),"462")</f>
        <v>462</v>
      </c>
      <c r="G463" s="5" t="str">
        <f>IFERROR(__xludf.DUMMYFUNCTION("GOOGLETRANSLATE(B463, ""en"", ""hi"")"),"किस भारतीय राज्य में लागोरी का एक संस्करण है जो अपने विशिष्ट नियमों के लिए जाना जाता है?")</f>
        <v>किस भारतीय राज्य में लागोरी का एक संस्करण है जो अपने विशिष्ट नियमों के लिए जाना जाता है?</v>
      </c>
      <c r="H463" s="5" t="str">
        <f>IFERROR(__xludf.DUMMYFUNCTION("GOOGLETRANSLATE(C463, ""en"", ""hi"")"),"A) तमिलनाडु, B) महाराष्ट्र, C) आंध्र प्रदेश, D) पंजाब")</f>
        <v>A) तमिलनाडु, B) महाराष्ट्र, C) आंध्र प्रदेश, D) पंजाब</v>
      </c>
      <c r="I463" s="5" t="str">
        <f>IFERROR(__xludf.DUMMYFUNCTION("GOOGLETRANSLATE(D463, ""en"", ""hi"")"),"बी) महाराष्ट्र")</f>
        <v>बी) महाराष्ट्र</v>
      </c>
    </row>
    <row r="464" ht="22.5" customHeight="1">
      <c r="A464" s="3">
        <v>463.0</v>
      </c>
      <c r="B464" s="4" t="s">
        <v>4660</v>
      </c>
      <c r="C464" s="4" t="s">
        <v>4661</v>
      </c>
      <c r="D464" s="4" t="s">
        <v>4662</v>
      </c>
      <c r="F464" s="5" t="str">
        <f>IFERROR(__xludf.DUMMYFUNCTION("GOOGLETRANSLATE(A464, ""en"", ""hi"")"),"463")</f>
        <v>463</v>
      </c>
      <c r="G464" s="5" t="str">
        <f>IFERROR(__xludf.DUMMYFUNCTION("GOOGLETRANSLATE(B464, ""en"", ""hi"")"),"ऐतिहासिक अभिलेखों के अनुसार पारंपरिक भारतीय शिक्षा में लागोरी की क्या भूमिका थी?")</f>
        <v>ऐतिहासिक अभिलेखों के अनुसार पारंपरिक भारतीय शिक्षा में लागोरी की क्या भूमिका थी?</v>
      </c>
      <c r="H464" s="5" t="str">
        <f>IFERROR(__xludf.DUMMYFUNCTION("GOOGLETRANSLATE(C464, ""en"", ""hi"")"),"A) शारीरिक व्यायाम, B) सामरिक प्रशिक्षण, C) आध्यात्मिक अभ्यास, D) सांस्कृतिक शिक्षा")</f>
        <v>A) शारीरिक व्यायाम, B) सामरिक प्रशिक्षण, C) आध्यात्मिक अभ्यास, D) सांस्कृतिक शिक्षा</v>
      </c>
      <c r="I464" s="5" t="str">
        <f>IFERROR(__xludf.DUMMYFUNCTION("GOOGLETRANSLATE(D464, ""en"", ""hi"")"),"ए) शारीरिक व्यायाम")</f>
        <v>ए) शारीरिक व्यायाम</v>
      </c>
    </row>
    <row r="465" ht="22.5" customHeight="1">
      <c r="A465" s="3">
        <v>464.0</v>
      </c>
      <c r="B465" s="4" t="s">
        <v>4663</v>
      </c>
      <c r="C465" s="4" t="s">
        <v>4509</v>
      </c>
      <c r="D465" s="4" t="s">
        <v>3301</v>
      </c>
      <c r="F465" s="5" t="str">
        <f>IFERROR(__xludf.DUMMYFUNCTION("GOOGLETRANSLATE(A465, ""en"", ""hi"")"),"464")</f>
        <v>464</v>
      </c>
      <c r="G465" s="5" t="str">
        <f>IFERROR(__xludf.DUMMYFUNCTION("GOOGLETRANSLATE(B465, ""en"", ""hi"")"),"कौन सा भारतीय राजा अपने शासनकाल के दौरान लागोरी खेलने के लिए प्रसिद्ध है?")</f>
        <v>कौन सा भारतीय राजा अपने शासनकाल के दौरान लागोरी खेलने के लिए प्रसिद्ध है?</v>
      </c>
      <c r="H465" s="5" t="str">
        <f>IFERROR(__xludf.DUMMYFUNCTION("GOOGLETRANSLATE(C465, ""en"", ""hi"")"),"A) चंद्रगुप्त मौर्य, B) अशोक महान, C) शिवाजी महाराज, D) अकबर महान")</f>
        <v>A) चंद्रगुप्त मौर्य, B) अशोक महान, C) शिवाजी महाराज, D) अकबर महान</v>
      </c>
      <c r="I465" s="5" t="str">
        <f>IFERROR(__xludf.DUMMYFUNCTION("GOOGLETRANSLATE(D465, ""en"", ""hi"")"),"C) शिवाजी महाराज")</f>
        <v>C) शिवाजी महाराज</v>
      </c>
    </row>
    <row r="466" ht="22.5" customHeight="1">
      <c r="A466" s="3">
        <v>465.0</v>
      </c>
      <c r="B466" s="4" t="s">
        <v>4664</v>
      </c>
      <c r="C466" s="4" t="s">
        <v>4665</v>
      </c>
      <c r="D466" s="4" t="s">
        <v>4666</v>
      </c>
      <c r="F466" s="5" t="str">
        <f>IFERROR(__xludf.DUMMYFUNCTION("GOOGLETRANSLATE(A466, ""en"", ""hi"")"),"465")</f>
        <v>465</v>
      </c>
      <c r="G466" s="5" t="str">
        <f>IFERROR(__xludf.DUMMYFUNCTION("GOOGLETRANSLATE(B466, ""en"", ""hi"")"),"ग्रामीण भारतीय समुदायों में लागोरी के लिए पारंपरिक परिवेश क्या था?")</f>
        <v>ग्रामीण भारतीय समुदायों में लागोरी के लिए पारंपरिक परिवेश क्या था?</v>
      </c>
      <c r="H466" s="5" t="str">
        <f>IFERROR(__xludf.DUMMYFUNCTION("GOOGLETRANSLATE(C466, ""en"", ""hi"")"),"A) गांव का मैदान, B) शाही दरबार, C) मंदिर परिसर, D) शैक्षणिक संस्थान")</f>
        <v>A) गांव का मैदान, B) शाही दरबार, C) मंदिर परिसर, D) शैक्षणिक संस्थान</v>
      </c>
      <c r="I466" s="5" t="str">
        <f>IFERROR(__xludf.DUMMYFUNCTION("GOOGLETRANSLATE(D466, ""en"", ""hi"")"),"A) गांव के मैदान")</f>
        <v>A) गांव के मैदान</v>
      </c>
    </row>
    <row r="467" ht="22.5" customHeight="1">
      <c r="A467" s="3">
        <v>466.0</v>
      </c>
      <c r="B467" s="4" t="s">
        <v>4667</v>
      </c>
      <c r="C467" s="4" t="s">
        <v>4668</v>
      </c>
      <c r="D467" s="4" t="s">
        <v>4669</v>
      </c>
      <c r="F467" s="5" t="str">
        <f>IFERROR(__xludf.DUMMYFUNCTION("GOOGLETRANSLATE(A467, ""en"", ""hi"")"),"466")</f>
        <v>466</v>
      </c>
      <c r="G467" s="5" t="str">
        <f>IFERROR(__xludf.DUMMYFUNCTION("GOOGLETRANSLATE(B467, ""en"", ""hi"")"),"किस ऐतिहासिक ग्रंथ में लागोरी जैसे खेलों का वर्णन मिलता है?")</f>
        <v>किस ऐतिहासिक ग्रंथ में लागोरी जैसे खेलों का वर्णन मिलता है?</v>
      </c>
      <c r="H467" s="5" t="str">
        <f>IFERROR(__xludf.DUMMYFUNCTION("GOOGLETRANSLATE(C467, ""en"", ""hi"")"),"ए) वेद, बी) उपनिषद, सी) रामायण, डी) मनुस्मृति")</f>
        <v>ए) वेद, बी) उपनिषद, सी) रामायण, डी) मनुस्मृति</v>
      </c>
      <c r="I467" s="5" t="str">
        <f>IFERROR(__xludf.DUMMYFUNCTION("GOOGLETRANSLATE(D467, ""en"", ""hi"")"),"C) रामायण")</f>
        <v>C) रामायण</v>
      </c>
    </row>
    <row r="468" ht="22.5" customHeight="1">
      <c r="A468" s="3">
        <v>467.0</v>
      </c>
      <c r="B468" s="4" t="s">
        <v>4670</v>
      </c>
      <c r="C468" s="4" t="s">
        <v>4671</v>
      </c>
      <c r="D468" s="4" t="s">
        <v>98</v>
      </c>
      <c r="F468" s="5" t="str">
        <f>IFERROR(__xludf.DUMMYFUNCTION("GOOGLETRANSLATE(A468, ""en"", ""hi"")"),"467")</f>
        <v>467</v>
      </c>
      <c r="G468" s="5" t="str">
        <f>IFERROR(__xludf.DUMMYFUNCTION("GOOGLETRANSLATE(B468, ""en"", ""hi"")"),"भारत के किस क्षेत्र में लागोरी को 'लिंगोर' भी कहा जाता है?")</f>
        <v>भारत के किस क्षेत्र में लागोरी को 'लिंगोर' भी कहा जाता है?</v>
      </c>
      <c r="H468" s="5" t="str">
        <f>IFERROR(__xludf.DUMMYFUNCTION("GOOGLETRANSLATE(C468, ""en"", ""hi"")"),"ए) गुजरात, बी) महाराष्ट्र, सी) कर्नाटक, डी) तमिलनाडु")</f>
        <v>ए) गुजरात, बी) महाराष्ट्र, सी) कर्नाटक, डी) तमिलनाडु</v>
      </c>
      <c r="I468" s="5" t="str">
        <f>IFERROR(__xludf.DUMMYFUNCTION("GOOGLETRANSLATE(D468, ""en"", ""hi"")"),"बी) महाराष्ट्र")</f>
        <v>बी) महाराष्ट्र</v>
      </c>
    </row>
    <row r="469" ht="22.5" customHeight="1">
      <c r="A469" s="3">
        <v>468.0</v>
      </c>
      <c r="B469" s="4" t="s">
        <v>4672</v>
      </c>
      <c r="C469" s="4" t="s">
        <v>4673</v>
      </c>
      <c r="D469" s="4" t="s">
        <v>4674</v>
      </c>
      <c r="F469" s="5" t="str">
        <f>IFERROR(__xludf.DUMMYFUNCTION("GOOGLETRANSLATE(A469, ""en"", ""hi"")"),"468")</f>
        <v>468</v>
      </c>
      <c r="G469" s="5" t="str">
        <f>IFERROR(__xludf.DUMMYFUNCTION("GOOGLETRANSLATE(B469, ""en"", ""hi"")"),"लागोरी का कौन सा पहलू इसे ऐतिहासिक भारतीय संदर्भ में सांस्कृतिक रूप से महत्वपूर्ण खेल बनाता है?")</f>
        <v>लागोरी का कौन सा पहलू इसे ऐतिहासिक भारतीय संदर्भ में सांस्कृतिक रूप से महत्वपूर्ण खेल बनाता है?</v>
      </c>
      <c r="H469" s="5" t="str">
        <f>IFERROR(__xludf.DUMMYFUNCTION("GOOGLETRANSLATE(C469, ""en"", ""hi"")"),"A) इसकी सादगी, B) इसका शाही समर्थन, C) इसकी ऐतिहासिक जड़ें, D) इसके आधुनिक रूपांतर")</f>
        <v>A) इसकी सादगी, B) इसका शाही समर्थन, C) इसकी ऐतिहासिक जड़ें, D) इसके आधुनिक रूपांतर</v>
      </c>
      <c r="I469" s="5" t="str">
        <f>IFERROR(__xludf.DUMMYFUNCTION("GOOGLETRANSLATE(D469, ""en"", ""hi"")"),"C) इसकी ऐतिहासिक जड़ें")</f>
        <v>C) इसकी ऐतिहासिक जड़ें</v>
      </c>
    </row>
    <row r="470" ht="22.5" customHeight="1">
      <c r="A470" s="3">
        <v>469.0</v>
      </c>
      <c r="B470" s="4" t="s">
        <v>4675</v>
      </c>
      <c r="C470" s="4" t="s">
        <v>4600</v>
      </c>
      <c r="D470" s="4" t="s">
        <v>4442</v>
      </c>
      <c r="F470" s="5" t="str">
        <f>IFERROR(__xludf.DUMMYFUNCTION("GOOGLETRANSLATE(A470, ""en"", ""hi"")"),"469")</f>
        <v>469</v>
      </c>
      <c r="G470" s="5" t="str">
        <f>IFERROR(__xludf.DUMMYFUNCTION("GOOGLETRANSLATE(B470, ""en"", ""hi"")"),"प्राचीन भारत में लागोरी पत्थरों के लिए कौन सी पारंपरिक सामग्री का प्रयोग किया जाता था?")</f>
        <v>प्राचीन भारत में लागोरी पत्थरों के लिए कौन सी पारंपरिक सामग्री का प्रयोग किया जाता था?</v>
      </c>
      <c r="H470" s="5" t="str">
        <f>IFERROR(__xludf.DUMMYFUNCTION("GOOGLETRANSLATE(C470, ""en"", ""hi"")"),"A) मिट्टी, B) धातु, C) लकड़ी, D) पत्थर")</f>
        <v>A) मिट्टी, B) धातु, C) लकड़ी, D) पत्थर</v>
      </c>
      <c r="I470" s="5" t="str">
        <f>IFERROR(__xludf.DUMMYFUNCTION("GOOGLETRANSLATE(D470, ""en"", ""hi"")"),"D) पत्थर")</f>
        <v>D) पत्थर</v>
      </c>
    </row>
    <row r="471" ht="22.5" customHeight="1">
      <c r="A471" s="3">
        <v>470.0</v>
      </c>
      <c r="B471" s="4" t="s">
        <v>4676</v>
      </c>
      <c r="C471" s="4" t="s">
        <v>4578</v>
      </c>
      <c r="D471" s="4" t="s">
        <v>4677</v>
      </c>
      <c r="F471" s="5" t="str">
        <f>IFERROR(__xludf.DUMMYFUNCTION("GOOGLETRANSLATE(A471, ""en"", ""hi"")"),"470")</f>
        <v>470</v>
      </c>
      <c r="G471" s="5" t="str">
        <f>IFERROR(__xludf.DUMMYFUNCTION("GOOGLETRANSLATE(B471, ""en"", ""hi"")"),"किस भारतीय राजा ने अपने दरबारियों के बीच लागोरी को लोकप्रिय बनाया?")</f>
        <v>किस भारतीय राजा ने अपने दरबारियों के बीच लागोरी को लोकप्रिय बनाया?</v>
      </c>
      <c r="H471" s="5" t="str">
        <f>IFERROR(__xludf.DUMMYFUNCTION("GOOGLETRANSLATE(C471, ""en"", ""hi"")"),"A) राजा अशोक, B) राजा चंद्रगुप्त, C) राजा शिवाजी, D) राजा अकबर")</f>
        <v>A) राजा अशोक, B) राजा चंद्रगुप्त, C) राजा शिवाजी, D) राजा अकबर</v>
      </c>
      <c r="I471" s="5" t="str">
        <f>IFERROR(__xludf.DUMMYFUNCTION("GOOGLETRANSLATE(D471, ""en"", ""hi"")"),"D) राजा अकबर")</f>
        <v>D) राजा अकबर</v>
      </c>
    </row>
    <row r="472" ht="22.5" customHeight="1">
      <c r="A472" s="3">
        <v>471.0</v>
      </c>
      <c r="B472" s="4" t="s">
        <v>4678</v>
      </c>
      <c r="C472" s="4" t="s">
        <v>4679</v>
      </c>
      <c r="D472" s="4" t="s">
        <v>4680</v>
      </c>
      <c r="F472" s="5" t="str">
        <f>IFERROR(__xludf.DUMMYFUNCTION("GOOGLETRANSLATE(A472, ""en"", ""hi"")"),"471")</f>
        <v>471</v>
      </c>
      <c r="G472" s="5" t="str">
        <f>IFERROR(__xludf.DUMMYFUNCTION("GOOGLETRANSLATE(B472, ""en"", ""hi"")"),"पारंपरिक सेटिंग्स में लागोरी गेमप्ले के लिए कौन सा ऐतिहासिक तत्व महत्वपूर्ण माना जाता है?")</f>
        <v>पारंपरिक सेटिंग्स में लागोरी गेमप्ले के लिए कौन सा ऐतिहासिक तत्व महत्वपूर्ण माना जाता है?</v>
      </c>
      <c r="H472" s="5" t="str">
        <f>IFERROR(__xludf.DUMMYFUNCTION("GOOGLETRANSLATE(C472, ""en"", ""hi"")"),"A) पत्थर के निशान, B) लकड़ी की छड़ें, C) कपड़े की गेंदें, D) मिट्टी की डिस्क")</f>
        <v>A) पत्थर के निशान, B) लकड़ी की छड़ें, C) कपड़े की गेंदें, D) मिट्टी की डिस्क</v>
      </c>
      <c r="I472" s="5" t="str">
        <f>IFERROR(__xludf.DUMMYFUNCTION("GOOGLETRANSLATE(D472, ""en"", ""hi"")"),"A) पत्थर के निशान")</f>
        <v>A) पत्थर के निशान</v>
      </c>
    </row>
    <row r="473" ht="22.5" customHeight="1">
      <c r="A473" s="3">
        <v>472.0</v>
      </c>
      <c r="B473" s="4" t="s">
        <v>4681</v>
      </c>
      <c r="C473" s="4" t="s">
        <v>4656</v>
      </c>
      <c r="D473" s="4" t="s">
        <v>4682</v>
      </c>
      <c r="F473" s="5" t="str">
        <f>IFERROR(__xludf.DUMMYFUNCTION("GOOGLETRANSLATE(A473, ""en"", ""hi"")"),"472")</f>
        <v>472</v>
      </c>
      <c r="G473" s="5" t="str">
        <f>IFERROR(__xludf.DUMMYFUNCTION("GOOGLETRANSLATE(B473, ""en"", ""hi"")"),"भारतीय इतिहास में किस काल में लगोरी को शाही मनोरंजन के हिस्से के रूप में खेला जाता था?")</f>
        <v>भारतीय इतिहास में किस काल में लगोरी को शाही मनोरंजन के हिस्से के रूप में खेला जाता था?</v>
      </c>
      <c r="H473" s="5" t="str">
        <f>IFERROR(__xludf.DUMMYFUNCTION("GOOGLETRANSLATE(C473, ""en"", ""hi"")"),"A) प्राचीन भारत, B) मध्यकालीन भारत, C) औपनिवेशिक भारत, D) आधुनिक भारत")</f>
        <v>A) प्राचीन भारत, B) मध्यकालीन भारत, C) औपनिवेशिक भारत, D) आधुनिक भारत</v>
      </c>
      <c r="I473" s="5" t="str">
        <f>IFERROR(__xludf.DUMMYFUNCTION("GOOGLETRANSLATE(D473, ""en"", ""hi"")"),"बी) मध्यकालीन भारत")</f>
        <v>बी) मध्यकालीन भारत</v>
      </c>
    </row>
    <row r="474" ht="22.5" customHeight="1">
      <c r="A474" s="3">
        <v>473.0</v>
      </c>
      <c r="B474" s="4" t="s">
        <v>4683</v>
      </c>
      <c r="C474" s="4" t="s">
        <v>4684</v>
      </c>
      <c r="D474" s="4" t="s">
        <v>3433</v>
      </c>
      <c r="F474" s="5" t="str">
        <f>IFERROR(__xludf.DUMMYFUNCTION("GOOGLETRANSLATE(A474, ""en"", ""hi"")"),"473")</f>
        <v>473</v>
      </c>
      <c r="G474" s="5" t="str">
        <f>IFERROR(__xludf.DUMMYFUNCTION("GOOGLETRANSLATE(B474, ""en"", ""hi"")"),"पारंपरिक भारतीय ग्रामीण मेलों में लागोरी की क्या भूमिका थी?")</f>
        <v>पारंपरिक भारतीय ग्रामीण मेलों में लागोरी की क्या भूमिका थी?</v>
      </c>
      <c r="H474" s="5" t="str">
        <f>IFERROR(__xludf.DUMMYFUNCTION("GOOGLETRANSLATE(C474, ""en"", ""hi"")"),"A) आर्थिक आदान-प्रदान, B) शैक्षिक गतिविधि, C) मनोरंजन, D) धार्मिक अनुष्ठान")</f>
        <v>A) आर्थिक आदान-प्रदान, B) शैक्षिक गतिविधि, C) मनोरंजन, D) धार्मिक अनुष्ठान</v>
      </c>
      <c r="I474" s="5" t="str">
        <f>IFERROR(__xludf.DUMMYFUNCTION("GOOGLETRANSLATE(D474, ""en"", ""hi"")"),"सी) मनोरंजन")</f>
        <v>सी) मनोरंजन</v>
      </c>
    </row>
    <row r="475" ht="22.5" customHeight="1">
      <c r="A475" s="3">
        <v>474.0</v>
      </c>
      <c r="B475" s="4" t="s">
        <v>4685</v>
      </c>
      <c r="C475" s="4" t="s">
        <v>4686</v>
      </c>
      <c r="D475" s="4" t="s">
        <v>4504</v>
      </c>
      <c r="F475" s="5" t="str">
        <f>IFERROR(__xludf.DUMMYFUNCTION("GOOGLETRANSLATE(A475, ""en"", ""hi"")"),"474")</f>
        <v>474</v>
      </c>
      <c r="G475" s="5" t="str">
        <f>IFERROR(__xludf.DUMMYFUNCTION("GOOGLETRANSLATE(B475, ""en"", ""hi"")"),"प्राचीन भारतीय सामाजिक समारोहों में लागोरी की क्या भूमिका थी?")</f>
        <v>प्राचीन भारतीय सामाजिक समारोहों में लागोरी की क्या भूमिका थी?</v>
      </c>
      <c r="H475" s="5" t="str">
        <f>IFERROR(__xludf.DUMMYFUNCTION("GOOGLETRANSLATE(C475, ""en"", ""hi"")"),"A) शैक्षिक उपकरण, B) सामुदायिक बंधन, C) धार्मिक अनुष्ठान, D) आर्थिक लेन-देन")</f>
        <v>A) शैक्षिक उपकरण, B) सामुदायिक बंधन, C) धार्मिक अनुष्ठान, D) आर्थिक लेन-देन</v>
      </c>
      <c r="I475" s="5" t="str">
        <f>IFERROR(__xludf.DUMMYFUNCTION("GOOGLETRANSLATE(D475, ""en"", ""hi"")"),"बी) सामुदायिक बंधन")</f>
        <v>बी) सामुदायिक बंधन</v>
      </c>
    </row>
    <row r="476" ht="22.5" customHeight="1">
      <c r="A476" s="3">
        <v>475.0</v>
      </c>
      <c r="B476" s="4" t="s">
        <v>4687</v>
      </c>
      <c r="C476" s="4" t="s">
        <v>4118</v>
      </c>
      <c r="D476" s="4" t="s">
        <v>4433</v>
      </c>
      <c r="F476" s="5" t="str">
        <f>IFERROR(__xludf.DUMMYFUNCTION("GOOGLETRANSLATE(A476, ""en"", ""hi"")"),"475")</f>
        <v>475</v>
      </c>
      <c r="G476" s="5" t="str">
        <f>IFERROR(__xludf.DUMMYFUNCTION("GOOGLETRANSLATE(B476, ""en"", ""hi"")"),"किस प्रसिद्ध ऐतिहासिक त्यौहार में पारंपरिक खेल के रूप में लागोरी को शामिल किया जाता है?")</f>
        <v>किस प्रसिद्ध ऐतिहासिक त्यौहार में पारंपरिक खेल के रूप में लागोरी को शामिल किया जाता है?</v>
      </c>
      <c r="H476" s="5" t="str">
        <f>IFERROR(__xludf.DUMMYFUNCTION("GOOGLETRANSLATE(C476, ""en"", ""hi"")"),"ए) दिवाली, बी) होली, सी) पोंगल, डी) मकर संक्रांति")</f>
        <v>ए) दिवाली, बी) होली, सी) पोंगल, डी) मकर संक्रांति</v>
      </c>
      <c r="I476" s="5" t="str">
        <f>IFERROR(__xludf.DUMMYFUNCTION("GOOGLETRANSLATE(D476, ""en"", ""hi"")"),"बी) होली")</f>
        <v>बी) होली</v>
      </c>
    </row>
    <row r="477" ht="22.5" customHeight="1">
      <c r="A477" s="3">
        <v>476.0</v>
      </c>
      <c r="B477" s="4" t="s">
        <v>4688</v>
      </c>
      <c r="C477" s="4" t="s">
        <v>4689</v>
      </c>
      <c r="D477" s="4" t="s">
        <v>2544</v>
      </c>
      <c r="F477" s="5" t="str">
        <f>IFERROR(__xludf.DUMMYFUNCTION("GOOGLETRANSLATE(A477, ""en"", ""hi"")"),"476")</f>
        <v>476</v>
      </c>
      <c r="G477" s="5" t="str">
        <f>IFERROR(__xludf.DUMMYFUNCTION("GOOGLETRANSLATE(B477, ""en"", ""hi"")"),"किस प्राचीन भारतीय ग्रंथ में लागोरी और इसी प्रकार के खेलों का उल्लेख है?")</f>
        <v>किस प्राचीन भारतीय ग्रंथ में लागोरी और इसी प्रकार के खेलों का उल्लेख है?</v>
      </c>
      <c r="H477" s="5" t="str">
        <f>IFERROR(__xludf.DUMMYFUNCTION("GOOGLETRANSLATE(C477, ""en"", ""hi"")"),"ए) मनुस्मृति, बी) महाभारत, सी) रामायण, डी) उपनिषद")</f>
        <v>ए) मनुस्मृति, बी) महाभारत, सी) रामायण, डी) उपनिषद</v>
      </c>
      <c r="I477" s="5" t="str">
        <f>IFERROR(__xludf.DUMMYFUNCTION("GOOGLETRANSLATE(D477, ""en"", ""hi"")"),"बी) महाभारत")</f>
        <v>बी) महाभारत</v>
      </c>
    </row>
    <row r="478" ht="22.5" customHeight="1">
      <c r="A478" s="3">
        <v>477.0</v>
      </c>
      <c r="B478" s="4" t="s">
        <v>4690</v>
      </c>
      <c r="C478" s="4" t="s">
        <v>4691</v>
      </c>
      <c r="D478" s="4" t="s">
        <v>4692</v>
      </c>
      <c r="F478" s="5" t="str">
        <f>IFERROR(__xludf.DUMMYFUNCTION("GOOGLETRANSLATE(A478, ""en"", ""hi"")"),"477")</f>
        <v>477</v>
      </c>
      <c r="G478" s="5" t="str">
        <f>IFERROR(__xludf.DUMMYFUNCTION("GOOGLETRANSLATE(B478, ""en"", ""hi"")"),"ऐतिहासिक रूप से किस भारतीय राजा का शासनकाल लगोरी खेलने से जुड़ा हुआ है?")</f>
        <v>ऐतिहासिक रूप से किस भारतीय राजा का शासनकाल लगोरी खेलने से जुड़ा हुआ है?</v>
      </c>
      <c r="H478" s="5" t="str">
        <f>IFERROR(__xludf.DUMMYFUNCTION("GOOGLETRANSLATE(C478, ""en"", ""hi"")"),"A) राजा अशोक, B) राजा चंद्रगुप्त, C) राजा अकबर, D) राजा शिवाजी")</f>
        <v>A) राजा अशोक, B) राजा चंद्रगुप्त, C) राजा अकबर, D) राजा शिवाजी</v>
      </c>
      <c r="I478" s="5" t="str">
        <f>IFERROR(__xludf.DUMMYFUNCTION("GOOGLETRANSLATE(D478, ""en"", ""hi"")"),"C) राजा अकबर")</f>
        <v>C) राजा अकबर</v>
      </c>
    </row>
    <row r="479" ht="22.5" customHeight="1">
      <c r="A479" s="3">
        <v>478.0</v>
      </c>
      <c r="B479" s="4" t="s">
        <v>4693</v>
      </c>
      <c r="C479" s="4" t="s">
        <v>4694</v>
      </c>
      <c r="D479" s="4" t="s">
        <v>2544</v>
      </c>
      <c r="F479" s="5" t="str">
        <f>IFERROR(__xludf.DUMMYFUNCTION("GOOGLETRANSLATE(A479, ""en"", ""hi"")"),"478")</f>
        <v>478</v>
      </c>
      <c r="G479" s="5" t="str">
        <f>IFERROR(__xludf.DUMMYFUNCTION("GOOGLETRANSLATE(B479, ""en"", ""hi"")"),"कौन सा ऐतिहासिक ग्रंथ लागोरी जैसे खेलों का वर्णन करने के लिए जाना जाता है?")</f>
        <v>कौन सा ऐतिहासिक ग्रंथ लागोरी जैसे खेलों का वर्णन करने के लिए जाना जाता है?</v>
      </c>
      <c r="H479" s="5" t="str">
        <f>IFERROR(__xludf.DUMMYFUNCTION("GOOGLETRANSLATE(C479, ""en"", ""hi"")"),"ए) अर्थशास्त्र, बी) महाभारत, सी) रामायण, डी) उपनिषद")</f>
        <v>ए) अर्थशास्त्र, बी) महाभारत, सी) रामायण, डी) उपनिषद</v>
      </c>
      <c r="I479" s="5" t="str">
        <f>IFERROR(__xludf.DUMMYFUNCTION("GOOGLETRANSLATE(D479, ""en"", ""hi"")"),"बी) महाभारत")</f>
        <v>बी) महाभारत</v>
      </c>
    </row>
    <row r="480" ht="22.5" customHeight="1">
      <c r="A480" s="3">
        <v>479.0</v>
      </c>
      <c r="B480" s="4" t="s">
        <v>4695</v>
      </c>
      <c r="C480" s="4" t="s">
        <v>4696</v>
      </c>
      <c r="D480" s="4" t="s">
        <v>4697</v>
      </c>
      <c r="F480" s="5" t="str">
        <f>IFERROR(__xludf.DUMMYFUNCTION("GOOGLETRANSLATE(A480, ""en"", ""hi"")"),"479")</f>
        <v>479</v>
      </c>
      <c r="G480" s="5" t="str">
        <f>IFERROR(__xludf.DUMMYFUNCTION("GOOGLETRANSLATE(B480, ""en"", ""hi"")"),"प्राचीन भारतीय समाज में लागोरी की प्राथमिक स्थिति क्या थी?")</f>
        <v>प्राचीन भारतीय समाज में लागोरी की प्राथमिक स्थिति क्या थी?</v>
      </c>
      <c r="H480" s="5" t="str">
        <f>IFERROR(__xludf.DUMMYFUNCTION("GOOGLETRANSLATE(C480, ""en"", ""hi"")"),"A) सार्वजनिक स्थान, B) शाही दरबार, C) मंदिर, D) शैक्षणिक संस्थान")</f>
        <v>A) सार्वजनिक स्थान, B) शाही दरबार, C) मंदिर, D) शैक्षणिक संस्थान</v>
      </c>
      <c r="I480" s="5" t="str">
        <f>IFERROR(__xludf.DUMMYFUNCTION("GOOGLETRANSLATE(D480, ""en"", ""hi"")"),"ए) सार्वजनिक स्थान")</f>
        <v>ए) सार्वजनिक स्थान</v>
      </c>
    </row>
    <row r="481" ht="22.5" customHeight="1">
      <c r="A481" s="3">
        <v>480.0</v>
      </c>
      <c r="B481" s="4" t="s">
        <v>4698</v>
      </c>
      <c r="C481" s="4" t="s">
        <v>4699</v>
      </c>
      <c r="D481" s="4" t="s">
        <v>4700</v>
      </c>
      <c r="F481" s="5" t="str">
        <f>IFERROR(__xludf.DUMMYFUNCTION("GOOGLETRANSLATE(A481, ""en"", ""hi"")"),"480")</f>
        <v>480</v>
      </c>
      <c r="G481" s="5" t="str">
        <f>IFERROR(__xludf.DUMMYFUNCTION("GOOGLETRANSLATE(B481, ""en"", ""hi"")"),"भारत में किस क्षेत्र ने अनूठे नियमों के साथ लागोरी का अपना संस्करण विकसित किया?")</f>
        <v>भारत में किस क्षेत्र ने अनूठे नियमों के साथ लागोरी का अपना संस्करण विकसित किया?</v>
      </c>
      <c r="H481" s="5" t="str">
        <f>IFERROR(__xludf.DUMMYFUNCTION("GOOGLETRANSLATE(C481, ""en"", ""hi"")"),"ए) तमिलनाडु, बी) कर्नाटक, सी) गुजरात, डी) पंजाब")</f>
        <v>ए) तमिलनाडु, बी) कर्नाटक, सी) गुजरात, डी) पंजाब</v>
      </c>
      <c r="I481" s="5" t="str">
        <f>IFERROR(__xludf.DUMMYFUNCTION("GOOGLETRANSLATE(D481, ""en"", ""hi"")"),"C) गुजरात")</f>
        <v>C) गुजरात</v>
      </c>
    </row>
    <row r="482" ht="22.5" customHeight="1">
      <c r="A482" s="3">
        <v>481.0</v>
      </c>
      <c r="B482" s="4" t="s">
        <v>4701</v>
      </c>
      <c r="C482" s="4" t="s">
        <v>4702</v>
      </c>
      <c r="D482" s="4" t="s">
        <v>4703</v>
      </c>
      <c r="F482" s="5" t="str">
        <f>IFERROR(__xludf.DUMMYFUNCTION("GOOGLETRANSLATE(A482, ""en"", ""hi"")"),"481")</f>
        <v>481</v>
      </c>
      <c r="G482" s="5" t="str">
        <f>IFERROR(__xludf.DUMMYFUNCTION("GOOGLETRANSLATE(B482, ""en"", ""hi"")"),"किस प्राचीन भारतीय खेल की तुलना अक्सर उसके समान गेमप्ले के लिए लागोरी से की जाती है?")</f>
        <v>किस प्राचीन भारतीय खेल की तुलना अक्सर उसके समान गेमप्ले के लिए लागोरी से की जाती है?</v>
      </c>
      <c r="H482" s="5" t="str">
        <f>IFERROR(__xludf.DUMMYFUNCTION("GOOGLETRANSLATE(C482, ""en"", ""hi"")"),"ए) सतोलिया, बी) गिल्ली डंडा, सी) खो-खो, डी) कबड्डी")</f>
        <v>ए) सतोलिया, बी) गिल्ली डंडा, सी) खो-खो, डी) कबड्डी</v>
      </c>
      <c r="I482" s="5" t="str">
        <f>IFERROR(__xludf.DUMMYFUNCTION("GOOGLETRANSLATE(D482, ""en"", ""hi"")"),"A) सतोलिया")</f>
        <v>A) सतोलिया</v>
      </c>
    </row>
    <row r="483" ht="22.5" customHeight="1">
      <c r="A483" s="3">
        <v>482.0</v>
      </c>
      <c r="B483" s="4" t="s">
        <v>4704</v>
      </c>
      <c r="C483" s="4" t="s">
        <v>4705</v>
      </c>
      <c r="D483" s="4" t="s">
        <v>1968</v>
      </c>
      <c r="F483" s="5" t="str">
        <f>IFERROR(__xludf.DUMMYFUNCTION("GOOGLETRANSLATE(A483, ""en"", ""hi"")"),"482")</f>
        <v>482</v>
      </c>
      <c r="G483" s="5" t="str">
        <f>IFERROR(__xludf.DUMMYFUNCTION("GOOGLETRANSLATE(B483, ""en"", ""hi"")"),"कौन सा भारतीय राज्य पारंपरिक रूप से अपने फसल उत्सव समारोह के हिस्से के रूप में लागोरी का उपयोग करता है?")</f>
        <v>कौन सा भारतीय राज्य पारंपरिक रूप से अपने फसल उत्सव समारोह के हिस्से के रूप में लागोरी का उपयोग करता है?</v>
      </c>
      <c r="H483" s="5" t="str">
        <f>IFERROR(__xludf.DUMMYFUNCTION("GOOGLETRANSLATE(C483, ""en"", ""hi"")"),"ए) राजस्थान, बी) पंजाब, सी) गुजरात, डी) महाराष्ट्र")</f>
        <v>ए) राजस्थान, बी) पंजाब, सी) गुजरात, डी) महाराष्ट्र</v>
      </c>
      <c r="I483" s="5" t="str">
        <f>IFERROR(__xludf.DUMMYFUNCTION("GOOGLETRANSLATE(D483, ""en"", ""hi"")"),"बी) पंजाब")</f>
        <v>बी) पंजाब</v>
      </c>
    </row>
    <row r="484" ht="22.5" customHeight="1">
      <c r="A484" s="3">
        <v>483.0</v>
      </c>
      <c r="B484" s="4" t="s">
        <v>4706</v>
      </c>
      <c r="C484" s="4" t="s">
        <v>4707</v>
      </c>
      <c r="D484" s="4" t="s">
        <v>4591</v>
      </c>
      <c r="F484" s="5" t="str">
        <f>IFERROR(__xludf.DUMMYFUNCTION("GOOGLETRANSLATE(A484, ""en"", ""hi"")"),"483")</f>
        <v>483</v>
      </c>
      <c r="G484" s="5" t="str">
        <f>IFERROR(__xludf.DUMMYFUNCTION("GOOGLETRANSLATE(B484, ""en"", ""hi"")"),"मध्यकालीन भारतीय दरबारों में लागोरी का प्राथमिक ऐतिहासिक उपयोग क्या था?")</f>
        <v>मध्यकालीन भारतीय दरबारों में लागोरी का प्राथमिक ऐतिहासिक उपयोग क्या था?</v>
      </c>
      <c r="H484" s="5" t="str">
        <f>IFERROR(__xludf.DUMMYFUNCTION("GOOGLETRANSLATE(C484, ""en"", ""hi"")"),"A) मनोरंजन, B) सैन्य प्रशिक्षण, C) धार्मिक अनुष्ठान, D) शिक्षा")</f>
        <v>A) मनोरंजन, B) सैन्य प्रशिक्षण, C) धार्मिक अनुष्ठान, D) शिक्षा</v>
      </c>
      <c r="I484" s="5" t="str">
        <f>IFERROR(__xludf.DUMMYFUNCTION("GOOGLETRANSLATE(D484, ""en"", ""hi"")"),"ए) मनोरंजन")</f>
        <v>ए) मनोरंजन</v>
      </c>
    </row>
    <row r="485" ht="22.5" customHeight="1">
      <c r="A485" s="3">
        <v>484.0</v>
      </c>
      <c r="B485" s="4" t="s">
        <v>4708</v>
      </c>
      <c r="C485" s="4" t="s">
        <v>4709</v>
      </c>
      <c r="D485" s="4" t="s">
        <v>4710</v>
      </c>
      <c r="F485" s="5" t="str">
        <f>IFERROR(__xludf.DUMMYFUNCTION("GOOGLETRANSLATE(A485, ""en"", ""hi"")"),"484")</f>
        <v>484</v>
      </c>
      <c r="G485" s="5" t="str">
        <f>IFERROR(__xludf.DUMMYFUNCTION("GOOGLETRANSLATE(B485, ""en"", ""hi"")"),"कौन सा भारतीय राजा ऐतिहासिक रूप से लागोरी और अन्य पारंपरिक खेलों में अपनी रुचि के लिए जाना जाता है?")</f>
        <v>कौन सा भारतीय राजा ऐतिहासिक रूप से लागोरी और अन्य पारंपरिक खेलों में अपनी रुचि के लिए जाना जाता है?</v>
      </c>
      <c r="H485" s="5" t="str">
        <f>IFERROR(__xludf.DUMMYFUNCTION("GOOGLETRANSLATE(C485, ""en"", ""hi"")"),"A) महाराजा रणजीत सिंह, B) राजा शिवाजी, C) सम्राट अकबर, D) राजा राज चोल")</f>
        <v>A) महाराजा रणजीत सिंह, B) राजा शिवाजी, C) सम्राट अकबर, D) राजा राज चोल</v>
      </c>
      <c r="I485" s="5" t="str">
        <f>IFERROR(__xludf.DUMMYFUNCTION("GOOGLETRANSLATE(D485, ""en"", ""hi"")"),"C) सम्राट अकबर")</f>
        <v>C) सम्राट अकबर</v>
      </c>
    </row>
    <row r="486" ht="22.5" customHeight="1">
      <c r="A486" s="3">
        <v>485.0</v>
      </c>
      <c r="B486" s="4" t="s">
        <v>4711</v>
      </c>
      <c r="C486" s="4" t="s">
        <v>4712</v>
      </c>
      <c r="D486" s="4" t="s">
        <v>3996</v>
      </c>
      <c r="F486" s="5" t="str">
        <f>IFERROR(__xludf.DUMMYFUNCTION("GOOGLETRANSLATE(A486, ""en"", ""hi"")"),"485")</f>
        <v>485</v>
      </c>
      <c r="G486" s="5" t="str">
        <f>IFERROR(__xludf.DUMMYFUNCTION("GOOGLETRANSLATE(B486, ""en"", ""hi"")"),"कौन सा प्राचीन भारतीय ग्रंथ लागोरी जैसे खेलों का उल्लेख करने के लिए जाना जाता है?")</f>
        <v>कौन सा प्राचीन भारतीय ग्रंथ लागोरी जैसे खेलों का उल्लेख करने के लिए जाना जाता है?</v>
      </c>
      <c r="H486" s="5" t="str">
        <f>IFERROR(__xludf.DUMMYFUNCTION("GOOGLETRANSLATE(C486, ""en"", ""hi"")"),"ए) मनुस्मृति, बी) अर्थशास्त्र, सी) रामायण, डी) महाभारत")</f>
        <v>ए) मनुस्मृति, बी) अर्थशास्त्र, सी) रामायण, डी) महाभारत</v>
      </c>
      <c r="I486" s="5" t="str">
        <f>IFERROR(__xludf.DUMMYFUNCTION("GOOGLETRANSLATE(D486, ""en"", ""hi"")"),"D) महाभारत")</f>
        <v>D) महाभारत</v>
      </c>
    </row>
    <row r="487" ht="22.5" customHeight="1">
      <c r="A487" s="3">
        <v>486.0</v>
      </c>
      <c r="B487" s="4" t="s">
        <v>4713</v>
      </c>
      <c r="C487" s="4" t="s">
        <v>4118</v>
      </c>
      <c r="D487" s="4" t="s">
        <v>4433</v>
      </c>
      <c r="F487" s="5" t="str">
        <f>IFERROR(__xludf.DUMMYFUNCTION("GOOGLETRANSLATE(A487, ""en"", ""hi"")"),"486")</f>
        <v>486</v>
      </c>
      <c r="G487" s="5" t="str">
        <f>IFERROR(__xludf.DUMMYFUNCTION("GOOGLETRANSLATE(B487, ""en"", ""hi"")"),"पारंपरिक भारतीय संस्कृति में कौन सा त्यौहार अक्सर लागोरी को अपने उत्सव के हिस्से के रूप में शामिल करता है?")</f>
        <v>पारंपरिक भारतीय संस्कृति में कौन सा त्यौहार अक्सर लागोरी को अपने उत्सव के हिस्से के रूप में शामिल करता है?</v>
      </c>
      <c r="H487" s="5" t="str">
        <f>IFERROR(__xludf.DUMMYFUNCTION("GOOGLETRANSLATE(C487, ""en"", ""hi"")"),"ए) दिवाली, बी) होली, सी) पोंगल, डी) मकर संक्रांति")</f>
        <v>ए) दिवाली, बी) होली, सी) पोंगल, डी) मकर संक्रांति</v>
      </c>
      <c r="I487" s="5" t="str">
        <f>IFERROR(__xludf.DUMMYFUNCTION("GOOGLETRANSLATE(D487, ""en"", ""hi"")"),"बी) होली")</f>
        <v>बी) होली</v>
      </c>
    </row>
    <row r="488" ht="22.5" customHeight="1">
      <c r="A488" s="3">
        <v>487.0</v>
      </c>
      <c r="B488" s="4" t="s">
        <v>4714</v>
      </c>
      <c r="C488" s="4" t="s">
        <v>4715</v>
      </c>
      <c r="D488" s="4" t="s">
        <v>13</v>
      </c>
      <c r="F488" s="5" t="str">
        <f>IFERROR(__xludf.DUMMYFUNCTION("GOOGLETRANSLATE(A488, ""en"", ""hi"")"),"487")</f>
        <v>487</v>
      </c>
      <c r="G488" s="5" t="str">
        <f>IFERROR(__xludf.DUMMYFUNCTION("GOOGLETRANSLATE(B488, ""en"", ""hi"")"),"भारत के किस क्षेत्र में लागोरी अपने विशिष्ट पारंपरिक नियमों के लिए जाना जाता है?")</f>
        <v>भारत के किस क्षेत्र में लागोरी अपने विशिष्ट पारंपरिक नियमों के लिए जाना जाता है?</v>
      </c>
      <c r="H488" s="5" t="str">
        <f>IFERROR(__xludf.DUMMYFUNCTION("GOOGLETRANSLATE(C488, ""en"", ""hi"")"),"ए) आंध्र प्रदेश, बी) कर्नाटक, सी) तमिलनाडु, डी) महाराष्ट्र")</f>
        <v>ए) आंध्र प्रदेश, बी) कर्नाटक, सी) तमिलनाडु, डी) महाराष्ट्र</v>
      </c>
      <c r="I488" s="5" t="str">
        <f>IFERROR(__xludf.DUMMYFUNCTION("GOOGLETRANSLATE(D488, ""en"", ""hi"")"),"D) महाराष्ट्र")</f>
        <v>D) महाराष्ट्र</v>
      </c>
    </row>
    <row r="489" ht="22.5" customHeight="1">
      <c r="A489" s="3">
        <v>488.0</v>
      </c>
      <c r="B489" s="4" t="s">
        <v>4716</v>
      </c>
      <c r="C489" s="4" t="s">
        <v>4717</v>
      </c>
      <c r="D489" s="4" t="s">
        <v>4718</v>
      </c>
      <c r="F489" s="5" t="str">
        <f>IFERROR(__xludf.DUMMYFUNCTION("GOOGLETRANSLATE(A489, ""en"", ""hi"")"),"488")</f>
        <v>488</v>
      </c>
      <c r="G489" s="5" t="str">
        <f>IFERROR(__xludf.DUMMYFUNCTION("GOOGLETRANSLATE(B489, ""en"", ""hi"")"),"किस युग में लागोरी का पारंपरिक आउटडोर खेलों से संगठित प्रतियोगिताओं में परिवर्तन हुआ?")</f>
        <v>किस युग में लागोरी का पारंपरिक आउटडोर खेलों से संगठित प्रतियोगिताओं में परिवर्तन हुआ?</v>
      </c>
      <c r="H489" s="5" t="str">
        <f>IFERROR(__xludf.DUMMYFUNCTION("GOOGLETRANSLATE(C489, ""en"", ""hi"")"),"A) प्राचीन युग, B) मध्यकालीन युग, C) औपनिवेशिक युग, D) आधुनिक युग")</f>
        <v>A) प्राचीन युग, B) मध्यकालीन युग, C) औपनिवेशिक युग, D) आधुनिक युग</v>
      </c>
      <c r="I489" s="5" t="str">
        <f>IFERROR(__xludf.DUMMYFUNCTION("GOOGLETRANSLATE(D489, ""en"", ""hi"")"),"D) आधुनिक युग")</f>
        <v>D) आधुनिक युग</v>
      </c>
    </row>
    <row r="490" ht="22.5" customHeight="1">
      <c r="A490" s="3">
        <v>489.0</v>
      </c>
      <c r="B490" s="4" t="s">
        <v>4719</v>
      </c>
      <c r="C490" s="4" t="s">
        <v>4720</v>
      </c>
      <c r="D490" s="4" t="s">
        <v>4721</v>
      </c>
      <c r="F490" s="5" t="str">
        <f>IFERROR(__xludf.DUMMYFUNCTION("GOOGLETRANSLATE(A490, ""en"", ""hi"")"),"489")</f>
        <v>489</v>
      </c>
      <c r="G490" s="5" t="str">
        <f>IFERROR(__xludf.DUMMYFUNCTION("GOOGLETRANSLATE(B490, ""en"", ""hi"")"),"वह कौन सी पारंपरिक भारतीय गतिविधि है जिसमें सामुदायिक समारोहों में लागोरी को शामिल किया जाता है?")</f>
        <v>वह कौन सी पारंपरिक भारतीय गतिविधि है जिसमें सामुदायिक समारोहों में लागोरी को शामिल किया जाता है?</v>
      </c>
      <c r="H490" s="5" t="str">
        <f>IFERROR(__xludf.DUMMYFUNCTION("GOOGLETRANSLATE(C490, ""en"", ""hi"")"),"A) गाँव के मेले, B) धार्मिक समारोह, C) शाही दरबार के कार्यक्रम, D) व्यापारिक उत्सव")</f>
        <v>A) गाँव के मेले, B) धार्मिक समारोह, C) शाही दरबार के कार्यक्रम, D) व्यापारिक उत्सव</v>
      </c>
      <c r="I490" s="5" t="str">
        <f>IFERROR(__xludf.DUMMYFUNCTION("GOOGLETRANSLATE(D490, ""en"", ""hi"")"),"A) गाँव के मेले")</f>
        <v>A) गाँव के मेले</v>
      </c>
    </row>
    <row r="491" ht="22.5" customHeight="1">
      <c r="A491" s="3">
        <v>490.0</v>
      </c>
      <c r="B491" s="4" t="s">
        <v>4722</v>
      </c>
      <c r="C491" s="4" t="s">
        <v>4723</v>
      </c>
      <c r="D491" s="4" t="s">
        <v>3996</v>
      </c>
      <c r="F491" s="5" t="str">
        <f>IFERROR(__xludf.DUMMYFUNCTION("GOOGLETRANSLATE(A491, ""en"", ""hi"")"),"490")</f>
        <v>490</v>
      </c>
      <c r="G491" s="5" t="str">
        <f>IFERROR(__xludf.DUMMYFUNCTION("GOOGLETRANSLATE(B491, ""en"", ""hi"")"),"ऐसा माना जाता है कि किस प्राचीन भारतीय धर्मग्रंथ में लागोरी जैसे खेलों का वर्णन मिलता है?")</f>
        <v>ऐसा माना जाता है कि किस प्राचीन भारतीय धर्मग्रंथ में लागोरी जैसे खेलों का वर्णन मिलता है?</v>
      </c>
      <c r="H491" s="5" t="str">
        <f>IFERROR(__xludf.DUMMYFUNCTION("GOOGLETRANSLATE(C491, ""en"", ""hi"")"),"ए) वेद, बी) उपनिषद, सी) भगवद गीता, डी) महाभारत")</f>
        <v>ए) वेद, बी) उपनिषद, सी) भगवद गीता, डी) महाभारत</v>
      </c>
      <c r="I491" s="5" t="str">
        <f>IFERROR(__xludf.DUMMYFUNCTION("GOOGLETRANSLATE(D491, ""en"", ""hi"")"),"D) महाभारत")</f>
        <v>D) महाभारत</v>
      </c>
    </row>
    <row r="492" ht="22.5" customHeight="1">
      <c r="A492" s="3">
        <v>491.0</v>
      </c>
      <c r="B492" s="4" t="s">
        <v>4724</v>
      </c>
      <c r="C492" s="4" t="s">
        <v>4725</v>
      </c>
      <c r="D492" s="4" t="s">
        <v>4726</v>
      </c>
      <c r="F492" s="5" t="str">
        <f>IFERROR(__xludf.DUMMYFUNCTION("GOOGLETRANSLATE(A492, ""en"", ""hi"")"),"491")</f>
        <v>491</v>
      </c>
      <c r="G492" s="5" t="str">
        <f>IFERROR(__xludf.DUMMYFUNCTION("GOOGLETRANSLATE(B492, ""en"", ""hi"")"),"कौन सा ऐतिहासिक भारतीय राजा अपने दरबारी शौक में लागोरी को शामिल करने के लिए जाना जाता है?")</f>
        <v>कौन सा ऐतिहासिक भारतीय राजा अपने दरबारी शौक में लागोरी को शामिल करने के लिए जाना जाता है?</v>
      </c>
      <c r="H492" s="5" t="str">
        <f>IFERROR(__xludf.DUMMYFUNCTION("GOOGLETRANSLATE(C492, ""en"", ""hi"")"),"A) राजा अशोक, B) राजा अकबर, C) राजा चंद्रगुप्त, D) राजा शिवाजी")</f>
        <v>A) राजा अशोक, B) राजा अकबर, C) राजा चंद्रगुप्त, D) राजा शिवाजी</v>
      </c>
      <c r="I492" s="5" t="str">
        <f>IFERROR(__xludf.DUMMYFUNCTION("GOOGLETRANSLATE(D492, ""en"", ""hi"")"),"बी) राजा अकबर")</f>
        <v>बी) राजा अकबर</v>
      </c>
    </row>
    <row r="493" ht="22.5" customHeight="1">
      <c r="A493" s="3">
        <v>492.0</v>
      </c>
      <c r="B493" s="4" t="s">
        <v>4727</v>
      </c>
      <c r="C493" s="4" t="s">
        <v>4728</v>
      </c>
      <c r="D493" s="4" t="s">
        <v>4643</v>
      </c>
      <c r="F493" s="5" t="str">
        <f>IFERROR(__xludf.DUMMYFUNCTION("GOOGLETRANSLATE(A493, ""en"", ""hi"")"),"492")</f>
        <v>492</v>
      </c>
      <c r="G493" s="5" t="str">
        <f>IFERROR(__xludf.DUMMYFUNCTION("GOOGLETRANSLATE(B493, ""en"", ""hi"")"),"मध्यकालीन भारतीय काल में लागोरी पत्थर आमतौर पर किस सामग्री से बनाए जाते थे?")</f>
        <v>मध्यकालीन भारतीय काल में लागोरी पत्थर आमतौर पर किस सामग्री से बनाए जाते थे?</v>
      </c>
      <c r="H493" s="5" t="str">
        <f>IFERROR(__xludf.DUMMYFUNCTION("GOOGLETRANSLATE(C493, ""en"", ""hi"")"),"A) मिट्टी, B) धातु, C) पत्थर, D) कपड़ा")</f>
        <v>A) मिट्टी, B) धातु, C) पत्थर, D) कपड़ा</v>
      </c>
      <c r="I493" s="5" t="str">
        <f>IFERROR(__xludf.DUMMYFUNCTION("GOOGLETRANSLATE(D493, ""en"", ""hi"")"),"C) पत्थर")</f>
        <v>C) पत्थर</v>
      </c>
    </row>
    <row r="494" ht="22.5" customHeight="1">
      <c r="A494" s="3">
        <v>493.0</v>
      </c>
      <c r="B494" s="4" t="s">
        <v>4729</v>
      </c>
      <c r="C494" s="4" t="s">
        <v>4730</v>
      </c>
      <c r="D494" s="4" t="s">
        <v>4731</v>
      </c>
      <c r="F494" s="5" t="str">
        <f>IFERROR(__xludf.DUMMYFUNCTION("GOOGLETRANSLATE(A494, ""en"", ""hi"")"),"493")</f>
        <v>493</v>
      </c>
      <c r="G494" s="5" t="str">
        <f>IFERROR(__xludf.DUMMYFUNCTION("GOOGLETRANSLATE(B494, ""en"", ""hi"")"),"भारतीय इतिहास का कौन सा काल लागोरी नियमों और खेल के औपचारिकरण से जुड़ा हुआ है?")</f>
        <v>भारतीय इतिहास का कौन सा काल लागोरी नियमों और खेल के औपचारिकरण से जुड़ा हुआ है?</v>
      </c>
      <c r="H494" s="5" t="str">
        <f>IFERROR(__xludf.DUMMYFUNCTION("GOOGLETRANSLATE(C494, ""en"", ""hi"")"),"A) प्राचीन काल, B) मध्यकाल, C) औपनिवेशिक काल, D) आधुनिक काल")</f>
        <v>A) प्राचीन काल, B) मध्यकाल, C) औपनिवेशिक काल, D) आधुनिक काल</v>
      </c>
      <c r="I494" s="5" t="str">
        <f>IFERROR(__xludf.DUMMYFUNCTION("GOOGLETRANSLATE(D494, ""en"", ""hi"")"),"बी) मध्यकालीन काल")</f>
        <v>बी) मध्यकालीन काल</v>
      </c>
    </row>
    <row r="495" ht="22.5" customHeight="1">
      <c r="A495" s="3">
        <v>494.0</v>
      </c>
      <c r="B495" s="4" t="s">
        <v>4732</v>
      </c>
      <c r="C495" s="4" t="s">
        <v>4733</v>
      </c>
      <c r="D495" s="4" t="s">
        <v>13</v>
      </c>
      <c r="F495" s="5" t="str">
        <f>IFERROR(__xludf.DUMMYFUNCTION("GOOGLETRANSLATE(A495, ""en"", ""hi"")"),"494")</f>
        <v>494</v>
      </c>
      <c r="G495" s="5" t="str">
        <f>IFERROR(__xludf.DUMMYFUNCTION("GOOGLETRANSLATE(B495, ""en"", ""hi"")"),"किस भारतीय राज्य के ऐतिहासिक अभिलेखों में लागोरी की प्रारंभिक प्रथा का संकेत मिलता है?")</f>
        <v>किस भारतीय राज्य के ऐतिहासिक अभिलेखों में लागोरी की प्रारंभिक प्रथा का संकेत मिलता है?</v>
      </c>
      <c r="H495" s="5" t="str">
        <f>IFERROR(__xludf.DUMMYFUNCTION("GOOGLETRANSLATE(C495, ""en"", ""hi"")"),"ए) तमिलनाडु, बी) गुजरात, सी) राजस्थान, डी) महाराष्ट्र")</f>
        <v>ए) तमिलनाडु, बी) गुजरात, सी) राजस्थान, डी) महाराष्ट्र</v>
      </c>
      <c r="I495" s="5" t="str">
        <f>IFERROR(__xludf.DUMMYFUNCTION("GOOGLETRANSLATE(D495, ""en"", ""hi"")"),"D) महाराष्ट्र")</f>
        <v>D) महाराष्ट्र</v>
      </c>
    </row>
    <row r="496" ht="22.5" customHeight="1">
      <c r="A496" s="3">
        <v>495.0</v>
      </c>
      <c r="B496" s="4" t="s">
        <v>4734</v>
      </c>
      <c r="C496" s="4" t="s">
        <v>4735</v>
      </c>
      <c r="D496" s="4" t="s">
        <v>4736</v>
      </c>
      <c r="F496" s="5" t="str">
        <f>IFERROR(__xludf.DUMMYFUNCTION("GOOGLETRANSLATE(A496, ""en"", ""hi"")"),"495")</f>
        <v>495</v>
      </c>
      <c r="G496" s="5" t="str">
        <f>IFERROR(__xludf.DUMMYFUNCTION("GOOGLETRANSLATE(B496, ""en"", ""hi"")"),"ऐसा माना जाता है कि किस ऐतिहासिक घटना ने लागोरी को एक प्रतिस्पर्धी खेल के रूप में औपचारिक रूप देने को प्रभावित किया?")</f>
        <v>ऐसा माना जाता है कि किस ऐतिहासिक घटना ने लागोरी को एक प्रतिस्पर्धी खेल के रूप में औपचारिक रूप देने को प्रभावित किया?</v>
      </c>
      <c r="H496" s="5" t="str">
        <f>IFERROR(__xludf.DUMMYFUNCTION("GOOGLETRANSLATE(C496, ""en"", ""hi"")"),"A) मुगल दरबार सुधार, B) ब्रिटिश औपनिवेशिक प्रभाव, C) स्वतंत्रता आंदोलन, D) पुनर्जागरण")</f>
        <v>A) मुगल दरबार सुधार, B) ब्रिटिश औपनिवेशिक प्रभाव, C) स्वतंत्रता आंदोलन, D) पुनर्जागरण</v>
      </c>
      <c r="I496" s="5" t="str">
        <f>IFERROR(__xludf.DUMMYFUNCTION("GOOGLETRANSLATE(D496, ""en"", ""hi"")"),"A) मुगल दरबार सुधार")</f>
        <v>A) मुगल दरबार सुधार</v>
      </c>
    </row>
    <row r="497" ht="22.5" customHeight="1">
      <c r="A497" s="3">
        <v>496.0</v>
      </c>
      <c r="B497" s="4" t="s">
        <v>4737</v>
      </c>
      <c r="C497" s="4" t="s">
        <v>4738</v>
      </c>
      <c r="D497" s="4" t="s">
        <v>4739</v>
      </c>
      <c r="F497" s="5" t="str">
        <f>IFERROR(__xludf.DUMMYFUNCTION("GOOGLETRANSLATE(A497, ""en"", ""hi"")"),"496")</f>
        <v>496</v>
      </c>
      <c r="G497" s="5" t="str">
        <f>IFERROR(__xludf.DUMMYFUNCTION("GOOGLETRANSLATE(B497, ""en"", ""hi"")"),"प्राचीन भारतीय संस्कृति में, त्योहारों के दौरान लागोरी मुख्य रूप से किससे जुड़ी थी?")</f>
        <v>प्राचीन भारतीय संस्कृति में, त्योहारों के दौरान लागोरी मुख्य रूप से किससे जुड़ी थी?</v>
      </c>
      <c r="H497" s="5" t="str">
        <f>IFERROR(__xludf.DUMMYFUNCTION("GOOGLETRANSLATE(C497, ""en"", ""hi"")"),"A) आध्यात्मिक अनुष्ठान, B) सामुदायिक मनोरंजन, C) व्यापारिक गतिविधियाँ, D) शैक्षिक उद्देश्य")</f>
        <v>A) आध्यात्मिक अनुष्ठान, B) सामुदायिक मनोरंजन, C) व्यापारिक गतिविधियाँ, D) शैक्षिक उद्देश्य</v>
      </c>
      <c r="I497" s="5" t="str">
        <f>IFERROR(__xludf.DUMMYFUNCTION("GOOGLETRANSLATE(D497, ""en"", ""hi"")"),"बी) सामुदायिक मनोरंजन")</f>
        <v>बी) सामुदायिक मनोरंजन</v>
      </c>
    </row>
    <row r="498" ht="22.5" customHeight="1">
      <c r="A498" s="3">
        <v>497.0</v>
      </c>
      <c r="B498" s="4" t="s">
        <v>4740</v>
      </c>
      <c r="C498" s="4" t="s">
        <v>4741</v>
      </c>
      <c r="D498" s="4" t="s">
        <v>4615</v>
      </c>
      <c r="F498" s="5" t="str">
        <f>IFERROR(__xludf.DUMMYFUNCTION("GOOGLETRANSLATE(A498, ""en"", ""hi"")"),"497")</f>
        <v>497</v>
      </c>
      <c r="G498" s="5" t="str">
        <f>IFERROR(__xludf.DUMMYFUNCTION("GOOGLETRANSLATE(B498, ""en"", ""hi"")"),"किस ऐतिहासिक व्यक्ति के शासनकाल में लागोरी जैसे पारंपरिक भारतीय खेलों को लोकप्रिय बनाया गया?")</f>
        <v>किस ऐतिहासिक व्यक्ति के शासनकाल में लागोरी जैसे पारंपरिक भारतीय खेलों को लोकप्रिय बनाया गया?</v>
      </c>
      <c r="H498" s="5" t="str">
        <f>IFERROR(__xludf.DUMMYFUNCTION("GOOGLETRANSLATE(C498, ""en"", ""hi"")"),"A) सम्राट अशोक, B) सम्राट अकबर, C) सम्राट शाहजहाँ, D) सम्राट औरंगजेब")</f>
        <v>A) सम्राट अशोक, B) सम्राट अकबर, C) सम्राट शाहजहाँ, D) सम्राट औरंगजेब</v>
      </c>
      <c r="I498" s="5" t="str">
        <f>IFERROR(__xludf.DUMMYFUNCTION("GOOGLETRANSLATE(D498, ""en"", ""hi"")"),"बी) सम्राट अकबर")</f>
        <v>बी) सम्राट अकबर</v>
      </c>
    </row>
    <row r="499" ht="22.5" customHeight="1">
      <c r="A499" s="3">
        <v>498.0</v>
      </c>
      <c r="B499" s="4" t="s">
        <v>4742</v>
      </c>
      <c r="C499" s="4" t="s">
        <v>4743</v>
      </c>
      <c r="D499" s="4" t="s">
        <v>2559</v>
      </c>
      <c r="F499" s="5" t="str">
        <f>IFERROR(__xludf.DUMMYFUNCTION("GOOGLETRANSLATE(A499, ""en"", ""hi"")"),"498")</f>
        <v>498</v>
      </c>
      <c r="G499" s="5" t="str">
        <f>IFERROR(__xludf.DUMMYFUNCTION("GOOGLETRANSLATE(B499, ""en"", ""hi"")"),"प्राचीन भारतीय सैन्य प्रशिक्षण के संदर्भ में लागोरी का क्या ऐतिहासिक महत्व है?")</f>
        <v>प्राचीन भारतीय सैन्य प्रशिक्षण के संदर्भ में लागोरी का क्या ऐतिहासिक महत्व है?</v>
      </c>
      <c r="H499" s="5" t="str">
        <f>IFERROR(__xludf.DUMMYFUNCTION("GOOGLETRANSLATE(C499, ""en"", ""hi"")"),"A) सामरिक प्रशिक्षण, B) युद्ध अभ्यास, C) रणनीति विकास, D) कोई नहीं")</f>
        <v>A) सामरिक प्रशिक्षण, B) युद्ध अभ्यास, C) रणनीति विकास, D) कोई नहीं</v>
      </c>
      <c r="I499" s="5" t="str">
        <f>IFERROR(__xludf.DUMMYFUNCTION("GOOGLETRANSLATE(D499, ""en"", ""hi"")"),"डी) कोई नहीं")</f>
        <v>डी) कोई नहीं</v>
      </c>
    </row>
    <row r="500" ht="22.5" customHeight="1">
      <c r="A500" s="3">
        <v>499.0</v>
      </c>
      <c r="B500" s="4" t="s">
        <v>4744</v>
      </c>
      <c r="C500" s="4" t="s">
        <v>4745</v>
      </c>
      <c r="D500" s="4" t="s">
        <v>4629</v>
      </c>
      <c r="F500" s="5" t="str">
        <f>IFERROR(__xludf.DUMMYFUNCTION("GOOGLETRANSLATE(A500, ""en"", ""hi"")"),"499")</f>
        <v>499</v>
      </c>
      <c r="G500" s="5" t="str">
        <f>IFERROR(__xludf.DUMMYFUNCTION("GOOGLETRANSLATE(B500, ""en"", ""hi"")"),"कौन सा ऐतिहासिक भारतीय त्यौहार पारंपरिक उत्सवों में लागोरी के साथ अपने संबंध के लिए जाना जाता है?")</f>
        <v>कौन सा ऐतिहासिक भारतीय त्यौहार पारंपरिक उत्सवों में लागोरी के साथ अपने संबंध के लिए जाना जाता है?</v>
      </c>
      <c r="H500" s="5" t="str">
        <f>IFERROR(__xludf.DUMMYFUNCTION("GOOGLETRANSLATE(C500, ""en"", ""hi"")"),"ए) होली, बी) दिवाली, सी) रक्षा बंधन, डी) मकर संक्रांति")</f>
        <v>ए) होली, बी) दिवाली, सी) रक्षा बंधन, डी) मकर संक्रांति</v>
      </c>
      <c r="I500" s="5" t="str">
        <f>IFERROR(__xludf.DUMMYFUNCTION("GOOGLETRANSLATE(D500, ""en"", ""hi"")"),"ए) होली")</f>
        <v>ए) होली</v>
      </c>
    </row>
    <row r="501" ht="22.5" customHeight="1">
      <c r="A501" s="3">
        <v>500.0</v>
      </c>
      <c r="B501" s="4" t="s">
        <v>4746</v>
      </c>
      <c r="C501" s="4" t="s">
        <v>4747</v>
      </c>
      <c r="D501" s="4" t="s">
        <v>4458</v>
      </c>
      <c r="F501" s="5" t="str">
        <f>IFERROR(__xludf.DUMMYFUNCTION("GOOGLETRANSLATE(A501, ""en"", ""hi"")"),"500")</f>
        <v>500</v>
      </c>
      <c r="G501" s="5" t="str">
        <f>IFERROR(__xludf.DUMMYFUNCTION("GOOGLETRANSLATE(B501, ""en"", ""hi"")"),"प्राचीन भारत में कौन सा क्षेत्र लागोरी के एक अद्वितीय संस्करण के लिए जाना जाता है जो अपनी विशिष्ट खेल-कूद के लिए जाना जाता है?")</f>
        <v>प्राचीन भारत में कौन सा क्षेत्र लागोरी के एक अद्वितीय संस्करण के लिए जाना जाता है जो अपनी विशिष्ट खेल-कूद के लिए जाना जाता है?</v>
      </c>
      <c r="H501" s="5" t="str">
        <f>IFERROR(__xludf.DUMMYFUNCTION("GOOGLETRANSLATE(C501, ""en"", ""hi"")"),"ए) कर्नाटक, बी) गुजरात, सी) तमिलनाडु, डी) पंजाब")</f>
        <v>ए) कर्नाटक, बी) गुजरात, सी) तमिलनाडु, डी) पंजाब</v>
      </c>
      <c r="I501" s="5" t="str">
        <f>IFERROR(__xludf.DUMMYFUNCTION("GOOGLETRANSLATE(D501, ""en"", ""hi"")"),"बी) गुजरात")</f>
        <v>बी) गुजरात</v>
      </c>
    </row>
    <row r="502" ht="22.5" customHeight="1">
      <c r="A502" s="3">
        <v>501.0</v>
      </c>
      <c r="B502" s="4" t="s">
        <v>4748</v>
      </c>
      <c r="C502" s="4" t="s">
        <v>4749</v>
      </c>
      <c r="D502" s="4" t="s">
        <v>4433</v>
      </c>
      <c r="F502" s="5" t="str">
        <f>IFERROR(__xludf.DUMMYFUNCTION("GOOGLETRANSLATE(A502, ""en"", ""hi"")"),"501")</f>
        <v>501</v>
      </c>
      <c r="G502" s="5" t="str">
        <f>IFERROR(__xludf.DUMMYFUNCTION("GOOGLETRANSLATE(B502, ""en"", ""hi"")"),"कौन सा पारंपरिक भारतीय त्यौहार अक्सर लागोरी को अपने उत्सव का हिस्सा बनाता है?")</f>
        <v>कौन सा पारंपरिक भारतीय त्यौहार अक्सर लागोरी को अपने उत्सव का हिस्सा बनाता है?</v>
      </c>
      <c r="H502" s="5" t="str">
        <f>IFERROR(__xludf.DUMMYFUNCTION("GOOGLETRANSLATE(C502, ""en"", ""hi"")"),"ए) दिवाली, बी) होली, सी) पोंगल, डी) ओणम")</f>
        <v>ए) दिवाली, बी) होली, सी) पोंगल, डी) ओणम</v>
      </c>
      <c r="I502" s="5" t="str">
        <f>IFERROR(__xludf.DUMMYFUNCTION("GOOGLETRANSLATE(D502, ""en"", ""hi"")"),"बी) होली")</f>
        <v>बी) होली</v>
      </c>
    </row>
    <row r="503" ht="22.5" customHeight="1">
      <c r="A503" s="3">
        <v>502.0</v>
      </c>
      <c r="B503" s="4" t="s">
        <v>4750</v>
      </c>
      <c r="C503" s="4" t="s">
        <v>4751</v>
      </c>
      <c r="D503" s="4" t="s">
        <v>2526</v>
      </c>
      <c r="F503" s="5" t="str">
        <f>IFERROR(__xludf.DUMMYFUNCTION("GOOGLETRANSLATE(A503, ""en"", ""hi"")"),"502")</f>
        <v>502</v>
      </c>
      <c r="G503" s="5" t="str">
        <f>IFERROR(__xludf.DUMMYFUNCTION("GOOGLETRANSLATE(B503, ""en"", ""hi"")"),"कौन सा प्राचीन ग्रंथ लागोरी जैसे पारंपरिक खेलों के सांस्कृतिक महत्व का वर्णन करता है?")</f>
        <v>कौन सा प्राचीन ग्रंथ लागोरी जैसे पारंपरिक खेलों के सांस्कृतिक महत्व का वर्णन करता है?</v>
      </c>
      <c r="H503" s="5" t="str">
        <f>IFERROR(__xludf.DUMMYFUNCTION("GOOGLETRANSLATE(C503, ""en"", ""hi"")"),"ए) वेद, बी) उपनिषद, सी) महाभारत, डी) रामायण")</f>
        <v>ए) वेद, बी) उपनिषद, सी) महाभारत, डी) रामायण</v>
      </c>
      <c r="I503" s="5" t="str">
        <f>IFERROR(__xludf.DUMMYFUNCTION("GOOGLETRANSLATE(D503, ""en"", ""hi"")"),"C) महाभारत")</f>
        <v>C) महाभारत</v>
      </c>
    </row>
    <row r="504" ht="22.5" customHeight="1">
      <c r="A504" s="3">
        <v>503.0</v>
      </c>
      <c r="B504" s="4" t="s">
        <v>4752</v>
      </c>
      <c r="C504" s="4" t="s">
        <v>4691</v>
      </c>
      <c r="D504" s="4" t="s">
        <v>4692</v>
      </c>
      <c r="F504" s="5" t="str">
        <f>IFERROR(__xludf.DUMMYFUNCTION("GOOGLETRANSLATE(A504, ""en"", ""hi"")"),"503")</f>
        <v>503</v>
      </c>
      <c r="G504" s="5" t="str">
        <f>IFERROR(__xludf.DUMMYFUNCTION("GOOGLETRANSLATE(B504, ""en"", ""hi"")"),"किस भारतीय राजा का दरबार शाही उत्सवों में लागोरी जैसे पारंपरिक खेलों को शामिल करने के लिए जाना जाता था?")</f>
        <v>किस भारतीय राजा का दरबार शाही उत्सवों में लागोरी जैसे पारंपरिक खेलों को शामिल करने के लिए जाना जाता था?</v>
      </c>
      <c r="H504" s="5" t="str">
        <f>IFERROR(__xludf.DUMMYFUNCTION("GOOGLETRANSLATE(C504, ""en"", ""hi"")"),"A) राजा अशोक, B) राजा चंद्रगुप्त, C) राजा अकबर, D) राजा शिवाजी")</f>
        <v>A) राजा अशोक, B) राजा चंद्रगुप्त, C) राजा अकबर, D) राजा शिवाजी</v>
      </c>
      <c r="I504" s="5" t="str">
        <f>IFERROR(__xludf.DUMMYFUNCTION("GOOGLETRANSLATE(D504, ""en"", ""hi"")"),"C) राजा अकबर")</f>
        <v>C) राजा अकबर</v>
      </c>
    </row>
    <row r="505" ht="22.5" customHeight="1">
      <c r="A505" s="3">
        <v>504.0</v>
      </c>
      <c r="B505" s="4" t="s">
        <v>4753</v>
      </c>
      <c r="C505" s="4" t="s">
        <v>4730</v>
      </c>
      <c r="D505" s="4" t="s">
        <v>4731</v>
      </c>
      <c r="F505" s="5" t="str">
        <f>IFERROR(__xludf.DUMMYFUNCTION("GOOGLETRANSLATE(A505, ""en"", ""hi"")"),"504")</f>
        <v>504</v>
      </c>
      <c r="G505" s="5" t="str">
        <f>IFERROR(__xludf.DUMMYFUNCTION("GOOGLETRANSLATE(B505, ""en"", ""hi"")"),"किस ऐतिहासिक काल में लागोरी के नियमों और रणनीतियों का औपचारिक दस्तावेजीकरण हुआ?")</f>
        <v>किस ऐतिहासिक काल में लागोरी के नियमों और रणनीतियों का औपचारिक दस्तावेजीकरण हुआ?</v>
      </c>
      <c r="H505" s="5" t="str">
        <f>IFERROR(__xludf.DUMMYFUNCTION("GOOGLETRANSLATE(C505, ""en"", ""hi"")"),"A) प्राचीन काल, B) मध्यकाल, C) औपनिवेशिक काल, D) आधुनिक काल")</f>
        <v>A) प्राचीन काल, B) मध्यकाल, C) औपनिवेशिक काल, D) आधुनिक काल</v>
      </c>
      <c r="I505" s="5" t="str">
        <f>IFERROR(__xludf.DUMMYFUNCTION("GOOGLETRANSLATE(D505, ""en"", ""hi"")"),"बी) मध्यकालीन काल")</f>
        <v>बी) मध्यकालीन काल</v>
      </c>
    </row>
    <row r="506" ht="22.5" customHeight="1">
      <c r="A506" s="3">
        <v>505.0</v>
      </c>
      <c r="B506" s="4" t="s">
        <v>4754</v>
      </c>
      <c r="C506" s="4" t="s">
        <v>4755</v>
      </c>
      <c r="D506" s="4" t="s">
        <v>1968</v>
      </c>
      <c r="F506" s="5" t="str">
        <f>IFERROR(__xludf.DUMMYFUNCTION("GOOGLETRANSLATE(A506, ""en"", ""hi"")"),"505")</f>
        <v>505</v>
      </c>
      <c r="G506" s="5" t="str">
        <f>IFERROR(__xludf.DUMMYFUNCTION("GOOGLETRANSLATE(B506, ""en"", ""hi"")"),"भारत के किस क्षेत्र में ऐतिहासिक रूप से लागोरी को फसल उत्सव के एक भाग के रूप में प्रयोग किया जाता था?")</f>
        <v>भारत के किस क्षेत्र में ऐतिहासिक रूप से लागोरी को फसल उत्सव के एक भाग के रूप में प्रयोग किया जाता था?</v>
      </c>
      <c r="H506" s="5" t="str">
        <f>IFERROR(__xludf.DUMMYFUNCTION("GOOGLETRANSLATE(C506, ""en"", ""hi"")"),"ए) गुजरात, बी) पंजाब, सी) महाराष्ट्र, डी) तमिलनाडु")</f>
        <v>ए) गुजरात, बी) पंजाब, सी) महाराष्ट्र, डी) तमिलनाडु</v>
      </c>
      <c r="I506" s="5" t="str">
        <f>IFERROR(__xludf.DUMMYFUNCTION("GOOGLETRANSLATE(D506, ""en"", ""hi"")"),"बी) पंजाब")</f>
        <v>बी) पंजाब</v>
      </c>
    </row>
    <row r="507" ht="22.5" customHeight="1">
      <c r="A507" s="3">
        <v>506.0</v>
      </c>
      <c r="B507" s="4" t="s">
        <v>4756</v>
      </c>
      <c r="C507" s="4" t="s">
        <v>4757</v>
      </c>
      <c r="D507" s="4" t="s">
        <v>4758</v>
      </c>
      <c r="F507" s="5" t="str">
        <f>IFERROR(__xludf.DUMMYFUNCTION("GOOGLETRANSLATE(A507, ""en"", ""hi"")"),"506")</f>
        <v>506</v>
      </c>
      <c r="G507" s="5" t="str">
        <f>IFERROR(__xludf.DUMMYFUNCTION("GOOGLETRANSLATE(B507, ""en"", ""hi"")"),"ऐसा माना जाता है कि किस ऐतिहासिक घटना ने भारतीय क्षेत्रों में लागोरी के प्रसार में योगदान दिया?")</f>
        <v>ऐसा माना जाता है कि किस ऐतिहासिक घटना ने भारतीय क्षेत्रों में लागोरी के प्रसार में योगदान दिया?</v>
      </c>
      <c r="H507" s="5" t="str">
        <f>IFERROR(__xludf.DUMMYFUNCTION("GOOGLETRANSLATE(C507, ""en"", ""hi"")"),"A) मुगल साम्राज्य का विस्तार, B) ब्रिटिश औपनिवेशिक शासन, C) स्वतंत्रता आंदोलन, D) सांस्कृतिक पुनर्जागरण")</f>
        <v>A) मुगल साम्राज्य का विस्तार, B) ब्रिटिश औपनिवेशिक शासन, C) स्वतंत्रता आंदोलन, D) सांस्कृतिक पुनर्जागरण</v>
      </c>
      <c r="I507" s="5" t="str">
        <f>IFERROR(__xludf.DUMMYFUNCTION("GOOGLETRANSLATE(D507, ""en"", ""hi"")"),"A) मुगल साम्राज्य का विस्तार")</f>
        <v>A) मुगल साम्राज्य का विस्तार</v>
      </c>
    </row>
    <row r="508" ht="22.5" customHeight="1">
      <c r="A508" s="3">
        <v>507.0</v>
      </c>
      <c r="B508" s="4" t="s">
        <v>4759</v>
      </c>
      <c r="C508" s="4" t="s">
        <v>4760</v>
      </c>
      <c r="D508" s="4" t="s">
        <v>4467</v>
      </c>
      <c r="F508" s="5" t="str">
        <f>IFERROR(__xludf.DUMMYFUNCTION("GOOGLETRANSLATE(A508, ""en"", ""hi"")"),"507")</f>
        <v>507</v>
      </c>
      <c r="G508" s="5" t="str">
        <f>IFERROR(__xludf.DUMMYFUNCTION("GOOGLETRANSLATE(B508, ""en"", ""hi"")"),"ऐतिहासिक भारतीय ग्राम समुदायों में लागोरी की प्राथमिक भूमिका क्या थी?")</f>
        <v>ऐतिहासिक भारतीय ग्राम समुदायों में लागोरी की प्राथमिक भूमिका क्या थी?</v>
      </c>
      <c r="H508" s="5" t="str">
        <f>IFERROR(__xludf.DUMMYFUNCTION("GOOGLETRANSLATE(C508, ""en"", ""hi"")"),"A) सामाजिक बंधन, B) आर्थिक व्यापार, C) धार्मिक अभ्यास, D) शैक्षिक उपकरण")</f>
        <v>A) सामाजिक बंधन, B) आर्थिक व्यापार, C) धार्मिक अभ्यास, D) शैक्षिक उपकरण</v>
      </c>
      <c r="I508" s="5" t="str">
        <f>IFERROR(__xludf.DUMMYFUNCTION("GOOGLETRANSLATE(D508, ""en"", ""hi"")"),"A) सामाजिक बंधन")</f>
        <v>A) सामाजिक बंधन</v>
      </c>
    </row>
    <row r="509" ht="22.5" customHeight="1">
      <c r="A509" s="3">
        <v>508.0</v>
      </c>
      <c r="B509" s="4" t="s">
        <v>4761</v>
      </c>
      <c r="C509" s="4" t="s">
        <v>4762</v>
      </c>
      <c r="D509" s="4" t="s">
        <v>13</v>
      </c>
      <c r="F509" s="5" t="str">
        <f>IFERROR(__xludf.DUMMYFUNCTION("GOOGLETRANSLATE(A509, ""en"", ""hi"")"),"508")</f>
        <v>508</v>
      </c>
      <c r="G509" s="5" t="str">
        <f>IFERROR(__xludf.DUMMYFUNCTION("GOOGLETRANSLATE(B509, ""en"", ""hi"")"),"कौन सा भारतीय राज्य अपने पारंपरिक नियमों और लागोरी के रूपों के लिए जाना जाता है?")</f>
        <v>कौन सा भारतीय राज्य अपने पारंपरिक नियमों और लागोरी के रूपों के लिए जाना जाता है?</v>
      </c>
      <c r="H509" s="5" t="str">
        <f>IFERROR(__xludf.DUMMYFUNCTION("GOOGLETRANSLATE(C509, ""en"", ""hi"")"),"ए) कर्नाटक, बी) गुजरात, सी) तमिलनाडु, डी) महाराष्ट्र")</f>
        <v>ए) कर्नाटक, बी) गुजरात, सी) तमिलनाडु, डी) महाराष्ट्र</v>
      </c>
      <c r="I509" s="5" t="str">
        <f>IFERROR(__xludf.DUMMYFUNCTION("GOOGLETRANSLATE(D509, ""en"", ""hi"")"),"D) महाराष्ट्र")</f>
        <v>D) महाराष्ट्र</v>
      </c>
    </row>
    <row r="510" ht="22.5" customHeight="1">
      <c r="A510" s="3">
        <v>509.0</v>
      </c>
      <c r="B510" s="4" t="s">
        <v>4763</v>
      </c>
      <c r="C510" s="4" t="s">
        <v>4764</v>
      </c>
      <c r="D510" s="4" t="s">
        <v>4556</v>
      </c>
      <c r="F510" s="5" t="str">
        <f>IFERROR(__xludf.DUMMYFUNCTION("GOOGLETRANSLATE(A510, ""en"", ""hi"")"),"509")</f>
        <v>509</v>
      </c>
      <c r="G510" s="5" t="str">
        <f>IFERROR(__xludf.DUMMYFUNCTION("GOOGLETRANSLATE(B510, ""en"", ""hi"")"),"कौन सा ऐतिहासिक भारतीय राजवंश अपने शाही मनोरंजन के एक भाग के रूप में लागोरी के लिए जाना जाता है?")</f>
        <v>कौन सा ऐतिहासिक भारतीय राजवंश अपने शाही मनोरंजन के एक भाग के रूप में लागोरी के लिए जाना जाता है?</v>
      </c>
      <c r="H510" s="5" t="str">
        <f>IFERROR(__xludf.DUMMYFUNCTION("GOOGLETRANSLATE(C510, ""en"", ""hi"")"),"A) मौर्य वंश, B) गुप्त वंश, C) मुगल वंश, D) चोल वंश")</f>
        <v>A) मौर्य वंश, B) गुप्त वंश, C) मुगल वंश, D) चोल वंश</v>
      </c>
      <c r="I510" s="5" t="str">
        <f>IFERROR(__xludf.DUMMYFUNCTION("GOOGLETRANSLATE(D510, ""en"", ""hi"")"),"C) मुगल वंश")</f>
        <v>C) मुगल वंश</v>
      </c>
    </row>
    <row r="511" ht="22.5" customHeight="1">
      <c r="A511" s="3">
        <v>510.0</v>
      </c>
      <c r="B511" s="4" t="s">
        <v>4765</v>
      </c>
      <c r="C511" s="4" t="s">
        <v>4766</v>
      </c>
      <c r="D511" s="4" t="s">
        <v>4662</v>
      </c>
      <c r="F511" s="5" t="str">
        <f>IFERROR(__xludf.DUMMYFUNCTION("GOOGLETRANSLATE(A511, ""en"", ""hi"")"),"510")</f>
        <v>510</v>
      </c>
      <c r="G511" s="5" t="str">
        <f>IFERROR(__xludf.DUMMYFUNCTION("GOOGLETRANSLATE(B511, ""en"", ""hi"")"),"प्राचीन भारतीय शिक्षा पद्धतियों में लागोरी ने क्या ऐतिहासिक भूमिका निभाई?")</f>
        <v>प्राचीन भारतीय शिक्षा पद्धतियों में लागोरी ने क्या ऐतिहासिक भूमिका निभाई?</v>
      </c>
      <c r="H511" s="5" t="str">
        <f>IFERROR(__xludf.DUMMYFUNCTION("GOOGLETRANSLATE(C511, ""en"", ""hi"")"),"A) शारीरिक व्यायाम, B) रणनीतिक शिक्षा, C) सांस्कृतिक शिक्षा, D) धार्मिक निर्देश")</f>
        <v>A) शारीरिक व्यायाम, B) रणनीतिक शिक्षा, C) सांस्कृतिक शिक्षा, D) धार्मिक निर्देश</v>
      </c>
      <c r="I511" s="5" t="str">
        <f>IFERROR(__xludf.DUMMYFUNCTION("GOOGLETRANSLATE(D511, ""en"", ""hi"")"),"ए) शारीरिक व्यायाम")</f>
        <v>ए) शारीरिक व्यायाम</v>
      </c>
    </row>
    <row r="512" ht="22.5" customHeight="1">
      <c r="A512" s="3">
        <v>511.0</v>
      </c>
      <c r="B512" s="4" t="s">
        <v>4767</v>
      </c>
      <c r="C512" s="4" t="s">
        <v>4768</v>
      </c>
      <c r="D512" s="4" t="s">
        <v>4703</v>
      </c>
      <c r="F512" s="5" t="str">
        <f>IFERROR(__xludf.DUMMYFUNCTION("GOOGLETRANSLATE(A512, ""en"", ""hi"")"),"511")</f>
        <v>511</v>
      </c>
      <c r="G512" s="5" t="str">
        <f>IFERROR(__xludf.DUMMYFUNCTION("GOOGLETRANSLATE(B512, ""en"", ""hi"")"),"किस प्राचीन भारतीय खेल की तुलना अक्सर उसकी समान खेलशैली और सांस्कृतिक महत्व के कारण लागोरी से की जाती है?")</f>
        <v>किस प्राचीन भारतीय खेल की तुलना अक्सर उसकी समान खेलशैली और सांस्कृतिक महत्व के कारण लागोरी से की जाती है?</v>
      </c>
      <c r="H512" s="5" t="str">
        <f>IFERROR(__xludf.DUMMYFUNCTION("GOOGLETRANSLATE(C512, ""en"", ""hi"")"),"ए) सतोलिया, बी) गिल्ली डंडा, सी) कबड्डी, डी) खो-खो")</f>
        <v>ए) सतोलिया, बी) गिल्ली डंडा, सी) कबड्डी, डी) खो-खो</v>
      </c>
      <c r="I512" s="5" t="str">
        <f>IFERROR(__xludf.DUMMYFUNCTION("GOOGLETRANSLATE(D512, ""en"", ""hi"")"),"A) सतोलिया")</f>
        <v>A) सतोलिया</v>
      </c>
    </row>
    <row r="513" ht="22.5" customHeight="1">
      <c r="A513" s="3">
        <v>512.0</v>
      </c>
      <c r="B513" s="4" t="s">
        <v>4769</v>
      </c>
      <c r="C513" s="4" t="s">
        <v>4628</v>
      </c>
      <c r="D513" s="4" t="s">
        <v>4629</v>
      </c>
      <c r="F513" s="5" t="str">
        <f>IFERROR(__xludf.DUMMYFUNCTION("GOOGLETRANSLATE(A513, ""en"", ""hi"")"),"512")</f>
        <v>512</v>
      </c>
      <c r="G513" s="5" t="str">
        <f>IFERROR(__xludf.DUMMYFUNCTION("GOOGLETRANSLATE(B513, ""en"", ""hi"")"),"भारत में कौन सा प्रसिद्ध त्यौहार पारंपरिक रूप से लागोरी को एक लोकप्रिय खेल के रूप में शामिल करता है?")</f>
        <v>भारत में कौन सा प्रसिद्ध त्यौहार पारंपरिक रूप से लागोरी को एक लोकप्रिय खेल के रूप में शामिल करता है?</v>
      </c>
      <c r="H513" s="5" t="str">
        <f>IFERROR(__xludf.DUMMYFUNCTION("GOOGLETRANSLATE(C513, ""en"", ""hi"")"),"ए) होली, बी) दिवाली, सी) नवरात्रि, डी) पोंगल")</f>
        <v>ए) होली, बी) दिवाली, सी) नवरात्रि, डी) पोंगल</v>
      </c>
      <c r="I513" s="5" t="str">
        <f>IFERROR(__xludf.DUMMYFUNCTION("GOOGLETRANSLATE(D513, ""en"", ""hi"")"),"ए) होली")</f>
        <v>ए) होली</v>
      </c>
    </row>
    <row r="514" ht="22.5" customHeight="1">
      <c r="A514" s="3">
        <v>513.0</v>
      </c>
      <c r="B514" s="4" t="s">
        <v>4770</v>
      </c>
      <c r="C514" s="4" t="s">
        <v>4360</v>
      </c>
      <c r="D514" s="4" t="s">
        <v>4771</v>
      </c>
      <c r="F514" s="5" t="str">
        <f>IFERROR(__xludf.DUMMYFUNCTION("GOOGLETRANSLATE(A514, ""en"", ""hi"")"),"513")</f>
        <v>513</v>
      </c>
      <c r="G514" s="5" t="str">
        <f>IFERROR(__xludf.DUMMYFUNCTION("GOOGLETRANSLATE(B514, ""en"", ""hi"")"),"भारत के किस क्षेत्र में ऐतिहासिक रूप से हाथ से बने पत्थर के निशानों का उपयोग करके लागोरी खेली जाती थी?")</f>
        <v>भारत के किस क्षेत्र में ऐतिहासिक रूप से हाथ से बने पत्थर के निशानों का उपयोग करके लागोरी खेली जाती थी?</v>
      </c>
      <c r="H514" s="5" t="str">
        <f>IFERROR(__xludf.DUMMYFUNCTION("GOOGLETRANSLATE(C514, ""en"", ""hi"")"),"A) उत्तर भारत, B) दक्षिण भारत, C) पूर्वी भारत, D) पश्चिम भारत")</f>
        <v>A) उत्तर भारत, B) दक्षिण भारत, C) पूर्वी भारत, D) पश्चिम भारत</v>
      </c>
      <c r="I514" s="5" t="str">
        <f>IFERROR(__xludf.DUMMYFUNCTION("GOOGLETRANSLATE(D514, ""en"", ""hi"")"),"D) पश्चिम भारत")</f>
        <v>D) पश्चिम भारत</v>
      </c>
    </row>
    <row r="515" ht="22.5" customHeight="1">
      <c r="A515" s="3">
        <v>514.0</v>
      </c>
      <c r="B515" s="4" t="s">
        <v>4772</v>
      </c>
      <c r="C515" s="4" t="s">
        <v>4773</v>
      </c>
      <c r="D515" s="4" t="s">
        <v>2544</v>
      </c>
      <c r="F515" s="5" t="str">
        <f>IFERROR(__xludf.DUMMYFUNCTION("GOOGLETRANSLATE(A515, ""en"", ""hi"")"),"514")</f>
        <v>514</v>
      </c>
      <c r="G515" s="5" t="str">
        <f>IFERROR(__xludf.DUMMYFUNCTION("GOOGLETRANSLATE(B515, ""en"", ""hi"")"),"कौन सा ऐतिहासिक ग्रंथ प्राचीन भारतीय संस्कृति में लागोरी जैसे खेलों का उल्लेख करता है?")</f>
        <v>कौन सा ऐतिहासिक ग्रंथ प्राचीन भारतीय संस्कृति में लागोरी जैसे खेलों का उल्लेख करता है?</v>
      </c>
      <c r="H515" s="5" t="str">
        <f>IFERROR(__xludf.DUMMYFUNCTION("GOOGLETRANSLATE(C515, ""en"", ""hi"")"),"ए) वेद, बी) महाभारत, सी) रामायण, डी) मनुस्मृति")</f>
        <v>ए) वेद, बी) महाभारत, सी) रामायण, डी) मनुस्मृति</v>
      </c>
      <c r="I515" s="5" t="str">
        <f>IFERROR(__xludf.DUMMYFUNCTION("GOOGLETRANSLATE(D515, ""en"", ""hi"")"),"बी) महाभारत")</f>
        <v>बी) महाभारत</v>
      </c>
    </row>
    <row r="516" ht="22.5" customHeight="1">
      <c r="A516" s="3">
        <v>515.0</v>
      </c>
      <c r="B516" s="4" t="s">
        <v>4774</v>
      </c>
      <c r="C516" s="4" t="s">
        <v>4775</v>
      </c>
      <c r="D516" s="4" t="s">
        <v>4776</v>
      </c>
      <c r="F516" s="5" t="str">
        <f>IFERROR(__xludf.DUMMYFUNCTION("GOOGLETRANSLATE(A516, ""en"", ""hi"")"),"515")</f>
        <v>515</v>
      </c>
      <c r="G516" s="5" t="str">
        <f>IFERROR(__xludf.DUMMYFUNCTION("GOOGLETRANSLATE(B516, ""en"", ""hi"")"),"किस ऐतिहासिक घटनाक्रम के कारण लागोरी भारतीय राज दरबारों में एक लोकप्रिय खेल बन गया?")</f>
        <v>किस ऐतिहासिक घटनाक्रम के कारण लागोरी भारतीय राज दरबारों में एक लोकप्रिय खेल बन गया?</v>
      </c>
      <c r="H516" s="5" t="str">
        <f>IFERROR(__xludf.DUMMYFUNCTION("GOOGLETRANSLATE(C516, ""en"", ""hi"")"),"A) मुगल सुधार, B) ब्रिटिश औपनिवेशिक प्रभाव, C) भारतीय पुनर्जागरण, D) स्वतंत्रता आंदोलन")</f>
        <v>A) मुगल सुधार, B) ब्रिटिश औपनिवेशिक प्रभाव, C) भारतीय पुनर्जागरण, D) स्वतंत्रता आंदोलन</v>
      </c>
      <c r="I516" s="5" t="str">
        <f>IFERROR(__xludf.DUMMYFUNCTION("GOOGLETRANSLATE(D516, ""en"", ""hi"")"),"A) मुगल सुधार")</f>
        <v>A) मुगल सुधार</v>
      </c>
    </row>
    <row r="517" ht="22.5" customHeight="1">
      <c r="A517" s="3">
        <v>516.0</v>
      </c>
      <c r="B517" s="4" t="s">
        <v>4777</v>
      </c>
      <c r="C517" s="4" t="s">
        <v>4691</v>
      </c>
      <c r="D517" s="4" t="s">
        <v>4692</v>
      </c>
      <c r="F517" s="5" t="str">
        <f>IFERROR(__xludf.DUMMYFUNCTION("GOOGLETRANSLATE(A517, ""en"", ""hi"")"),"516")</f>
        <v>516</v>
      </c>
      <c r="G517" s="5" t="str">
        <f>IFERROR(__xludf.DUMMYFUNCTION("GOOGLETRANSLATE(B517, ""en"", ""hi"")"),"कौन सा भारतीय राजा अपने दरबार में लागोरी जैसे पारंपरिक खेलों को प्रोत्साहित करने के लिए जाना जाता है?")</f>
        <v>कौन सा भारतीय राजा अपने दरबार में लागोरी जैसे पारंपरिक खेलों को प्रोत्साहित करने के लिए जाना जाता है?</v>
      </c>
      <c r="H517" s="5" t="str">
        <f>IFERROR(__xludf.DUMMYFUNCTION("GOOGLETRANSLATE(C517, ""en"", ""hi"")"),"A) राजा अशोक, B) राजा चंद्रगुप्त, C) राजा अकबर, D) राजा शिवाजी")</f>
        <v>A) राजा अशोक, B) राजा चंद्रगुप्त, C) राजा अकबर, D) राजा शिवाजी</v>
      </c>
      <c r="I517" s="5" t="str">
        <f>IFERROR(__xludf.DUMMYFUNCTION("GOOGLETRANSLATE(D517, ""en"", ""hi"")"),"C) राजा अकबर")</f>
        <v>C) राजा अकबर</v>
      </c>
    </row>
    <row r="518" ht="22.5" customHeight="1">
      <c r="A518" s="3">
        <v>517.0</v>
      </c>
      <c r="B518" s="4" t="s">
        <v>4778</v>
      </c>
      <c r="C518" s="4" t="s">
        <v>4779</v>
      </c>
      <c r="D518" s="4" t="s">
        <v>4780</v>
      </c>
      <c r="F518" s="5" t="str">
        <f>IFERROR(__xludf.DUMMYFUNCTION("GOOGLETRANSLATE(A518, ""en"", ""hi"")"),"517")</f>
        <v>517</v>
      </c>
      <c r="G518" s="5" t="str">
        <f>IFERROR(__xludf.DUMMYFUNCTION("GOOGLETRANSLATE(B518, ""en"", ""hi"")"),"पारंपरिक भारतीय त्योहारों में लागोरी की क्या भूमिका थी?")</f>
        <v>पारंपरिक भारतीय त्योहारों में लागोरी की क्या भूमिका थी?</v>
      </c>
      <c r="H518" s="5" t="str">
        <f>IFERROR(__xludf.DUMMYFUNCTION("GOOGLETRANSLATE(C518, ""en"", ""hi"")"),"A) अनुष्ठानिक अभ्यास, B) मनोरंजन, C) शैक्षिक उपकरण, D) व्यापारिक गतिविधि")</f>
        <v>A) अनुष्ठानिक अभ्यास, B) मनोरंजन, C) शैक्षिक उपकरण, D) व्यापारिक गतिविधि</v>
      </c>
      <c r="I518" s="5" t="str">
        <f>IFERROR(__xludf.DUMMYFUNCTION("GOOGLETRANSLATE(D518, ""en"", ""hi"")"),"बी) मनोरंजन")</f>
        <v>बी) मनोरंजन</v>
      </c>
    </row>
    <row r="519" ht="22.5" customHeight="1">
      <c r="A519" s="3">
        <v>518.0</v>
      </c>
      <c r="B519" s="4" t="s">
        <v>4781</v>
      </c>
      <c r="C519" s="4" t="s">
        <v>4782</v>
      </c>
      <c r="D519" s="4" t="s">
        <v>49</v>
      </c>
      <c r="F519" s="5" t="str">
        <f>IFERROR(__xludf.DUMMYFUNCTION("GOOGLETRANSLATE(A519, ""en"", ""hi"")"),"518")</f>
        <v>518</v>
      </c>
      <c r="G519" s="5" t="str">
        <f>IFERROR(__xludf.DUMMYFUNCTION("GOOGLETRANSLATE(B519, ""en"", ""hi"")"),"भारत के किस ऐतिहासिक क्षेत्र में स्थानीय रीति-रिवाजों में अद्वितीय लागोरी नियम एकीकृत थे?")</f>
        <v>भारत के किस ऐतिहासिक क्षेत्र में स्थानीय रीति-रिवाजों में अद्वितीय लागोरी नियम एकीकृत थे?</v>
      </c>
      <c r="H519" s="5" t="str">
        <f>IFERROR(__xludf.DUMMYFUNCTION("GOOGLETRANSLATE(C519, ""en"", ""hi"")"),"ए) गुजरात, बी) तमिलनाडु, सी) महाराष्ट्र, डी) पंजाब")</f>
        <v>ए) गुजरात, बी) तमिलनाडु, सी) महाराष्ट्र, डी) पंजाब</v>
      </c>
      <c r="I519" s="5" t="str">
        <f>IFERROR(__xludf.DUMMYFUNCTION("GOOGLETRANSLATE(D519, ""en"", ""hi"")"),"A) गुजरात")</f>
        <v>A) गुजरात</v>
      </c>
    </row>
    <row r="520" ht="22.5" customHeight="1">
      <c r="A520" s="3">
        <v>519.0</v>
      </c>
      <c r="B520" s="4" t="s">
        <v>4783</v>
      </c>
      <c r="C520" s="4" t="s">
        <v>4784</v>
      </c>
      <c r="D520" s="4" t="s">
        <v>4785</v>
      </c>
      <c r="F520" s="5" t="str">
        <f>IFERROR(__xludf.DUMMYFUNCTION("GOOGLETRANSLATE(A520, ""en"", ""hi"")"),"519")</f>
        <v>519</v>
      </c>
      <c r="G520" s="5" t="str">
        <f>IFERROR(__xludf.DUMMYFUNCTION("GOOGLETRANSLATE(B520, ""en"", ""hi"")"),"प्राचीन भारतीय समुदायों में लागोरी के उपयोग से कौन सा ऐतिहासिक संदर्भ जुड़ा हुआ है?")</f>
        <v>प्राचीन भारतीय समुदायों में लागोरी के उपयोग से कौन सा ऐतिहासिक संदर्भ जुड़ा हुआ है?</v>
      </c>
      <c r="H520" s="5" t="str">
        <f>IFERROR(__xludf.DUMMYFUNCTION("GOOGLETRANSLATE(C520, ""en"", ""hi"")"),"A) सामाजिक कार्यक्रम, B) सैन्य प्रशिक्षण, C) धार्मिक अनुष्ठान, D) आर्थिक गतिविधियाँ")</f>
        <v>A) सामाजिक कार्यक्रम, B) सैन्य प्रशिक्षण, C) धार्मिक अनुष्ठान, D) आर्थिक गतिविधियाँ</v>
      </c>
      <c r="I520" s="5" t="str">
        <f>IFERROR(__xludf.DUMMYFUNCTION("GOOGLETRANSLATE(D520, ""en"", ""hi"")"),"ए) सामाजिक कार्यक्रम")</f>
        <v>ए) सामाजिक कार्यक्रम</v>
      </c>
    </row>
    <row r="521" ht="22.5" customHeight="1">
      <c r="A521" s="3">
        <v>520.0</v>
      </c>
      <c r="B521" s="4" t="s">
        <v>4786</v>
      </c>
      <c r="C521" s="4" t="s">
        <v>4787</v>
      </c>
      <c r="D521" s="4" t="s">
        <v>4615</v>
      </c>
      <c r="F521" s="5" t="str">
        <f>IFERROR(__xludf.DUMMYFUNCTION("GOOGLETRANSLATE(A521, ""en"", ""hi"")"),"520")</f>
        <v>520</v>
      </c>
      <c r="G521" s="5" t="str">
        <f>IFERROR(__xludf.DUMMYFUNCTION("GOOGLETRANSLATE(B521, ""en"", ""hi"")"),"कौन सा भारतीय राजा ऐतिहासिक रूप से लागोरी सहित पारंपरिक खेलों के प्रति अपने प्रेम के लिए जाना जाता है?")</f>
        <v>कौन सा भारतीय राजा ऐतिहासिक रूप से लागोरी सहित पारंपरिक खेलों के प्रति अपने प्रेम के लिए जाना जाता है?</v>
      </c>
      <c r="H521" s="5" t="str">
        <f>IFERROR(__xludf.DUMMYFUNCTION("GOOGLETRANSLATE(C521, ""en"", ""hi"")"),"A) सम्राट अशोक, B) सम्राट अकबर, C) राजा शिवाजी, D) राजा चंद्रगुप्त")</f>
        <v>A) सम्राट अशोक, B) सम्राट अकबर, C) राजा शिवाजी, D) राजा चंद्रगुप्त</v>
      </c>
      <c r="I521" s="5" t="str">
        <f>IFERROR(__xludf.DUMMYFUNCTION("GOOGLETRANSLATE(D521, ""en"", ""hi"")"),"बी) सम्राट अकबर")</f>
        <v>बी) सम्राट अकबर</v>
      </c>
    </row>
    <row r="522" ht="22.5" customHeight="1">
      <c r="A522" s="3">
        <v>521.0</v>
      </c>
      <c r="B522" s="4" t="s">
        <v>4788</v>
      </c>
      <c r="C522" s="4" t="s">
        <v>3956</v>
      </c>
      <c r="D522" s="4" t="s">
        <v>4629</v>
      </c>
      <c r="F522" s="5" t="str">
        <f>IFERROR(__xludf.DUMMYFUNCTION("GOOGLETRANSLATE(A522, ""en"", ""hi"")"),"521")</f>
        <v>521</v>
      </c>
      <c r="G522" s="5" t="str">
        <f>IFERROR(__xludf.DUMMYFUNCTION("GOOGLETRANSLATE(B522, ""en"", ""hi"")"),"कौन सा त्यौहार पारंपरिक रूप से भारतीय गांवों में लागोरी को एक प्रमुख खेल के रूप में दर्शाता है?")</f>
        <v>कौन सा त्यौहार पारंपरिक रूप से भारतीय गांवों में लागोरी को एक प्रमुख खेल के रूप में दर्शाता है?</v>
      </c>
      <c r="H522" s="5" t="str">
        <f>IFERROR(__xludf.DUMMYFUNCTION("GOOGLETRANSLATE(C522, ""en"", ""hi"")"),"ए) होली, बी) दिवाली, सी) मकर संक्रांति, डी) पोंगल")</f>
        <v>ए) होली, बी) दिवाली, सी) मकर संक्रांति, डी) पोंगल</v>
      </c>
      <c r="I522" s="5" t="str">
        <f>IFERROR(__xludf.DUMMYFUNCTION("GOOGLETRANSLATE(D522, ""en"", ""hi"")"),"ए) होली")</f>
        <v>ए) होली</v>
      </c>
    </row>
    <row r="523" ht="22.5" customHeight="1">
      <c r="A523" s="3">
        <v>522.0</v>
      </c>
      <c r="B523" s="4" t="s">
        <v>4789</v>
      </c>
      <c r="C523" s="4" t="s">
        <v>4790</v>
      </c>
      <c r="D523" s="4" t="s">
        <v>2544</v>
      </c>
      <c r="F523" s="5" t="str">
        <f>IFERROR(__xludf.DUMMYFUNCTION("GOOGLETRANSLATE(A523, ""en"", ""hi"")"),"522")</f>
        <v>522</v>
      </c>
      <c r="G523" s="5" t="str">
        <f>IFERROR(__xludf.DUMMYFUNCTION("GOOGLETRANSLATE(B523, ""en"", ""hi"")"),"कौन सा ऐतिहासिक भारतीय ग्रंथ लागोरी जैसे पारंपरिक खेलों का वर्णन करता है?")</f>
        <v>कौन सा ऐतिहासिक भारतीय ग्रंथ लागोरी जैसे पारंपरिक खेलों का वर्णन करता है?</v>
      </c>
      <c r="H523" s="5" t="str">
        <f>IFERROR(__xludf.DUMMYFUNCTION("GOOGLETRANSLATE(C523, ""en"", ""hi"")"),"ए) रामायण, बी) महाभारत, सी) मनुस्मृति, डी) अर्थशास्त्र")</f>
        <v>ए) रामायण, बी) महाभारत, सी) मनुस्मृति, डी) अर्थशास्त्र</v>
      </c>
      <c r="I523" s="5" t="str">
        <f>IFERROR(__xludf.DUMMYFUNCTION("GOOGLETRANSLATE(D523, ""en"", ""hi"")"),"बी) महाभारत")</f>
        <v>बी) महाभारत</v>
      </c>
    </row>
    <row r="524" ht="22.5" customHeight="1">
      <c r="A524" s="3">
        <v>523.0</v>
      </c>
      <c r="B524" s="4" t="s">
        <v>4791</v>
      </c>
      <c r="C524" s="4" t="s">
        <v>4792</v>
      </c>
      <c r="D524" s="4" t="s">
        <v>4726</v>
      </c>
      <c r="F524" s="5" t="str">
        <f>IFERROR(__xludf.DUMMYFUNCTION("GOOGLETRANSLATE(A524, ""en"", ""hi"")"),"523")</f>
        <v>523</v>
      </c>
      <c r="G524" s="5" t="str">
        <f>IFERROR(__xludf.DUMMYFUNCTION("GOOGLETRANSLATE(B524, ""en"", ""hi"")"),"कौन सा ऐतिहासिक व्यक्ति शाही उत्सवों और खेलों में लागोरी को शामिल करने के लिए जाना जाता है?")</f>
        <v>कौन सा ऐतिहासिक व्यक्ति शाही उत्सवों और खेलों में लागोरी को शामिल करने के लिए जाना जाता है?</v>
      </c>
      <c r="H524" s="5" t="str">
        <f>IFERROR(__xludf.DUMMYFUNCTION("GOOGLETRANSLATE(C524, ""en"", ""hi"")"),"A) राजा अशोक, B) राजा अकबर, C) राजा शिवाजी, D) राजा चंद्रगुप्त")</f>
        <v>A) राजा अशोक, B) राजा अकबर, C) राजा शिवाजी, D) राजा चंद्रगुप्त</v>
      </c>
      <c r="I524" s="5" t="str">
        <f>IFERROR(__xludf.DUMMYFUNCTION("GOOGLETRANSLATE(D524, ""en"", ""hi"")"),"बी) राजा अकबर")</f>
        <v>बी) राजा अकबर</v>
      </c>
    </row>
    <row r="525" ht="22.5" customHeight="1">
      <c r="A525" s="3">
        <v>524.0</v>
      </c>
      <c r="B525" s="4" t="s">
        <v>4793</v>
      </c>
      <c r="C525" s="4" t="s">
        <v>4794</v>
      </c>
      <c r="D525" s="4" t="s">
        <v>4795</v>
      </c>
      <c r="F525" s="5" t="str">
        <f>IFERROR(__xludf.DUMMYFUNCTION("GOOGLETRANSLATE(A525, ""en"", ""hi"")"),"524")</f>
        <v>524</v>
      </c>
      <c r="G525" s="5" t="str">
        <f>IFERROR(__xludf.DUMMYFUNCTION("GOOGLETRANSLATE(B525, ""en"", ""hi"")"),"प्राचीन भारतीय ग्राम्य जीवन के संदर्भ में लागोरी की क्या भूमिका थी?")</f>
        <v>प्राचीन भारतीय ग्राम्य जीवन के संदर्भ में लागोरी की क्या भूमिका थी?</v>
      </c>
      <c r="H525" s="5" t="str">
        <f>IFERROR(__xludf.DUMMYFUNCTION("GOOGLETRANSLATE(C525, ""en"", ""hi"")"),"A) सामुदायिक बंधन, B) धार्मिक अभ्यास, C) व्यापारिक गतिविधि, D) शैक्षिक उद्देश्य")</f>
        <v>A) सामुदायिक बंधन, B) धार्मिक अभ्यास, C) व्यापारिक गतिविधि, D) शैक्षिक उद्देश्य</v>
      </c>
      <c r="I525" s="5" t="str">
        <f>IFERROR(__xludf.DUMMYFUNCTION("GOOGLETRANSLATE(D525, ""en"", ""hi"")"),"A) सामुदायिक बंधन")</f>
        <v>A) सामुदायिक बंधन</v>
      </c>
    </row>
    <row r="526" ht="22.5" customHeight="1">
      <c r="A526" s="3">
        <v>525.0</v>
      </c>
      <c r="B526" s="4" t="s">
        <v>4796</v>
      </c>
      <c r="C526" s="4" t="s">
        <v>4797</v>
      </c>
      <c r="D526" s="4" t="s">
        <v>842</v>
      </c>
      <c r="F526" s="5" t="str">
        <f>IFERROR(__xludf.DUMMYFUNCTION("GOOGLETRANSLATE(A526, ""en"", ""hi"")"),"525")</f>
        <v>525</v>
      </c>
      <c r="G526" s="5" t="str">
        <f>IFERROR(__xludf.DUMMYFUNCTION("GOOGLETRANSLATE(B526, ""en"", ""hi"")"),"किस भारतीय राज्य में ऐतिहासिक अभिलेखों में लागोरी की प्रारंभिक प्रथा का उल्लेख है?")</f>
        <v>किस भारतीय राज्य में ऐतिहासिक अभिलेखों में लागोरी की प्रारंभिक प्रथा का उल्लेख है?</v>
      </c>
      <c r="H526" s="5" t="str">
        <f>IFERROR(__xludf.DUMMYFUNCTION("GOOGLETRANSLATE(C526, ""en"", ""hi"")"),"ए) तमिलनाडु, बी) गुजरात, सी) महाराष्ट्र, डी) पंजाब")</f>
        <v>ए) तमिलनाडु, बी) गुजरात, सी) महाराष्ट्र, डी) पंजाब</v>
      </c>
      <c r="I526" s="5" t="str">
        <f>IFERROR(__xludf.DUMMYFUNCTION("GOOGLETRANSLATE(D526, ""en"", ""hi"")"),"C) महाराष्ट्र")</f>
        <v>C) महाराष्ट्र</v>
      </c>
    </row>
    <row r="527" ht="22.5" customHeight="1">
      <c r="A527" s="3">
        <v>526.0</v>
      </c>
      <c r="B527" s="4" t="s">
        <v>4798</v>
      </c>
      <c r="C527" s="4" t="s">
        <v>4799</v>
      </c>
      <c r="D527" s="4" t="s">
        <v>4591</v>
      </c>
      <c r="F527" s="5" t="str">
        <f>IFERROR(__xludf.DUMMYFUNCTION("GOOGLETRANSLATE(A527, ""en"", ""hi"")"),"526")</f>
        <v>526</v>
      </c>
      <c r="G527" s="5" t="str">
        <f>IFERROR(__xludf.DUMMYFUNCTION("GOOGLETRANSLATE(B527, ""en"", ""hi"")"),"प्राचीन भारतीय त्यौहारों में लागोरी का प्राथमिक ऐतिहासिक कार्य क्या था?")</f>
        <v>प्राचीन भारतीय त्यौहारों में लागोरी का प्राथमिक ऐतिहासिक कार्य क्या था?</v>
      </c>
      <c r="H527" s="5" t="str">
        <f>IFERROR(__xludf.DUMMYFUNCTION("GOOGLETRANSLATE(C527, ""en"", ""hi"")"),"A) मनोरंजन, B) अनुष्ठानिक अभ्यास, C) शैक्षिक उपकरण, D) व्यापारिक गतिविधि")</f>
        <v>A) मनोरंजन, B) अनुष्ठानिक अभ्यास, C) शैक्षिक उपकरण, D) व्यापारिक गतिविधि</v>
      </c>
      <c r="I527" s="5" t="str">
        <f>IFERROR(__xludf.DUMMYFUNCTION("GOOGLETRANSLATE(D527, ""en"", ""hi"")"),"ए) मनोरंजन")</f>
        <v>ए) मनोरंजन</v>
      </c>
    </row>
    <row r="528" ht="22.5" customHeight="1">
      <c r="A528" s="3">
        <v>527.0</v>
      </c>
      <c r="B528" s="4" t="s">
        <v>4800</v>
      </c>
      <c r="C528" s="4" t="s">
        <v>4801</v>
      </c>
      <c r="D528" s="4" t="s">
        <v>4802</v>
      </c>
      <c r="F528" s="5" t="str">
        <f>IFERROR(__xludf.DUMMYFUNCTION("GOOGLETRANSLATE(A528, ""en"", ""hi"")"),"527")</f>
        <v>527</v>
      </c>
      <c r="G528" s="5" t="str">
        <f>IFERROR(__xludf.DUMMYFUNCTION("GOOGLETRANSLATE(B528, ""en"", ""hi"")"),"कौन सा ऐतिहासिक भारतीय साम्राज्य लागोरी जैसे पारंपरिक खेलों पर अपने प्रभाव के लिए जाना जाता है?")</f>
        <v>कौन सा ऐतिहासिक भारतीय साम्राज्य लागोरी जैसे पारंपरिक खेलों पर अपने प्रभाव के लिए जाना जाता है?</v>
      </c>
      <c r="H528" s="5" t="str">
        <f>IFERROR(__xludf.DUMMYFUNCTION("GOOGLETRANSLATE(C528, ""en"", ""hi"")"),"A) मौर्य साम्राज्य, B) गुप्त साम्राज्य, C) मुगल साम्राज्य, D) चोल साम्राज्य")</f>
        <v>A) मौर्य साम्राज्य, B) गुप्त साम्राज्य, C) मुगल साम्राज्य, D) चोल साम्राज्य</v>
      </c>
      <c r="I528" s="5" t="str">
        <f>IFERROR(__xludf.DUMMYFUNCTION("GOOGLETRANSLATE(D528, ""en"", ""hi"")"),"C) मुगल साम्राज्य")</f>
        <v>C) मुगल साम्राज्य</v>
      </c>
    </row>
    <row r="529" ht="22.5" customHeight="1">
      <c r="A529" s="3">
        <v>528.0</v>
      </c>
      <c r="B529" s="4" t="s">
        <v>4803</v>
      </c>
      <c r="C529" s="4" t="s">
        <v>4628</v>
      </c>
      <c r="D529" s="4" t="s">
        <v>4629</v>
      </c>
      <c r="F529" s="5" t="str">
        <f>IFERROR(__xludf.DUMMYFUNCTION("GOOGLETRANSLATE(A529, ""en"", ""hi"")"),"528")</f>
        <v>528</v>
      </c>
      <c r="G529" s="5" t="str">
        <f>IFERROR(__xludf.DUMMYFUNCTION("GOOGLETRANSLATE(B529, ""en"", ""hi"")"),"किस प्राचीन भारतीय त्यौहार में लागोरी को पारंपरिक खेल के रूप में शामिल किया गया था?")</f>
        <v>किस प्राचीन भारतीय त्यौहार में लागोरी को पारंपरिक खेल के रूप में शामिल किया गया था?</v>
      </c>
      <c r="H529" s="5" t="str">
        <f>IFERROR(__xludf.DUMMYFUNCTION("GOOGLETRANSLATE(C529, ""en"", ""hi"")"),"ए) होली, बी) दिवाली, सी) नवरात्रि, डी) पोंगल")</f>
        <v>ए) होली, बी) दिवाली, सी) नवरात्रि, डी) पोंगल</v>
      </c>
      <c r="I529" s="5" t="str">
        <f>IFERROR(__xludf.DUMMYFUNCTION("GOOGLETRANSLATE(D529, ""en"", ""hi"")"),"ए) होली")</f>
        <v>ए) होली</v>
      </c>
    </row>
    <row r="530" ht="22.5" customHeight="1">
      <c r="A530" s="3">
        <v>529.0</v>
      </c>
      <c r="B530" s="4" t="s">
        <v>4804</v>
      </c>
      <c r="C530" s="4" t="s">
        <v>4805</v>
      </c>
      <c r="D530" s="4" t="s">
        <v>4806</v>
      </c>
      <c r="F530" s="5" t="str">
        <f>IFERROR(__xludf.DUMMYFUNCTION("GOOGLETRANSLATE(A530, ""en"", ""hi"")"),"529")</f>
        <v>529</v>
      </c>
      <c r="G530" s="5" t="str">
        <f>IFERROR(__xludf.DUMMYFUNCTION("GOOGLETRANSLATE(B530, ""en"", ""hi"")"),"कौन सा क्षेत्र अद्वितीय स्थानीय नियमों के साथ लागोरी के एक विशिष्ट संस्करण के लिए जाना जाता है?")</f>
        <v>कौन सा क्षेत्र अद्वितीय स्थानीय नियमों के साथ लागोरी के एक विशिष्ट संस्करण के लिए जाना जाता है?</v>
      </c>
      <c r="H530" s="5" t="str">
        <f>IFERROR(__xludf.DUMMYFUNCTION("GOOGLETRANSLATE(C530, ""en"", ""hi"")"),"A) पश्चिम भारत, B) उत्तर भारत, C) दक्षिण भारत, D) पूर्वी भारत")</f>
        <v>A) पश्चिम भारत, B) उत्तर भारत, C) दक्षिण भारत, D) पूर्वी भारत</v>
      </c>
      <c r="I530" s="5" t="str">
        <f>IFERROR(__xludf.DUMMYFUNCTION("GOOGLETRANSLATE(D530, ""en"", ""hi"")"),"A) पश्चिम भारत")</f>
        <v>A) पश्चिम भारत</v>
      </c>
    </row>
    <row r="531" ht="22.5" customHeight="1">
      <c r="A531" s="3">
        <v>530.0</v>
      </c>
      <c r="B531" s="4" t="s">
        <v>4807</v>
      </c>
      <c r="C531" s="4" t="s">
        <v>4725</v>
      </c>
      <c r="D531" s="4" t="s">
        <v>4726</v>
      </c>
      <c r="F531" s="5" t="str">
        <f>IFERROR(__xludf.DUMMYFUNCTION("GOOGLETRANSLATE(A531, ""en"", ""hi"")"),"530")</f>
        <v>530</v>
      </c>
      <c r="G531" s="5" t="str">
        <f>IFERROR(__xludf.DUMMYFUNCTION("GOOGLETRANSLATE(B531, ""en"", ""hi"")"),"किस ऐतिहासिक भारतीय राजा का दरबार लागोरी सहित पारंपरिक खेलों को बढ़ावा देने के लिए जाना जाता है?")</f>
        <v>किस ऐतिहासिक भारतीय राजा का दरबार लागोरी सहित पारंपरिक खेलों को बढ़ावा देने के लिए जाना जाता है?</v>
      </c>
      <c r="H531" s="5" t="str">
        <f>IFERROR(__xludf.DUMMYFUNCTION("GOOGLETRANSLATE(C531, ""en"", ""hi"")"),"A) राजा अशोक, B) राजा अकबर, C) राजा चंद्रगुप्त, D) राजा शिवाजी")</f>
        <v>A) राजा अशोक, B) राजा अकबर, C) राजा चंद्रगुप्त, D) राजा शिवाजी</v>
      </c>
      <c r="I531" s="5" t="str">
        <f>IFERROR(__xludf.DUMMYFUNCTION("GOOGLETRANSLATE(D531, ""en"", ""hi"")"),"बी) राजा अकबर")</f>
        <v>बी) राजा अकबर</v>
      </c>
    </row>
    <row r="532" ht="22.5" customHeight="1">
      <c r="A532" s="3">
        <v>531.0</v>
      </c>
      <c r="B532" s="4" t="s">
        <v>4808</v>
      </c>
      <c r="C532" s="4" t="s">
        <v>4809</v>
      </c>
      <c r="D532" s="4" t="s">
        <v>4467</v>
      </c>
      <c r="F532" s="5" t="str">
        <f>IFERROR(__xludf.DUMMYFUNCTION("GOOGLETRANSLATE(A532, ""en"", ""hi"")"),"531")</f>
        <v>531</v>
      </c>
      <c r="G532" s="5" t="str">
        <f>IFERROR(__xludf.DUMMYFUNCTION("GOOGLETRANSLATE(B532, ""en"", ""hi"")"),"प्राचीन भारतीय गांवों में लागोरी का सांस्कृतिक महत्व क्या था?")</f>
        <v>प्राचीन भारतीय गांवों में लागोरी का सांस्कृतिक महत्व क्या था?</v>
      </c>
      <c r="H532" s="5" t="str">
        <f>IFERROR(__xludf.DUMMYFUNCTION("GOOGLETRANSLATE(C532, ""en"", ""hi"")"),"A) सामाजिक बंधन, B) सैन्य प्रशिक्षण, C) धार्मिक समारोह, D) व्यापार")</f>
        <v>A) सामाजिक बंधन, B) सैन्य प्रशिक्षण, C) धार्मिक समारोह, D) व्यापार</v>
      </c>
      <c r="I532" s="5" t="str">
        <f>IFERROR(__xludf.DUMMYFUNCTION("GOOGLETRANSLATE(D532, ""en"", ""hi"")"),"A) सामाजिक बंधन")</f>
        <v>A) सामाजिक बंधन</v>
      </c>
    </row>
    <row r="533" ht="22.5" customHeight="1">
      <c r="A533" s="3">
        <v>532.0</v>
      </c>
      <c r="B533" s="4" t="s">
        <v>4810</v>
      </c>
      <c r="C533" s="4" t="s">
        <v>4811</v>
      </c>
      <c r="D533" s="4" t="s">
        <v>4591</v>
      </c>
      <c r="F533" s="5" t="str">
        <f>IFERROR(__xludf.DUMMYFUNCTION("GOOGLETRANSLATE(A533, ""en"", ""hi"")"),"532")</f>
        <v>532</v>
      </c>
      <c r="G533" s="5" t="str">
        <f>IFERROR(__xludf.DUMMYFUNCTION("GOOGLETRANSLATE(B533, ""en"", ""hi"")"),"प्राचीन भारतीय उत्सवों में लागोरी की क्या भूमिका थी?")</f>
        <v>प्राचीन भारतीय उत्सवों में लागोरी की क्या भूमिका थी?</v>
      </c>
      <c r="H533" s="5" t="str">
        <f>IFERROR(__xludf.DUMMYFUNCTION("GOOGLETRANSLATE(C533, ""en"", ""hi"")"),"A) मनोरंजन, B) शिक्षा, C) व्यापार, D) सैन्य अभ्यास")</f>
        <v>A) मनोरंजन, B) शिक्षा, C) व्यापार, D) सैन्य अभ्यास</v>
      </c>
      <c r="I533" s="5" t="str">
        <f>IFERROR(__xludf.DUMMYFUNCTION("GOOGLETRANSLATE(D533, ""en"", ""hi"")"),"ए) मनोरंजन")</f>
        <v>ए) मनोरंजन</v>
      </c>
    </row>
    <row r="534" ht="22.5" customHeight="1">
      <c r="A534" s="3">
        <v>533.0</v>
      </c>
      <c r="B534" s="4" t="s">
        <v>4812</v>
      </c>
      <c r="C534" s="4" t="s">
        <v>4813</v>
      </c>
      <c r="D534" s="4" t="s">
        <v>4692</v>
      </c>
      <c r="F534" s="5" t="str">
        <f>IFERROR(__xludf.DUMMYFUNCTION("GOOGLETRANSLATE(A534, ""en"", ""hi"")"),"533")</f>
        <v>533</v>
      </c>
      <c r="G534" s="5" t="str">
        <f>IFERROR(__xludf.DUMMYFUNCTION("GOOGLETRANSLATE(B534, ""en"", ""hi"")"),"किस भारतीय राजा का शासनकाल लागोरी जैसे पारंपरिक खेलों के लोकप्रियकरण से जुड़ा है?")</f>
        <v>किस भारतीय राजा का शासनकाल लागोरी जैसे पारंपरिक खेलों के लोकप्रियकरण से जुड़ा है?</v>
      </c>
      <c r="H534" s="5" t="str">
        <f>IFERROR(__xludf.DUMMYFUNCTION("GOOGLETRANSLATE(C534, ""en"", ""hi"")"),"A) राजा चंद्रगुप्त, B) राजा अशोक, C) राजा अकबर, D) राजा शिवाजी")</f>
        <v>A) राजा चंद्रगुप्त, B) राजा अशोक, C) राजा अकबर, D) राजा शिवाजी</v>
      </c>
      <c r="I534" s="5" t="str">
        <f>IFERROR(__xludf.DUMMYFUNCTION("GOOGLETRANSLATE(D534, ""en"", ""hi"")"),"C) राजा अकबर")</f>
        <v>C) राजा अकबर</v>
      </c>
    </row>
    <row r="535" ht="22.5" customHeight="1">
      <c r="A535" s="3">
        <v>534.0</v>
      </c>
      <c r="B535" s="4" t="s">
        <v>4814</v>
      </c>
      <c r="C535" s="4" t="s">
        <v>4815</v>
      </c>
      <c r="D535" s="4" t="s">
        <v>49</v>
      </c>
      <c r="F535" s="5" t="str">
        <f>IFERROR(__xludf.DUMMYFUNCTION("GOOGLETRANSLATE(A535, ""en"", ""hi"")"),"534")</f>
        <v>534</v>
      </c>
      <c r="G535" s="5" t="str">
        <f>IFERROR(__xludf.DUMMYFUNCTION("GOOGLETRANSLATE(B535, ""en"", ""hi"")"),"लागोरी ने ऐतिहासिक रूप से किस भारतीय राज्य में अपनी अनूठी क्षेत्रीय विविधताएं विकसित कीं?")</f>
        <v>लागोरी ने ऐतिहासिक रूप से किस भारतीय राज्य में अपनी अनूठी क्षेत्रीय विविधताएं विकसित कीं?</v>
      </c>
      <c r="H535" s="5" t="str">
        <f>IFERROR(__xludf.DUMMYFUNCTION("GOOGLETRANSLATE(C535, ""en"", ""hi"")"),"ए) गुजरात, बी) पंजाब, सी) कर्नाटक, डी) महाराष्ट्र")</f>
        <v>ए) गुजरात, बी) पंजाब, सी) कर्नाटक, डी) महाराष्ट्र</v>
      </c>
      <c r="I535" s="5" t="str">
        <f>IFERROR(__xludf.DUMMYFUNCTION("GOOGLETRANSLATE(D535, ""en"", ""hi"")"),"A) गुजरात")</f>
        <v>A) गुजरात</v>
      </c>
    </row>
    <row r="536" ht="22.5" customHeight="1">
      <c r="A536" s="3">
        <v>535.0</v>
      </c>
      <c r="B536" s="4" t="s">
        <v>4816</v>
      </c>
      <c r="C536" s="4" t="s">
        <v>4817</v>
      </c>
      <c r="D536" s="4" t="s">
        <v>4758</v>
      </c>
      <c r="F536" s="5" t="str">
        <f>IFERROR(__xludf.DUMMYFUNCTION("GOOGLETRANSLATE(A536, ""en"", ""hi"")"),"535")</f>
        <v>535</v>
      </c>
      <c r="G536" s="5" t="str">
        <f>IFERROR(__xludf.DUMMYFUNCTION("GOOGLETRANSLATE(B536, ""en"", ""hi"")"),"भारत भर में लागोरी के प्रसार में किस ऐतिहासिक विकास ने योगदान दिया?")</f>
        <v>भारत भर में लागोरी के प्रसार में किस ऐतिहासिक विकास ने योगदान दिया?</v>
      </c>
      <c r="H536" s="5" t="str">
        <f>IFERROR(__xludf.DUMMYFUNCTION("GOOGLETRANSLATE(C536, ""en"", ""hi"")"),"A) मुगल साम्राज्य का विस्तार, B) ब्रिटिश औपनिवेशिक शासन, C) भारतीय स्वतंत्रता, D) सांस्कृतिक पुनर्जागरण")</f>
        <v>A) मुगल साम्राज्य का विस्तार, B) ब्रिटिश औपनिवेशिक शासन, C) भारतीय स्वतंत्रता, D) सांस्कृतिक पुनर्जागरण</v>
      </c>
      <c r="I536" s="5" t="str">
        <f>IFERROR(__xludf.DUMMYFUNCTION("GOOGLETRANSLATE(D536, ""en"", ""hi"")"),"A) मुगल साम्राज्य का विस्तार")</f>
        <v>A) मुगल साम्राज्य का विस्तार</v>
      </c>
    </row>
    <row r="537" ht="22.5" customHeight="1">
      <c r="A537" s="3">
        <v>536.0</v>
      </c>
      <c r="B537" s="4" t="s">
        <v>4818</v>
      </c>
      <c r="C537" s="4" t="s">
        <v>4819</v>
      </c>
      <c r="D537" s="4" t="s">
        <v>4591</v>
      </c>
      <c r="F537" s="5" t="str">
        <f>IFERROR(__xludf.DUMMYFUNCTION("GOOGLETRANSLATE(A537, ""en"", ""hi"")"),"536")</f>
        <v>536</v>
      </c>
      <c r="G537" s="5" t="str">
        <f>IFERROR(__xludf.DUMMYFUNCTION("GOOGLETRANSLATE(B537, ""en"", ""hi"")"),"प्राचीन भारतीय त्योहारों और सांप्रदायिक आयोजनों में लागोरी की प्राथमिक भूमिका क्या थी?")</f>
        <v>प्राचीन भारतीय त्योहारों और सांप्रदायिक आयोजनों में लागोरी की प्राथमिक भूमिका क्या थी?</v>
      </c>
      <c r="H537" s="5" t="str">
        <f>IFERROR(__xludf.DUMMYFUNCTION("GOOGLETRANSLATE(C537, ""en"", ""hi"")"),"A) मनोरंजन, B) धार्मिक अभ्यास, C) व्यापार, D) शिक्षा")</f>
        <v>A) मनोरंजन, B) धार्मिक अभ्यास, C) व्यापार, D) शिक्षा</v>
      </c>
      <c r="I537" s="5" t="str">
        <f>IFERROR(__xludf.DUMMYFUNCTION("GOOGLETRANSLATE(D537, ""en"", ""hi"")"),"ए) मनोरंजन")</f>
        <v>ए) मनोरंजन</v>
      </c>
    </row>
    <row r="538" ht="22.5" customHeight="1">
      <c r="A538" s="3">
        <v>537.0</v>
      </c>
      <c r="B538" s="4" t="s">
        <v>4820</v>
      </c>
      <c r="C538" s="4" t="s">
        <v>4821</v>
      </c>
      <c r="D538" s="4" t="s">
        <v>4822</v>
      </c>
      <c r="F538" s="5" t="str">
        <f>IFERROR(__xludf.DUMMYFUNCTION("GOOGLETRANSLATE(A538, ""en"", ""hi"")"),"537")</f>
        <v>537</v>
      </c>
      <c r="G538" s="5" t="str">
        <f>IFERROR(__xludf.DUMMYFUNCTION("GOOGLETRANSLATE(B538, ""en"", ""hi"")"),"कौन सा ऐतिहासिक भारतीय क्षेत्र गांव के त्योहारों के दौरान खेले जाने वाले पारंपरिक रूप लागोरी से जुड़ा हुआ है?")</f>
        <v>कौन सा ऐतिहासिक भारतीय क्षेत्र गांव के त्योहारों के दौरान खेले जाने वाले पारंपरिक रूप लागोरी से जुड़ा हुआ है?</v>
      </c>
      <c r="H538" s="5" t="str">
        <f>IFERROR(__xludf.DUMMYFUNCTION("GOOGLETRANSLATE(C538, ""en"", ""hi"")"),"A) पूर्वी भारत, B) पश्चिमी भारत, C) उत्तर भारत, D) दक्षिण भारत")</f>
        <v>A) पूर्वी भारत, B) पश्चिमी भारत, C) उत्तर भारत, D) दक्षिण भारत</v>
      </c>
      <c r="I538" s="5" t="str">
        <f>IFERROR(__xludf.DUMMYFUNCTION("GOOGLETRANSLATE(D538, ""en"", ""hi"")"),"बी) पश्चिम भारत")</f>
        <v>बी) पश्चिम भारत</v>
      </c>
    </row>
    <row r="539" ht="22.5" customHeight="1">
      <c r="A539" s="3">
        <v>538.0</v>
      </c>
      <c r="B539" s="4" t="s">
        <v>4823</v>
      </c>
      <c r="C539" s="4" t="s">
        <v>4730</v>
      </c>
      <c r="D539" s="4" t="s">
        <v>4731</v>
      </c>
      <c r="F539" s="5" t="str">
        <f>IFERROR(__xludf.DUMMYFUNCTION("GOOGLETRANSLATE(A539, ""en"", ""hi"")"),"538")</f>
        <v>538</v>
      </c>
      <c r="G539" s="5" t="str">
        <f>IFERROR(__xludf.DUMMYFUNCTION("GOOGLETRANSLATE(B539, ""en"", ""hi"")"),"किस ऐतिहासिक काल में लागोरी के नियमों और खेल-शैली को औपचारिक रूप दिया गया?")</f>
        <v>किस ऐतिहासिक काल में लागोरी के नियमों और खेल-शैली को औपचारिक रूप दिया गया?</v>
      </c>
      <c r="H539" s="5" t="str">
        <f>IFERROR(__xludf.DUMMYFUNCTION("GOOGLETRANSLATE(C539, ""en"", ""hi"")"),"A) प्राचीन काल, B) मध्यकाल, C) औपनिवेशिक काल, D) आधुनिक काल")</f>
        <v>A) प्राचीन काल, B) मध्यकाल, C) औपनिवेशिक काल, D) आधुनिक काल</v>
      </c>
      <c r="I539" s="5" t="str">
        <f>IFERROR(__xludf.DUMMYFUNCTION("GOOGLETRANSLATE(D539, ""en"", ""hi"")"),"बी) मध्यकालीन काल")</f>
        <v>बी) मध्यकालीन काल</v>
      </c>
    </row>
    <row r="540" ht="22.5" customHeight="1">
      <c r="A540" s="3">
        <v>539.0</v>
      </c>
      <c r="B540" s="4" t="s">
        <v>4824</v>
      </c>
      <c r="C540" s="4" t="s">
        <v>4825</v>
      </c>
      <c r="D540" s="4" t="s">
        <v>4467</v>
      </c>
      <c r="F540" s="5" t="str">
        <f>IFERROR(__xludf.DUMMYFUNCTION("GOOGLETRANSLATE(A540, ""en"", ""hi"")"),"539")</f>
        <v>539</v>
      </c>
      <c r="G540" s="5" t="str">
        <f>IFERROR(__xludf.DUMMYFUNCTION("GOOGLETRANSLATE(B540, ""en"", ""hi"")"),"प्राचीन भारतीय सामाजिक घटनाओं के संदर्भ में लागोरी ने क्या ऐतिहासिक भूमिका निभाई?")</f>
        <v>प्राचीन भारतीय सामाजिक घटनाओं के संदर्भ में लागोरी ने क्या ऐतिहासिक भूमिका निभाई?</v>
      </c>
      <c r="H540" s="5" t="str">
        <f>IFERROR(__xludf.DUMMYFUNCTION("GOOGLETRANSLATE(C540, ""en"", ""hi"")"),"A) सामाजिक बंधन, B) आर्थिक गतिविधि, C) धार्मिक अभ्यास, D) शैक्षिक उद्देश्य")</f>
        <v>A) सामाजिक बंधन, B) आर्थिक गतिविधि, C) धार्मिक अभ्यास, D) शैक्षिक उद्देश्य</v>
      </c>
      <c r="I540" s="5" t="str">
        <f>IFERROR(__xludf.DUMMYFUNCTION("GOOGLETRANSLATE(D540, ""en"", ""hi"")"),"A) सामाजिक बंधन")</f>
        <v>A) सामाजिक बंधन</v>
      </c>
    </row>
    <row r="541" ht="22.5" customHeight="1">
      <c r="A541" s="3">
        <v>540.0</v>
      </c>
      <c r="B541" s="4" t="s">
        <v>4752</v>
      </c>
      <c r="C541" s="4" t="s">
        <v>4725</v>
      </c>
      <c r="D541" s="4" t="s">
        <v>4726</v>
      </c>
      <c r="F541" s="5" t="str">
        <f>IFERROR(__xludf.DUMMYFUNCTION("GOOGLETRANSLATE(A541, ""en"", ""hi"")"),"540")</f>
        <v>540</v>
      </c>
      <c r="G541" s="5" t="str">
        <f>IFERROR(__xludf.DUMMYFUNCTION("GOOGLETRANSLATE(B541, ""en"", ""hi"")"),"किस भारतीय राजा का दरबार शाही उत्सवों में लागोरी जैसे पारंपरिक खेलों को शामिल करने के लिए जाना जाता था?")</f>
        <v>किस भारतीय राजा का दरबार शाही उत्सवों में लागोरी जैसे पारंपरिक खेलों को शामिल करने के लिए जाना जाता था?</v>
      </c>
      <c r="H541" s="5" t="str">
        <f>IFERROR(__xludf.DUMMYFUNCTION("GOOGLETRANSLATE(C541, ""en"", ""hi"")"),"A) राजा अशोक, B) राजा अकबर, C) राजा चंद्रगुप्त, D) राजा शिवाजी")</f>
        <v>A) राजा अशोक, B) राजा अकबर, C) राजा चंद्रगुप्त, D) राजा शिवाजी</v>
      </c>
      <c r="I541" s="5" t="str">
        <f>IFERROR(__xludf.DUMMYFUNCTION("GOOGLETRANSLATE(D541, ""en"", ""hi"")"),"बी) राजा अकबर")</f>
        <v>बी) राजा अकबर</v>
      </c>
    </row>
    <row r="542" ht="22.5" customHeight="1">
      <c r="A542" s="3">
        <v>541.0</v>
      </c>
      <c r="B542" s="4" t="s">
        <v>4826</v>
      </c>
      <c r="C542" s="4" t="s">
        <v>3956</v>
      </c>
      <c r="D542" s="4" t="s">
        <v>4629</v>
      </c>
      <c r="F542" s="5" t="str">
        <f>IFERROR(__xludf.DUMMYFUNCTION("GOOGLETRANSLATE(A542, ""en"", ""hi"")"),"541")</f>
        <v>541</v>
      </c>
      <c r="G542" s="5" t="str">
        <f>IFERROR(__xludf.DUMMYFUNCTION("GOOGLETRANSLATE(B542, ""en"", ""hi"")"),"भारत में किस ऐतिहासिक त्यौहार में पारंपरिक रूप से लागोरी को इसके उत्सव का एक हिस्सा माना जाता है?")</f>
        <v>भारत में किस ऐतिहासिक त्यौहार में पारंपरिक रूप से लागोरी को इसके उत्सव का एक हिस्सा माना जाता है?</v>
      </c>
      <c r="H542" s="5" t="str">
        <f>IFERROR(__xludf.DUMMYFUNCTION("GOOGLETRANSLATE(C542, ""en"", ""hi"")"),"ए) होली, बी) दिवाली, सी) मकर संक्रांति, डी) पोंगल")</f>
        <v>ए) होली, बी) दिवाली, सी) मकर संक्रांति, डी) पोंगल</v>
      </c>
      <c r="I542" s="5" t="str">
        <f>IFERROR(__xludf.DUMMYFUNCTION("GOOGLETRANSLATE(D542, ""en"", ""hi"")"),"ए) होली")</f>
        <v>ए) होली</v>
      </c>
    </row>
    <row r="543" ht="22.5" customHeight="1">
      <c r="A543" s="3">
        <v>542.0</v>
      </c>
      <c r="B543" s="4" t="s">
        <v>4827</v>
      </c>
      <c r="C543" s="4" t="s">
        <v>4790</v>
      </c>
      <c r="D543" s="4" t="s">
        <v>2544</v>
      </c>
      <c r="F543" s="5" t="str">
        <f>IFERROR(__xludf.DUMMYFUNCTION("GOOGLETRANSLATE(A543, ""en"", ""hi"")"),"542")</f>
        <v>542</v>
      </c>
      <c r="G543" s="5" t="str">
        <f>IFERROR(__xludf.DUMMYFUNCTION("GOOGLETRANSLATE(B543, ""en"", ""hi"")"),"कौन सा ऐतिहासिक ग्रंथ प्राचीन भारतीय संस्कृति में लागोरी जैसे खेलों का उल्लेख करने के लिए जाना जाता है?")</f>
        <v>कौन सा ऐतिहासिक ग्रंथ प्राचीन भारतीय संस्कृति में लागोरी जैसे खेलों का उल्लेख करने के लिए जाना जाता है?</v>
      </c>
      <c r="H543" s="5" t="str">
        <f>IFERROR(__xludf.DUMMYFUNCTION("GOOGLETRANSLATE(C543, ""en"", ""hi"")"),"ए) रामायण, बी) महाभारत, सी) मनुस्मृति, डी) अर्थशास्त्र")</f>
        <v>ए) रामायण, बी) महाभारत, सी) मनुस्मृति, डी) अर्थशास्त्र</v>
      </c>
      <c r="I543" s="5" t="str">
        <f>IFERROR(__xludf.DUMMYFUNCTION("GOOGLETRANSLATE(D543, ""en"", ""hi"")"),"बी) महाभारत")</f>
        <v>बी) महाभारत</v>
      </c>
    </row>
    <row r="544" ht="22.5" customHeight="1">
      <c r="A544" s="3">
        <v>543.0</v>
      </c>
      <c r="B544" s="4" t="s">
        <v>4828</v>
      </c>
      <c r="C544" s="4" t="s">
        <v>4829</v>
      </c>
      <c r="D544" s="4" t="s">
        <v>4830</v>
      </c>
      <c r="F544" s="5" t="str">
        <f>IFERROR(__xludf.DUMMYFUNCTION("GOOGLETRANSLATE(A544, ""en"", ""hi"")"),"543")</f>
        <v>543</v>
      </c>
      <c r="G544" s="5" t="str">
        <f>IFERROR(__xludf.DUMMYFUNCTION("GOOGLETRANSLATE(B544, ""en"", ""hi"")"),"भारत में लागोरी के विकास और लोकप्रिय होने के साथ कौन सा ऐतिहासिक संदर्भ जुड़ा हुआ है?")</f>
        <v>भारत में लागोरी के विकास और लोकप्रिय होने के साथ कौन सा ऐतिहासिक संदर्भ जुड़ा हुआ है?</v>
      </c>
      <c r="H544" s="5" t="str">
        <f>IFERROR(__xludf.DUMMYFUNCTION("GOOGLETRANSLATE(C544, ""en"", ""hi"")"),"A) मुगल साम्राज्य का प्रभाव, B) ब्रिटिश औपनिवेशिक शासन, C) भारतीय स्वतंत्रता आंदोलन, D) सांस्कृतिक पुनर्जागरण")</f>
        <v>A) मुगल साम्राज्य का प्रभाव, B) ब्रिटिश औपनिवेशिक शासन, C) भारतीय स्वतंत्रता आंदोलन, D) सांस्कृतिक पुनर्जागरण</v>
      </c>
      <c r="I544" s="5" t="str">
        <f>IFERROR(__xludf.DUMMYFUNCTION("GOOGLETRANSLATE(D544, ""en"", ""hi"")"),"A) मुगल साम्राज्य का प्रभाव")</f>
        <v>A) मुगल साम्राज्य का प्रभाव</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5.75"/>
    <col customWidth="1" min="7" max="8" width="37.63"/>
    <col customWidth="1" min="9" max="9" width="25.13"/>
  </cols>
  <sheetData>
    <row r="1" ht="22.5" customHeight="1">
      <c r="A1" s="6" t="s">
        <v>0</v>
      </c>
      <c r="B1" s="6" t="s">
        <v>1</v>
      </c>
      <c r="C1" s="6" t="s">
        <v>2</v>
      </c>
      <c r="D1" s="6" t="s">
        <v>3</v>
      </c>
      <c r="F1" s="2" t="s">
        <v>4</v>
      </c>
      <c r="G1" s="2" t="s">
        <v>5</v>
      </c>
      <c r="H1" s="2" t="s">
        <v>6</v>
      </c>
      <c r="I1" s="2" t="s">
        <v>7</v>
      </c>
    </row>
    <row r="2" ht="22.5" customHeight="1">
      <c r="A2" s="7">
        <v>1.0</v>
      </c>
      <c r="B2" s="8" t="s">
        <v>4831</v>
      </c>
      <c r="C2" s="8" t="s">
        <v>3733</v>
      </c>
      <c r="D2" s="8" t="s">
        <v>222</v>
      </c>
      <c r="F2" s="5" t="str">
        <f>IFERROR(__xludf.DUMMYFUNCTION("GOOGLETRANSLATE(A2, ""en"", ""hi"")"),"1")</f>
        <v>1</v>
      </c>
      <c r="G2" s="5" t="str">
        <f>IFERROR(__xludf.DUMMYFUNCTION("GOOGLETRANSLATE(B2, ""en"", ""hi"")"),"किस प्राचीन भारतीय ग्रंथ में सर्वप्रथम पम्बरम खेल का उल्लेख किया गया है?")</f>
        <v>किस प्राचीन भारतीय ग्रंथ में सर्वप्रथम पम्बरम खेल का उल्लेख किया गया है?</v>
      </c>
      <c r="H2" s="5" t="str">
        <f>IFERROR(__xludf.DUMMYFUNCTION("GOOGLETRANSLATE(C2, ""en"", ""hi"")"),"ए) महाभारत, बी) रामायण, सी) अर्थशास्त्र, डी) मनुस्मृति")</f>
        <v>ए) महाभारत, बी) रामायण, सी) अर्थशास्त्र, डी) मनुस्मृति</v>
      </c>
      <c r="I2" s="5" t="str">
        <f>IFERROR(__xludf.DUMMYFUNCTION("GOOGLETRANSLATE(D2, ""en"", ""hi"")"),"A) महाभारत")</f>
        <v>A) महाभारत</v>
      </c>
    </row>
    <row r="3" ht="22.5" customHeight="1">
      <c r="A3" s="7">
        <v>2.0</v>
      </c>
      <c r="B3" s="8" t="s">
        <v>4832</v>
      </c>
      <c r="C3" s="8" t="s">
        <v>4833</v>
      </c>
      <c r="D3" s="8" t="s">
        <v>4834</v>
      </c>
      <c r="F3" s="5" t="str">
        <f>IFERROR(__xludf.DUMMYFUNCTION("GOOGLETRANSLATE(A3, ""en"", ""hi"")"),"2")</f>
        <v>2</v>
      </c>
      <c r="G3" s="5" t="str">
        <f>IFERROR(__xludf.DUMMYFUNCTION("GOOGLETRANSLATE(B3, ""en"", ""hi"")"),"19वीं शताब्दी में पम्बरम के नियमों को औपचारिक रूप देने का श्रेय किसे दिया जाता है?")</f>
        <v>19वीं शताब्दी में पम्बरम के नियमों को औपचारिक रूप देने का श्रेय किसे दिया जाता है?</v>
      </c>
      <c r="H3" s="5" t="str">
        <f>IFERROR(__xludf.DUMMYFUNCTION("GOOGLETRANSLATE(C3, ""en"", ""hi"")"),"A) राजा राम मोहन राय, B) वी.के. कृष्ण मेनन, C) आर.के. नारायण, D) जी.के. चेस्टरटन")</f>
        <v>A) राजा राम मोहन राय, B) वी.के. कृष्ण मेनन, C) आर.के. नारायण, D) जी.के. चेस्टरटन</v>
      </c>
      <c r="I3" s="5" t="str">
        <f>IFERROR(__xludf.DUMMYFUNCTION("GOOGLETRANSLATE(D3, ""en"", ""hi"")"),"बी) वी.के.कृष्ण मेनन")</f>
        <v>बी) वी.के.कृष्ण मेनन</v>
      </c>
    </row>
    <row r="4" ht="22.5" customHeight="1">
      <c r="A4" s="7">
        <v>3.0</v>
      </c>
      <c r="B4" s="8" t="s">
        <v>4835</v>
      </c>
      <c r="C4" s="8" t="s">
        <v>4836</v>
      </c>
      <c r="D4" s="8" t="s">
        <v>4837</v>
      </c>
      <c r="F4" s="5" t="str">
        <f>IFERROR(__xludf.DUMMYFUNCTION("GOOGLETRANSLATE(A4, ""en"", ""hi"")"),"3")</f>
        <v>3</v>
      </c>
      <c r="G4" s="5" t="str">
        <f>IFERROR(__xludf.DUMMYFUNCTION("GOOGLETRANSLATE(B4, ""en"", ""hi"")"),"भारत के दक्षिणी क्षेत्रों में पम्बरम को लोकप्रिय बनाने के लिए कौन सा राजा जाना जाता है?")</f>
        <v>भारत के दक्षिणी क्षेत्रों में पम्बरम को लोकप्रिय बनाने के लिए कौन सा राजा जाना जाता है?</v>
      </c>
      <c r="H4" s="5" t="str">
        <f>IFERROR(__xludf.DUMMYFUNCTION("GOOGLETRANSLATE(C4, ""en"", ""hi"")"),"ए) राजा राजराज चोल, बी) राजा अशोक, सी) राजा हर्षवर्द्धन, डी) राजा विक्रमादित्य")</f>
        <v>ए) राजा राजराज चोल, बी) राजा अशोक, सी) राजा हर्षवर्द्धन, डी) राजा विक्रमादित्य</v>
      </c>
      <c r="I4" s="5" t="str">
        <f>IFERROR(__xludf.DUMMYFUNCTION("GOOGLETRANSLATE(D4, ""en"", ""hi"")"),"A) राजा राजराजा चोल")</f>
        <v>A) राजा राजराजा चोल</v>
      </c>
    </row>
    <row r="5" ht="22.5" customHeight="1">
      <c r="A5" s="7">
        <v>4.0</v>
      </c>
      <c r="B5" s="8" t="s">
        <v>4838</v>
      </c>
      <c r="C5" s="8" t="s">
        <v>4839</v>
      </c>
      <c r="D5" s="8" t="s">
        <v>4840</v>
      </c>
      <c r="F5" s="5" t="str">
        <f>IFERROR(__xludf.DUMMYFUNCTION("GOOGLETRANSLATE(A5, ""en"", ""hi"")"),"4")</f>
        <v>4</v>
      </c>
      <c r="G5" s="5" t="str">
        <f>IFERROR(__xludf.DUMMYFUNCTION("GOOGLETRANSLATE(B5, ""en"", ""hi"")"),"अखिल भारतीय पम्बरम महासंघ की स्थापना किस वर्ष हुई थी?")</f>
        <v>अखिल भारतीय पम्बरम महासंघ की स्थापना किस वर्ष हुई थी?</v>
      </c>
      <c r="H5" s="5" t="str">
        <f>IFERROR(__xludf.DUMMYFUNCTION("GOOGLETRANSLATE(C5, ""en"", ""hi"")"),"ए) 1945, बी) 1950, सी) 1955, डी) 1960")</f>
        <v>ए) 1945, बी) 1950, सी) 1955, डी) 1960</v>
      </c>
      <c r="I5" s="5" t="str">
        <f>IFERROR(__xludf.DUMMYFUNCTION("GOOGLETRANSLATE(D5, ""en"", ""hi"")"),"सी) 1955")</f>
        <v>सी) 1955</v>
      </c>
    </row>
    <row r="6" ht="22.5" customHeight="1">
      <c r="A6" s="7">
        <v>5.0</v>
      </c>
      <c r="B6" s="8" t="s">
        <v>4841</v>
      </c>
      <c r="C6" s="8" t="s">
        <v>4842</v>
      </c>
      <c r="D6" s="8" t="s">
        <v>205</v>
      </c>
      <c r="F6" s="5" t="str">
        <f>IFERROR(__xludf.DUMMYFUNCTION("GOOGLETRANSLATE(A6, ""en"", ""hi"")"),"5")</f>
        <v>5</v>
      </c>
      <c r="G6" s="5" t="str">
        <f>IFERROR(__xludf.DUMMYFUNCTION("GOOGLETRANSLATE(B6, ""en"", ""hi"")"),"भारत में किस राज्य को पंबारम का पारंपरिक घर माना जाता है?")</f>
        <v>भारत में किस राज्य को पंबारम का पारंपरिक घर माना जाता है?</v>
      </c>
      <c r="H6" s="5" t="str">
        <f>IFERROR(__xludf.DUMMYFUNCTION("GOOGLETRANSLATE(C6, ""en"", ""hi"")"),"A) तमिलनाडु, B) केरल, C) कर्नाटक, D) आंध्र प्रदेश")</f>
        <v>A) तमिलनाडु, B) केरल, C) कर्नाटक, D) आंध्र प्रदेश</v>
      </c>
      <c r="I6" s="5" t="str">
        <f>IFERROR(__xludf.DUMMYFUNCTION("GOOGLETRANSLATE(D6, ""en"", ""hi"")"),"A) तमिलनाडु")</f>
        <v>A) तमिलनाडु</v>
      </c>
    </row>
    <row r="7" ht="22.5" customHeight="1">
      <c r="A7" s="7">
        <v>6.0</v>
      </c>
      <c r="B7" s="8" t="s">
        <v>4843</v>
      </c>
      <c r="C7" s="8" t="s">
        <v>4844</v>
      </c>
      <c r="D7" s="8" t="s">
        <v>4845</v>
      </c>
      <c r="F7" s="5" t="str">
        <f>IFERROR(__xludf.DUMMYFUNCTION("GOOGLETRANSLATE(A7, ""en"", ""hi"")"),"6")</f>
        <v>6</v>
      </c>
      <c r="G7" s="5" t="str">
        <f>IFERROR(__xludf.DUMMYFUNCTION("GOOGLETRANSLATE(B7, ""en"", ""hi"")"),"कौन सा पम्बरम खिलाड़ी अपने विशिष्ट मूव 'द साइक्लोन स्पिन' के लिए जाना जाता था?")</f>
        <v>कौन सा पम्बरम खिलाड़ी अपने विशिष्ट मूव 'द साइक्लोन स्पिन' के लिए जाना जाता था?</v>
      </c>
      <c r="H7" s="5" t="str">
        <f>IFERROR(__xludf.DUMMYFUNCTION("GOOGLETRANSLATE(C7, ""en"", ""hi"")"),"A) के. एस. रमेश, B) एम. एन. कार्तिक, C) वी. एस. रवि, D) एस. बी. कुमार")</f>
        <v>A) के. एस. रमेश, B) एम. एन. कार्तिक, C) वी. एस. रवि, D) एस. बी. कुमार</v>
      </c>
      <c r="I7" s="5" t="str">
        <f>IFERROR(__xludf.DUMMYFUNCTION("GOOGLETRANSLATE(D7, ""en"", ""hi"")"),"A) के. एस. रमेश")</f>
        <v>A) के. एस. रमेश</v>
      </c>
    </row>
    <row r="8" ht="22.5" customHeight="1">
      <c r="A8" s="7">
        <v>7.0</v>
      </c>
      <c r="B8" s="8" t="s">
        <v>4846</v>
      </c>
      <c r="C8" s="8" t="s">
        <v>4847</v>
      </c>
      <c r="D8" s="8" t="s">
        <v>4848</v>
      </c>
      <c r="F8" s="5" t="str">
        <f>IFERROR(__xludf.DUMMYFUNCTION("GOOGLETRANSLATE(A8, ""en"", ""hi"")"),"7")</f>
        <v>7</v>
      </c>
      <c r="G8" s="5" t="str">
        <f>IFERROR(__xludf.DUMMYFUNCTION("GOOGLETRANSLATE(B8, ""en"", ""hi"")"),"पम्बारम में प्रयुक्त पारंपरिक लकड़ी के डिस्क का नाम क्या है?")</f>
        <v>पम्बारम में प्रयुक्त पारंपरिक लकड़ी के डिस्क का नाम क्या है?</v>
      </c>
      <c r="H8" s="5" t="str">
        <f>IFERROR(__xludf.DUMMYFUNCTION("GOOGLETRANSLATE(C8, ""en"", ""hi"")"),"ए) पट्टम, बी) चक्रम, सी) कुम्मी, डी) कट्टा")</f>
        <v>ए) पट्टम, बी) चक्रम, सी) कुम्मी, डी) कट्टा</v>
      </c>
      <c r="I8" s="5" t="str">
        <f>IFERROR(__xludf.DUMMYFUNCTION("GOOGLETRANSLATE(D8, ""en"", ""hi"")"),"A) पट्टम")</f>
        <v>A) पट्टम</v>
      </c>
    </row>
    <row r="9" ht="22.5" customHeight="1">
      <c r="A9" s="7">
        <v>8.0</v>
      </c>
      <c r="B9" s="8" t="s">
        <v>4849</v>
      </c>
      <c r="C9" s="8" t="s">
        <v>4850</v>
      </c>
      <c r="D9" s="8" t="s">
        <v>4851</v>
      </c>
      <c r="F9" s="5" t="str">
        <f>IFERROR(__xludf.DUMMYFUNCTION("GOOGLETRANSLATE(A9, ""en"", ""hi"")"),"8")</f>
        <v>8</v>
      </c>
      <c r="G9" s="5" t="str">
        <f>IFERROR(__xludf.DUMMYFUNCTION("GOOGLETRANSLATE(B9, ""en"", ""hi"")"),"किस प्रसिद्ध पम्बरम खिलाड़ी को 2000 में पद्म भूषण से सम्मानित किया गया था?")</f>
        <v>किस प्रसिद्ध पम्बरम खिलाड़ी को 2000 में पद्म भूषण से सम्मानित किया गया था?</v>
      </c>
      <c r="H9" s="5" t="str">
        <f>IFERROR(__xludf.DUMMYFUNCTION("GOOGLETRANSLATE(C9, ""en"", ""hi"")"),"A) एन. रामचंद्रन, B) आर. के. राजेश, C) एस. वी. प्रसाद, D) वी. के. शर्मा")</f>
        <v>A) एन. रामचंद्रन, B) आर. के. राजेश, C) एस. वी. प्रसाद, D) वी. के. शर्मा</v>
      </c>
      <c r="I9" s="5" t="str">
        <f>IFERROR(__xludf.DUMMYFUNCTION("GOOGLETRANSLATE(D9, ""en"", ""hi"")"),"A) एन. रामचंद्रन")</f>
        <v>A) एन. रामचंद्रन</v>
      </c>
    </row>
    <row r="10" ht="22.5" customHeight="1">
      <c r="A10" s="7">
        <v>9.0</v>
      </c>
      <c r="B10" s="8" t="s">
        <v>4852</v>
      </c>
      <c r="C10" s="8" t="s">
        <v>4853</v>
      </c>
      <c r="D10" s="8" t="s">
        <v>4854</v>
      </c>
      <c r="F10" s="5" t="str">
        <f>IFERROR(__xludf.DUMMYFUNCTION("GOOGLETRANSLATE(A10, ""en"", ""hi"")"),"9")</f>
        <v>9</v>
      </c>
      <c r="G10" s="5" t="str">
        <f>IFERROR(__xludf.DUMMYFUNCTION("GOOGLETRANSLATE(B10, ""en"", ""hi"")"),"पम्बरम पारंपरिक रूप से किस भारतीय त्यौहार के दौरान बजाया जाता है?")</f>
        <v>पम्बरम पारंपरिक रूप से किस भारतीय त्यौहार के दौरान बजाया जाता है?</v>
      </c>
      <c r="H10" s="5" t="str">
        <f>IFERROR(__xludf.DUMMYFUNCTION("GOOGLETRANSLATE(C10, ""en"", ""hi"")"),"ए) पोंगल, बी) दिवाली, सी) होली, डी) नवरात्रि")</f>
        <v>ए) पोंगल, बी) दिवाली, सी) होली, डी) नवरात्रि</v>
      </c>
      <c r="I10" s="5" t="str">
        <f>IFERROR(__xludf.DUMMYFUNCTION("GOOGLETRANSLATE(D10, ""en"", ""hi"")"),"ए) पोंगल")</f>
        <v>ए) पोंगल</v>
      </c>
    </row>
    <row r="11" ht="22.5" customHeight="1">
      <c r="A11" s="7">
        <v>10.0</v>
      </c>
      <c r="B11" s="8" t="s">
        <v>4855</v>
      </c>
      <c r="C11" s="8" t="s">
        <v>4856</v>
      </c>
      <c r="D11" s="8" t="s">
        <v>4857</v>
      </c>
      <c r="F11" s="5" t="str">
        <f>IFERROR(__xludf.DUMMYFUNCTION("GOOGLETRANSLATE(A11, ""en"", ""hi"")"),"10")</f>
        <v>10</v>
      </c>
      <c r="G11" s="5" t="str">
        <f>IFERROR(__xludf.DUMMYFUNCTION("GOOGLETRANSLATE(B11, ""en"", ""hi"")"),"पम्बरम का प्राथमिक उद्देश्य क्या है?")</f>
        <v>पम्बरम का प्राथमिक उद्देश्य क्या है?</v>
      </c>
      <c r="H11" s="5" t="str">
        <f>IFERROR(__xludf.DUMMYFUNCTION("GOOGLETRANSLATE(C11, ""en"", ""hi"")"),"A) गोल करना, B) प्रतिद्वंद्वी के पट्टम पर प्रहार करना, C) प्रतिद्वंद्वी से अधिक समय तक टिकना, D) टोकन एकत्रित करना")</f>
        <v>A) गोल करना, B) प्रतिद्वंद्वी के पट्टम पर प्रहार करना, C) प्रतिद्वंद्वी से अधिक समय तक टिकना, D) टोकन एकत्रित करना</v>
      </c>
      <c r="I11" s="5" t="str">
        <f>IFERROR(__xludf.DUMMYFUNCTION("GOOGLETRANSLATE(D11, ""en"", ""hi"")"),"बी) प्रतिद्वंद्वी के पट्टम पर प्रहार करना")</f>
        <v>बी) प्रतिद्वंद्वी के पट्टम पर प्रहार करना</v>
      </c>
    </row>
    <row r="12" ht="22.5" customHeight="1">
      <c r="A12" s="7">
        <v>11.0</v>
      </c>
      <c r="B12" s="8" t="s">
        <v>4858</v>
      </c>
      <c r="C12" s="8" t="s">
        <v>4859</v>
      </c>
      <c r="D12" s="8" t="s">
        <v>4860</v>
      </c>
      <c r="F12" s="5" t="str">
        <f>IFERROR(__xludf.DUMMYFUNCTION("GOOGLETRANSLATE(A12, ""en"", ""hi"")"),"11")</f>
        <v>11</v>
      </c>
      <c r="G12" s="5" t="str">
        <f>IFERROR(__xludf.DUMMYFUNCTION("GOOGLETRANSLATE(B12, ""en"", ""hi"")"),"1960 के दशक में कौन सा महान पम्बरम वादक अपनी नवीन तकनीकों के लिए जाना जाता था?")</f>
        <v>1960 के दशक में कौन सा महान पम्बरम वादक अपनी नवीन तकनीकों के लिए जाना जाता था?</v>
      </c>
      <c r="H12" s="5" t="str">
        <f>IFERROR(__xludf.DUMMYFUNCTION("GOOGLETRANSLATE(C12, ""en"", ""hi"")"),"ए) एस बालाकृष्णन, बी) टी. एम. गणेशन, सी) जे. पी. कुमार, डी) आर. के. सेलवन")</f>
        <v>ए) एस बालाकृष्णन, बी) टी. एम. गणेशन, सी) जे. पी. कुमार, डी) आर. के. सेलवन</v>
      </c>
      <c r="I12" s="5" t="str">
        <f>IFERROR(__xludf.DUMMYFUNCTION("GOOGLETRANSLATE(D12, ""en"", ""hi"")"),"बी) टी. एम. गणेशन")</f>
        <v>बी) टी. एम. गणेशन</v>
      </c>
    </row>
    <row r="13" ht="22.5" customHeight="1">
      <c r="A13" s="7">
        <v>12.0</v>
      </c>
      <c r="B13" s="8" t="s">
        <v>4861</v>
      </c>
      <c r="C13" s="8" t="s">
        <v>4862</v>
      </c>
      <c r="D13" s="8" t="s">
        <v>4863</v>
      </c>
      <c r="F13" s="5" t="str">
        <f>IFERROR(__xludf.DUMMYFUNCTION("GOOGLETRANSLATE(A13, ""en"", ""hi"")"),"12")</f>
        <v>12</v>
      </c>
      <c r="G13" s="5" t="str">
        <f>IFERROR(__xludf.DUMMYFUNCTION("GOOGLETRANSLATE(B13, ""en"", ""hi"")"),"निम्नलिखित में से कौन सी पम्बरम में पारंपरिक चाल नहीं है?")</f>
        <v>निम्नलिखित में से कौन सी पम्बरम में पारंपरिक चाल नहीं है?</v>
      </c>
      <c r="H13" s="5" t="str">
        <f>IFERROR(__xludf.DUMMYFUNCTION("GOOGLETRANSLATE(C13, ""en"", ""hi"")"),"A) सर्पिल जंप, B) हैमर थ्रो, C) ईगल डाइव, D) रेनबो स्पिन")</f>
        <v>A) सर्पिल जंप, B) हैमर थ्रो, C) ईगल डाइव, D) रेनबो स्पिन</v>
      </c>
      <c r="I13" s="5" t="str">
        <f>IFERROR(__xludf.DUMMYFUNCTION("GOOGLETRANSLATE(D13, ""en"", ""hi"")"),"सी) ईगल डाइव")</f>
        <v>सी) ईगल डाइव</v>
      </c>
    </row>
    <row r="14" ht="22.5" customHeight="1">
      <c r="A14" s="7">
        <v>13.0</v>
      </c>
      <c r="B14" s="8" t="s">
        <v>4864</v>
      </c>
      <c r="C14" s="8" t="s">
        <v>204</v>
      </c>
      <c r="D14" s="8" t="s">
        <v>205</v>
      </c>
      <c r="F14" s="5" t="str">
        <f>IFERROR(__xludf.DUMMYFUNCTION("GOOGLETRANSLATE(A14, ""en"", ""hi"")"),"13")</f>
        <v>13</v>
      </c>
      <c r="G14" s="5" t="str">
        <f>IFERROR(__xludf.DUMMYFUNCTION("GOOGLETRANSLATE(B14, ""en"", ""hi"")"),"1956 में आयोजित पहली राष्ट्रीय पम्बरम चैंपियनशिप किसने जीती?")</f>
        <v>1956 में आयोजित पहली राष्ट्रीय पम्बरम चैंपियनशिप किसने जीती?</v>
      </c>
      <c r="H14" s="5" t="str">
        <f>IFERROR(__xludf.DUMMYFUNCTION("GOOGLETRANSLATE(C14, ""en"", ""hi"")"),"A) तमिलनाडु, B) कर्नाटक, C) आंध्र प्रदेश, D) केरल")</f>
        <v>A) तमिलनाडु, B) कर्नाटक, C) आंध्र प्रदेश, D) केरल</v>
      </c>
      <c r="I14" s="5" t="str">
        <f>IFERROR(__xludf.DUMMYFUNCTION("GOOGLETRANSLATE(D14, ""en"", ""hi"")"),"A) तमिलनाडु")</f>
        <v>A) तमिलनाडु</v>
      </c>
    </row>
    <row r="15" ht="22.5" customHeight="1">
      <c r="A15" s="7">
        <v>14.0</v>
      </c>
      <c r="B15" s="8" t="s">
        <v>4865</v>
      </c>
      <c r="C15" s="8" t="s">
        <v>4866</v>
      </c>
      <c r="D15" s="8" t="s">
        <v>4867</v>
      </c>
      <c r="F15" s="5" t="str">
        <f>IFERROR(__xludf.DUMMYFUNCTION("GOOGLETRANSLATE(A15, ""en"", ""hi"")"),"14")</f>
        <v>14</v>
      </c>
      <c r="G15" s="5" t="str">
        <f>IFERROR(__xludf.DUMMYFUNCTION("GOOGLETRANSLATE(B15, ""en"", ""hi"")"),"पम्बरम का कौन सा खिलाड़ी सबसे लंबे समय तक लगातार जीत का रिकॉर्ड रखने के लिए जाना जाता है?")</f>
        <v>पम्बरम का कौन सा खिलाड़ी सबसे लंबे समय तक लगातार जीत का रिकॉर्ड रखने के लिए जाना जाता है?</v>
      </c>
      <c r="H15" s="5" t="str">
        <f>IFERROR(__xludf.DUMMYFUNCTION("GOOGLETRANSLATE(C15, ""en"", ""hi"")"),"A) जी. के. सुरेश, B) के. वी. मोहन, C) आर. एस. श्रीनिवासन, D) एस. के. राठी")</f>
        <v>A) जी. के. सुरेश, B) के. वी. मोहन, C) आर. एस. श्रीनिवासन, D) एस. के. राठी</v>
      </c>
      <c r="I15" s="5" t="str">
        <f>IFERROR(__xludf.DUMMYFUNCTION("GOOGLETRANSLATE(D15, ""en"", ""hi"")"),"बी) के. वी. मोहन")</f>
        <v>बी) के. वी. मोहन</v>
      </c>
    </row>
    <row r="16" ht="22.5" customHeight="1">
      <c r="A16" s="7">
        <v>15.0</v>
      </c>
      <c r="B16" s="8" t="s">
        <v>4868</v>
      </c>
      <c r="C16" s="8" t="s">
        <v>4869</v>
      </c>
      <c r="D16" s="8" t="s">
        <v>4870</v>
      </c>
      <c r="F16" s="5" t="str">
        <f>IFERROR(__xludf.DUMMYFUNCTION("GOOGLETRANSLATE(A16, ""en"", ""hi"")"),"15")</f>
        <v>15</v>
      </c>
      <c r="G16" s="5" t="str">
        <f>IFERROR(__xludf.DUMMYFUNCTION("GOOGLETRANSLATE(B16, ""en"", ""hi"")"),"पम्बारम में, सबसे अधिक अंक अर्जित करने वाली सफल हड़ताल के लिए क्या शब्द प्रयुक्त किया जाता है?")</f>
        <v>पम्बारम में, सबसे अधिक अंक अर्जित करने वाली सफल हड़ताल के लिए क्या शब्द प्रयुक्त किया जाता है?</v>
      </c>
      <c r="H16" s="5" t="str">
        <f>IFERROR(__xludf.DUMMYFUNCTION("GOOGLETRANSLATE(C16, ""en"", ""hi"")"),"A) सुपर हिट, B) मेगा स्ट्राइक, C) गोल्ड शॉट, D) किंग्स मूव")</f>
        <v>A) सुपर हिट, B) मेगा स्ट्राइक, C) गोल्ड शॉट, D) किंग्स मूव</v>
      </c>
      <c r="I16" s="5" t="str">
        <f>IFERROR(__xludf.DUMMYFUNCTION("GOOGLETRANSLATE(D16, ""en"", ""hi"")"),"D) किंग्स मूव")</f>
        <v>D) किंग्स मूव</v>
      </c>
    </row>
    <row r="17" ht="22.5" customHeight="1">
      <c r="A17" s="7">
        <v>16.0</v>
      </c>
      <c r="B17" s="8" t="s">
        <v>4871</v>
      </c>
      <c r="C17" s="8" t="s">
        <v>4872</v>
      </c>
      <c r="D17" s="8" t="s">
        <v>4873</v>
      </c>
      <c r="F17" s="5" t="str">
        <f>IFERROR(__xludf.DUMMYFUNCTION("GOOGLETRANSLATE(A17, ""en"", ""hi"")"),"16")</f>
        <v>16</v>
      </c>
      <c r="G17" s="5" t="str">
        <f>IFERROR(__xludf.DUMMYFUNCTION("GOOGLETRANSLATE(B17, ""en"", ""hi"")"),"कौन सा पम्बरम टूर्नामेंट खेल में सबसे प्रतिष्ठित माना जाता है?")</f>
        <v>कौन सा पम्बरम टूर्नामेंट खेल में सबसे प्रतिष्ठित माना जाता है?</v>
      </c>
      <c r="H17" s="5" t="str">
        <f>IFERROR(__xludf.DUMMYFUNCTION("GOOGLETRANSLATE(C17, ""en"", ""hi"")"),"A) द गोल्डन पट्टम कप, B) द नेशनल चैम्पियनशिप, C) द सदर्न मास्टर्स, D) द रॉयल कप")</f>
        <v>A) द गोल्डन पट्टम कप, B) द नेशनल चैम्पियनशिप, C) द सदर्न मास्टर्स, D) द रॉयल कप</v>
      </c>
      <c r="I17" s="5" t="str">
        <f>IFERROR(__xludf.DUMMYFUNCTION("GOOGLETRANSLATE(D17, ""en"", ""hi"")"),"बी) राष्ट्रीय चैम्पियनशिप")</f>
        <v>बी) राष्ट्रीय चैम्पियनशिप</v>
      </c>
    </row>
    <row r="18" ht="22.5" customHeight="1">
      <c r="A18" s="7">
        <v>17.0</v>
      </c>
      <c r="B18" s="8" t="s">
        <v>4874</v>
      </c>
      <c r="C18" s="8" t="s">
        <v>4875</v>
      </c>
      <c r="D18" s="8" t="s">
        <v>4876</v>
      </c>
      <c r="F18" s="5" t="str">
        <f>IFERROR(__xludf.DUMMYFUNCTION("GOOGLETRANSLATE(A18, ""en"", ""hi"")"),"17")</f>
        <v>17</v>
      </c>
      <c r="G18" s="5" t="str">
        <f>IFERROR(__xludf.DUMMYFUNCTION("GOOGLETRANSLATE(B18, ""en"", ""hi"")"),"1972 एशियाई खेलों की पम्बरम स्पर्धा जीतने वाली भारतीय टीम का कप्तान कौन था?")</f>
        <v>1972 एशियाई खेलों की पम्बरम स्पर्धा जीतने वाली भारतीय टीम का कप्तान कौन था?</v>
      </c>
      <c r="H18" s="5" t="str">
        <f>IFERROR(__xludf.DUMMYFUNCTION("GOOGLETRANSLATE(C18, ""en"", ""hi"")"),"A) एम. ए. रवि, B) के. एस. नायडू, C) वी. आर. गणेश, D) पी. के. राज")</f>
        <v>A) एम. ए. रवि, B) के. एस. नायडू, C) वी. आर. गणेश, D) पी. के. राज</v>
      </c>
      <c r="I18" s="5" t="str">
        <f>IFERROR(__xludf.DUMMYFUNCTION("GOOGLETRANSLATE(D18, ""en"", ""hi"")"),"C) वी. आर. गणेश")</f>
        <v>C) वी. आर. गणेश</v>
      </c>
    </row>
    <row r="19" ht="22.5" customHeight="1">
      <c r="A19" s="7">
        <v>18.0</v>
      </c>
      <c r="B19" s="8" t="s">
        <v>4877</v>
      </c>
      <c r="C19" s="8" t="s">
        <v>4878</v>
      </c>
      <c r="D19" s="8" t="s">
        <v>4879</v>
      </c>
      <c r="F19" s="5" t="str">
        <f>IFERROR(__xludf.DUMMYFUNCTION("GOOGLETRANSLATE(A19, ""en"", ""hi"")"),"18")</f>
        <v>18</v>
      </c>
      <c r="G19" s="5" t="str">
        <f>IFERROR(__xludf.DUMMYFUNCTION("GOOGLETRANSLATE(B19, ""en"", ""hi"")"),"उस रक्षात्मक चाल के लिए क्या शब्द प्रयुक्त होता है जिसमें खिलाड़ी प्रतिद्वंद्वी के पट्टम प्रहार को रोकता है?")</f>
        <v>उस रक्षात्मक चाल के लिए क्या शब्द प्रयुक्त होता है जिसमें खिलाड़ी प्रतिद्वंद्वी के पट्टम प्रहार को रोकता है?</v>
      </c>
      <c r="H19" s="5" t="str">
        <f>IFERROR(__xludf.DUMMYFUNCTION("GOOGLETRANSLATE(C19, ""en"", ""hi"")"),"A) शील्ड ब्लॉक, B) गार्ड शील्ड, C) डिफेंसिव गार्ड, D) शील्ड स्ट्राइक")</f>
        <v>A) शील्ड ब्लॉक, B) गार्ड शील्ड, C) डिफेंसिव गार्ड, D) शील्ड स्ट्राइक</v>
      </c>
      <c r="I19" s="5" t="str">
        <f>IFERROR(__xludf.DUMMYFUNCTION("GOOGLETRANSLATE(D19, ""en"", ""hi"")"),"सी) रक्षात्मक गार्ड")</f>
        <v>सी) रक्षात्मक गार्ड</v>
      </c>
    </row>
    <row r="20" ht="22.5" customHeight="1">
      <c r="A20" s="7">
        <v>19.0</v>
      </c>
      <c r="B20" s="8" t="s">
        <v>4880</v>
      </c>
      <c r="C20" s="8" t="s">
        <v>4881</v>
      </c>
      <c r="D20" s="8" t="s">
        <v>4882</v>
      </c>
      <c r="F20" s="5" t="str">
        <f>IFERROR(__xludf.DUMMYFUNCTION("GOOGLETRANSLATE(A20, ""en"", ""hi"")"),"19")</f>
        <v>19</v>
      </c>
      <c r="G20" s="5" t="str">
        <f>IFERROR(__xludf.DUMMYFUNCTION("GOOGLETRANSLATE(B20, ""en"", ""hi"")"),"कौन सा प्रसिद्ध पम्बरम खिलाड़ी अपनी अविश्वसनीय सहनशक्ति और चपलता के लिए जाना जाता था?")</f>
        <v>कौन सा प्रसिद्ध पम्बरम खिलाड़ी अपनी अविश्वसनीय सहनशक्ति और चपलता के लिए जाना जाता था?</v>
      </c>
      <c r="H20" s="5" t="str">
        <f>IFERROR(__xludf.DUMMYFUNCTION("GOOGLETRANSLATE(C20, ""en"", ""hi"")"),"ए) एस. वी. रमेश, बी) जे. के. सुंदरम, सी) एन. एस. कुमार, डी) पी. आर. मेनन")</f>
        <v>ए) एस. वी. रमेश, बी) जे. के. सुंदरम, सी) एन. एस. कुमार, डी) पी. आर. मेनन</v>
      </c>
      <c r="I20" s="5" t="str">
        <f>IFERROR(__xludf.DUMMYFUNCTION("GOOGLETRANSLATE(D20, ""en"", ""hi"")"),"बी) जे. के. सुंदरम")</f>
        <v>बी) जे. के. सुंदरम</v>
      </c>
    </row>
    <row r="21" ht="22.5" customHeight="1">
      <c r="A21" s="7">
        <v>20.0</v>
      </c>
      <c r="B21" s="8" t="s">
        <v>4883</v>
      </c>
      <c r="C21" s="8" t="s">
        <v>4884</v>
      </c>
      <c r="D21" s="8" t="s">
        <v>4885</v>
      </c>
      <c r="F21" s="5" t="str">
        <f>IFERROR(__xludf.DUMMYFUNCTION("GOOGLETRANSLATE(A21, ""en"", ""hi"")"),"20")</f>
        <v>20</v>
      </c>
      <c r="G21" s="5" t="str">
        <f>IFERROR(__xludf.DUMMYFUNCTION("GOOGLETRANSLATE(B21, ""en"", ""hi"")"),"20वीं सदी के आरंभ में किस ऐतिहासिक घटना के कारण पम्बाराम की लोकप्रियता में गिरावट आई?")</f>
        <v>20वीं सदी के आरंभ में किस ऐतिहासिक घटना के कारण पम्बाराम की लोकप्रियता में गिरावट आई?</v>
      </c>
      <c r="H21" s="5" t="str">
        <f>IFERROR(__xludf.DUMMYFUNCTION("GOOGLETRANSLATE(C21, ""en"", ""hi"")"),"A) प्रथम विश्व युद्ध, B) भारतीय स्वतंत्रता आंदोलन, C) महामंदी, D) भारतीय विभाजन")</f>
        <v>A) प्रथम विश्व युद्ध, B) भारतीय स्वतंत्रता आंदोलन, C) महामंदी, D) भारतीय विभाजन</v>
      </c>
      <c r="I21" s="5" t="str">
        <f>IFERROR(__xludf.DUMMYFUNCTION("GOOGLETRANSLATE(D21, ""en"", ""hi"")"),"बी) भारतीय स्वतंत्रता आंदोलन")</f>
        <v>बी) भारतीय स्वतंत्रता आंदोलन</v>
      </c>
    </row>
    <row r="22" ht="22.5" customHeight="1">
      <c r="A22" s="7">
        <v>21.0</v>
      </c>
      <c r="B22" s="8" t="s">
        <v>4886</v>
      </c>
      <c r="C22" s="8" t="s">
        <v>4887</v>
      </c>
      <c r="D22" s="8" t="s">
        <v>4888</v>
      </c>
      <c r="F22" s="5" t="str">
        <f>IFERROR(__xludf.DUMMYFUNCTION("GOOGLETRANSLATE(A22, ""en"", ""hi"")"),"21")</f>
        <v>21</v>
      </c>
      <c r="G22" s="5" t="str">
        <f>IFERROR(__xludf.DUMMYFUNCTION("GOOGLETRANSLATE(B22, ""en"", ""hi"")"),"पम्बरम में 'डबल पट्टम' तकनीक शुरू करने के लिए कौन जाना जाता है?")</f>
        <v>पम्बरम में 'डबल पट्टम' तकनीक शुरू करने के लिए कौन जाना जाता है?</v>
      </c>
      <c r="H22" s="5" t="str">
        <f>IFERROR(__xludf.DUMMYFUNCTION("GOOGLETRANSLATE(C22, ""en"", ""hi"")"),"ए) आर.के. नारायणन, बी) एस.वी. रवि, सी) ए.के.रामचंद्रन, डी) एम.जी.श्रीनिवासन")</f>
        <v>ए) आर.के. नारायणन, बी) एस.वी. रवि, सी) ए.के.रामचंद्रन, डी) एम.जी.श्रीनिवासन</v>
      </c>
      <c r="I22" s="5" t="str">
        <f>IFERROR(__xludf.DUMMYFUNCTION("GOOGLETRANSLATE(D22, ""en"", ""hi"")"),"C) ए. के. रामचंद्रन")</f>
        <v>C) ए. के. रामचंद्रन</v>
      </c>
    </row>
    <row r="23" ht="22.5" customHeight="1">
      <c r="A23" s="7">
        <v>22.0</v>
      </c>
      <c r="B23" s="8" t="s">
        <v>4889</v>
      </c>
      <c r="C23" s="8" t="s">
        <v>3766</v>
      </c>
      <c r="D23" s="8" t="s">
        <v>3767</v>
      </c>
      <c r="F23" s="5" t="str">
        <f>IFERROR(__xludf.DUMMYFUNCTION("GOOGLETRANSLATE(A23, ""en"", ""hi"")"),"22")</f>
        <v>22</v>
      </c>
      <c r="G23" s="5" t="str">
        <f>IFERROR(__xludf.DUMMYFUNCTION("GOOGLETRANSLATE(B23, ""en"", ""hi"")"),"एक मैच के दौरान पम्बरम टीम में अधिकतम कितने खिलाड़ियों को शामिल किया जा सकता है?")</f>
        <v>एक मैच के दौरान पम्बरम टीम में अधिकतम कितने खिलाड़ियों को शामिल किया जा सकता है?</v>
      </c>
      <c r="H23" s="5" t="str">
        <f>IFERROR(__xludf.DUMMYFUNCTION("GOOGLETRANSLATE(C23, ""en"", ""hi"")"),"ए) 5, बी) 7, सी) 9, डी) 11")</f>
        <v>ए) 5, बी) 7, सी) 9, डी) 11</v>
      </c>
      <c r="I23" s="5" t="str">
        <f>IFERROR(__xludf.DUMMYFUNCTION("GOOGLETRANSLATE(D23, ""en"", ""hi"")"),"बी) 7")</f>
        <v>बी) 7</v>
      </c>
    </row>
    <row r="24" ht="22.5" customHeight="1">
      <c r="A24" s="7">
        <v>23.0</v>
      </c>
      <c r="B24" s="8" t="s">
        <v>4890</v>
      </c>
      <c r="C24" s="8" t="s">
        <v>4891</v>
      </c>
      <c r="D24" s="8" t="s">
        <v>4892</v>
      </c>
      <c r="F24" s="5" t="str">
        <f>IFERROR(__xludf.DUMMYFUNCTION("GOOGLETRANSLATE(A24, ""en"", ""hi"")"),"23")</f>
        <v>23</v>
      </c>
      <c r="G24" s="5" t="str">
        <f>IFERROR(__xludf.DUMMYFUNCTION("GOOGLETRANSLATE(B24, ""en"", ""hi"")"),"पम्बाराम को पहली बार किस वर्ष अंतर्राष्ट्रीय मान्यता प्राप्त हुई?")</f>
        <v>पम्बाराम को पहली बार किस वर्ष अंतर्राष्ट्रीय मान्यता प्राप्त हुई?</v>
      </c>
      <c r="H24" s="5" t="str">
        <f>IFERROR(__xludf.DUMMYFUNCTION("GOOGLETRANSLATE(C24, ""en"", ""hi"")"),"ए) 1958, बी) 1965, सी) 1970, डी) 1975")</f>
        <v>ए) 1958, बी) 1965, सी) 1970, डी) 1975</v>
      </c>
      <c r="I24" s="5" t="str">
        <f>IFERROR(__xludf.DUMMYFUNCTION("GOOGLETRANSLATE(D24, ""en"", ""hi"")"),"ए) 1958")</f>
        <v>ए) 1958</v>
      </c>
    </row>
    <row r="25" ht="22.5" customHeight="1">
      <c r="A25" s="7">
        <v>24.0</v>
      </c>
      <c r="B25" s="8" t="s">
        <v>4893</v>
      </c>
      <c r="C25" s="8" t="s">
        <v>4894</v>
      </c>
      <c r="D25" s="8" t="s">
        <v>4895</v>
      </c>
      <c r="F25" s="5" t="str">
        <f>IFERROR(__xludf.DUMMYFUNCTION("GOOGLETRANSLATE(A25, ""en"", ""hi"")"),"24")</f>
        <v>24</v>
      </c>
      <c r="G25" s="5" t="str">
        <f>IFERROR(__xludf.DUMMYFUNCTION("GOOGLETRANSLATE(B25, ""en"", ""hi"")"),"कौन सा प्रसिद्ध पम्बरम खिलाड़ी 'स्पिनिंग थ्रो' के अपने अभिनव उपयोग के लिए जाना जाता था?")</f>
        <v>कौन सा प्रसिद्ध पम्बरम खिलाड़ी 'स्पिनिंग थ्रो' के अपने अभिनव उपयोग के लिए जाना जाता था?</v>
      </c>
      <c r="H25" s="5" t="str">
        <f>IFERROR(__xludf.DUMMYFUNCTION("GOOGLETRANSLATE(C25, ""en"", ""hi"")"),"A) टी. एम. गोपाल, B) एस. आर. कुमार, C) वी. एस. रवि, D) आर. एम. रमेश")</f>
        <v>A) टी. एम. गोपाल, B) एस. आर. कुमार, C) वी. एस. रवि, D) आर. एम. रमेश</v>
      </c>
      <c r="I25" s="5" t="str">
        <f>IFERROR(__xludf.DUMMYFUNCTION("GOOGLETRANSLATE(D25, ""en"", ""hi"")"),"A) टी. एम. गोपाल")</f>
        <v>A) टी. एम. गोपाल</v>
      </c>
    </row>
    <row r="26" ht="22.5" customHeight="1">
      <c r="A26" s="7">
        <v>25.0</v>
      </c>
      <c r="B26" s="8" t="s">
        <v>4896</v>
      </c>
      <c r="C26" s="8" t="s">
        <v>4897</v>
      </c>
      <c r="D26" s="8" t="s">
        <v>4898</v>
      </c>
      <c r="F26" s="5" t="str">
        <f>IFERROR(__xludf.DUMMYFUNCTION("GOOGLETRANSLATE(A26, ""en"", ""hi"")"),"25")</f>
        <v>25</v>
      </c>
      <c r="G26" s="5" t="str">
        <f>IFERROR(__xludf.DUMMYFUNCTION("GOOGLETRANSLATE(B26, ""en"", ""hi"")"),"पम्बरम विश्व कप के निर्माण का मुख्य कारण क्या था?")</f>
        <v>पम्बरम विश्व कप के निर्माण का मुख्य कारण क्या था?</v>
      </c>
      <c r="H26" s="5" t="str">
        <f>IFERROR(__xludf.DUMMYFUNCTION("GOOGLETRANSLATE(C26, ""en"", ""hi"")"),"A) खेल को विश्व स्तर पर बढ़ावा देने के लिए, B) एक महान खिलाड़ी को सम्मानित करने के लिए, C) क्षेत्रीय टूर्नामेंटों को बदलने के लिए, D) एक ऐतिहासिक जीत का जश्न मनाने के लिए")</f>
        <v>A) खेल को विश्व स्तर पर बढ़ावा देने के लिए, B) एक महान खिलाड़ी को सम्मानित करने के लिए, C) क्षेत्रीय टूर्नामेंटों को बदलने के लिए, D) एक ऐतिहासिक जीत का जश्न मनाने के लिए</v>
      </c>
      <c r="I26" s="5" t="str">
        <f>IFERROR(__xludf.DUMMYFUNCTION("GOOGLETRANSLATE(D26, ""en"", ""hi"")"),"A) खेल को विश्व स्तर पर बढ़ावा देना")</f>
        <v>A) खेल को विश्व स्तर पर बढ़ावा देना</v>
      </c>
    </row>
    <row r="27" ht="22.5" customHeight="1">
      <c r="A27" s="7">
        <v>26.0</v>
      </c>
      <c r="B27" s="8" t="s">
        <v>4899</v>
      </c>
      <c r="C27" s="8" t="s">
        <v>4900</v>
      </c>
      <c r="D27" s="8" t="s">
        <v>37</v>
      </c>
      <c r="F27" s="5" t="str">
        <f>IFERROR(__xludf.DUMMYFUNCTION("GOOGLETRANSLATE(A27, ""en"", ""hi"")"),"26")</f>
        <v>26</v>
      </c>
      <c r="G27" s="5" t="str">
        <f>IFERROR(__xludf.DUMMYFUNCTION("GOOGLETRANSLATE(B27, ""en"", ""hi"")"),"1980 पम्बरम विश्व कप किसने जीता?")</f>
        <v>1980 पम्बरम विश्व कप किसने जीता?</v>
      </c>
      <c r="H27" s="5" t="str">
        <f>IFERROR(__xludf.DUMMYFUNCTION("GOOGLETRANSLATE(C27, ""en"", ""hi"")"),"A) भारत, B) श्रीलंका, C) बांग्लादेश, D) पाकिस्तान")</f>
        <v>A) भारत, B) श्रीलंका, C) बांग्लादेश, D) पाकिस्तान</v>
      </c>
      <c r="I27" s="5" t="str">
        <f>IFERROR(__xludf.DUMMYFUNCTION("GOOGLETRANSLATE(D27, ""en"", ""hi"")"),"ए) भारत")</f>
        <v>ए) भारत</v>
      </c>
    </row>
    <row r="28" ht="22.5" customHeight="1">
      <c r="A28" s="7">
        <v>27.0</v>
      </c>
      <c r="B28" s="8" t="s">
        <v>4901</v>
      </c>
      <c r="C28" s="8" t="s">
        <v>4902</v>
      </c>
      <c r="D28" s="8" t="s">
        <v>4903</v>
      </c>
      <c r="F28" s="5" t="str">
        <f>IFERROR(__xludf.DUMMYFUNCTION("GOOGLETRANSLATE(A28, ""en"", ""hi"")"),"27")</f>
        <v>27</v>
      </c>
      <c r="G28" s="5" t="str">
        <f>IFERROR(__xludf.DUMMYFUNCTION("GOOGLETRANSLATE(B28, ""en"", ""hi"")"),"पम्बरम में कौन सी चाल अपनी उच्च कठिनाई और कौशल के लिए जानी जाती है?")</f>
        <v>पम्बरम में कौन सी चाल अपनी उच्च कठिनाई और कौशल के लिए जानी जाती है?</v>
      </c>
      <c r="H28" s="5" t="str">
        <f>IFERROR(__xludf.DUMMYFUNCTION("GOOGLETRANSLATE(C28, ""en"", ""hi"")"),"A) बवंडर स्पिन, B) बिजली का प्रहार, C) चक्रवात मोड़, D) वज्र")</f>
        <v>A) बवंडर स्पिन, B) बिजली का प्रहार, C) चक्रवात मोड़, D) वज्र</v>
      </c>
      <c r="I28" s="5" t="str">
        <f>IFERROR(__xludf.DUMMYFUNCTION("GOOGLETRANSLATE(D28, ""en"", ""hi"")"),"C) चक्रवात मोड़")</f>
        <v>C) चक्रवात मोड़</v>
      </c>
    </row>
    <row r="29" ht="22.5" customHeight="1">
      <c r="A29" s="7">
        <v>28.0</v>
      </c>
      <c r="B29" s="8" t="s">
        <v>4904</v>
      </c>
      <c r="C29" s="8" t="s">
        <v>4905</v>
      </c>
      <c r="D29" s="8" t="s">
        <v>4906</v>
      </c>
      <c r="F29" s="5" t="str">
        <f>IFERROR(__xludf.DUMMYFUNCTION("GOOGLETRANSLATE(A29, ""en"", ""hi"")"),"28")</f>
        <v>28</v>
      </c>
      <c r="G29" s="5" t="str">
        <f>IFERROR(__xludf.DUMMYFUNCTION("GOOGLETRANSLATE(B29, ""en"", ""hi"")"),"1980 के दशक में के.एस. रमेश के साथ अपनी प्रसिद्ध प्रतिद्वंद्विता के लिए कौन सा खिलाड़ी जाना जाता है?")</f>
        <v>1980 के दशक में के.एस. रमेश के साथ अपनी प्रसिद्ध प्रतिद्वंद्विता के लिए कौन सा खिलाड़ी जाना जाता है?</v>
      </c>
      <c r="H29" s="5" t="str">
        <f>IFERROR(__xludf.DUMMYFUNCTION("GOOGLETRANSLATE(C29, ""en"", ""hi"")"),"ए) एम. एन. राजू, बी) आर. के. सेलवन, सी) वी. के. शर्मा, डी) एस. वी. नायडू")</f>
        <v>ए) एम. एन. राजू, बी) आर. के. सेलवन, सी) वी. के. शर्मा, डी) एस. वी. नायडू</v>
      </c>
      <c r="I29" s="5" t="str">
        <f>IFERROR(__xludf.DUMMYFUNCTION("GOOGLETRANSLATE(D29, ""en"", ""hi"")"),"A) एम. एन. राजू")</f>
        <v>A) एम. एन. राजू</v>
      </c>
    </row>
    <row r="30" ht="22.5" customHeight="1">
      <c r="A30" s="7">
        <v>29.0</v>
      </c>
      <c r="B30" s="8" t="s">
        <v>4907</v>
      </c>
      <c r="C30" s="8" t="s">
        <v>4908</v>
      </c>
      <c r="D30" s="8" t="s">
        <v>4909</v>
      </c>
      <c r="F30" s="5" t="str">
        <f>IFERROR(__xludf.DUMMYFUNCTION("GOOGLETRANSLATE(A30, ""en"", ""hi"")"),"29")</f>
        <v>29</v>
      </c>
      <c r="G30" s="5" t="str">
        <f>IFERROR(__xludf.DUMMYFUNCTION("GOOGLETRANSLATE(B30, ""en"", ""hi"")"),"पम्बारम में लगातार सफल हिट की श्रृंखला के लिए क्या शब्द प्रयोग किया जाता है?")</f>
        <v>पम्बारम में लगातार सफल हिट की श्रृंखला के लिए क्या शब्द प्रयोग किया जाता है?</v>
      </c>
      <c r="H30" s="5" t="str">
        <f>IFERROR(__xludf.DUMMYFUNCTION("GOOGLETRANSLATE(C30, ""en"", ""hi"")"),"ए) कॉम्बो स्ट्राइक, बी) पावर हिट, सी) डबल किल, डी) ट्रिपल थ्रेट")</f>
        <v>ए) कॉम्बो स्ट्राइक, बी) पावर हिट, सी) डबल किल, डी) ट्रिपल थ्रेट</v>
      </c>
      <c r="I30" s="5" t="str">
        <f>IFERROR(__xludf.DUMMYFUNCTION("GOOGLETRANSLATE(D30, ""en"", ""hi"")"),"D) ट्रिपल थ्रेट")</f>
        <v>D) ट्रिपल थ्रेट</v>
      </c>
    </row>
    <row r="31" ht="22.5" customHeight="1">
      <c r="A31" s="7">
        <v>30.0</v>
      </c>
      <c r="B31" s="8" t="s">
        <v>4910</v>
      </c>
      <c r="C31" s="8" t="s">
        <v>4911</v>
      </c>
      <c r="D31" s="8" t="s">
        <v>4912</v>
      </c>
      <c r="F31" s="5" t="str">
        <f>IFERROR(__xludf.DUMMYFUNCTION("GOOGLETRANSLATE(A31, ""en"", ""hi"")"),"30")</f>
        <v>30</v>
      </c>
      <c r="G31" s="5" t="str">
        <f>IFERROR(__xludf.DUMMYFUNCTION("GOOGLETRANSLATE(B31, ""en"", ""hi"")"),"कौन सा पम्बरम खिलाड़ी रक्षात्मक रणनीतियों में अपनी विशेषज्ञता के लिए जाना जाता है?")</f>
        <v>कौन सा पम्बरम खिलाड़ी रक्षात्मक रणनीतियों में अपनी विशेषज्ञता के लिए जाना जाता है?</v>
      </c>
      <c r="H31" s="5" t="str">
        <f>IFERROR(__xludf.DUMMYFUNCTION("GOOGLETRANSLATE(C31, ""en"", ""hi"")"),"A) के. आर. मोहन, B) एस. वी. रवि, C) टी. के. रमेश, D) वी. आर. नायडू")</f>
        <v>A) के. आर. मोहन, B) एस. वी. रवि, C) टी. के. रमेश, D) वी. आर. नायडू</v>
      </c>
      <c r="I31" s="5" t="str">
        <f>IFERROR(__xludf.DUMMYFUNCTION("GOOGLETRANSLATE(D31, ""en"", ""hi"")"),"बी) एस. वी. रवि")</f>
        <v>बी) एस. वी. रवि</v>
      </c>
    </row>
    <row r="32" ht="22.5" customHeight="1">
      <c r="A32" s="7">
        <v>31.0</v>
      </c>
      <c r="B32" s="8" t="s">
        <v>4913</v>
      </c>
      <c r="C32" s="8" t="s">
        <v>4914</v>
      </c>
      <c r="D32" s="8" t="s">
        <v>4915</v>
      </c>
      <c r="F32" s="5" t="str">
        <f>IFERROR(__xludf.DUMMYFUNCTION("GOOGLETRANSLATE(A32, ""en"", ""hi"")"),"31")</f>
        <v>31</v>
      </c>
      <c r="G32" s="5" t="str">
        <f>IFERROR(__xludf.DUMMYFUNCTION("GOOGLETRANSLATE(B32, ""en"", ""hi"")"),"1970 के दशक में शुरू किए गए पम्बरम प्रशिक्षण शिविरों का प्राथमिक उद्देश्य क्या था?")</f>
        <v>1970 के दशक में शुरू किए गए पम्बरम प्रशिक्षण शिविरों का प्राथमिक उद्देश्य क्या था?</v>
      </c>
      <c r="H32" s="5" t="str">
        <f>IFERROR(__xludf.DUMMYFUNCTION("GOOGLETRANSLATE(C32, ""en"", ""hi"")"),"A) नई प्रतिभाओं को विकसित करना, B) तकनीक को बढ़ाना, C) फिटनेस में सुधार करना, D) रणनीति सिखाना")</f>
        <v>A) नई प्रतिभाओं को विकसित करना, B) तकनीक को बढ़ाना, C) फिटनेस में सुधार करना, D) रणनीति सिखाना</v>
      </c>
      <c r="I32" s="5" t="str">
        <f>IFERROR(__xludf.DUMMYFUNCTION("GOOGLETRANSLATE(D32, ""en"", ""hi"")"),"A) नई प्रतिभाओं को विकसित करना")</f>
        <v>A) नई प्रतिभाओं को विकसित करना</v>
      </c>
    </row>
    <row r="33" ht="22.5" customHeight="1">
      <c r="A33" s="7">
        <v>32.0</v>
      </c>
      <c r="B33" s="8" t="s">
        <v>4916</v>
      </c>
      <c r="C33" s="8" t="s">
        <v>4917</v>
      </c>
      <c r="D33" s="8" t="s">
        <v>4918</v>
      </c>
      <c r="F33" s="5" t="str">
        <f>IFERROR(__xludf.DUMMYFUNCTION("GOOGLETRANSLATE(A33, ""en"", ""hi"")"),"32")</f>
        <v>32</v>
      </c>
      <c r="G33" s="5" t="str">
        <f>IFERROR(__xludf.DUMMYFUNCTION("GOOGLETRANSLATE(B33, ""en"", ""hi"")"),"1990 के दशक के अंत में सुरक्षा चिंताओं के कारण आधिकारिक पम्बरम टूर्नामेंटों में किस चाल पर प्रतिबंध लगा दिया गया था?")</f>
        <v>1990 के दशक के अंत में सुरक्षा चिंताओं के कारण आधिकारिक पम्बरम टूर्नामेंटों में किस चाल पर प्रतिबंध लगा दिया गया था?</v>
      </c>
      <c r="H33" s="5" t="str">
        <f>IFERROR(__xludf.DUMMYFUNCTION("GOOGLETRANSLATE(C33, ""en"", ""hi"")"),"ए) फ्लाइंग किक, बी) स्पिनिंग थ्रो, सी) हैमर स्ट्राइक, डी) टॉरनेडो स्पिन")</f>
        <v>ए) फ्लाइंग किक, बी) स्पिनिंग थ्रो, सी) हैमर स्ट्राइक, डी) टॉरनेडो स्पिन</v>
      </c>
      <c r="I33" s="5" t="str">
        <f>IFERROR(__xludf.DUMMYFUNCTION("GOOGLETRANSLATE(D33, ""en"", ""hi"")"),"ए) द फ्लाइंग किक")</f>
        <v>ए) द फ्लाइंग किक</v>
      </c>
    </row>
    <row r="34" ht="22.5" customHeight="1">
      <c r="A34" s="7">
        <v>33.0</v>
      </c>
      <c r="B34" s="8" t="s">
        <v>4919</v>
      </c>
      <c r="C34" s="8" t="s">
        <v>4920</v>
      </c>
      <c r="D34" s="8" t="s">
        <v>4100</v>
      </c>
      <c r="F34" s="5" t="str">
        <f>IFERROR(__xludf.DUMMYFUNCTION("GOOGLETRANSLATE(A34, ""en"", ""hi"")"),"33")</f>
        <v>33</v>
      </c>
      <c r="G34" s="5" t="str">
        <f>IFERROR(__xludf.DUMMYFUNCTION("GOOGLETRANSLATE(B34, ""en"", ""hi"")"),"प्राचीन भारतीय कला में किस ऐतिहासिक व्यक्ति को अक्सर पम्बरम बजाते हुए दर्शाया जाता है?")</f>
        <v>प्राचीन भारतीय कला में किस ऐतिहासिक व्यक्ति को अक्सर पम्बरम बजाते हुए दर्शाया जाता है?</v>
      </c>
      <c r="H34" s="5" t="str">
        <f>IFERROR(__xludf.DUMMYFUNCTION("GOOGLETRANSLATE(C34, ""en"", ""hi"")"),"A) अशोक महान, B) चंद्रगुप्त मौर्य, C) सम्राट अकबर, D) राजा हर्ष")</f>
        <v>A) अशोक महान, B) चंद्रगुप्त मौर्य, C) सम्राट अकबर, D) राजा हर्ष</v>
      </c>
      <c r="I34" s="5" t="str">
        <f>IFERROR(__xludf.DUMMYFUNCTION("GOOGLETRANSLATE(D34, ""en"", ""hi"")"),"बी) चंद्रगुप्त मौर्य")</f>
        <v>बी) चंद्रगुप्त मौर्य</v>
      </c>
    </row>
    <row r="35" ht="22.5" customHeight="1">
      <c r="A35" s="7">
        <v>34.0</v>
      </c>
      <c r="B35" s="8" t="s">
        <v>4921</v>
      </c>
      <c r="C35" s="8" t="s">
        <v>4922</v>
      </c>
      <c r="D35" s="8" t="s">
        <v>4860</v>
      </c>
      <c r="F35" s="5" t="str">
        <f>IFERROR(__xludf.DUMMYFUNCTION("GOOGLETRANSLATE(A35, ""en"", ""hi"")"),"34")</f>
        <v>34</v>
      </c>
      <c r="G35" s="5" t="str">
        <f>IFERROR(__xludf.DUMMYFUNCTION("GOOGLETRANSLATE(B35, ""en"", ""hi"")"),"'आधुनिक पम्बरम के जनक' के रूप में किसे जाना जाता है?")</f>
        <v>'आधुनिक पम्बरम के जनक' के रूप में किसे जाना जाता है?</v>
      </c>
      <c r="H35" s="5" t="str">
        <f>IFERROR(__xludf.DUMMYFUNCTION("GOOGLETRANSLATE(C35, ""en"", ""hi"")"),"A) वी. के. कृष्ण मेनन, B) टी. एम. गणेशन, C) एस. के. राठी, D) आर. के. राजेश")</f>
        <v>A) वी. के. कृष्ण मेनन, B) टी. एम. गणेशन, C) एस. के. राठी, D) आर. के. राजेश</v>
      </c>
      <c r="I35" s="5" t="str">
        <f>IFERROR(__xludf.DUMMYFUNCTION("GOOGLETRANSLATE(D35, ""en"", ""hi"")"),"बी) टी. एम. गणेशन")</f>
        <v>बी) टी. एम. गणेशन</v>
      </c>
    </row>
    <row r="36" ht="22.5" customHeight="1">
      <c r="A36" s="7">
        <v>35.0</v>
      </c>
      <c r="B36" s="8" t="s">
        <v>4923</v>
      </c>
      <c r="C36" s="8" t="s">
        <v>4924</v>
      </c>
      <c r="D36" s="8" t="s">
        <v>4925</v>
      </c>
      <c r="F36" s="5" t="str">
        <f>IFERROR(__xludf.DUMMYFUNCTION("GOOGLETRANSLATE(A36, ""en"", ""hi"")"),"35")</f>
        <v>35</v>
      </c>
      <c r="G36" s="5" t="str">
        <f>IFERROR(__xludf.DUMMYFUNCTION("GOOGLETRANSLATE(B36, ""en"", ""hi"")"),"कौन सा पम्बरम खिलाड़ी अपनी शक्तिशाली 'ग्राउंड स्लैम' चाल के लिए प्रसिद्ध था?")</f>
        <v>कौन सा पम्बरम खिलाड़ी अपनी शक्तिशाली 'ग्राउंड स्लैम' चाल के लिए प्रसिद्ध था?</v>
      </c>
      <c r="H36" s="5" t="str">
        <f>IFERROR(__xludf.DUMMYFUNCTION("GOOGLETRANSLATE(C36, ""en"", ""hi"")"),"A) आर. के. राजेश, B) एस. एम. श्रीनिवासन, C) के. आर. मोहन, D) वी. एस. रवि")</f>
        <v>A) आर. के. राजेश, B) एस. एम. श्रीनिवासन, C) के. आर. मोहन, D) वी. एस. रवि</v>
      </c>
      <c r="I36" s="5" t="str">
        <f>IFERROR(__xludf.DUMMYFUNCTION("GOOGLETRANSLATE(D36, ""en"", ""hi"")"),"A) आर. के. राजेश")</f>
        <v>A) आर. के. राजेश</v>
      </c>
    </row>
    <row r="37" ht="22.5" customHeight="1">
      <c r="A37" s="7">
        <v>36.0</v>
      </c>
      <c r="B37" s="8" t="s">
        <v>4926</v>
      </c>
      <c r="C37" s="8" t="s">
        <v>4927</v>
      </c>
      <c r="D37" s="8" t="s">
        <v>4928</v>
      </c>
      <c r="F37" s="5" t="str">
        <f>IFERROR(__xludf.DUMMYFUNCTION("GOOGLETRANSLATE(A37, ""en"", ""hi"")"),"36")</f>
        <v>36</v>
      </c>
      <c r="G37" s="5" t="str">
        <f>IFERROR(__xludf.DUMMYFUNCTION("GOOGLETRANSLATE(B37, ""en"", ""hi"")"),"प्रमुख टूर्नामेंटों के दौरान पम्बरम खिलाड़ियों द्वारा पहनी जाने वाली पारंपरिक पोशाक क्या है?")</f>
        <v>प्रमुख टूर्नामेंटों के दौरान पम्बरम खिलाड़ियों द्वारा पहनी जाने वाली पारंपरिक पोशाक क्या है?</v>
      </c>
      <c r="H37" s="5" t="str">
        <f>IFERROR(__xludf.DUMMYFUNCTION("GOOGLETRANSLATE(C37, ""en"", ""hi"")"),"A) धोती और कुर्ता, B) शर्ट और पतलून, C) पारंपरिक साड़ी, D) शॉर्ट्स और टी-शर्ट")</f>
        <v>A) धोती और कुर्ता, B) शर्ट और पतलून, C) पारंपरिक साड़ी, D) शॉर्ट्स और टी-शर्ट</v>
      </c>
      <c r="I37" s="5" t="str">
        <f>IFERROR(__xludf.DUMMYFUNCTION("GOOGLETRANSLATE(D37, ""en"", ""hi"")"),"A) धोती और कुर्ता")</f>
        <v>A) धोती और कुर्ता</v>
      </c>
    </row>
    <row r="38" ht="22.5" customHeight="1">
      <c r="A38" s="7">
        <v>37.0</v>
      </c>
      <c r="B38" s="8" t="s">
        <v>4929</v>
      </c>
      <c r="C38" s="8" t="s">
        <v>4930</v>
      </c>
      <c r="D38" s="8" t="s">
        <v>4931</v>
      </c>
      <c r="F38" s="5" t="str">
        <f>IFERROR(__xludf.DUMMYFUNCTION("GOOGLETRANSLATE(A38, ""en"", ""hi"")"),"37")</f>
        <v>37</v>
      </c>
      <c r="G38" s="5" t="str">
        <f>IFERROR(__xludf.DUMMYFUNCTION("GOOGLETRANSLATE(B38, ""en"", ""hi"")"),"कौन सा खिलाड़ी पम्बाराम में 'ओवरहेड स्विंग' के असाधारण उपयोग के लिए जाना जाता है?")</f>
        <v>कौन सा खिलाड़ी पम्बाराम में 'ओवरहेड स्विंग' के असाधारण उपयोग के लिए जाना जाता है?</v>
      </c>
      <c r="H38" s="5" t="str">
        <f>IFERROR(__xludf.DUMMYFUNCTION("GOOGLETRANSLATE(C38, ""en"", ""hi"")"),"A) एन. रामचंद्रन, B) एम. एन. कार्तिक, C) टी. एम. गोपाल, D) वी. के. शर्मा")</f>
        <v>A) एन. रामचंद्रन, B) एम. एन. कार्तिक, C) टी. एम. गोपाल, D) वी. के. शर्मा</v>
      </c>
      <c r="I38" s="5" t="str">
        <f>IFERROR(__xludf.DUMMYFUNCTION("GOOGLETRANSLATE(D38, ""en"", ""hi"")"),"C) टी. एम. गोपाल")</f>
        <v>C) टी. एम. गोपाल</v>
      </c>
    </row>
    <row r="39" ht="22.5" customHeight="1">
      <c r="A39" s="7">
        <v>38.0</v>
      </c>
      <c r="B39" s="8" t="s">
        <v>4932</v>
      </c>
      <c r="C39" s="8" t="s">
        <v>4933</v>
      </c>
      <c r="D39" s="8" t="s">
        <v>4934</v>
      </c>
      <c r="F39" s="5" t="str">
        <f>IFERROR(__xludf.DUMMYFUNCTION("GOOGLETRANSLATE(A39, ""en"", ""hi"")"),"38")</f>
        <v>38</v>
      </c>
      <c r="G39" s="5" t="str">
        <f>IFERROR(__xludf.DUMMYFUNCTION("GOOGLETRANSLATE(B39, ""en"", ""hi"")"),"पम्बरम विश्व कप में अंतर्राष्ट्रीय टीमों की शुरुआत किस वर्ष हुई?")</f>
        <v>पम्बरम विश्व कप में अंतर्राष्ट्रीय टीमों की शुरुआत किस वर्ष हुई?</v>
      </c>
      <c r="H39" s="5" t="str">
        <f>IFERROR(__xludf.DUMMYFUNCTION("GOOGLETRANSLATE(C39, ""en"", ""hi"")"),"ए) 1990, बी) 1995, सी) 2000, डी) 2005")</f>
        <v>ए) 1990, बी) 1995, सी) 2000, डी) 2005</v>
      </c>
      <c r="I39" s="5" t="str">
        <f>IFERROR(__xludf.DUMMYFUNCTION("GOOGLETRANSLATE(D39, ""en"", ""hi"")"),"बी) 1995")</f>
        <v>बी) 1995</v>
      </c>
    </row>
    <row r="40" ht="22.5" customHeight="1">
      <c r="A40" s="7">
        <v>39.0</v>
      </c>
      <c r="B40" s="8" t="s">
        <v>4935</v>
      </c>
      <c r="C40" s="8" t="s">
        <v>4936</v>
      </c>
      <c r="D40" s="8" t="s">
        <v>4937</v>
      </c>
      <c r="F40" s="5" t="str">
        <f>IFERROR(__xludf.DUMMYFUNCTION("GOOGLETRANSLATE(A40, ""en"", ""hi"")"),"39")</f>
        <v>39</v>
      </c>
      <c r="G40" s="5" t="str">
        <f>IFERROR(__xludf.DUMMYFUNCTION("GOOGLETRANSLATE(B40, ""en"", ""hi"")"),"किस ऐतिहासिक घटना के कारण पम्बाराम ग्रांड प्रिक्स की स्थापना हुई?")</f>
        <v>किस ऐतिहासिक घटना के कारण पम्बाराम ग्रांड प्रिक्स की स्थापना हुई?</v>
      </c>
      <c r="H40" s="5" t="str">
        <f>IFERROR(__xludf.DUMMYFUNCTION("GOOGLETRANSLATE(C40, ""en"", ""hi"")"),"A) पम्बरम एसोसिएशन का गठन, B) द्वितीय विश्व युद्ध की समाप्ति, C) भारतीय स्वतंत्रता आंदोलन, D) प्रथम एशियाई खेल")</f>
        <v>A) पम्बरम एसोसिएशन का गठन, B) द्वितीय विश्व युद्ध की समाप्ति, C) भारतीय स्वतंत्रता आंदोलन, D) प्रथम एशियाई खेल</v>
      </c>
      <c r="I40" s="5" t="str">
        <f>IFERROR(__xludf.DUMMYFUNCTION("GOOGLETRANSLATE(D40, ""en"", ""hi"")"),"A) पम्बरम एसोसिएशन का गठन")</f>
        <v>A) पम्बरम एसोसिएशन का गठन</v>
      </c>
    </row>
    <row r="41" ht="22.5" customHeight="1">
      <c r="A41" s="7">
        <v>40.0</v>
      </c>
      <c r="B41" s="8" t="s">
        <v>4938</v>
      </c>
      <c r="C41" s="8" t="s">
        <v>4939</v>
      </c>
      <c r="D41" s="8" t="s">
        <v>4940</v>
      </c>
      <c r="F41" s="5" t="str">
        <f>IFERROR(__xludf.DUMMYFUNCTION("GOOGLETRANSLATE(A41, ""en"", ""hi"")"),"40")</f>
        <v>40</v>
      </c>
      <c r="G41" s="5" t="str">
        <f>IFERROR(__xludf.DUMMYFUNCTION("GOOGLETRANSLATE(B41, ""en"", ""hi"")"),"कौन सा पम्बरम खिलाड़ी 'क्विक फ्लिक' तकनीक में निपुणता के लिए जाना जाता था?")</f>
        <v>कौन सा पम्बरम खिलाड़ी 'क्विक फ्लिक' तकनीक में निपुणता के लिए जाना जाता था?</v>
      </c>
      <c r="H41" s="5" t="str">
        <f>IFERROR(__xludf.DUMMYFUNCTION("GOOGLETRANSLATE(C41, ""en"", ""hi"")"),"A) आर. के. राजेश, B) एस. वी. नायडू, C) टी. एम. गणेशन, D) के. एस. रमेश")</f>
        <v>A) आर. के. राजेश, B) एस. वी. नायडू, C) टी. एम. गणेशन, D) के. एस. रमेश</v>
      </c>
      <c r="I41" s="5" t="str">
        <f>IFERROR(__xludf.DUMMYFUNCTION("GOOGLETRANSLATE(D41, ""en"", ""hi"")"),"D) के. एस. रमेश")</f>
        <v>D) के. एस. रमेश</v>
      </c>
    </row>
    <row r="42" ht="22.5" customHeight="1">
      <c r="A42" s="7">
        <v>41.0</v>
      </c>
      <c r="B42" s="8" t="s">
        <v>4941</v>
      </c>
      <c r="C42" s="8" t="s">
        <v>4900</v>
      </c>
      <c r="D42" s="8" t="s">
        <v>609</v>
      </c>
      <c r="F42" s="5" t="str">
        <f>IFERROR(__xludf.DUMMYFUNCTION("GOOGLETRANSLATE(A42, ""en"", ""hi"")"),"41")</f>
        <v>41</v>
      </c>
      <c r="G42" s="5" t="str">
        <f>IFERROR(__xludf.DUMMYFUNCTION("GOOGLETRANSLATE(B42, ""en"", ""hi"")"),"2008 पम्बरम विश्व कप किसने जीता?")</f>
        <v>2008 पम्बरम विश्व कप किसने जीता?</v>
      </c>
      <c r="H42" s="5" t="str">
        <f>IFERROR(__xludf.DUMMYFUNCTION("GOOGLETRANSLATE(C42, ""en"", ""hi"")"),"A) भारत, B) श्रीलंका, C) बांग्लादेश, D) पाकिस्तान")</f>
        <v>A) भारत, B) श्रीलंका, C) बांग्लादेश, D) पाकिस्तान</v>
      </c>
      <c r="I42" s="5" t="str">
        <f>IFERROR(__xludf.DUMMYFUNCTION("GOOGLETRANSLATE(D42, ""en"", ""hi"")"),"D) पाकिस्तान")</f>
        <v>D) पाकिस्तान</v>
      </c>
    </row>
    <row r="43" ht="22.5" customHeight="1">
      <c r="A43" s="7">
        <v>42.0</v>
      </c>
      <c r="B43" s="8" t="s">
        <v>4942</v>
      </c>
      <c r="C43" s="8" t="s">
        <v>4943</v>
      </c>
      <c r="D43" s="8" t="s">
        <v>3145</v>
      </c>
      <c r="F43" s="5" t="str">
        <f>IFERROR(__xludf.DUMMYFUNCTION("GOOGLETRANSLATE(A43, ""en"", ""hi"")"),"42")</f>
        <v>42</v>
      </c>
      <c r="G43" s="5" t="str">
        <f>IFERROR(__xludf.DUMMYFUNCTION("GOOGLETRANSLATE(B43, ""en"", ""hi"")"),"निम्नलिखित में से कौन सा कौशल पम्बरम खेलने के लिए आवश्यक नहीं है?")</f>
        <v>निम्नलिखित में से कौन सा कौशल पम्बरम खेलने के लिए आवश्यक नहीं है?</v>
      </c>
      <c r="H43" s="5" t="str">
        <f>IFERROR(__xludf.DUMMYFUNCTION("GOOGLETRANSLATE(C43, ""en"", ""hi"")"),"A) चपलता, B) परिशुद्धता, C) शक्ति, D) रणनीति")</f>
        <v>A) चपलता, B) परिशुद्धता, C) शक्ति, D) रणनीति</v>
      </c>
      <c r="I43" s="5" t="str">
        <f>IFERROR(__xludf.DUMMYFUNCTION("GOOGLETRANSLATE(D43, ""en"", ""hi"")"),"सी) ताकत")</f>
        <v>सी) ताकत</v>
      </c>
    </row>
    <row r="44" ht="22.5" customHeight="1">
      <c r="A44" s="7">
        <v>43.0</v>
      </c>
      <c r="B44" s="8" t="s">
        <v>4944</v>
      </c>
      <c r="C44" s="8" t="s">
        <v>4945</v>
      </c>
      <c r="D44" s="8" t="s">
        <v>4946</v>
      </c>
      <c r="F44" s="5" t="str">
        <f>IFERROR(__xludf.DUMMYFUNCTION("GOOGLETRANSLATE(A44, ""en"", ""hi"")"),"43")</f>
        <v>43</v>
      </c>
      <c r="G44" s="5" t="str">
        <f>IFERROR(__xludf.DUMMYFUNCTION("GOOGLETRANSLATE(B44, ""en"", ""hi"")"),"मध्यकाल के दौरान पम्बरम के नियमों को संहिताबद्ध करने का श्रेय किस ऐतिहासिक व्यक्ति को दिया जाता है?")</f>
        <v>मध्यकाल के दौरान पम्बरम के नियमों को संहिताबद्ध करने का श्रेय किस ऐतिहासिक व्यक्ति को दिया जाता है?</v>
      </c>
      <c r="H44" s="5" t="str">
        <f>IFERROR(__xludf.DUMMYFUNCTION("GOOGLETRANSLATE(C44, ""en"", ""hi"")"),"ए) राजा विक्रमादित्य, बी) सम्राट अशोक, सी) राजा राजराज चोल, डी) राजा हर्ष")</f>
        <v>ए) राजा विक्रमादित्य, बी) सम्राट अशोक, सी) राजा राजराज चोल, डी) राजा हर्ष</v>
      </c>
      <c r="I44" s="5" t="str">
        <f>IFERROR(__xludf.DUMMYFUNCTION("GOOGLETRANSLATE(D44, ""en"", ""hi"")"),"A) राजा विक्रमादित्य")</f>
        <v>A) राजा विक्रमादित्य</v>
      </c>
    </row>
    <row r="45" ht="22.5" customHeight="1">
      <c r="A45" s="7">
        <v>44.0</v>
      </c>
      <c r="B45" s="8" t="s">
        <v>4947</v>
      </c>
      <c r="C45" s="8" t="s">
        <v>4842</v>
      </c>
      <c r="D45" s="8" t="s">
        <v>205</v>
      </c>
      <c r="F45" s="5" t="str">
        <f>IFERROR(__xludf.DUMMYFUNCTION("GOOGLETRANSLATE(A45, ""en"", ""hi"")"),"44")</f>
        <v>44</v>
      </c>
      <c r="G45" s="5" t="str">
        <f>IFERROR(__xludf.DUMMYFUNCTION("GOOGLETRANSLATE(B45, ""en"", ""hi"")"),"ऐतिहासिक रूप से किस भारतीय राज्य ने सबसे अधिक पम्बरम चैंपियन पैदा किये हैं?")</f>
        <v>ऐतिहासिक रूप से किस भारतीय राज्य ने सबसे अधिक पम्बरम चैंपियन पैदा किये हैं?</v>
      </c>
      <c r="H45" s="5" t="str">
        <f>IFERROR(__xludf.DUMMYFUNCTION("GOOGLETRANSLATE(C45, ""en"", ""hi"")"),"A) तमिलनाडु, B) केरल, C) कर्नाटक, D) आंध्र प्रदेश")</f>
        <v>A) तमिलनाडु, B) केरल, C) कर्नाटक, D) आंध्र प्रदेश</v>
      </c>
      <c r="I45" s="5" t="str">
        <f>IFERROR(__xludf.DUMMYFUNCTION("GOOGLETRANSLATE(D45, ""en"", ""hi"")"),"A) तमिलनाडु")</f>
        <v>A) तमिलनाडु</v>
      </c>
    </row>
    <row r="46" ht="22.5" customHeight="1">
      <c r="A46" s="7">
        <v>45.0</v>
      </c>
      <c r="B46" s="8" t="s">
        <v>4948</v>
      </c>
      <c r="C46" s="8" t="s">
        <v>4949</v>
      </c>
      <c r="D46" s="8" t="s">
        <v>4950</v>
      </c>
      <c r="F46" s="5" t="str">
        <f>IFERROR(__xludf.DUMMYFUNCTION("GOOGLETRANSLATE(A46, ""en"", ""hi"")"),"45")</f>
        <v>45</v>
      </c>
      <c r="G46" s="5" t="str">
        <f>IFERROR(__xludf.DUMMYFUNCTION("GOOGLETRANSLATE(B46, ""en"", ""hi"")"),"पम्बाराम की रक्षात्मक रणनीतियों में क्रांतिकारी परिवर्तन के लिए कौन जाना जाता है?")</f>
        <v>पम्बाराम की रक्षात्मक रणनीतियों में क्रांतिकारी परिवर्तन के लिए कौन जाना जाता है?</v>
      </c>
      <c r="H46" s="5" t="str">
        <f>IFERROR(__xludf.DUMMYFUNCTION("GOOGLETRANSLATE(C46, ""en"", ""hi"")"),"A) के. एस. रमेश, B) वी. एस. रवि, C) आर. के. राजेश, D) एम. एन. कार्तिक")</f>
        <v>A) के. एस. रमेश, B) वी. एस. रवि, C) आर. के. राजेश, D) एम. एन. कार्तिक</v>
      </c>
      <c r="I46" s="5" t="str">
        <f>IFERROR(__xludf.DUMMYFUNCTION("GOOGLETRANSLATE(D46, ""en"", ""hi"")"),"बी) वी. एस. रवि")</f>
        <v>बी) वी. एस. रवि</v>
      </c>
    </row>
    <row r="47" ht="22.5" customHeight="1">
      <c r="A47" s="7">
        <v>46.0</v>
      </c>
      <c r="B47" s="8" t="s">
        <v>4951</v>
      </c>
      <c r="C47" s="8" t="s">
        <v>4952</v>
      </c>
      <c r="D47" s="8" t="s">
        <v>4953</v>
      </c>
      <c r="F47" s="5" t="str">
        <f>IFERROR(__xludf.DUMMYFUNCTION("GOOGLETRANSLATE(A47, ""en"", ""hi"")"),"46")</f>
        <v>46</v>
      </c>
      <c r="G47" s="5" t="str">
        <f>IFERROR(__xludf.DUMMYFUNCTION("GOOGLETRANSLATE(B47, ""en"", ""hi"")"),"कौन सा पम्बरम टूर्नामेंट चेन्नई में प्रतिवर्ष आयोजित किया जाता है और सबसे पुराने में से एक है?")</f>
        <v>कौन सा पम्बरम टूर्नामेंट चेन्नई में प्रतिवर्ष आयोजित किया जाता है और सबसे पुराने में से एक है?</v>
      </c>
      <c r="H47" s="5" t="str">
        <f>IFERROR(__xludf.DUMMYFUNCTION("GOOGLETRANSLATE(C47, ""en"", ""hi"")"),"A) चेन्नई ओपन, B) तमिलनाडु चैम्पियनशिप, C) गोल्डन पट्टम टूर्नामेंट, D) सदर्न मास्टर्स")</f>
        <v>A) चेन्नई ओपन, B) तमिलनाडु चैम्पियनशिप, C) गोल्डन पट्टम टूर्नामेंट, D) सदर्न मास्टर्स</v>
      </c>
      <c r="I47" s="5" t="str">
        <f>IFERROR(__xludf.DUMMYFUNCTION("GOOGLETRANSLATE(D47, ""en"", ""hi"")"),"C) गोल्डन पट्टम टूर्नामेंट")</f>
        <v>C) गोल्डन पट्टम टूर्नामेंट</v>
      </c>
    </row>
    <row r="48" ht="22.5" customHeight="1">
      <c r="A48" s="7">
        <v>47.0</v>
      </c>
      <c r="B48" s="8" t="s">
        <v>4954</v>
      </c>
      <c r="C48" s="8" t="s">
        <v>4955</v>
      </c>
      <c r="D48" s="8" t="s">
        <v>4956</v>
      </c>
      <c r="F48" s="5" t="str">
        <f>IFERROR(__xludf.DUMMYFUNCTION("GOOGLETRANSLATE(A48, ""en"", ""hi"")"),"47")</f>
        <v>47</v>
      </c>
      <c r="G48" s="5" t="str">
        <f>IFERROR(__xludf.DUMMYFUNCTION("GOOGLETRANSLATE(B48, ""en"", ""hi"")"),"कौन सा पम्बरम खिलाड़ी 'बैकफ्लिप कैच' चाल के लिए प्रसिद्ध है?")</f>
        <v>कौन सा पम्बरम खिलाड़ी 'बैकफ्लिप कैच' चाल के लिए प्रसिद्ध है?</v>
      </c>
      <c r="H48" s="5" t="str">
        <f>IFERROR(__xludf.DUMMYFUNCTION("GOOGLETRANSLATE(C48, ""en"", ""hi"")"),"A) टी. एम. गणेशन, B) आर. के. राजेश, C) एम. एन. कार्तिक, D) के. वी. मोहन")</f>
        <v>A) टी. एम. गणेशन, B) आर. के. राजेश, C) एम. एन. कार्तिक, D) के. वी. मोहन</v>
      </c>
      <c r="I48" s="5" t="str">
        <f>IFERROR(__xludf.DUMMYFUNCTION("GOOGLETRANSLATE(D48, ""en"", ""hi"")"),"A) टी. एम. गणेशन")</f>
        <v>A) टी. एम. गणेशन</v>
      </c>
    </row>
    <row r="49" ht="22.5" customHeight="1">
      <c r="A49" s="7">
        <v>48.0</v>
      </c>
      <c r="B49" s="8" t="s">
        <v>4957</v>
      </c>
      <c r="C49" s="8" t="s">
        <v>54</v>
      </c>
      <c r="D49" s="8" t="s">
        <v>4958</v>
      </c>
      <c r="F49" s="5" t="str">
        <f>IFERROR(__xludf.DUMMYFUNCTION("GOOGLETRANSLATE(A49, ""en"", ""hi"")"),"48")</f>
        <v>48</v>
      </c>
      <c r="G49" s="5" t="str">
        <f>IFERROR(__xludf.DUMMYFUNCTION("GOOGLETRANSLATE(B49, ""en"", ""hi"")"),"पम्बरम प्रशिक्षण में वीडियो विश्लेषण की शुरुआत किस दशक में हुई?")</f>
        <v>पम्बरम प्रशिक्षण में वीडियो विश्लेषण की शुरुआत किस दशक में हुई?</v>
      </c>
      <c r="H49" s="5" t="str">
        <f>IFERROR(__xludf.DUMMYFUNCTION("GOOGLETRANSLATE(C49, ""en"", ""hi"")"),"ए) 1970 का दशक, बी) 1980 का दशक, सी) 1990 का दशक, डी) 2000 का दशक")</f>
        <v>ए) 1970 का दशक, बी) 1980 का दशक, सी) 1990 का दशक, डी) 2000 का दशक</v>
      </c>
      <c r="I49" s="5" t="str">
        <f>IFERROR(__xludf.DUMMYFUNCTION("GOOGLETRANSLATE(D49, ""en"", ""hi"")"),"बी) 1980 के दशक")</f>
        <v>बी) 1980 के दशक</v>
      </c>
    </row>
    <row r="50" ht="22.5" customHeight="1">
      <c r="A50" s="7">
        <v>49.0</v>
      </c>
      <c r="B50" s="8" t="s">
        <v>4959</v>
      </c>
      <c r="C50" s="8" t="s">
        <v>4842</v>
      </c>
      <c r="D50" s="8" t="s">
        <v>4960</v>
      </c>
      <c r="F50" s="5" t="str">
        <f>IFERROR(__xludf.DUMMYFUNCTION("GOOGLETRANSLATE(A50, ""en"", ""hi"")"),"49")</f>
        <v>49</v>
      </c>
      <c r="G50" s="5" t="str">
        <f>IFERROR(__xludf.DUMMYFUNCTION("GOOGLETRANSLATE(B50, ""en"", ""hi"")"),"1960 राष्ट्रीय पम्बरम चैम्पियनशिप का विजेता कौन था?")</f>
        <v>1960 राष्ट्रीय पम्बरम चैम्पियनशिप का विजेता कौन था?</v>
      </c>
      <c r="H50" s="5" t="str">
        <f>IFERROR(__xludf.DUMMYFUNCTION("GOOGLETRANSLATE(C50, ""en"", ""hi"")"),"A) तमिलनाडु, B) केरल, C) कर्नाटक, D) आंध्र प्रदेश")</f>
        <v>A) तमिलनाडु, B) केरल, C) कर्नाटक, D) आंध्र प्रदेश</v>
      </c>
      <c r="I50" s="5" t="str">
        <f>IFERROR(__xludf.DUMMYFUNCTION("GOOGLETRANSLATE(D50, ""en"", ""hi"")"),"बी) केरल")</f>
        <v>बी) केरल</v>
      </c>
    </row>
    <row r="51" ht="22.5" customHeight="1">
      <c r="A51" s="7">
        <v>50.0</v>
      </c>
      <c r="B51" s="8" t="s">
        <v>4961</v>
      </c>
      <c r="C51" s="8" t="s">
        <v>4962</v>
      </c>
      <c r="D51" s="8" t="s">
        <v>4963</v>
      </c>
      <c r="F51" s="5" t="str">
        <f>IFERROR(__xludf.DUMMYFUNCTION("GOOGLETRANSLATE(A51, ""en"", ""hi"")"),"50")</f>
        <v>50</v>
      </c>
      <c r="G51" s="5" t="str">
        <f>IFERROR(__xludf.DUMMYFUNCTION("GOOGLETRANSLATE(B51, ""en"", ""hi"")"),"निम्नलिखित में से कौन सी पम्बरम चाल में पट्टम के साथ घूमता हुआ थ्रो शामिल है?")</f>
        <v>निम्नलिखित में से कौन सी पम्बरम चाल में पट्टम के साथ घूमता हुआ थ्रो शामिल है?</v>
      </c>
      <c r="H51" s="5" t="str">
        <f>IFERROR(__xludf.DUMMYFUNCTION("GOOGLETRANSLATE(C51, ""en"", ""hi"")"),"A) साइक्लोन स्पिन, B) थंडरबोल्ट, C) स्पाइरल जंप, D) टॉरनेडो स्पिन")</f>
        <v>A) साइक्लोन स्पिन, B) थंडरबोल्ट, C) स्पाइरल जंप, D) टॉरनेडो स्पिन</v>
      </c>
      <c r="I51" s="5" t="str">
        <f>IFERROR(__xludf.DUMMYFUNCTION("GOOGLETRANSLATE(D51, ""en"", ""hi"")"),"D) टॉरनेडो स्पिन")</f>
        <v>D) टॉरनेडो स्पिन</v>
      </c>
    </row>
    <row r="52" ht="22.5" customHeight="1">
      <c r="A52" s="7">
        <v>51.0</v>
      </c>
      <c r="B52" s="8" t="s">
        <v>4964</v>
      </c>
      <c r="C52" s="8" t="s">
        <v>4965</v>
      </c>
      <c r="D52" s="8" t="s">
        <v>4966</v>
      </c>
      <c r="F52" s="5" t="str">
        <f>IFERROR(__xludf.DUMMYFUNCTION("GOOGLETRANSLATE(A52, ""en"", ""hi"")"),"51")</f>
        <v>51</v>
      </c>
      <c r="G52" s="5" t="str">
        <f>IFERROR(__xludf.DUMMYFUNCTION("GOOGLETRANSLATE(B52, ""en"", ""hi"")"),"कौन सा पम्बरम खिलाड़ी अपने असाधारण फुटवर्क के लिए प्रसिद्ध था?")</f>
        <v>कौन सा पम्बरम खिलाड़ी अपने असाधारण फुटवर्क के लिए प्रसिद्ध था?</v>
      </c>
      <c r="H52" s="5" t="str">
        <f>IFERROR(__xludf.DUMMYFUNCTION("GOOGLETRANSLATE(C52, ""en"", ""hi"")"),"A) एस. एम. श्रीनिवासन, B) के. आर. मोहन, C) वी. एस. रवि, D) टी. एम. गणेशन")</f>
        <v>A) एस. एम. श्रीनिवासन, B) के. आर. मोहन, C) वी. एस. रवि, D) टी. एम. गणेशन</v>
      </c>
      <c r="I52" s="5" t="str">
        <f>IFERROR(__xludf.DUMMYFUNCTION("GOOGLETRANSLATE(D52, ""en"", ""hi"")"),"A) एस. एम. श्रीनिवासन")</f>
        <v>A) एस. एम. श्रीनिवासन</v>
      </c>
    </row>
    <row r="53" ht="22.5" customHeight="1">
      <c r="A53" s="7">
        <v>52.0</v>
      </c>
      <c r="B53" s="8" t="s">
        <v>4967</v>
      </c>
      <c r="C53" s="8" t="s">
        <v>4968</v>
      </c>
      <c r="D53" s="8" t="s">
        <v>4969</v>
      </c>
      <c r="F53" s="5" t="str">
        <f>IFERROR(__xludf.DUMMYFUNCTION("GOOGLETRANSLATE(A53, ""en"", ""hi"")"),"52")</f>
        <v>52</v>
      </c>
      <c r="G53" s="5" t="str">
        <f>IFERROR(__xludf.DUMMYFUNCTION("GOOGLETRANSLATE(B53, ""en"", ""hi"")"),"उस तकनीक का नाम क्या है जिसमें खिलाड़ी प्रतिद्वंद्वी के हमले से बचने के लिए त्वरित पार्श्व गति का उपयोग करता है?")</f>
        <v>उस तकनीक का नाम क्या है जिसमें खिलाड़ी प्रतिद्वंद्वी के हमले से बचने के लिए त्वरित पार्श्व गति का उपयोग करता है?</v>
      </c>
      <c r="H53" s="5" t="str">
        <f>IFERROR(__xludf.DUMMYFUNCTION("GOOGLETRANSLATE(C53, ""en"", ""hi"")"),"ए) साइड स्टेप, बी) क्विक शिफ्ट, सी) लेटरल ग्लाइड, डी) रैपिड मूव")</f>
        <v>ए) साइड स्टेप, बी) क्विक शिफ्ट, सी) लेटरल ग्लाइड, डी) रैपिड मूव</v>
      </c>
      <c r="I53" s="5" t="str">
        <f>IFERROR(__xludf.DUMMYFUNCTION("GOOGLETRANSLATE(D53, ""en"", ""hi"")"),"बी) त्वरित बदलाव")</f>
        <v>बी) त्वरित बदलाव</v>
      </c>
    </row>
    <row r="54" ht="22.5" customHeight="1">
      <c r="A54" s="7">
        <v>53.0</v>
      </c>
      <c r="B54" s="8" t="s">
        <v>4970</v>
      </c>
      <c r="C54" s="8" t="s">
        <v>4971</v>
      </c>
      <c r="D54" s="8" t="s">
        <v>4972</v>
      </c>
      <c r="F54" s="5" t="str">
        <f>IFERROR(__xludf.DUMMYFUNCTION("GOOGLETRANSLATE(A54, ""en"", ""hi"")"),"53")</f>
        <v>53</v>
      </c>
      <c r="G54" s="5" t="str">
        <f>IFERROR(__xludf.DUMMYFUNCTION("GOOGLETRANSLATE(B54, ""en"", ""hi"")"),"1975 की राष्ट्रीय चैम्पियनशिप में शानदार वापसी के लिए किस पम्बरम खिलाड़ी को जाना जाता है?")</f>
        <v>1975 की राष्ट्रीय चैम्पियनशिप में शानदार वापसी के लिए किस पम्बरम खिलाड़ी को जाना जाता है?</v>
      </c>
      <c r="H54" s="5" t="str">
        <f>IFERROR(__xludf.DUMMYFUNCTION("GOOGLETRANSLATE(C54, ""en"", ""hi"")"),"A) एन. रामचंद्रन, B) एम. एन. कार्तिक, C) आर. के. राजेश, D) एस. वी. नायडू")</f>
        <v>A) एन. रामचंद्रन, B) एम. एन. कार्तिक, C) आर. के. राजेश, D) एस. वी. नायडू</v>
      </c>
      <c r="I54" s="5" t="str">
        <f>IFERROR(__xludf.DUMMYFUNCTION("GOOGLETRANSLATE(D54, ""en"", ""hi"")"),"D) एस. वी. नायडू")</f>
        <v>D) एस. वी. नायडू</v>
      </c>
    </row>
    <row r="55" ht="22.5" customHeight="1">
      <c r="A55" s="7">
        <v>54.0</v>
      </c>
      <c r="B55" s="8" t="s">
        <v>4973</v>
      </c>
      <c r="C55" s="8" t="s">
        <v>4974</v>
      </c>
      <c r="D55" s="8" t="s">
        <v>4975</v>
      </c>
      <c r="F55" s="5" t="str">
        <f>IFERROR(__xludf.DUMMYFUNCTION("GOOGLETRANSLATE(A55, ""en"", ""hi"")"),"54")</f>
        <v>54</v>
      </c>
      <c r="G55" s="5" t="str">
        <f>IFERROR(__xludf.DUMMYFUNCTION("GOOGLETRANSLATE(B55, ""en"", ""hi"")"),"लोकप्रिय पम्बरम चाल का नाम क्या है जिसमें एक शक्तिशाली नीचे की ओर प्रहार शामिल है?")</f>
        <v>लोकप्रिय पम्बरम चाल का नाम क्या है जिसमें एक शक्तिशाली नीचे की ओर प्रहार शामिल है?</v>
      </c>
      <c r="H55" s="5" t="str">
        <f>IFERROR(__xludf.DUMMYFUNCTION("GOOGLETRANSLATE(C55, ""en"", ""hi"")"),"ए) द पावर स्लैम, बी) द थंडर स्ट्राइक, सी) द ग्राउंड स्लैम, डी) द मेगा हिट")</f>
        <v>ए) द पावर स्लैम, बी) द थंडर स्ट्राइक, सी) द ग्राउंड स्लैम, डी) द मेगा हिट</v>
      </c>
      <c r="I55" s="5" t="str">
        <f>IFERROR(__xludf.DUMMYFUNCTION("GOOGLETRANSLATE(D55, ""en"", ""hi"")"),"C) ग्राउंड स्लैम")</f>
        <v>C) ग्राउंड स्लैम</v>
      </c>
    </row>
    <row r="56" ht="22.5" customHeight="1">
      <c r="A56" s="7">
        <v>55.0</v>
      </c>
      <c r="B56" s="8" t="s">
        <v>4976</v>
      </c>
      <c r="C56" s="8" t="s">
        <v>4977</v>
      </c>
      <c r="D56" s="8" t="s">
        <v>4860</v>
      </c>
      <c r="F56" s="5" t="str">
        <f>IFERROR(__xludf.DUMMYFUNCTION("GOOGLETRANSLATE(A56, ""en"", ""hi"")"),"55")</f>
        <v>55</v>
      </c>
      <c r="G56" s="5" t="str">
        <f>IFERROR(__xludf.DUMMYFUNCTION("GOOGLETRANSLATE(B56, ""en"", ""hi"")"),"कौन सा प्रसिद्ध पम्बरम वादक 'डबल पट्टम' तकनीक के रणनीतिक उपयोग के लिए जाना जाता था?")</f>
        <v>कौन सा प्रसिद्ध पम्बरम वादक 'डबल पट्टम' तकनीक के रणनीतिक उपयोग के लिए जाना जाता था?</v>
      </c>
      <c r="H56" s="5" t="str">
        <f>IFERROR(__xludf.DUMMYFUNCTION("GOOGLETRANSLATE(C56, ""en"", ""hi"")"),"A) वी. एस. रवि, B) टी. एम. गणेशन, C) आर. के. राजेश, D) के. आर. मोहन")</f>
        <v>A) वी. एस. रवि, B) टी. एम. गणेशन, C) आर. के. राजेश, D) के. आर. मोहन</v>
      </c>
      <c r="I56" s="5" t="str">
        <f>IFERROR(__xludf.DUMMYFUNCTION("GOOGLETRANSLATE(D56, ""en"", ""hi"")"),"बी) टी. एम. गणेशन")</f>
        <v>बी) टी. एम. गणेशन</v>
      </c>
    </row>
    <row r="57" ht="22.5" customHeight="1">
      <c r="A57" s="7">
        <v>56.0</v>
      </c>
      <c r="B57" s="8" t="s">
        <v>4978</v>
      </c>
      <c r="C57" s="8" t="s">
        <v>4979</v>
      </c>
      <c r="D57" s="8" t="s">
        <v>4980</v>
      </c>
      <c r="F57" s="5" t="str">
        <f>IFERROR(__xludf.DUMMYFUNCTION("GOOGLETRANSLATE(A57, ""en"", ""hi"")"),"56")</f>
        <v>56</v>
      </c>
      <c r="G57" s="5" t="str">
        <f>IFERROR(__xludf.DUMMYFUNCTION("GOOGLETRANSLATE(B57, ""en"", ""hi"")"),"किस पम्बरम टूर्नामेंट में पहली बार इलेक्ट्रॉनिक स्कोरबोर्ड का उपयोग शुरू किया गया?")</f>
        <v>किस पम्बरम टूर्नामेंट में पहली बार इलेक्ट्रॉनिक स्कोरबोर्ड का उपयोग शुरू किया गया?</v>
      </c>
      <c r="H57" s="5" t="str">
        <f>IFERROR(__xludf.DUMMYFUNCTION("GOOGLETRANSLATE(C57, ""en"", ""hi"")"),"A) द सदर्न मास्टर्स, B) द नेशनल चैम्पियनशिप, C) द गोल्डन पट्टम टूर्नामेंट, D) द चेन्नई ओपन")</f>
        <v>A) द सदर्न मास्टर्स, B) द नेशनल चैम्पियनशिप, C) द गोल्डन पट्टम टूर्नामेंट, D) द चेन्नई ओपन</v>
      </c>
      <c r="I57" s="5" t="str">
        <f>IFERROR(__xludf.DUMMYFUNCTION("GOOGLETRANSLATE(D57, ""en"", ""hi"")"),"D) चेन्नई ओपन")</f>
        <v>D) चेन्नई ओपन</v>
      </c>
    </row>
    <row r="58" ht="22.5" customHeight="1">
      <c r="A58" s="7">
        <v>57.0</v>
      </c>
      <c r="B58" s="8" t="s">
        <v>4981</v>
      </c>
      <c r="C58" s="8" t="s">
        <v>4982</v>
      </c>
      <c r="D58" s="8" t="s">
        <v>4983</v>
      </c>
      <c r="F58" s="5" t="str">
        <f>IFERROR(__xludf.DUMMYFUNCTION("GOOGLETRANSLATE(A58, ""en"", ""hi"")"),"57")</f>
        <v>57</v>
      </c>
      <c r="G58" s="5" t="str">
        <f>IFERROR(__xludf.DUMMYFUNCTION("GOOGLETRANSLATE(B58, ""en"", ""hi"")"),"पम्बारम में 'विंडमिल थ्रो' तकनीक की मुख्य विशेषता क्या है?")</f>
        <v>पम्बारम में 'विंडमिल थ्रो' तकनीक की मुख्य विशेषता क्या है?</v>
      </c>
      <c r="H58" s="5" t="str">
        <f>IFERROR(__xludf.DUMMYFUNCTION("GOOGLETRANSLATE(C58, ""en"", ""hi"")"),"ए) एक उच्च गति स्पिन, बी) एक व्यापक हाथ गति, सी) कलाई की एक त्वरित झटका, डी) एक शक्तिशाली ओवरहेड स्विंग")</f>
        <v>ए) एक उच्च गति स्पिन, बी) एक व्यापक हाथ गति, सी) कलाई की एक त्वरित झटका, डी) एक शक्तिशाली ओवरहेड स्विंग</v>
      </c>
      <c r="I58" s="5" t="str">
        <f>IFERROR(__xludf.DUMMYFUNCTION("GOOGLETRANSLATE(D58, ""en"", ""hi"")"),"बी) एक व्यापक हाथ गति")</f>
        <v>बी) एक व्यापक हाथ गति</v>
      </c>
    </row>
    <row r="59" ht="22.5" customHeight="1">
      <c r="A59" s="7">
        <v>58.0</v>
      </c>
      <c r="B59" s="8" t="s">
        <v>4984</v>
      </c>
      <c r="C59" s="8" t="s">
        <v>4985</v>
      </c>
      <c r="D59" s="8" t="s">
        <v>4845</v>
      </c>
      <c r="F59" s="5" t="str">
        <f>IFERROR(__xludf.DUMMYFUNCTION("GOOGLETRANSLATE(A59, ""en"", ""hi"")"),"58")</f>
        <v>58</v>
      </c>
      <c r="G59" s="5" t="str">
        <f>IFERROR(__xludf.DUMMYFUNCTION("GOOGLETRANSLATE(B59, ""en"", ""hi"")"),"कौन सा खिलाड़ी 'लॉन्ग रीच' तकनीक में अपने असाधारण कौशल के लिए प्रसिद्ध है?")</f>
        <v>कौन सा खिलाड़ी 'लॉन्ग रीच' तकनीक में अपने असाधारण कौशल के लिए प्रसिद्ध है?</v>
      </c>
      <c r="H59" s="5" t="str">
        <f>IFERROR(__xludf.DUMMYFUNCTION("GOOGLETRANSLATE(C59, ""en"", ""hi"")"),"A) के. एस. रमेश, B) एम. एन. कार्तिक, C) वी. के. शर्मा, D) एस. बी. कुमार")</f>
        <v>A) के. एस. रमेश, B) एम. एन. कार्तिक, C) वी. के. शर्मा, D) एस. बी. कुमार</v>
      </c>
      <c r="I59" s="5" t="str">
        <f>IFERROR(__xludf.DUMMYFUNCTION("GOOGLETRANSLATE(D59, ""en"", ""hi"")"),"A) के. एस. रमेश")</f>
        <v>A) के. एस. रमेश</v>
      </c>
    </row>
    <row r="60" ht="22.5" customHeight="1">
      <c r="A60" s="7">
        <v>59.0</v>
      </c>
      <c r="B60" s="8" t="s">
        <v>4986</v>
      </c>
      <c r="C60" s="8" t="s">
        <v>4987</v>
      </c>
      <c r="D60" s="8" t="s">
        <v>4988</v>
      </c>
      <c r="F60" s="5" t="str">
        <f>IFERROR(__xludf.DUMMYFUNCTION("GOOGLETRANSLATE(A60, ""en"", ""hi"")"),"59")</f>
        <v>59</v>
      </c>
      <c r="G60" s="5" t="str">
        <f>IFERROR(__xludf.DUMMYFUNCTION("GOOGLETRANSLATE(B60, ""en"", ""hi"")"),"किस आयोजन के फलस्वरूप पम्बरम विश्व कप की औपचारिक स्थापना हुई?")</f>
        <v>किस आयोजन के फलस्वरूप पम्बरम विश्व कप की औपचारिक स्थापना हुई?</v>
      </c>
      <c r="H60" s="5" t="str">
        <f>IFERROR(__xludf.DUMMYFUNCTION("GOOGLETRANSLATE(C60, ""en"", ""hi"")"),"A) अंतर्राष्ट्रीय पम्बरम एसोसिएशन का निर्माण, B) अंतर्राष्ट्रीय टीमों में वृद्धि, C) खेल की लोकप्रियता, D) स्कूलों में पम्बरम का प्रचार")</f>
        <v>A) अंतर्राष्ट्रीय पम्बरम एसोसिएशन का निर्माण, B) अंतर्राष्ट्रीय टीमों में वृद्धि, C) खेल की लोकप्रियता, D) स्कूलों में पम्बरम का प्रचार</v>
      </c>
      <c r="I60" s="5" t="str">
        <f>IFERROR(__xludf.DUMMYFUNCTION("GOOGLETRANSLATE(D60, ""en"", ""hi"")"),"A) अंतर्राष्ट्रीय पम्बरम एसोसिएशन का निर्माण")</f>
        <v>A) अंतर्राष्ट्रीय पम्बरम एसोसिएशन का निर्माण</v>
      </c>
    </row>
    <row r="61" ht="22.5" customHeight="1">
      <c r="A61" s="7">
        <v>60.0</v>
      </c>
      <c r="B61" s="8" t="s">
        <v>4989</v>
      </c>
      <c r="C61" s="8" t="s">
        <v>4990</v>
      </c>
      <c r="D61" s="8" t="s">
        <v>4860</v>
      </c>
      <c r="F61" s="5" t="str">
        <f>IFERROR(__xludf.DUMMYFUNCTION("GOOGLETRANSLATE(A61, ""en"", ""hi"")"),"60")</f>
        <v>60</v>
      </c>
      <c r="G61" s="5" t="str">
        <f>IFERROR(__xludf.DUMMYFUNCTION("GOOGLETRANSLATE(B61, ""en"", ""hi"")"),"पम्बारम में 'स्पिन और स्ट्राइक' तकनीक विकसित करने का श्रेय किसे दिया जाता है?")</f>
        <v>पम्बारम में 'स्पिन और स्ट्राइक' तकनीक विकसित करने का श्रेय किसे दिया जाता है?</v>
      </c>
      <c r="H61" s="5" t="str">
        <f>IFERROR(__xludf.DUMMYFUNCTION("GOOGLETRANSLATE(C61, ""en"", ""hi"")"),"A) आर. के. राजेश, B) टी. एम. गणेशन, C) एस. वी. रवि, D) के. आर. मोहन")</f>
        <v>A) आर. के. राजेश, B) टी. एम. गणेशन, C) एस. वी. रवि, D) के. आर. मोहन</v>
      </c>
      <c r="I61" s="5" t="str">
        <f>IFERROR(__xludf.DUMMYFUNCTION("GOOGLETRANSLATE(D61, ""en"", ""hi"")"),"बी) टी. एम. गणेशन")</f>
        <v>बी) टी. एम. गणेशन</v>
      </c>
    </row>
    <row r="62" ht="22.5" customHeight="1">
      <c r="A62" s="7">
        <v>61.0</v>
      </c>
      <c r="B62" s="8" t="s">
        <v>4991</v>
      </c>
      <c r="C62" s="8" t="s">
        <v>204</v>
      </c>
      <c r="D62" s="8" t="s">
        <v>205</v>
      </c>
      <c r="F62" s="5" t="str">
        <f>IFERROR(__xludf.DUMMYFUNCTION("GOOGLETRANSLATE(A62, ""en"", ""hi"")"),"61")</f>
        <v>61</v>
      </c>
      <c r="G62" s="5" t="str">
        <f>IFERROR(__xludf.DUMMYFUNCTION("GOOGLETRANSLATE(B62, ""en"", ""hi"")"),"स्थानीय प्रतिभा को बढ़ावा देने के लिए 'पंबरम क्लब' की अवधारणा सबसे पहले किस राज्य ने शुरू की?")</f>
        <v>स्थानीय प्रतिभा को बढ़ावा देने के लिए 'पंबरम क्लब' की अवधारणा सबसे पहले किस राज्य ने शुरू की?</v>
      </c>
      <c r="H62" s="5" t="str">
        <f>IFERROR(__xludf.DUMMYFUNCTION("GOOGLETRANSLATE(C62, ""en"", ""hi"")"),"A) तमिलनाडु, B) कर्नाटक, C) आंध्र प्रदेश, D) केरल")</f>
        <v>A) तमिलनाडु, B) कर्नाटक, C) आंध्र प्रदेश, D) केरल</v>
      </c>
      <c r="I62" s="5" t="str">
        <f>IFERROR(__xludf.DUMMYFUNCTION("GOOGLETRANSLATE(D62, ""en"", ""hi"")"),"A) तमिलनाडु")</f>
        <v>A) तमिलनाडु</v>
      </c>
    </row>
    <row r="63" ht="22.5" customHeight="1">
      <c r="A63" s="7">
        <v>62.0</v>
      </c>
      <c r="B63" s="8" t="s">
        <v>4992</v>
      </c>
      <c r="C63" s="8" t="s">
        <v>4900</v>
      </c>
      <c r="D63" s="8" t="s">
        <v>37</v>
      </c>
      <c r="F63" s="5" t="str">
        <f>IFERROR(__xludf.DUMMYFUNCTION("GOOGLETRANSLATE(A63, ""en"", ""hi"")"),"62")</f>
        <v>62</v>
      </c>
      <c r="G63" s="5" t="str">
        <f>IFERROR(__xludf.DUMMYFUNCTION("GOOGLETRANSLATE(B63, ""en"", ""hi"")"),"1995 पम्बरम विश्व कप किसने जीता?")</f>
        <v>1995 पम्बरम विश्व कप किसने जीता?</v>
      </c>
      <c r="H63" s="5" t="str">
        <f>IFERROR(__xludf.DUMMYFUNCTION("GOOGLETRANSLATE(C63, ""en"", ""hi"")"),"A) भारत, B) श्रीलंका, C) बांग्लादेश, D) पाकिस्तान")</f>
        <v>A) भारत, B) श्रीलंका, C) बांग्लादेश, D) पाकिस्तान</v>
      </c>
      <c r="I63" s="5" t="str">
        <f>IFERROR(__xludf.DUMMYFUNCTION("GOOGLETRANSLATE(D63, ""en"", ""hi"")"),"ए) भारत")</f>
        <v>ए) भारत</v>
      </c>
    </row>
    <row r="64" ht="22.5" customHeight="1">
      <c r="A64" s="7">
        <v>63.0</v>
      </c>
      <c r="B64" s="8" t="s">
        <v>4993</v>
      </c>
      <c r="C64" s="8" t="s">
        <v>4994</v>
      </c>
      <c r="D64" s="8" t="s">
        <v>4995</v>
      </c>
      <c r="F64" s="5" t="str">
        <f>IFERROR(__xludf.DUMMYFUNCTION("GOOGLETRANSLATE(A64, ""en"", ""hi"")"),"63")</f>
        <v>63</v>
      </c>
      <c r="G64" s="5" t="str">
        <f>IFERROR(__xludf.DUMMYFUNCTION("GOOGLETRANSLATE(B64, ""en"", ""hi"")"),"कौन सी पम्बरम तकनीक में पट्टम के साथ त्वरित, क्रमिक प्रहारों की श्रृंखला शामिल है?")</f>
        <v>कौन सी पम्बरम तकनीक में पट्टम के साथ त्वरित, क्रमिक प्रहारों की श्रृंखला शामिल है?</v>
      </c>
      <c r="H64" s="5" t="str">
        <f>IFERROR(__xludf.DUMMYFUNCTION("GOOGLETRANSLATE(C64, ""en"", ""hi"")"),"ए) रैपिड स्ट्राइक, बी) क्विक हिट्स, सी) कॉम्बो स्ट्राइक, डी) रैपिड फायर")</f>
        <v>ए) रैपिड स्ट्राइक, बी) क्विक हिट्स, सी) कॉम्बो स्ट्राइक, डी) रैपिड फायर</v>
      </c>
      <c r="I64" s="5" t="str">
        <f>IFERROR(__xludf.DUMMYFUNCTION("GOOGLETRANSLATE(D64, ""en"", ""hi"")"),"C) कॉम्बो स्ट्राइक")</f>
        <v>C) कॉम्बो स्ट्राइक</v>
      </c>
    </row>
    <row r="65" ht="22.5" customHeight="1">
      <c r="A65" s="7">
        <v>64.0</v>
      </c>
      <c r="B65" s="8" t="s">
        <v>4996</v>
      </c>
      <c r="C65" s="8" t="s">
        <v>4997</v>
      </c>
      <c r="D65" s="8" t="s">
        <v>4998</v>
      </c>
      <c r="F65" s="5" t="str">
        <f>IFERROR(__xludf.DUMMYFUNCTION("GOOGLETRANSLATE(A65, ""en"", ""hi"")"),"64")</f>
        <v>64</v>
      </c>
      <c r="G65" s="5" t="str">
        <f>IFERROR(__xludf.DUMMYFUNCTION("GOOGLETRANSLATE(B65, ""en"", ""hi"")"),"मैच के दौरान पम्बरम कोच की प्राथमिक भूमिका क्या होती है?")</f>
        <v>मैच के दौरान पम्बरम कोच की प्राथमिक भूमिका क्या होती है?</v>
      </c>
      <c r="H65" s="5" t="str">
        <f>IFERROR(__xludf.DUMMYFUNCTION("GOOGLETRANSLATE(C65, ""en"", ""hi"")"),"A) रणनीतिक सलाह प्रदान करना, B) टीम लॉजिस्टिक्स का प्रबंधन करना, C) स्कोरिंग को संभालना, D) खिलाड़ियों को प्रशिक्षित करना")</f>
        <v>A) रणनीतिक सलाह प्रदान करना, B) टीम लॉजिस्टिक्स का प्रबंधन करना, C) स्कोरिंग को संभालना, D) खिलाड़ियों को प्रशिक्षित करना</v>
      </c>
      <c r="I65" s="5" t="str">
        <f>IFERROR(__xludf.DUMMYFUNCTION("GOOGLETRANSLATE(D65, ""en"", ""hi"")"),"A) रणनीतिक सलाह प्रदान करना")</f>
        <v>A) रणनीतिक सलाह प्रदान करना</v>
      </c>
    </row>
    <row r="66" ht="22.5" customHeight="1">
      <c r="A66" s="7">
        <v>65.0</v>
      </c>
      <c r="B66" s="8" t="s">
        <v>4999</v>
      </c>
      <c r="C66" s="8" t="s">
        <v>5000</v>
      </c>
      <c r="D66" s="8" t="s">
        <v>4966</v>
      </c>
      <c r="F66" s="5" t="str">
        <f>IFERROR(__xludf.DUMMYFUNCTION("GOOGLETRANSLATE(A66, ""en"", ""hi"")"),"65")</f>
        <v>65</v>
      </c>
      <c r="G66" s="5" t="str">
        <f>IFERROR(__xludf.DUMMYFUNCTION("GOOGLETRANSLATE(B66, ""en"", ""hi"")"),"कौन सा पम्बरम खिलाड़ी हवाई हमलों में अपनी निपुणता के लिए जाना जाता है?")</f>
        <v>कौन सा पम्बरम खिलाड़ी हवाई हमलों में अपनी निपुणता के लिए जाना जाता है?</v>
      </c>
      <c r="H66" s="5" t="str">
        <f>IFERROR(__xludf.DUMMYFUNCTION("GOOGLETRANSLATE(C66, ""en"", ""hi"")"),"A) एस. एम. श्रीनिवासन, B) आर. के. राजेश, C) के. वी. मोहन, D) टी. एम. गणेशन")</f>
        <v>A) एस. एम. श्रीनिवासन, B) आर. के. राजेश, C) के. वी. मोहन, D) टी. एम. गणेशन</v>
      </c>
      <c r="I66" s="5" t="str">
        <f>IFERROR(__xludf.DUMMYFUNCTION("GOOGLETRANSLATE(D66, ""en"", ""hi"")"),"A) एस. एम. श्रीनिवासन")</f>
        <v>A) एस. एम. श्रीनिवासन</v>
      </c>
    </row>
    <row r="67" ht="22.5" customHeight="1">
      <c r="A67" s="7">
        <v>66.0</v>
      </c>
      <c r="B67" s="8" t="s">
        <v>5001</v>
      </c>
      <c r="C67" s="8" t="s">
        <v>5002</v>
      </c>
      <c r="D67" s="8" t="s">
        <v>5003</v>
      </c>
      <c r="F67" s="5" t="str">
        <f>IFERROR(__xludf.DUMMYFUNCTION("GOOGLETRANSLATE(A67, ""en"", ""hi"")"),"66")</f>
        <v>66</v>
      </c>
      <c r="G67" s="5" t="str">
        <f>IFERROR(__xludf.DUMMYFUNCTION("GOOGLETRANSLATE(B67, ""en"", ""hi"")"),"चेन्नई में वार्षिक पम्बरम टूर्नामेंट किस ऐतिहासिक घटना के उपलक्ष्य में आयोजित किया जाता है?")</f>
        <v>चेन्नई में वार्षिक पम्बरम टूर्नामेंट किस ऐतिहासिक घटना के उपलक्ष्य में आयोजित किया जाता है?</v>
      </c>
      <c r="H67" s="5" t="str">
        <f>IFERROR(__xludf.DUMMYFUNCTION("GOOGLETRANSLATE(C67, ""en"", ""hi"")"),"A) अखिल भारतीय पम्बरम महासंघ की स्थापना, B) पम्बरम विश्व कप की स्थापना, C) पहला अंतर्राष्ट्रीय पम्बरम मैच, D) पम्बरम को एक खेल के रूप में मान्यता मिलने की वर्षगांठ")</f>
        <v>A) अखिल भारतीय पम्बरम महासंघ की स्थापना, B) पम्बरम विश्व कप की स्थापना, C) पहला अंतर्राष्ट्रीय पम्बरम मैच, D) पम्बरम को एक खेल के रूप में मान्यता मिलने की वर्षगांठ</v>
      </c>
      <c r="I67" s="5" t="str">
        <f>IFERROR(__xludf.DUMMYFUNCTION("GOOGLETRANSLATE(D67, ""en"", ""hi"")"),"A) अखिल भारतीय पम्बरम महासंघ की स्थापना")</f>
        <v>A) अखिल भारतीय पम्बरम महासंघ की स्थापना</v>
      </c>
    </row>
    <row r="68" ht="22.5" customHeight="1">
      <c r="A68" s="7">
        <v>67.0</v>
      </c>
      <c r="B68" s="8" t="s">
        <v>5004</v>
      </c>
      <c r="C68" s="8" t="s">
        <v>5005</v>
      </c>
      <c r="D68" s="8" t="s">
        <v>5006</v>
      </c>
      <c r="F68" s="5" t="str">
        <f>IFERROR(__xludf.DUMMYFUNCTION("GOOGLETRANSLATE(A68, ""en"", ""hi"")"),"67")</f>
        <v>67</v>
      </c>
      <c r="G68" s="5" t="str">
        <f>IFERROR(__xludf.DUMMYFUNCTION("GOOGLETRANSLATE(B68, ""en"", ""hi"")"),"1950 के दशक में 'क्विक फ्लिक' चाल के लिए प्रसिद्ध प्रमुख पम्बरम खिलाड़ी कौन था?")</f>
        <v>1950 के दशक में 'क्विक फ्लिक' चाल के लिए प्रसिद्ध प्रमुख पम्बरम खिलाड़ी कौन था?</v>
      </c>
      <c r="H68" s="5" t="str">
        <f>IFERROR(__xludf.DUMMYFUNCTION("GOOGLETRANSLATE(C68, ""en"", ""hi"")"),"A) आर. के. राजेश, B) के. एस. रमेश, C) एम. एन. कार्तिक, D) एस. वी. नायडू")</f>
        <v>A) आर. के. राजेश, B) के. एस. रमेश, C) एम. एन. कार्तिक, D) एस. वी. नायडू</v>
      </c>
      <c r="I68" s="5" t="str">
        <f>IFERROR(__xludf.DUMMYFUNCTION("GOOGLETRANSLATE(D68, ""en"", ""hi"")"),"बी) के. एस. रमेश")</f>
        <v>बी) के. एस. रमेश</v>
      </c>
    </row>
    <row r="69" ht="22.5" customHeight="1">
      <c r="A69" s="7">
        <v>68.0</v>
      </c>
      <c r="B69" s="8" t="s">
        <v>5007</v>
      </c>
      <c r="C69" s="8" t="s">
        <v>5008</v>
      </c>
      <c r="D69" s="8" t="s">
        <v>5009</v>
      </c>
      <c r="F69" s="5" t="str">
        <f>IFERROR(__xludf.DUMMYFUNCTION("GOOGLETRANSLATE(A69, ""en"", ""hi"")"),"68")</f>
        <v>68</v>
      </c>
      <c r="G69" s="5" t="str">
        <f>IFERROR(__xludf.DUMMYFUNCTION("GOOGLETRANSLATE(B69, ""en"", ""hi"")"),"1990 के दशक में कौन सी पम्बरम चाल शुरू की गई और अपनी प्रभावशीलता के कारण लोकप्रिय हुई?")</f>
        <v>1990 के दशक में कौन सी पम्बरम चाल शुरू की गई और अपनी प्रभावशीलता के कारण लोकप्रिय हुई?</v>
      </c>
      <c r="H69" s="5" t="str">
        <f>IFERROR(__xludf.DUMMYFUNCTION("GOOGLETRANSLATE(C69, ""en"", ""hi"")"),"A) चक्रवात स्पिन, B) थंडरबोल्ट, C) टॉरनेडो स्पिन, D) सर्पिल जंप")</f>
        <v>A) चक्रवात स्पिन, B) थंडरबोल्ट, C) टॉरनेडो स्पिन, D) सर्पिल जंप</v>
      </c>
      <c r="I69" s="5" t="str">
        <f>IFERROR(__xludf.DUMMYFUNCTION("GOOGLETRANSLATE(D69, ""en"", ""hi"")"),"बी) थंडरबोल्ट")</f>
        <v>बी) थंडरबोल्ट</v>
      </c>
    </row>
    <row r="70" ht="22.5" customHeight="1">
      <c r="A70" s="7">
        <v>69.0</v>
      </c>
      <c r="B70" s="8" t="s">
        <v>5010</v>
      </c>
      <c r="C70" s="8" t="s">
        <v>5011</v>
      </c>
      <c r="D70" s="8" t="s">
        <v>4956</v>
      </c>
      <c r="F70" s="5" t="str">
        <f>IFERROR(__xludf.DUMMYFUNCTION("GOOGLETRANSLATE(A70, ""en"", ""hi"")"),"69")</f>
        <v>69</v>
      </c>
      <c r="G70" s="5" t="str">
        <f>IFERROR(__xludf.DUMMYFUNCTION("GOOGLETRANSLATE(B70, ""en"", ""hi"")"),"प्रतिस्पर्धी मैच में 'डबल पट्टाम' तकनीक का उपयोग करने वाला पहला खिलाड़ी कौन था?")</f>
        <v>प्रतिस्पर्धी मैच में 'डबल पट्टाम' तकनीक का उपयोग करने वाला पहला खिलाड़ी कौन था?</v>
      </c>
      <c r="H70" s="5" t="str">
        <f>IFERROR(__xludf.DUMMYFUNCTION("GOOGLETRANSLATE(C70, ""en"", ""hi"")"),"A) टी. एम. गणेशन, B) आर. के. राजेश, C) के. एस. रमेश, D) एस. वी. रवि")</f>
        <v>A) टी. एम. गणेशन, B) आर. के. राजेश, C) के. एस. रमेश, D) एस. वी. रवि</v>
      </c>
      <c r="I70" s="5" t="str">
        <f>IFERROR(__xludf.DUMMYFUNCTION("GOOGLETRANSLATE(D70, ""en"", ""hi"")"),"A) टी. एम. गणेशन")</f>
        <v>A) टी. एम. गणेशन</v>
      </c>
    </row>
    <row r="71" ht="22.5" customHeight="1">
      <c r="A71" s="7">
        <v>70.0</v>
      </c>
      <c r="B71" s="8" t="s">
        <v>5012</v>
      </c>
      <c r="C71" s="8" t="s">
        <v>5013</v>
      </c>
      <c r="D71" s="8" t="s">
        <v>5014</v>
      </c>
      <c r="F71" s="5" t="str">
        <f>IFERROR(__xludf.DUMMYFUNCTION("GOOGLETRANSLATE(A71, ""en"", ""hi"")"),"70")</f>
        <v>70</v>
      </c>
      <c r="G71" s="5" t="str">
        <f>IFERROR(__xludf.DUMMYFUNCTION("GOOGLETRANSLATE(B71, ""en"", ""hi"")"),"कौन सी पम्बरम चैंपियनशिप हर दो साल में आयोजित की जाती है और इसमें पूरे एशिया की टीमें भाग लेती हैं?")</f>
        <v>कौन सी पम्बरम चैंपियनशिप हर दो साल में आयोजित की जाती है और इसमें पूरे एशिया की टीमें भाग लेती हैं?</v>
      </c>
      <c r="H71" s="5" t="str">
        <f>IFERROR(__xludf.DUMMYFUNCTION("GOOGLETRANSLATE(C71, ""en"", ""hi"")"),"A) एशियाई पम्बरम चैम्पियनशिप, B) पैन-एशियाई टूर्नामेंट, C) दक्षिण एशियाई कप, D) अंतर्राष्ट्रीय पम्बरम कप")</f>
        <v>A) एशियाई पम्बरम चैम्पियनशिप, B) पैन-एशियाई टूर्नामेंट, C) दक्षिण एशियाई कप, D) अंतर्राष्ट्रीय पम्बरम कप</v>
      </c>
      <c r="I71" s="5" t="str">
        <f>IFERROR(__xludf.DUMMYFUNCTION("GOOGLETRANSLATE(D71, ""en"", ""hi"")"),"A) एशियाई पम्बरम चैम्पियनशिप")</f>
        <v>A) एशियाई पम्बरम चैम्पियनशिप</v>
      </c>
    </row>
    <row r="72" ht="22.5" customHeight="1">
      <c r="A72" s="7">
        <v>71.0</v>
      </c>
      <c r="B72" s="8" t="s">
        <v>5015</v>
      </c>
      <c r="C72" s="8" t="s">
        <v>4900</v>
      </c>
      <c r="D72" s="8" t="s">
        <v>37</v>
      </c>
      <c r="F72" s="5" t="str">
        <f>IFERROR(__xludf.DUMMYFUNCTION("GOOGLETRANSLATE(A72, ""en"", ""hi"")"),"71")</f>
        <v>71</v>
      </c>
      <c r="G72" s="5" t="str">
        <f>IFERROR(__xludf.DUMMYFUNCTION("GOOGLETRANSLATE(B72, ""en"", ""hi"")"),"2012 पम्बरम विश्व कप किसने जीता?")</f>
        <v>2012 पम्बरम विश्व कप किसने जीता?</v>
      </c>
      <c r="H72" s="5" t="str">
        <f>IFERROR(__xludf.DUMMYFUNCTION("GOOGLETRANSLATE(C72, ""en"", ""hi"")"),"A) भारत, B) श्रीलंका, C) बांग्लादेश, D) पाकिस्तान")</f>
        <v>A) भारत, B) श्रीलंका, C) बांग्लादेश, D) पाकिस्तान</v>
      </c>
      <c r="I72" s="5" t="str">
        <f>IFERROR(__xludf.DUMMYFUNCTION("GOOGLETRANSLATE(D72, ""en"", ""hi"")"),"ए) भारत")</f>
        <v>ए) भारत</v>
      </c>
    </row>
    <row r="73" ht="22.5" customHeight="1">
      <c r="A73" s="7">
        <v>72.0</v>
      </c>
      <c r="B73" s="8" t="s">
        <v>5016</v>
      </c>
      <c r="C73" s="8" t="s">
        <v>5017</v>
      </c>
      <c r="D73" s="8" t="s">
        <v>5018</v>
      </c>
      <c r="F73" s="5" t="str">
        <f>IFERROR(__xludf.DUMMYFUNCTION("GOOGLETRANSLATE(A73, ""en"", ""hi"")"),"72")</f>
        <v>72</v>
      </c>
      <c r="G73" s="5" t="str">
        <f>IFERROR(__xludf.DUMMYFUNCTION("GOOGLETRANSLATE(B73, ""en"", ""hi"")"),"पम्बाराम में 'डिफेंसिव गार्ड' तकनीक का प्राथमिक फोकस क्या है?")</f>
        <v>पम्बाराम में 'डिफेंसिव गार्ड' तकनीक का प्राथमिक फोकस क्या है?</v>
      </c>
      <c r="H73" s="5" t="str">
        <f>IFERROR(__xludf.DUMMYFUNCTION("GOOGLETRANSLATE(C73, ""en"", ""hi"")"),"A) पट्टम की रक्षा के लिए, B) प्रतिद्वंद्वी के हमलों को रोकने के लिए, C) जवाबी हमले की तैयारी के लिए, D) संतुलन बनाए रखने के लिए")</f>
        <v>A) पट्टम की रक्षा के लिए, B) प्रतिद्वंद्वी के हमलों को रोकने के लिए, C) जवाबी हमले की तैयारी के लिए, D) संतुलन बनाए रखने के लिए</v>
      </c>
      <c r="I73" s="5" t="str">
        <f>IFERROR(__xludf.DUMMYFUNCTION("GOOGLETRANSLATE(D73, ""en"", ""hi"")"),"बी) प्रतिद्वंद्वी के हमलों को रोकने के लिए")</f>
        <v>बी) प्रतिद्वंद्वी के हमलों को रोकने के लिए</v>
      </c>
    </row>
    <row r="74" ht="22.5" customHeight="1">
      <c r="A74" s="7">
        <v>73.0</v>
      </c>
      <c r="B74" s="8" t="s">
        <v>5019</v>
      </c>
      <c r="C74" s="8" t="s">
        <v>5020</v>
      </c>
      <c r="D74" s="8" t="s">
        <v>5021</v>
      </c>
      <c r="F74" s="5" t="str">
        <f>IFERROR(__xludf.DUMMYFUNCTION("GOOGLETRANSLATE(A74, ""en"", ""hi"")"),"73")</f>
        <v>73</v>
      </c>
      <c r="G74" s="5" t="str">
        <f>IFERROR(__xludf.DUMMYFUNCTION("GOOGLETRANSLATE(B74, ""en"", ""hi"")"),"कौन सा पम्बरम खिलाड़ी 'हाई आर्क थ्रो' के असाधारण उपयोग के लिए जाना जाता था?")</f>
        <v>कौन सा पम्बरम खिलाड़ी 'हाई आर्क थ्रो' के असाधारण उपयोग के लिए जाना जाता था?</v>
      </c>
      <c r="H74" s="5" t="str">
        <f>IFERROR(__xludf.DUMMYFUNCTION("GOOGLETRANSLATE(C74, ""en"", ""hi"")"),"A) आर. के. राजेश, B) एस. वी. रवि, C) टी. एम. गणेशन, D) के. एस. रमेश")</f>
        <v>A) आर. के. राजेश, B) एस. वी. रवि, C) टी. एम. गणेशन, D) के. एस. रमेश</v>
      </c>
      <c r="I74" s="5" t="str">
        <f>IFERROR(__xludf.DUMMYFUNCTION("GOOGLETRANSLATE(D74, ""en"", ""hi"")"),"C) टी. एम. गणेशन")</f>
        <v>C) टी. एम. गणेशन</v>
      </c>
    </row>
    <row r="75" ht="22.5" customHeight="1">
      <c r="A75" s="7">
        <v>74.0</v>
      </c>
      <c r="B75" s="8" t="s">
        <v>5022</v>
      </c>
      <c r="C75" s="8" t="s">
        <v>24</v>
      </c>
      <c r="D75" s="8" t="s">
        <v>25</v>
      </c>
      <c r="F75" s="5" t="str">
        <f>IFERROR(__xludf.DUMMYFUNCTION("GOOGLETRANSLATE(A75, ""en"", ""hi"")"),"74")</f>
        <v>74</v>
      </c>
      <c r="G75" s="5" t="str">
        <f>IFERROR(__xludf.DUMMYFUNCTION("GOOGLETRANSLATE(B75, ""en"", ""hi"")"),"पम्बरम फेडरेशन ने खिलाड़ी रैंकिंग की अवधारणा पहली बार किस वर्ष शुरू की थी?")</f>
        <v>पम्बरम फेडरेशन ने खिलाड़ी रैंकिंग की अवधारणा पहली बार किस वर्ष शुरू की थी?</v>
      </c>
      <c r="H75" s="5" t="str">
        <f>IFERROR(__xludf.DUMMYFUNCTION("GOOGLETRANSLATE(C75, ""en"", ""hi"")"),"ए) 1980, बी) 1985, सी) 1990, डी) 1995")</f>
        <v>ए) 1980, बी) 1985, सी) 1990, डी) 1995</v>
      </c>
      <c r="I75" s="5" t="str">
        <f>IFERROR(__xludf.DUMMYFUNCTION("GOOGLETRANSLATE(D75, ""en"", ""hi"")"),"बी) 1985")</f>
        <v>बी) 1985</v>
      </c>
    </row>
    <row r="76" ht="22.5" customHeight="1">
      <c r="A76" s="7">
        <v>75.0</v>
      </c>
      <c r="B76" s="8" t="s">
        <v>5023</v>
      </c>
      <c r="C76" s="8" t="s">
        <v>5024</v>
      </c>
      <c r="D76" s="8" t="s">
        <v>5025</v>
      </c>
      <c r="F76" s="5" t="str">
        <f>IFERROR(__xludf.DUMMYFUNCTION("GOOGLETRANSLATE(A76, ""en"", ""hi"")"),"75")</f>
        <v>75</v>
      </c>
      <c r="G76" s="5" t="str">
        <f>IFERROR(__xludf.DUMMYFUNCTION("GOOGLETRANSLATE(B76, ""en"", ""hi"")"),"1970 के दशक में कौन सा खिलाड़ी अपनी नवीन 'रिवर्स फ्लिक' तकनीक के लिए जाना जाता था?")</f>
        <v>1970 के दशक में कौन सा खिलाड़ी अपनी नवीन 'रिवर्स फ्लिक' तकनीक के लिए जाना जाता था?</v>
      </c>
      <c r="H76" s="5" t="str">
        <f>IFERROR(__xludf.DUMMYFUNCTION("GOOGLETRANSLATE(C76, ""en"", ""hi"")"),"A) एम. एन. कार्तिक, B) एस. वी. रवि, C) आर. के. राजेश, D) के. आर. मोहन")</f>
        <v>A) एम. एन. कार्तिक, B) एस. वी. रवि, C) आर. के. राजेश, D) के. आर. मोहन</v>
      </c>
      <c r="I76" s="5" t="str">
        <f>IFERROR(__xludf.DUMMYFUNCTION("GOOGLETRANSLATE(D76, ""en"", ""hi"")"),"D) के. आर. मोहन")</f>
        <v>D) के. आर. मोहन</v>
      </c>
    </row>
    <row r="77" ht="22.5" customHeight="1">
      <c r="A77" s="7">
        <v>76.0</v>
      </c>
      <c r="B77" s="8" t="s">
        <v>5026</v>
      </c>
      <c r="C77" s="8" t="s">
        <v>4900</v>
      </c>
      <c r="D77" s="8" t="s">
        <v>5027</v>
      </c>
      <c r="F77" s="5" t="str">
        <f>IFERROR(__xludf.DUMMYFUNCTION("GOOGLETRANSLATE(A77, ""en"", ""hi"")"),"76")</f>
        <v>76</v>
      </c>
      <c r="G77" s="5" t="str">
        <f>IFERROR(__xludf.DUMMYFUNCTION("GOOGLETRANSLATE(B77, ""en"", ""hi"")"),"वर्ष 2000 में आयोजित प्रथम पम्बरम ग्रैंड प्रिक्स किसने जीता?")</f>
        <v>वर्ष 2000 में आयोजित प्रथम पम्बरम ग्रैंड प्रिक्स किसने जीता?</v>
      </c>
      <c r="H77" s="5" t="str">
        <f>IFERROR(__xludf.DUMMYFUNCTION("GOOGLETRANSLATE(C77, ""en"", ""hi"")"),"A) भारत, B) श्रीलंका, C) बांग्लादेश, D) पाकिस्तान")</f>
        <v>A) भारत, B) श्रीलंका, C) बांग्लादेश, D) पाकिस्तान</v>
      </c>
      <c r="I77" s="5" t="str">
        <f>IFERROR(__xludf.DUMMYFUNCTION("GOOGLETRANSLATE(D77, ""en"", ""hi"")"),"बी) श्रीलंका")</f>
        <v>बी) श्रीलंका</v>
      </c>
    </row>
    <row r="78" ht="22.5" customHeight="1">
      <c r="A78" s="7">
        <v>77.0</v>
      </c>
      <c r="B78" s="8" t="s">
        <v>5028</v>
      </c>
      <c r="C78" s="8" t="s">
        <v>5029</v>
      </c>
      <c r="D78" s="8" t="s">
        <v>5030</v>
      </c>
      <c r="F78" s="5" t="str">
        <f>IFERROR(__xludf.DUMMYFUNCTION("GOOGLETRANSLATE(A78, ""en"", ""hi"")"),"77")</f>
        <v>77</v>
      </c>
      <c r="G78" s="5" t="str">
        <f>IFERROR(__xludf.DUMMYFUNCTION("GOOGLETRANSLATE(B78, ""en"", ""hi"")"),"पम्बारम में किस चाल में अधिकतम प्रभाव प्राप्त करने के लिए गति और सटीकता का संयोजन शामिल है?")</f>
        <v>पम्बारम में किस चाल में अधिकतम प्रभाव प्राप्त करने के लिए गति और सटीकता का संयोजन शामिल है?</v>
      </c>
      <c r="H78" s="5" t="str">
        <f>IFERROR(__xludf.DUMMYFUNCTION("GOOGLETRANSLATE(C78, ""en"", ""hi"")"),"ए) रैपिड स्ट्राइक, बी) पावर स्लैम, सी) क्विक फ्लिक, डी) साइक्लोन टर्न")</f>
        <v>ए) रैपिड स्ट्राइक, बी) पावर स्लैम, सी) क्विक फ्लिक, डी) साइक्लोन टर्न</v>
      </c>
      <c r="I78" s="5" t="str">
        <f>IFERROR(__xludf.DUMMYFUNCTION("GOOGLETRANSLATE(D78, ""en"", ""hi"")"),"ए) रैपिड स्ट्राइक")</f>
        <v>ए) रैपिड स्ट्राइक</v>
      </c>
    </row>
    <row r="79" ht="22.5" customHeight="1">
      <c r="A79" s="7">
        <v>78.0</v>
      </c>
      <c r="B79" s="8" t="s">
        <v>5031</v>
      </c>
      <c r="C79" s="8" t="s">
        <v>5032</v>
      </c>
      <c r="D79" s="8" t="s">
        <v>5033</v>
      </c>
      <c r="F79" s="5" t="str">
        <f>IFERROR(__xludf.DUMMYFUNCTION("GOOGLETRANSLATE(A79, ""en"", ""hi"")"),"78")</f>
        <v>78</v>
      </c>
      <c r="G79" s="5" t="str">
        <f>IFERROR(__xludf.DUMMYFUNCTION("GOOGLETRANSLATE(B79, ""en"", ""hi"")"),"प्राचीन भित्तिचित्रों में किस ऐतिहासिक व्यक्ति को पम्बरम बजाते हुए दर्शाया गया है?")</f>
        <v>प्राचीन भित्तिचित्रों में किस ऐतिहासिक व्यक्ति को पम्बरम बजाते हुए दर्शाया गया है?</v>
      </c>
      <c r="H79" s="5" t="str">
        <f>IFERROR(__xludf.DUMMYFUNCTION("GOOGLETRANSLATE(C79, ""en"", ""hi"")"),"ए) चंद्रगुप्त मौर्य, बी) राजा अशोक, सी) सम्राट अकबर, डी) राजा राजराज चोल")</f>
        <v>ए) चंद्रगुप्त मौर्य, बी) राजा अशोक, सी) सम्राट अकबर, डी) राजा राजराज चोल</v>
      </c>
      <c r="I79" s="5" t="str">
        <f>IFERROR(__xludf.DUMMYFUNCTION("GOOGLETRANSLATE(D79, ""en"", ""hi"")"),"D) राजा राजराजा चोल")</f>
        <v>D) राजा राजराजा चोल</v>
      </c>
    </row>
    <row r="80" ht="22.5" customHeight="1">
      <c r="A80" s="7">
        <v>79.0</v>
      </c>
      <c r="B80" s="8" t="s">
        <v>5034</v>
      </c>
      <c r="C80" s="8" t="s">
        <v>5035</v>
      </c>
      <c r="D80" s="8" t="s">
        <v>4950</v>
      </c>
      <c r="F80" s="5" t="str">
        <f>IFERROR(__xludf.DUMMYFUNCTION("GOOGLETRANSLATE(A80, ""en"", ""hi"")"),"79")</f>
        <v>79</v>
      </c>
      <c r="G80" s="5" t="str">
        <f>IFERROR(__xludf.DUMMYFUNCTION("GOOGLETRANSLATE(B80, ""en"", ""hi"")"),"कौन सा पम्बरम खिलाड़ी 'डबल स्पिन' चाल के रणनीतिक उपयोग के लिए प्रसिद्ध था?")</f>
        <v>कौन सा पम्बरम खिलाड़ी 'डबल स्पिन' चाल के रणनीतिक उपयोग के लिए प्रसिद्ध था?</v>
      </c>
      <c r="H80" s="5" t="str">
        <f>IFERROR(__xludf.DUMMYFUNCTION("GOOGLETRANSLATE(C80, ""en"", ""hi"")"),"A) टी. एम. गणेशन, B) वी. एस. रवि, C) आर. के. राजेश, D) के. एस. रमेश")</f>
        <v>A) टी. एम. गणेशन, B) वी. एस. रवि, C) आर. के. राजेश, D) के. एस. रमेश</v>
      </c>
      <c r="I80" s="5" t="str">
        <f>IFERROR(__xludf.DUMMYFUNCTION("GOOGLETRANSLATE(D80, ""en"", ""hi"")"),"बी) वी. एस. रवि")</f>
        <v>बी) वी. एस. रवि</v>
      </c>
    </row>
    <row r="81" ht="22.5" customHeight="1">
      <c r="A81" s="7">
        <v>80.0</v>
      </c>
      <c r="B81" s="8" t="s">
        <v>5036</v>
      </c>
      <c r="C81" s="8" t="s">
        <v>5037</v>
      </c>
      <c r="D81" s="8" t="s">
        <v>5038</v>
      </c>
      <c r="F81" s="5" t="str">
        <f>IFERROR(__xludf.DUMMYFUNCTION("GOOGLETRANSLATE(A81, ""en"", ""hi"")"),"80")</f>
        <v>80</v>
      </c>
      <c r="G81" s="5" t="str">
        <f>IFERROR(__xludf.DUMMYFUNCTION("GOOGLETRANSLATE(B81, ""en"", ""hi"")"),"पम्बरम में किस टूर्नामेंट में पहली बार डिजिटल स्कोरकीपिंग का उपयोग शुरू किया गया?")</f>
        <v>पम्बरम में किस टूर्नामेंट में पहली बार डिजिटल स्कोरकीपिंग का उपयोग शुरू किया गया?</v>
      </c>
      <c r="H81" s="5" t="str">
        <f>IFERROR(__xludf.DUMMYFUNCTION("GOOGLETRANSLATE(C81, ""en"", ""hi"")"),"A) चेन्नई ओपन, B) राष्ट्रीय चैम्पियनशिप, C) गोल्डन पट्टम टूर्नामेंट, D) सदर्न मास्टर्स")</f>
        <v>A) चेन्नई ओपन, B) राष्ट्रीय चैम्पियनशिप, C) गोल्डन पट्टम टूर्नामेंट, D) सदर्न मास्टर्स</v>
      </c>
      <c r="I81" s="5" t="str">
        <f>IFERROR(__xludf.DUMMYFUNCTION("GOOGLETRANSLATE(D81, ""en"", ""hi"")"),"A) चेन्नई ओपन")</f>
        <v>A) चेन्नई ओपन</v>
      </c>
    </row>
    <row r="82" ht="22.5" customHeight="1">
      <c r="A82" s="7">
        <v>81.0</v>
      </c>
      <c r="B82" s="8" t="s">
        <v>5039</v>
      </c>
      <c r="C82" s="8" t="s">
        <v>5040</v>
      </c>
      <c r="D82" s="8" t="s">
        <v>4860</v>
      </c>
      <c r="F82" s="5" t="str">
        <f>IFERROR(__xludf.DUMMYFUNCTION("GOOGLETRANSLATE(A82, ""en"", ""hi"")"),"81")</f>
        <v>81</v>
      </c>
      <c r="G82" s="5" t="str">
        <f>IFERROR(__xludf.DUMMYFUNCTION("GOOGLETRANSLATE(B82, ""en"", ""hi"")"),"कौन सा पम्बरम खिलाड़ी 'हाई आर्क थ्रो' तकनीक के लिए जाना जाता है?")</f>
        <v>कौन सा पम्बरम खिलाड़ी 'हाई आर्क थ्रो' तकनीक के लिए जाना जाता है?</v>
      </c>
      <c r="H82" s="5" t="str">
        <f>IFERROR(__xludf.DUMMYFUNCTION("GOOGLETRANSLATE(C82, ""en"", ""hi"")"),"ए) एस. वी. रवि, बी) टी. एम. गणेशन, सी) आर. के. राजेश, डी) के. एस. रमेश")</f>
        <v>ए) एस. वी. रवि, बी) टी. एम. गणेशन, सी) आर. के. राजेश, डी) के. एस. रमेश</v>
      </c>
      <c r="I82" s="5" t="str">
        <f>IFERROR(__xludf.DUMMYFUNCTION("GOOGLETRANSLATE(D82, ""en"", ""hi"")"),"बी) टी. एम. गणेशन")</f>
        <v>बी) टी. एम. गणेशन</v>
      </c>
    </row>
    <row r="83" ht="22.5" customHeight="1">
      <c r="A83" s="7">
        <v>82.0</v>
      </c>
      <c r="B83" s="8" t="s">
        <v>5041</v>
      </c>
      <c r="C83" s="8" t="s">
        <v>5042</v>
      </c>
      <c r="D83" s="8" t="s">
        <v>5043</v>
      </c>
      <c r="F83" s="5" t="str">
        <f>IFERROR(__xludf.DUMMYFUNCTION("GOOGLETRANSLATE(A83, ""en"", ""hi"")"),"82")</f>
        <v>82</v>
      </c>
      <c r="G83" s="5" t="str">
        <f>IFERROR(__xludf.DUMMYFUNCTION("GOOGLETRANSLATE(B83, ""en"", ""hi"")"),"पम्बारम में, त्वरित क्रम में सफल हमलों की श्रृंखला के लिए क्या शब्द प्रयुक्त किया जाता है?")</f>
        <v>पम्बारम में, त्वरित क्रम में सफल हमलों की श्रृंखला के लिए क्या शब्द प्रयुक्त किया जाता है?</v>
      </c>
      <c r="H83" s="5" t="str">
        <f>IFERROR(__xludf.DUMMYFUNCTION("GOOGLETRANSLATE(C83, ""en"", ""hi"")"),"ए) कॉम्बो हिट्स, बी) रैपिड फायर, सी) ट्रिपल थ्रेट, डी) क्विक स्ट्राइक")</f>
        <v>ए) कॉम्बो हिट्स, बी) रैपिड फायर, सी) ट्रिपल थ्रेट, डी) क्विक स्ट्राइक</v>
      </c>
      <c r="I83" s="5" t="str">
        <f>IFERROR(__xludf.DUMMYFUNCTION("GOOGLETRANSLATE(D83, ""en"", ""hi"")"),"C) ट्रिपल थ्रेट")</f>
        <v>C) ट्रिपल थ्रेट</v>
      </c>
    </row>
    <row r="84" ht="22.5" customHeight="1">
      <c r="A84" s="7">
        <v>83.0</v>
      </c>
      <c r="B84" s="8" t="s">
        <v>5044</v>
      </c>
      <c r="C84" s="8" t="s">
        <v>5045</v>
      </c>
      <c r="D84" s="8" t="s">
        <v>4988</v>
      </c>
      <c r="F84" s="5" t="str">
        <f>IFERROR(__xludf.DUMMYFUNCTION("GOOGLETRANSLATE(A84, ""en"", ""hi"")"),"83")</f>
        <v>83</v>
      </c>
      <c r="G84" s="5" t="str">
        <f>IFERROR(__xludf.DUMMYFUNCTION("GOOGLETRANSLATE(B84, ""en"", ""hi"")"),"किस आयोजन के कारण पम्बरम विश्व कप में अंतर्राष्ट्रीय टीमों की शुरुआत हुई?")</f>
        <v>किस आयोजन के कारण पम्बरम विश्व कप में अंतर्राष्ट्रीय टीमों की शुरुआत हुई?</v>
      </c>
      <c r="H84" s="5" t="str">
        <f>IFERROR(__xludf.DUMMYFUNCTION("GOOGLETRANSLATE(C84, ""en"", ""hi"")"),"A) अंतर्राष्ट्रीय पम्बरम एसोसिएशन का निर्माण, B) वैश्विक रुचि में वृद्धि, C) नए नियमों की स्थापना, D) एशिया में खेल का विकास")</f>
        <v>A) अंतर्राष्ट्रीय पम्बरम एसोसिएशन का निर्माण, B) वैश्विक रुचि में वृद्धि, C) नए नियमों की स्थापना, D) एशिया में खेल का विकास</v>
      </c>
      <c r="I84" s="5" t="str">
        <f>IFERROR(__xludf.DUMMYFUNCTION("GOOGLETRANSLATE(D84, ""en"", ""hi"")"),"A) अंतर्राष्ट्रीय पम्बरम एसोसिएशन का निर्माण")</f>
        <v>A) अंतर्राष्ट्रीय पम्बरम एसोसिएशन का निर्माण</v>
      </c>
    </row>
    <row r="85" ht="22.5" customHeight="1">
      <c r="A85" s="7">
        <v>84.0</v>
      </c>
      <c r="B85" s="8" t="s">
        <v>5046</v>
      </c>
      <c r="C85" s="8" t="s">
        <v>60</v>
      </c>
      <c r="D85" s="8" t="s">
        <v>37</v>
      </c>
      <c r="F85" s="5" t="str">
        <f>IFERROR(__xludf.DUMMYFUNCTION("GOOGLETRANSLATE(A85, ""en"", ""hi"")"),"84")</f>
        <v>84</v>
      </c>
      <c r="G85" s="5" t="str">
        <f>IFERROR(__xludf.DUMMYFUNCTION("GOOGLETRANSLATE(B85, ""en"", ""hi"")"),"2018 पम्बरम विश्व कप किसने जीता?")</f>
        <v>2018 पम्बरम विश्व कप किसने जीता?</v>
      </c>
      <c r="H85" s="5" t="str">
        <f>IFERROR(__xludf.DUMMYFUNCTION("GOOGLETRANSLATE(C85, ""en"", ""hi"")"),"A) भारत, B) पाकिस्तान, C) बांग्लादेश, D) श्रीलंका")</f>
        <v>A) भारत, B) पाकिस्तान, C) बांग्लादेश, D) श्रीलंका</v>
      </c>
      <c r="I85" s="5" t="str">
        <f>IFERROR(__xludf.DUMMYFUNCTION("GOOGLETRANSLATE(D85, ""en"", ""hi"")"),"ए) भारत")</f>
        <v>ए) भारत</v>
      </c>
    </row>
    <row r="86" ht="22.5" customHeight="1">
      <c r="A86" s="7">
        <v>85.0</v>
      </c>
      <c r="B86" s="8" t="s">
        <v>5047</v>
      </c>
      <c r="C86" s="8" t="s">
        <v>5048</v>
      </c>
      <c r="D86" s="8" t="s">
        <v>4956</v>
      </c>
      <c r="F86" s="5" t="str">
        <f>IFERROR(__xludf.DUMMYFUNCTION("GOOGLETRANSLATE(A86, ""en"", ""hi"")"),"85")</f>
        <v>85</v>
      </c>
      <c r="G86" s="5" t="str">
        <f>IFERROR(__xludf.DUMMYFUNCTION("GOOGLETRANSLATE(B86, ""en"", ""hi"")"),"1960 के दशक में कौन सा खिलाड़ी अपनी अभिनव 'डबल पट्टाम' तकनीक के लिए जाना जाता था?")</f>
        <v>1960 के दशक में कौन सा खिलाड़ी अपनी अभिनव 'डबल पट्टाम' तकनीक के लिए जाना जाता था?</v>
      </c>
      <c r="H86" s="5" t="str">
        <f>IFERROR(__xludf.DUMMYFUNCTION("GOOGLETRANSLATE(C86, ""en"", ""hi"")"),"A) टी. एम. गणेशन, B) आर. के. राजेश, C) एस. वी. रवि, D) के. एस. रमेश")</f>
        <v>A) टी. एम. गणेशन, B) आर. के. राजेश, C) एस. वी. रवि, D) के. एस. रमेश</v>
      </c>
      <c r="I86" s="5" t="str">
        <f>IFERROR(__xludf.DUMMYFUNCTION("GOOGLETRANSLATE(D86, ""en"", ""hi"")"),"A) टी. एम. गणेशन")</f>
        <v>A) टी. एम. गणेशन</v>
      </c>
    </row>
    <row r="87" ht="22.5" customHeight="1">
      <c r="A87" s="7">
        <v>86.0</v>
      </c>
      <c r="B87" s="8" t="s">
        <v>5049</v>
      </c>
      <c r="C87" s="8" t="s">
        <v>5050</v>
      </c>
      <c r="D87" s="8" t="s">
        <v>4873</v>
      </c>
      <c r="F87" s="5" t="str">
        <f>IFERROR(__xludf.DUMMYFUNCTION("GOOGLETRANSLATE(A87, ""en"", ""hi"")"),"86")</f>
        <v>86</v>
      </c>
      <c r="G87" s="5" t="str">
        <f>IFERROR(__xludf.DUMMYFUNCTION("GOOGLETRANSLATE(B87, ""en"", ""hi"")"),"कौन सा पम्बरम टूर्नामेंट टीम-आधारित प्रतियोगिताओं की अवधारणा को पेश करने वाला पहला टूर्नामेंट था?")</f>
        <v>कौन सा पम्बरम टूर्नामेंट टीम-आधारित प्रतियोगिताओं की अवधारणा को पेश करने वाला पहला टूर्नामेंट था?</v>
      </c>
      <c r="H87" s="5" t="str">
        <f>IFERROR(__xludf.DUMMYFUNCTION("GOOGLETRANSLATE(C87, ""en"", ""hi"")"),"A) गोल्डन पट्टम टूर्नामेंट, B) राष्ट्रीय चैम्पियनशिप, C) चेन्नई ओपन, D) सदर्न मास्टर्स")</f>
        <v>A) गोल्डन पट्टम टूर्नामेंट, B) राष्ट्रीय चैम्पियनशिप, C) चेन्नई ओपन, D) सदर्न मास्टर्स</v>
      </c>
      <c r="I87" s="5" t="str">
        <f>IFERROR(__xludf.DUMMYFUNCTION("GOOGLETRANSLATE(D87, ""en"", ""hi"")"),"बी) राष्ट्रीय चैम्पियनशिप")</f>
        <v>बी) राष्ट्रीय चैम्पियनशिप</v>
      </c>
    </row>
    <row r="88" ht="22.5" customHeight="1">
      <c r="A88" s="7">
        <v>87.0</v>
      </c>
      <c r="B88" s="8" t="s">
        <v>5051</v>
      </c>
      <c r="C88" s="8" t="s">
        <v>5052</v>
      </c>
      <c r="D88" s="8" t="s">
        <v>5053</v>
      </c>
      <c r="F88" s="5" t="str">
        <f>IFERROR(__xludf.DUMMYFUNCTION("GOOGLETRANSLATE(A88, ""en"", ""hi"")"),"87")</f>
        <v>87</v>
      </c>
      <c r="G88" s="5" t="str">
        <f>IFERROR(__xludf.DUMMYFUNCTION("GOOGLETRANSLATE(B88, ""en"", ""hi"")"),"कौन सी भारतीय सरकारी संस्था पम्बरम को राष्ट्रीय खेल के रूप में बढ़ावा देने के लिए जिम्मेदार है?")</f>
        <v>कौन सी भारतीय सरकारी संस्था पम्बरम को राष्ट्रीय खेल के रूप में बढ़ावा देने के लिए जिम्मेदार है?</v>
      </c>
      <c r="H88" s="5" t="str">
        <f>IFERROR(__xludf.DUMMYFUNCTION("GOOGLETRANSLATE(C88, ""en"", ""hi"")"),"A) खेल और युवा मामले मंत्रालय, B) अखिल भारतीय खेल महासंघ, C) राष्ट्रीय खेल प्राधिकरण, D) भारतीय ओलंपिक संघ")</f>
        <v>A) खेल और युवा मामले मंत्रालय, B) अखिल भारतीय खेल महासंघ, C) राष्ट्रीय खेल प्राधिकरण, D) भारतीय ओलंपिक संघ</v>
      </c>
      <c r="I88" s="5" t="str">
        <f>IFERROR(__xludf.DUMMYFUNCTION("GOOGLETRANSLATE(D88, ""en"", ""hi"")"),"A) खेल और युवा मामले मंत्रालय")</f>
        <v>A) खेल और युवा मामले मंत्रालय</v>
      </c>
    </row>
    <row r="89" ht="22.5" customHeight="1">
      <c r="A89" s="7">
        <v>88.0</v>
      </c>
      <c r="B89" s="8" t="s">
        <v>5054</v>
      </c>
      <c r="C89" s="8" t="s">
        <v>5055</v>
      </c>
      <c r="D89" s="8" t="s">
        <v>5056</v>
      </c>
      <c r="F89" s="5" t="str">
        <f>IFERROR(__xludf.DUMMYFUNCTION("GOOGLETRANSLATE(A89, ""en"", ""hi"")"),"88")</f>
        <v>88</v>
      </c>
      <c r="G89" s="5" t="str">
        <f>IFERROR(__xludf.DUMMYFUNCTION("GOOGLETRANSLATE(B89, ""en"", ""hi"")"),"पम्बरम को भारत में आधिकारिक तौर पर राष्ट्रीय खेल के रूप में किस वर्ष मान्यता दी गई थी?")</f>
        <v>पम्बरम को भारत में आधिकारिक तौर पर राष्ट्रीय खेल के रूप में किस वर्ष मान्यता दी गई थी?</v>
      </c>
      <c r="H89" s="5" t="str">
        <f>IFERROR(__xludf.DUMMYFUNCTION("GOOGLETRANSLATE(C89, ""en"", ""hi"")"),"ए) 1965, बी) 1972, सी) 1980, डी) 1985")</f>
        <v>ए) 1965, बी) 1972, सी) 1980, डी) 1985</v>
      </c>
      <c r="I89" s="5" t="str">
        <f>IFERROR(__xludf.DUMMYFUNCTION("GOOGLETRANSLATE(D89, ""en"", ""hi"")"),"सी) 1980")</f>
        <v>सी) 1980</v>
      </c>
    </row>
    <row r="90" ht="22.5" customHeight="1">
      <c r="A90" s="7">
        <v>89.0</v>
      </c>
      <c r="B90" s="8" t="s">
        <v>5057</v>
      </c>
      <c r="C90" s="8" t="s">
        <v>5058</v>
      </c>
      <c r="D90" s="8" t="s">
        <v>5059</v>
      </c>
      <c r="F90" s="5" t="str">
        <f>IFERROR(__xludf.DUMMYFUNCTION("GOOGLETRANSLATE(A90, ""en"", ""hi"")"),"89")</f>
        <v>89</v>
      </c>
      <c r="G90" s="5" t="str">
        <f>IFERROR(__xludf.DUMMYFUNCTION("GOOGLETRANSLATE(B90, ""en"", ""hi"")"),"पम्बरम सहित पारंपरिक भारतीय खेलों को बढ़ावा देने के लिए कौन सा ऐतिहासिक कानून पारित किया गया?")</f>
        <v>पम्बरम सहित पारंपरिक भारतीय खेलों को बढ़ावा देने के लिए कौन सा ऐतिहासिक कानून पारित किया गया?</v>
      </c>
      <c r="H90" s="5" t="str">
        <f>IFERROR(__xludf.DUMMYFUNCTION("GOOGLETRANSLATE(C90, ""en"", ""hi"")"),"A) राष्ट्रीय खेल विकास अधिनियम, B) खेल संवर्धन अधिनियम, C) पारंपरिक खेल संरक्षण अधिनियम, D) भारतीय खेल विकास अधिनियम")</f>
        <v>A) राष्ट्रीय खेल विकास अधिनियम, B) खेल संवर्धन अधिनियम, C) पारंपरिक खेल संरक्षण अधिनियम, D) भारतीय खेल विकास अधिनियम</v>
      </c>
      <c r="I90" s="5" t="str">
        <f>IFERROR(__xludf.DUMMYFUNCTION("GOOGLETRANSLATE(D90, ""en"", ""hi"")"),"ए) राष्ट्रीय खेल विकास अधिनियम")</f>
        <v>ए) राष्ट्रीय खेल विकास अधिनियम</v>
      </c>
    </row>
    <row r="91" ht="22.5" customHeight="1">
      <c r="A91" s="7">
        <v>90.0</v>
      </c>
      <c r="B91" s="8" t="s">
        <v>5060</v>
      </c>
      <c r="C91" s="8" t="s">
        <v>5061</v>
      </c>
      <c r="D91" s="8" t="s">
        <v>5062</v>
      </c>
      <c r="F91" s="5" t="str">
        <f>IFERROR(__xludf.DUMMYFUNCTION("GOOGLETRANSLATE(A91, ""en"", ""hi"")"),"90")</f>
        <v>90</v>
      </c>
      <c r="G91" s="5" t="str">
        <f>IFERROR(__xludf.DUMMYFUNCTION("GOOGLETRANSLATE(B91, ""en"", ""hi"")"),"विश्व कप में पम्बरम का प्रतिनिधित्व करने वाला पहला अंतर्राष्ट्रीय खिलाड़ी कौन था?")</f>
        <v>विश्व कप में पम्बरम का प्रतिनिधित्व करने वाला पहला अंतर्राष्ट्रीय खिलाड़ी कौन था?</v>
      </c>
      <c r="H91" s="5" t="str">
        <f>IFERROR(__xludf.DUMMYFUNCTION("GOOGLETRANSLATE(C91, ""en"", ""hi"")"),"A) ए. एन. पटेल, B) जे. के. राव, C) बी. एम. कुमार, D) सी. एन. शर्मा")</f>
        <v>A) ए. एन. पटेल, B) जे. के. राव, C) बी. एम. कुमार, D) सी. एन. शर्मा</v>
      </c>
      <c r="I91" s="5" t="str">
        <f>IFERROR(__xludf.DUMMYFUNCTION("GOOGLETRANSLATE(D91, ""en"", ""hi"")"),"A) ए. एन. पटेल")</f>
        <v>A) ए. एन. पटेल</v>
      </c>
    </row>
    <row r="92" ht="22.5" customHeight="1">
      <c r="A92" s="7">
        <v>91.0</v>
      </c>
      <c r="B92" s="8" t="s">
        <v>5063</v>
      </c>
      <c r="C92" s="8" t="s">
        <v>5064</v>
      </c>
      <c r="D92" s="8" t="s">
        <v>5065</v>
      </c>
      <c r="F92" s="5" t="str">
        <f>IFERROR(__xludf.DUMMYFUNCTION("GOOGLETRANSLATE(A92, ""en"", ""hi"")"),"91")</f>
        <v>91</v>
      </c>
      <c r="G92" s="5" t="str">
        <f>IFERROR(__xludf.DUMMYFUNCTION("GOOGLETRANSLATE(B92, ""en"", ""hi"")"),"कौन सा पम्बरम टूर्नामेंट प्रतिभागियों की संख्या के संदर्भ में सबसे बड़ा घरेलू आयोजन माना जाता है?")</f>
        <v>कौन सा पम्बरम टूर्नामेंट प्रतिभागियों की संख्या के संदर्भ में सबसे बड़ा घरेलू आयोजन माना जाता है?</v>
      </c>
      <c r="H92" s="5" t="str">
        <f>IFERROR(__xludf.DUMMYFUNCTION("GOOGLETRANSLATE(C92, ""en"", ""hi"")"),"A) राष्ट्रीय पम्बरम चैम्पियनशिप, B) चेन्नई ओपन, C) दक्षिणी मास्टर्स, D) गोल्डन पट्टम टूर्नामेंट")</f>
        <v>A) राष्ट्रीय पम्बरम चैम्पियनशिप, B) चेन्नई ओपन, C) दक्षिणी मास्टर्स, D) गोल्डन पट्टम टूर्नामेंट</v>
      </c>
      <c r="I92" s="5" t="str">
        <f>IFERROR(__xludf.DUMMYFUNCTION("GOOGLETRANSLATE(D92, ""en"", ""hi"")"),"ए) राष्ट्रीय पम्बरम चैम्पियनशिप")</f>
        <v>ए) राष्ट्रीय पम्बरम चैम्पियनशिप</v>
      </c>
    </row>
    <row r="93" ht="22.5" customHeight="1">
      <c r="A93" s="7">
        <v>92.0</v>
      </c>
      <c r="B93" s="8" t="s">
        <v>5066</v>
      </c>
      <c r="C93" s="8" t="s">
        <v>5067</v>
      </c>
      <c r="D93" s="8" t="s">
        <v>5068</v>
      </c>
      <c r="F93" s="5" t="str">
        <f>IFERROR(__xludf.DUMMYFUNCTION("GOOGLETRANSLATE(A93, ""en"", ""hi"")"),"92")</f>
        <v>92</v>
      </c>
      <c r="G93" s="5" t="str">
        <f>IFERROR(__xludf.DUMMYFUNCTION("GOOGLETRANSLATE(B93, ""en"", ""hi"")"),"2010 में स्थापित पम्बरम प्रमोशन समिति का प्राथमिक उद्देश्य क्या है?")</f>
        <v>2010 में स्थापित पम्बरम प्रमोशन समिति का प्राथमिक उद्देश्य क्या है?</v>
      </c>
      <c r="H93" s="5" t="str">
        <f>IFERROR(__xludf.DUMMYFUNCTION("GOOGLETRANSLATE(C93, ""en"", ""hi"")"),"A) राष्ट्रीय टूर्नामेंट आयोजित करना, B) नए खिलाड़ियों को विकसित करना, C) वैश्विक दृश्यता बढ़ाना, D) प्रशिक्षण विधियों का मानकीकरण करना")</f>
        <v>A) राष्ट्रीय टूर्नामेंट आयोजित करना, B) नए खिलाड़ियों को विकसित करना, C) वैश्विक दृश्यता बढ़ाना, D) प्रशिक्षण विधियों का मानकीकरण करना</v>
      </c>
      <c r="I93" s="5" t="str">
        <f>IFERROR(__xludf.DUMMYFUNCTION("GOOGLETRANSLATE(D93, ""en"", ""hi"")"),"C) वैश्विक दृश्यता बढ़ाने के लिए")</f>
        <v>C) वैश्विक दृश्यता बढ़ाने के लिए</v>
      </c>
    </row>
    <row r="94" ht="22.5" customHeight="1">
      <c r="A94" s="7">
        <v>93.0</v>
      </c>
      <c r="B94" s="8" t="s">
        <v>5069</v>
      </c>
      <c r="C94" s="8" t="s">
        <v>5070</v>
      </c>
      <c r="D94" s="8" t="s">
        <v>5071</v>
      </c>
      <c r="F94" s="5" t="str">
        <f>IFERROR(__xludf.DUMMYFUNCTION("GOOGLETRANSLATE(A94, ""en"", ""hi"")"),"93")</f>
        <v>93</v>
      </c>
      <c r="G94" s="5" t="str">
        <f>IFERROR(__xludf.DUMMYFUNCTION("GOOGLETRANSLATE(B94, ""en"", ""hi"")"),"कौन सा पम्बरम खिलाड़ी सभी प्रमुख टूर्नामेंटों में ग्रैंड स्लैम जीतने वाला पहला खिलाड़ी था?")</f>
        <v>कौन सा पम्बरम खिलाड़ी सभी प्रमुख टूर्नामेंटों में ग्रैंड स्लैम जीतने वाला पहला खिलाड़ी था?</v>
      </c>
      <c r="H94" s="5" t="str">
        <f>IFERROR(__xludf.DUMMYFUNCTION("GOOGLETRANSLATE(C94, ""en"", ""hi"")"),"ए) एस. वी. रवि, बी) आर. के. राजेश, सी) टी. एम. गणेशन, डी) के. आर. मोहन")</f>
        <v>ए) एस. वी. रवि, बी) आर. के. राजेश, सी) टी. एम. गणेशन, डी) के. आर. मोहन</v>
      </c>
      <c r="I94" s="5" t="str">
        <f>IFERROR(__xludf.DUMMYFUNCTION("GOOGLETRANSLATE(D94, ""en"", ""hi"")"),"बी) आर. के. राजेश")</f>
        <v>बी) आर. के. राजेश</v>
      </c>
    </row>
    <row r="95" ht="22.5" customHeight="1">
      <c r="A95" s="7">
        <v>94.0</v>
      </c>
      <c r="B95" s="8" t="s">
        <v>5072</v>
      </c>
      <c r="C95" s="8" t="s">
        <v>2001</v>
      </c>
      <c r="D95" s="8" t="s">
        <v>612</v>
      </c>
      <c r="F95" s="5" t="str">
        <f>IFERROR(__xludf.DUMMYFUNCTION("GOOGLETRANSLATE(A95, ""en"", ""hi"")"),"94")</f>
        <v>94</v>
      </c>
      <c r="G95" s="5" t="str">
        <f>IFERROR(__xludf.DUMMYFUNCTION("GOOGLETRANSLATE(B95, ""en"", ""hi"")"),"पम्बरम विश्व कप में पहली बार दक्षिण एशिया के बाहर की टीमें किस वर्ष शामिल की गईं?")</f>
        <v>पम्बरम विश्व कप में पहली बार दक्षिण एशिया के बाहर की टीमें किस वर्ष शामिल की गईं?</v>
      </c>
      <c r="H95" s="5" t="str">
        <f>IFERROR(__xludf.DUMMYFUNCTION("GOOGLETRANSLATE(C95, ""en"", ""hi"")"),"ए) 2000, बी) 2005, सी) 2010, डी) 2015")</f>
        <v>ए) 2000, बी) 2005, सी) 2010, डी) 2015</v>
      </c>
      <c r="I95" s="5" t="str">
        <f>IFERROR(__xludf.DUMMYFUNCTION("GOOGLETRANSLATE(D95, ""en"", ""hi"")"),"बी) 2005")</f>
        <v>बी) 2005</v>
      </c>
    </row>
    <row r="96" ht="22.5" customHeight="1">
      <c r="A96" s="7">
        <v>95.0</v>
      </c>
      <c r="B96" s="8" t="s">
        <v>5073</v>
      </c>
      <c r="C96" s="8" t="s">
        <v>5074</v>
      </c>
      <c r="D96" s="8" t="s">
        <v>5075</v>
      </c>
      <c r="F96" s="5" t="str">
        <f>IFERROR(__xludf.DUMMYFUNCTION("GOOGLETRANSLATE(A96, ""en"", ""hi"")"),"95")</f>
        <v>95</v>
      </c>
      <c r="G96" s="5" t="str">
        <f>IFERROR(__xludf.DUMMYFUNCTION("GOOGLETRANSLATE(B96, ""en"", ""hi"")"),"विश्व भर में पम्बाराम के लिए आधिकारिक शासी निकाय कौन सा है?")</f>
        <v>विश्व भर में पम्बाराम के लिए आधिकारिक शासी निकाय कौन सा है?</v>
      </c>
      <c r="H96" s="5" t="str">
        <f>IFERROR(__xludf.DUMMYFUNCTION("GOOGLETRANSLATE(C96, ""en"", ""hi"")"),"A) अंतर्राष्ट्रीय पम्बरम महासंघ, B) विश्व पम्बरम संघ, C) वैश्विक पम्बरम परिषद, D) अंतर्राष्ट्रीय खेल समिति")</f>
        <v>A) अंतर्राष्ट्रीय पम्बरम महासंघ, B) विश्व पम्बरम संघ, C) वैश्विक पम्बरम परिषद, D) अंतर्राष्ट्रीय खेल समिति</v>
      </c>
      <c r="I96" s="5" t="str">
        <f>IFERROR(__xludf.DUMMYFUNCTION("GOOGLETRANSLATE(D96, ""en"", ""hi"")"),"A) अंतर्राष्ट्रीय पम्बरम महासंघ")</f>
        <v>A) अंतर्राष्ट्रीय पम्बरम महासंघ</v>
      </c>
    </row>
    <row r="97" ht="22.5" customHeight="1">
      <c r="A97" s="7">
        <v>96.0</v>
      </c>
      <c r="B97" s="8" t="s">
        <v>5076</v>
      </c>
      <c r="C97" s="8" t="s">
        <v>5077</v>
      </c>
      <c r="D97" s="8" t="s">
        <v>5078</v>
      </c>
      <c r="F97" s="5" t="str">
        <f>IFERROR(__xludf.DUMMYFUNCTION("GOOGLETRANSLATE(A97, ""en"", ""hi"")"),"96")</f>
        <v>96</v>
      </c>
      <c r="G97" s="5" t="str">
        <f>IFERROR(__xludf.DUMMYFUNCTION("GOOGLETRANSLATE(B97, ""en"", ""hi"")"),"किस सरकारी पहल का उद्देश्य शैक्षिक कार्यक्रमों के माध्यम से पम्बरम सहित पारंपरिक खेलों को संरक्षित करना है?")</f>
        <v>किस सरकारी पहल का उद्देश्य शैक्षिक कार्यक्रमों के माध्यम से पम्बरम सहित पारंपरिक खेलों को संरक्षित करना है?</v>
      </c>
      <c r="H97" s="5" t="str">
        <f>IFERROR(__xludf.DUMMYFUNCTION("GOOGLETRANSLATE(C97, ""en"", ""hi"")"),"A) राष्ट्रीय सांस्कृतिक विरासत कार्यक्रम, B) पारंपरिक खेल संरक्षण योजना, C) खेल शिक्षा पहल, D) विरासत खेल विकास परियोजना")</f>
        <v>A) राष्ट्रीय सांस्कृतिक विरासत कार्यक्रम, B) पारंपरिक खेल संरक्षण योजना, C) खेल शिक्षा पहल, D) विरासत खेल विकास परियोजना</v>
      </c>
      <c r="I97" s="5" t="str">
        <f>IFERROR(__xludf.DUMMYFUNCTION("GOOGLETRANSLATE(D97, ""en"", ""hi"")"),"डी) विरासत खेल विकास परियोजना")</f>
        <v>डी) विरासत खेल विकास परियोजना</v>
      </c>
    </row>
    <row r="98" ht="22.5" customHeight="1">
      <c r="A98" s="7">
        <v>97.0</v>
      </c>
      <c r="B98" s="8" t="s">
        <v>5079</v>
      </c>
      <c r="C98" s="8" t="s">
        <v>5080</v>
      </c>
      <c r="D98" s="8" t="s">
        <v>5021</v>
      </c>
      <c r="F98" s="5" t="str">
        <f>IFERROR(__xludf.DUMMYFUNCTION("GOOGLETRANSLATE(A98, ""en"", ""hi"")"),"97")</f>
        <v>97</v>
      </c>
      <c r="G98" s="5" t="str">
        <f>IFERROR(__xludf.DUMMYFUNCTION("GOOGLETRANSLATE(B98, ""en"", ""hi"")"),"1960 के दशक का वह प्रमुख पम्बरम खिलाड़ी कौन था जो अपनी नवीन रणनीति के लिए जाना जाता था?")</f>
        <v>1960 के दशक का वह प्रमुख पम्बरम खिलाड़ी कौन था जो अपनी नवीन रणनीति के लिए जाना जाता था?</v>
      </c>
      <c r="H98" s="5" t="str">
        <f>IFERROR(__xludf.DUMMYFUNCTION("GOOGLETRANSLATE(C98, ""en"", ""hi"")"),"A) आर. के. राजेश, B) के. एस. रमेश, C) टी. एम. गणेशन, D) वी. एस. रवि")</f>
        <v>A) आर. के. राजेश, B) के. एस. रमेश, C) टी. एम. गणेशन, D) वी. एस. रवि</v>
      </c>
      <c r="I98" s="5" t="str">
        <f>IFERROR(__xludf.DUMMYFUNCTION("GOOGLETRANSLATE(D98, ""en"", ""hi"")"),"C) टी. एम. गणेशन")</f>
        <v>C) टी. एम. गणेशन</v>
      </c>
    </row>
    <row r="99" ht="22.5" customHeight="1">
      <c r="A99" s="7">
        <v>98.0</v>
      </c>
      <c r="B99" s="8" t="s">
        <v>5081</v>
      </c>
      <c r="C99" s="8" t="s">
        <v>5082</v>
      </c>
      <c r="D99" s="8" t="s">
        <v>5083</v>
      </c>
      <c r="F99" s="5" t="str">
        <f>IFERROR(__xludf.DUMMYFUNCTION("GOOGLETRANSLATE(A99, ""en"", ""hi"")"),"98")</f>
        <v>98</v>
      </c>
      <c r="G99" s="5" t="str">
        <f>IFERROR(__xludf.DUMMYFUNCTION("GOOGLETRANSLATE(B99, ""en"", ""hi"")"),"मैचों के दौरान खिलाड़ियों की सुरक्षा सुनिश्चित करने के लिए पम्बरम में निम्नलिखित में से कौन सा प्रमुख विनियमन है?")</f>
        <v>मैचों के दौरान खिलाड़ियों की सुरक्षा सुनिश्चित करने के लिए पम्बरम में निम्नलिखित में से कौन सा प्रमुख विनियमन है?</v>
      </c>
      <c r="H99" s="5" t="str">
        <f>IFERROR(__xludf.DUMMYFUNCTION("GOOGLETRANSLATE(C99, ""en"", ""hi"")"),"ए) अनिवार्य सुरक्षात्मक गियर, बी) हमलों की संख्या सीमित करना, सी) शारीरिक संपर्क को प्रतिबंधित करना, डी) आयु सीमा लागू करना")</f>
        <v>ए) अनिवार्य सुरक्षात्मक गियर, बी) हमलों की संख्या सीमित करना, सी) शारीरिक संपर्क को प्रतिबंधित करना, डी) आयु सीमा लागू करना</v>
      </c>
      <c r="I99" s="5" t="str">
        <f>IFERROR(__xludf.DUMMYFUNCTION("GOOGLETRANSLATE(D99, ""en"", ""hi"")"),"ए) अनिवार्य सुरक्षात्मक गियर")</f>
        <v>ए) अनिवार्य सुरक्षात्मक गियर</v>
      </c>
    </row>
    <row r="100" ht="22.5" customHeight="1">
      <c r="A100" s="7">
        <v>99.0</v>
      </c>
      <c r="B100" s="8" t="s">
        <v>5084</v>
      </c>
      <c r="C100" s="8" t="s">
        <v>5085</v>
      </c>
      <c r="D100" s="8" t="s">
        <v>5021</v>
      </c>
      <c r="F100" s="5" t="str">
        <f>IFERROR(__xludf.DUMMYFUNCTION("GOOGLETRANSLATE(A100, ""en"", ""hi"")"),"99")</f>
        <v>99</v>
      </c>
      <c r="G100" s="5" t="str">
        <f>IFERROR(__xludf.DUMMYFUNCTION("GOOGLETRANSLATE(B100, ""en"", ""hi"")"),"कौन सा पम्बरम खिलाड़ी 'टोरनेडो स्पिन' तकनीक के विकास के लिए प्रसिद्ध था?")</f>
        <v>कौन सा पम्बरम खिलाड़ी 'टोरनेडो स्पिन' तकनीक के विकास के लिए प्रसिद्ध था?</v>
      </c>
      <c r="H100" s="5" t="str">
        <f>IFERROR(__xludf.DUMMYFUNCTION("GOOGLETRANSLATE(C100, ""en"", ""hi"")"),"A) आर. के. राजेश, B) एस. एम. श्रीनिवासन, C) टी. एम. गणेशन, D) के. एस. रमेश")</f>
        <v>A) आर. के. राजेश, B) एस. एम. श्रीनिवासन, C) टी. एम. गणेशन, D) के. एस. रमेश</v>
      </c>
      <c r="I100" s="5" t="str">
        <f>IFERROR(__xludf.DUMMYFUNCTION("GOOGLETRANSLATE(D100, ""en"", ""hi"")"),"C) टी. एम. गणेशन")</f>
        <v>C) टी. एम. गणेशन</v>
      </c>
    </row>
    <row r="101" ht="22.5" customHeight="1">
      <c r="A101" s="7">
        <v>100.0</v>
      </c>
      <c r="B101" s="8" t="s">
        <v>5086</v>
      </c>
      <c r="C101" s="8" t="s">
        <v>5087</v>
      </c>
      <c r="D101" s="8" t="s">
        <v>5088</v>
      </c>
      <c r="F101" s="5" t="str">
        <f>IFERROR(__xludf.DUMMYFUNCTION("GOOGLETRANSLATE(A101, ""en"", ""hi"")"),"100")</f>
        <v>100</v>
      </c>
      <c r="G101" s="5" t="str">
        <f>IFERROR(__xludf.DUMMYFUNCTION("GOOGLETRANSLATE(B101, ""en"", ""hi"")"),"पम्बरम हॉल ऑफ फेम का उद्देश्य क्या है?")</f>
        <v>पम्बरम हॉल ऑफ फेम का उद्देश्य क्या है?</v>
      </c>
      <c r="H101" s="5" t="str">
        <f>IFERROR(__xludf.DUMMYFUNCTION("GOOGLETRANSLATE(C101, ""en"", ""hi"")"),"A) पूर्व चैंपियनों को सम्मानित करना, B) उभरते खिलाड़ियों को बढ़ावा देना, C) प्रशिक्षण संसाधन उपलब्ध कराना, D) टूर्नामेंट आयोजित करना")</f>
        <v>A) पूर्व चैंपियनों को सम्मानित करना, B) उभरते खिलाड़ियों को बढ़ावा देना, C) प्रशिक्षण संसाधन उपलब्ध कराना, D) टूर्नामेंट आयोजित करना</v>
      </c>
      <c r="I101" s="5" t="str">
        <f>IFERROR(__xludf.DUMMYFUNCTION("GOOGLETRANSLATE(D101, ""en"", ""hi"")"),"A) पिछले चैंपियनों को सम्मानित करने के लिए")</f>
        <v>A) पिछले चैंपियनों को सम्मानित करने के लिए</v>
      </c>
    </row>
    <row r="102" ht="22.5" customHeight="1">
      <c r="A102" s="7">
        <v>101.0</v>
      </c>
      <c r="B102" s="8" t="s">
        <v>5089</v>
      </c>
      <c r="C102" s="8" t="s">
        <v>5090</v>
      </c>
      <c r="D102" s="8" t="s">
        <v>5091</v>
      </c>
      <c r="F102" s="5" t="str">
        <f>IFERROR(__xludf.DUMMYFUNCTION("GOOGLETRANSLATE(A102, ""en"", ""hi"")"),"101")</f>
        <v>101</v>
      </c>
      <c r="G102" s="5" t="str">
        <f>IFERROR(__xludf.DUMMYFUNCTION("GOOGLETRANSLATE(B102, ""en"", ""hi"")"),"1980 के दशक में टी.एम. गणेशन द्वारा पहली बार कौन सी पम्बरम तकनीक शुरू की गई थी?")</f>
        <v>1980 के दशक में टी.एम. गणेशन द्वारा पहली बार कौन सी पम्बरम तकनीक शुरू की गई थी?</v>
      </c>
      <c r="H102" s="5" t="str">
        <f>IFERROR(__xludf.DUMMYFUNCTION("GOOGLETRANSLATE(C102, ""en"", ""hi"")"),"ए) डबल पट्टाम, बी) हाई आर्क थ्रो, सी) टॉरनेडो स्पिन, डी) ट्रिपल थ्रेट")</f>
        <v>ए) डबल पट्टाम, बी) हाई आर्क थ्रो, सी) टॉरनेडो स्पिन, डी) ट्रिपल थ्रेट</v>
      </c>
      <c r="I102" s="5" t="str">
        <f>IFERROR(__xludf.DUMMYFUNCTION("GOOGLETRANSLATE(D102, ""en"", ""hi"")"),"बी) हाई आर्क थ्रो")</f>
        <v>बी) हाई आर्क थ्रो</v>
      </c>
    </row>
    <row r="103" ht="22.5" customHeight="1">
      <c r="A103" s="7">
        <v>102.0</v>
      </c>
      <c r="B103" s="8" t="s">
        <v>5092</v>
      </c>
      <c r="C103" s="8" t="s">
        <v>5093</v>
      </c>
      <c r="D103" s="8" t="s">
        <v>5094</v>
      </c>
      <c r="F103" s="5" t="str">
        <f>IFERROR(__xludf.DUMMYFUNCTION("GOOGLETRANSLATE(A103, ""en"", ""hi"")"),"102")</f>
        <v>102</v>
      </c>
      <c r="G103" s="5" t="str">
        <f>IFERROR(__xludf.DUMMYFUNCTION("GOOGLETRANSLATE(B103, ""en"", ""hi"")"),"वर्ष 2000 में पम्बरम स्कोरिंग प्रणाली में क्या महत्वपूर्ण परिवर्तन किया गया?")</f>
        <v>वर्ष 2000 में पम्बरम स्कोरिंग प्रणाली में क्या महत्वपूर्ण परिवर्तन किया गया?</v>
      </c>
      <c r="H103" s="5" t="str">
        <f>IFERROR(__xludf.DUMMYFUNCTION("GOOGLETRANSLATE(C103, ""en"", ""hi"")"),"ए) इलेक्ट्रॉनिक स्कोरिंग को अपनाना, बी) बोनस अंकों की शुरूआत, सी) स्कोरिंग नियमों का मानकीकरण, डी) समय सीमा को हटाना")</f>
        <v>ए) इलेक्ट्रॉनिक स्कोरिंग को अपनाना, बी) बोनस अंकों की शुरूआत, सी) स्कोरिंग नियमों का मानकीकरण, डी) समय सीमा को हटाना</v>
      </c>
      <c r="I103" s="5" t="str">
        <f>IFERROR(__xludf.DUMMYFUNCTION("GOOGLETRANSLATE(D103, ""en"", ""hi"")"),"ए) इलेक्ट्रॉनिक स्कोरिंग को अपनाना")</f>
        <v>ए) इलेक्ट्रॉनिक स्कोरिंग को अपनाना</v>
      </c>
    </row>
    <row r="104" ht="22.5" customHeight="1">
      <c r="A104" s="7">
        <v>103.0</v>
      </c>
      <c r="B104" s="8" t="s">
        <v>5095</v>
      </c>
      <c r="C104" s="8" t="s">
        <v>5096</v>
      </c>
      <c r="D104" s="8" t="s">
        <v>4860</v>
      </c>
      <c r="F104" s="5" t="str">
        <f>IFERROR(__xludf.DUMMYFUNCTION("GOOGLETRANSLATE(A104, ""en"", ""hi"")"),"103")</f>
        <v>103</v>
      </c>
      <c r="G104" s="5" t="str">
        <f>IFERROR(__xludf.DUMMYFUNCTION("GOOGLETRANSLATE(B104, ""en"", ""hi"")"),"कौन सा खिलाड़ी 'डबल पट्टम' तकनीक बनाने के लिए जाना जाता है जिसने पम्बरम में क्रांति ला दी?")</f>
        <v>कौन सा खिलाड़ी 'डबल पट्टम' तकनीक बनाने के लिए जाना जाता है जिसने पम्बरम में क्रांति ला दी?</v>
      </c>
      <c r="H104" s="5" t="str">
        <f>IFERROR(__xludf.DUMMYFUNCTION("GOOGLETRANSLATE(C104, ""en"", ""hi"")"),"A) एस. वी. रवि, B) टी. एम. गणेशन, C) आर. के. राजेश, D) के. आर. मोहन")</f>
        <v>A) एस. वी. रवि, B) टी. एम. गणेशन, C) आर. के. राजेश, D) के. आर. मोहन</v>
      </c>
      <c r="I104" s="5" t="str">
        <f>IFERROR(__xludf.DUMMYFUNCTION("GOOGLETRANSLATE(D104, ""en"", ""hi"")"),"बी) टी. एम. गणेशन")</f>
        <v>बी) टी. एम. गणेशन</v>
      </c>
    </row>
    <row r="105" ht="22.5" customHeight="1">
      <c r="A105" s="7">
        <v>104.0</v>
      </c>
      <c r="B105" s="8" t="s">
        <v>5097</v>
      </c>
      <c r="C105" s="8" t="s">
        <v>5098</v>
      </c>
      <c r="D105" s="8" t="s">
        <v>5099</v>
      </c>
      <c r="F105" s="5" t="str">
        <f>IFERROR(__xludf.DUMMYFUNCTION("GOOGLETRANSLATE(A105, ""en"", ""hi"")"),"104")</f>
        <v>104</v>
      </c>
      <c r="G105" s="5" t="str">
        <f>IFERROR(__xludf.DUMMYFUNCTION("GOOGLETRANSLATE(B105, ""en"", ""hi"")"),"पम्बाराम ग्रासरूट कार्यक्रम का मुख्य फोकस क्या है?")</f>
        <v>पम्बाराम ग्रासरूट कार्यक्रम का मुख्य फोकस क्या है?</v>
      </c>
      <c r="H105" s="5" t="str">
        <f>IFERROR(__xludf.DUMMYFUNCTION("GOOGLETRANSLATE(C105, ""en"", ""hi"")"),"A) खिलाड़ियों के कौशल को बढ़ाना, B) जन जागरूकता बढ़ाना, C) युवाओं की भागीदारी को बढ़ावा देना, D) पेशेवर खिलाड़ियों को विकसित करना")</f>
        <v>A) खिलाड़ियों के कौशल को बढ़ाना, B) जन जागरूकता बढ़ाना, C) युवाओं की भागीदारी को बढ़ावा देना, D) पेशेवर खिलाड़ियों को विकसित करना</v>
      </c>
      <c r="I105" s="5" t="str">
        <f>IFERROR(__xludf.DUMMYFUNCTION("GOOGLETRANSLATE(D105, ""en"", ""hi"")"),"C) युवा भागीदारी को बढ़ावा देना")</f>
        <v>C) युवा भागीदारी को बढ़ावा देना</v>
      </c>
    </row>
    <row r="106" ht="22.5" customHeight="1">
      <c r="A106" s="7">
        <v>105.0</v>
      </c>
      <c r="B106" s="8" t="s">
        <v>5100</v>
      </c>
      <c r="C106" s="8" t="s">
        <v>60</v>
      </c>
      <c r="D106" s="8" t="s">
        <v>28</v>
      </c>
      <c r="F106" s="5" t="str">
        <f>IFERROR(__xludf.DUMMYFUNCTION("GOOGLETRANSLATE(A106, ""en"", ""hi"")"),"105")</f>
        <v>105</v>
      </c>
      <c r="G106" s="5" t="str">
        <f>IFERROR(__xludf.DUMMYFUNCTION("GOOGLETRANSLATE(B106, ""en"", ""hi"")"),"2015 में पम्बरम विश्व कप विजेता कौन था?")</f>
        <v>2015 में पम्बरम विश्व कप विजेता कौन था?</v>
      </c>
      <c r="H106" s="5" t="str">
        <f>IFERROR(__xludf.DUMMYFUNCTION("GOOGLETRANSLATE(C106, ""en"", ""hi"")"),"A) भारत, B) पाकिस्तान, C) बांग्लादेश, D) श्रीलंका")</f>
        <v>A) भारत, B) पाकिस्तान, C) बांग्लादेश, D) श्रीलंका</v>
      </c>
      <c r="I106" s="5" t="str">
        <f>IFERROR(__xludf.DUMMYFUNCTION("GOOGLETRANSLATE(D106, ""en"", ""hi"")"),"बी) पाकिस्तान")</f>
        <v>बी) पाकिस्तान</v>
      </c>
    </row>
    <row r="107" ht="22.5" customHeight="1">
      <c r="A107" s="7">
        <v>106.0</v>
      </c>
      <c r="B107" s="8" t="s">
        <v>5101</v>
      </c>
      <c r="C107" s="8" t="s">
        <v>5011</v>
      </c>
      <c r="D107" s="8" t="s">
        <v>4956</v>
      </c>
      <c r="F107" s="5" t="str">
        <f>IFERROR(__xludf.DUMMYFUNCTION("GOOGLETRANSLATE(A107, ""en"", ""hi"")"),"106")</f>
        <v>106</v>
      </c>
      <c r="G107" s="5" t="str">
        <f>IFERROR(__xludf.DUMMYFUNCTION("GOOGLETRANSLATE(B107, ""en"", ""hi"")"),"1950 के दशक में किस ऐतिहासिक पम्बरम खिलाड़ी को उसकी रणनीतिक प्रतिभा के लिए जाना जाता है?")</f>
        <v>1950 के दशक में किस ऐतिहासिक पम्बरम खिलाड़ी को उसकी रणनीतिक प्रतिभा के लिए जाना जाता है?</v>
      </c>
      <c r="H107" s="5" t="str">
        <f>IFERROR(__xludf.DUMMYFUNCTION("GOOGLETRANSLATE(C107, ""en"", ""hi"")"),"A) टी. एम. गणेशन, B) आर. के. राजेश, C) के. एस. रमेश, D) एस. वी. रवि")</f>
        <v>A) टी. एम. गणेशन, B) आर. के. राजेश, C) के. एस. रमेश, D) एस. वी. रवि</v>
      </c>
      <c r="I107" s="5" t="str">
        <f>IFERROR(__xludf.DUMMYFUNCTION("GOOGLETRANSLATE(D107, ""en"", ""hi"")"),"A) टी. एम. गणेशन")</f>
        <v>A) टी. एम. गणेशन</v>
      </c>
    </row>
    <row r="108" ht="22.5" customHeight="1">
      <c r="A108" s="7">
        <v>107.0</v>
      </c>
      <c r="B108" s="8" t="s">
        <v>5102</v>
      </c>
      <c r="C108" s="8" t="s">
        <v>5103</v>
      </c>
      <c r="D108" s="8" t="s">
        <v>5104</v>
      </c>
      <c r="F108" s="5" t="str">
        <f>IFERROR(__xludf.DUMMYFUNCTION("GOOGLETRANSLATE(A108, ""en"", ""hi"")"),"107")</f>
        <v>107</v>
      </c>
      <c r="G108" s="5" t="str">
        <f>IFERROR(__xludf.DUMMYFUNCTION("GOOGLETRANSLATE(B108, ""en"", ""hi"")"),"1990 के दशक में शुरू की गई पम्बरम पुनरुद्धार परियोजना का मुख्य उद्देश्य क्या था?")</f>
        <v>1990 के दशक में शुरू की गई पम्बरम पुनरुद्धार परियोजना का मुख्य उद्देश्य क्या था?</v>
      </c>
      <c r="H108" s="5" t="str">
        <f>IFERROR(__xludf.DUMMYFUNCTION("GOOGLETRANSLATE(C108, ""en"", ""hi"")"),"A) प्रशिक्षण विधियों का आधुनिकीकरण करना, B) अंतर्राष्ट्रीय भागीदारी बढ़ाना, C) पारंपरिक तकनीकों को संरक्षित करना, D) खिलाड़ियों की फिटनेस में सुधार करना")</f>
        <v>A) प्रशिक्षण विधियों का आधुनिकीकरण करना, B) अंतर्राष्ट्रीय भागीदारी बढ़ाना, C) पारंपरिक तकनीकों को संरक्षित करना, D) खिलाड़ियों की फिटनेस में सुधार करना</v>
      </c>
      <c r="I108" s="5" t="str">
        <f>IFERROR(__xludf.DUMMYFUNCTION("GOOGLETRANSLATE(D108, ""en"", ""hi"")"),"C) पारंपरिक तकनीकों को संरक्षित करना")</f>
        <v>C) पारंपरिक तकनीकों को संरक्षित करना</v>
      </c>
    </row>
    <row r="109" ht="22.5" customHeight="1">
      <c r="A109" s="7">
        <v>108.0</v>
      </c>
      <c r="B109" s="8" t="s">
        <v>5105</v>
      </c>
      <c r="C109" s="8" t="s">
        <v>5106</v>
      </c>
      <c r="D109" s="8" t="s">
        <v>5107</v>
      </c>
      <c r="F109" s="5" t="str">
        <f>IFERROR(__xludf.DUMMYFUNCTION("GOOGLETRANSLATE(A109, ""en"", ""hi"")"),"108")</f>
        <v>108</v>
      </c>
      <c r="G109" s="5" t="str">
        <f>IFERROR(__xludf.DUMMYFUNCTION("GOOGLETRANSLATE(B109, ""en"", ""hi"")"),"कौन सा खिलाड़ी 'स्पिनिंग स्ट्राइक' तकनीक के उपयोग के लिए प्रसिद्ध है?")</f>
        <v>कौन सा खिलाड़ी 'स्पिनिंग स्ट्राइक' तकनीक के उपयोग के लिए प्रसिद्ध है?</v>
      </c>
      <c r="H109" s="5" t="str">
        <f>IFERROR(__xludf.DUMMYFUNCTION("GOOGLETRANSLATE(C109, ""en"", ""hi"")"),"ए) एस. वी. रवि, बी) के. आर. मोहन, सी) टी. एम. गणेशन, डी) आर. के. राजेश")</f>
        <v>ए) एस. वी. रवि, बी) के. आर. मोहन, सी) टी. एम. गणेशन, डी) आर. के. राजेश</v>
      </c>
      <c r="I109" s="5" t="str">
        <f>IFERROR(__xludf.DUMMYFUNCTION("GOOGLETRANSLATE(D109, ""en"", ""hi"")"),"D) आर. के. राजेश")</f>
        <v>D) आर. के. राजेश</v>
      </c>
    </row>
    <row r="110" ht="22.5" customHeight="1">
      <c r="A110" s="7">
        <v>109.0</v>
      </c>
      <c r="B110" s="8" t="s">
        <v>5108</v>
      </c>
      <c r="C110" s="8" t="s">
        <v>4933</v>
      </c>
      <c r="D110" s="8" t="s">
        <v>4934</v>
      </c>
      <c r="F110" s="5" t="str">
        <f>IFERROR(__xludf.DUMMYFUNCTION("GOOGLETRANSLATE(A110, ""en"", ""hi"")"),"109")</f>
        <v>109</v>
      </c>
      <c r="G110" s="5" t="str">
        <f>IFERROR(__xludf.DUMMYFUNCTION("GOOGLETRANSLATE(B110, ""en"", ""hi"")"),"भारत सरकार ने किस वर्ष आधिकारिक तौर पर पम्बरम को राष्ट्रीय खेल नीति में शामिल किया?")</f>
        <v>भारत सरकार ने किस वर्ष आधिकारिक तौर पर पम्बरम को राष्ट्रीय खेल नीति में शामिल किया?</v>
      </c>
      <c r="H110" s="5" t="str">
        <f>IFERROR(__xludf.DUMMYFUNCTION("GOOGLETRANSLATE(C110, ""en"", ""hi"")"),"ए) 1990, बी) 1995, सी) 2000, डी) 2005")</f>
        <v>ए) 1990, बी) 1995, सी) 2000, डी) 2005</v>
      </c>
      <c r="I110" s="5" t="str">
        <f>IFERROR(__xludf.DUMMYFUNCTION("GOOGLETRANSLATE(D110, ""en"", ""hi"")"),"बी) 1995")</f>
        <v>बी) 1995</v>
      </c>
    </row>
    <row r="111" ht="22.5" customHeight="1">
      <c r="A111" s="7">
        <v>110.0</v>
      </c>
      <c r="B111" s="8" t="s">
        <v>5109</v>
      </c>
      <c r="C111" s="8" t="s">
        <v>5110</v>
      </c>
      <c r="D111" s="8" t="s">
        <v>5111</v>
      </c>
      <c r="F111" s="5" t="str">
        <f>IFERROR(__xludf.DUMMYFUNCTION("GOOGLETRANSLATE(A111, ""en"", ""hi"")"),"110")</f>
        <v>110</v>
      </c>
      <c r="G111" s="5" t="str">
        <f>IFERROR(__xludf.DUMMYFUNCTION("GOOGLETRANSLATE(B111, ""en"", ""hi"")"),"कौन सी पम्बरम चाल तीव्र स्पिन और सटीक प्रहारों के संयोजन द्वारा चिह्नित है?")</f>
        <v>कौन सी पम्बरम चाल तीव्र स्पिन और सटीक प्रहारों के संयोजन द्वारा चिह्नित है?</v>
      </c>
      <c r="H111" s="5" t="str">
        <f>IFERROR(__xludf.DUMMYFUNCTION("GOOGLETRANSLATE(C111, ""en"", ""hi"")"),"ए) साइक्लोन स्पिन, बी) रैपिड स्ट्राइक, सी) टॉरनेडो स्पिन, डी) ट्रिपल थ्रेट")</f>
        <v>ए) साइक्लोन स्पिन, बी) रैपिड स्ट्राइक, सी) टॉरनेडो स्पिन, डी) ट्रिपल थ्रेट</v>
      </c>
      <c r="I111" s="5" t="str">
        <f>IFERROR(__xludf.DUMMYFUNCTION("GOOGLETRANSLATE(D111, ""en"", ""hi"")"),"बी) रैपिड स्ट्राइक")</f>
        <v>बी) रैपिड स्ट्राइक</v>
      </c>
    </row>
    <row r="112" ht="22.5" customHeight="1">
      <c r="A112" s="7">
        <v>111.0</v>
      </c>
      <c r="B112" s="8" t="s">
        <v>5112</v>
      </c>
      <c r="C112" s="8" t="s">
        <v>4842</v>
      </c>
      <c r="D112" s="8" t="s">
        <v>205</v>
      </c>
      <c r="F112" s="5" t="str">
        <f>IFERROR(__xludf.DUMMYFUNCTION("GOOGLETRANSLATE(A112, ""en"", ""hi"")"),"111")</f>
        <v>111</v>
      </c>
      <c r="G112" s="5" t="str">
        <f>IFERROR(__xludf.DUMMYFUNCTION("GOOGLETRANSLATE(B112, ""en"", ""hi"")"),"कौन सा राज्य सबसे अधिक पम्बरम विश्व कप विजेता खिलाड़ियों के उत्पादन के लिए जाना जाता है?")</f>
        <v>कौन सा राज्य सबसे अधिक पम्बरम विश्व कप विजेता खिलाड़ियों के उत्पादन के लिए जाना जाता है?</v>
      </c>
      <c r="H112" s="5" t="str">
        <f>IFERROR(__xludf.DUMMYFUNCTION("GOOGLETRANSLATE(C112, ""en"", ""hi"")"),"A) तमिलनाडु, B) केरल, C) कर्नाटक, D) आंध्र प्रदेश")</f>
        <v>A) तमिलनाडु, B) केरल, C) कर्नाटक, D) आंध्र प्रदेश</v>
      </c>
      <c r="I112" s="5" t="str">
        <f>IFERROR(__xludf.DUMMYFUNCTION("GOOGLETRANSLATE(D112, ""en"", ""hi"")"),"A) तमिलनाडु")</f>
        <v>A) तमिलनाडु</v>
      </c>
    </row>
    <row r="113" ht="22.5" customHeight="1">
      <c r="A113" s="7">
        <v>112.0</v>
      </c>
      <c r="B113" s="8" t="s">
        <v>5113</v>
      </c>
      <c r="C113" s="8" t="s">
        <v>1880</v>
      </c>
      <c r="D113" s="8" t="s">
        <v>5114</v>
      </c>
      <c r="F113" s="5" t="str">
        <f>IFERROR(__xludf.DUMMYFUNCTION("GOOGLETRANSLATE(A113, ""en"", ""hi"")"),"112")</f>
        <v>112</v>
      </c>
      <c r="G113" s="5" t="str">
        <f>IFERROR(__xludf.DUMMYFUNCTION("GOOGLETRANSLATE(B113, ""en"", ""hi"")"),"2020 पम्बरम विश्व कप किसने जीता?")</f>
        <v>2020 पम्बरम विश्व कप किसने जीता?</v>
      </c>
      <c r="H113" s="5" t="str">
        <f>IFERROR(__xludf.DUMMYFUNCTION("GOOGLETRANSLATE(C113, ""en"", ""hi"")"),"A) भारत, B) पाकिस्तान, C) श्रीलंका, D) बांग्लादेश")</f>
        <v>A) भारत, B) पाकिस्तान, C) श्रीलंका, D) बांग्लादेश</v>
      </c>
      <c r="I113" s="5" t="str">
        <f>IFERROR(__xludf.DUMMYFUNCTION("GOOGLETRANSLATE(D113, ""en"", ""hi"")"),"C) श्रीलंका")</f>
        <v>C) श्रीलंका</v>
      </c>
    </row>
    <row r="114" ht="22.5" customHeight="1">
      <c r="A114" s="7">
        <v>113.0</v>
      </c>
      <c r="B114" s="8" t="s">
        <v>5115</v>
      </c>
      <c r="C114" s="8" t="s">
        <v>5116</v>
      </c>
      <c r="D114" s="8" t="s">
        <v>5117</v>
      </c>
      <c r="F114" s="5" t="str">
        <f>IFERROR(__xludf.DUMMYFUNCTION("GOOGLETRANSLATE(A114, ""en"", ""hi"")"),"113")</f>
        <v>113</v>
      </c>
      <c r="G114" s="5" t="str">
        <f>IFERROR(__xludf.DUMMYFUNCTION("GOOGLETRANSLATE(B114, ""en"", ""hi"")"),"2012 में स्थापित पम्बरम प्रशिक्षण संस्थान का प्राथमिक उद्देश्य क्या है?")</f>
        <v>2012 में स्थापित पम्बरम प्रशिक्षण संस्थान का प्राथमिक उद्देश्य क्या है?</v>
      </c>
      <c r="H114" s="5" t="str">
        <f>IFERROR(__xludf.DUMMYFUNCTION("GOOGLETRANSLATE(C114, ""en"", ""hi"")"),"A) तकनीकी कौशल विकसित करना, B) प्रशिक्षकों को प्रशिक्षित करना, C) टूर्नामेंट आयोजित करना, D) खिलाड़ियों के स्वास्थ्य को बढ़ावा देना")</f>
        <v>A) तकनीकी कौशल विकसित करना, B) प्रशिक्षकों को प्रशिक्षित करना, C) टूर्नामेंट आयोजित करना, D) खिलाड़ियों के स्वास्थ्य को बढ़ावा देना</v>
      </c>
      <c r="I114" s="5" t="str">
        <f>IFERROR(__xludf.DUMMYFUNCTION("GOOGLETRANSLATE(D114, ""en"", ""hi"")"),"A) तकनीकी कौशल विकसित करना")</f>
        <v>A) तकनीकी कौशल विकसित करना</v>
      </c>
    </row>
    <row r="115" ht="22.5" customHeight="1">
      <c r="A115" s="7">
        <v>114.0</v>
      </c>
      <c r="B115" s="8" t="s">
        <v>5118</v>
      </c>
      <c r="C115" s="8" t="s">
        <v>5119</v>
      </c>
      <c r="D115" s="8" t="s">
        <v>5120</v>
      </c>
      <c r="F115" s="5" t="str">
        <f>IFERROR(__xludf.DUMMYFUNCTION("GOOGLETRANSLATE(A115, ""en"", ""hi"")"),"114")</f>
        <v>114</v>
      </c>
      <c r="G115" s="5" t="str">
        <f>IFERROR(__xludf.DUMMYFUNCTION("GOOGLETRANSLATE(B115, ""en"", ""hi"")"),"कौन सा प्रसिद्ध पम्बरम खिलाड़ी 'पावर स्लैम' चाल में अपनी विशेषज्ञता के लिए जाना जाता था?")</f>
        <v>कौन सा प्रसिद्ध पम्बरम खिलाड़ी 'पावर स्लैम' चाल में अपनी विशेषज्ञता के लिए जाना जाता था?</v>
      </c>
      <c r="H115" s="5" t="str">
        <f>IFERROR(__xludf.DUMMYFUNCTION("GOOGLETRANSLATE(C115, ""en"", ""hi"")"),"A) टी. एम. गणेशन, B) के. आर. मोहन, C) आर. के. राजेश, D) एस. वी. रवि")</f>
        <v>A) टी. एम. गणेशन, B) के. आर. मोहन, C) आर. के. राजेश, D) एस. वी. रवि</v>
      </c>
      <c r="I115" s="5" t="str">
        <f>IFERROR(__xludf.DUMMYFUNCTION("GOOGLETRANSLATE(D115, ""en"", ""hi"")"),"C) आर. के. राजेश")</f>
        <v>C) आर. के. राजेश</v>
      </c>
    </row>
    <row r="116" ht="22.5" customHeight="1">
      <c r="A116" s="7">
        <v>115.0</v>
      </c>
      <c r="B116" s="8" t="s">
        <v>5121</v>
      </c>
      <c r="C116" s="8" t="s">
        <v>5122</v>
      </c>
      <c r="D116" s="8" t="s">
        <v>5123</v>
      </c>
      <c r="F116" s="5" t="str">
        <f>IFERROR(__xludf.DUMMYFUNCTION("GOOGLETRANSLATE(A116, ""en"", ""hi"")"),"115")</f>
        <v>115</v>
      </c>
      <c r="G116" s="5" t="str">
        <f>IFERROR(__xludf.DUMMYFUNCTION("GOOGLETRANSLATE(B116, ""en"", ""hi"")"),"कौन सा पम्बरम टूर्नामेंट विशेष रूप से ग्रामीण क्षेत्रों से युवा प्रतिभा को बढ़ावा देने के उद्देश्य से है?")</f>
        <v>कौन सा पम्बरम टूर्नामेंट विशेष रूप से ग्रामीण क्षेत्रों से युवा प्रतिभा को बढ़ावा देने के उद्देश्य से है?</v>
      </c>
      <c r="H116" s="5" t="str">
        <f>IFERROR(__xludf.DUMMYFUNCTION("GOOGLETRANSLATE(C116, ""en"", ""hi"")"),"A) ग्रामीण प्रतिभा कप, B) युवा चैम्पियनशिप, C) राष्ट्रीय प्रतिभा खोज, D) उभरते सितारे टूर्नामेंट")</f>
        <v>A) ग्रामीण प्रतिभा कप, B) युवा चैम्पियनशिप, C) राष्ट्रीय प्रतिभा खोज, D) उभरते सितारे टूर्नामेंट</v>
      </c>
      <c r="I116" s="5" t="str">
        <f>IFERROR(__xludf.DUMMYFUNCTION("GOOGLETRANSLATE(D116, ""en"", ""hi"")"),"A) ग्रामीण प्रतिभा कप")</f>
        <v>A) ग्रामीण प्रतिभा कप</v>
      </c>
    </row>
    <row r="117" ht="22.5" customHeight="1">
      <c r="A117" s="7">
        <v>116.0</v>
      </c>
      <c r="B117" s="8" t="s">
        <v>5124</v>
      </c>
      <c r="C117" s="8" t="s">
        <v>5125</v>
      </c>
      <c r="D117" s="8" t="s">
        <v>5126</v>
      </c>
      <c r="F117" s="5" t="str">
        <f>IFERROR(__xludf.DUMMYFUNCTION("GOOGLETRANSLATE(A117, ""en"", ""hi"")"),"116")</f>
        <v>116</v>
      </c>
      <c r="G117" s="5" t="str">
        <f>IFERROR(__xludf.DUMMYFUNCTION("GOOGLETRANSLATE(B117, ""en"", ""hi"")"),"कौन सा कानून स्कूल पाठ्यक्रम में पम्बरम जैसे पारंपरिक खेलों को शामिल करने का आदेश देता है?")</f>
        <v>कौन सा कानून स्कूल पाठ्यक्रम में पम्बरम जैसे पारंपरिक खेलों को शामिल करने का आदेश देता है?</v>
      </c>
      <c r="H117" s="5" t="str">
        <f>IFERROR(__xludf.DUMMYFUNCTION("GOOGLETRANSLATE(C117, ""en"", ""hi"")"),"A) शिक्षा अधिनियम, B) राष्ट्रीय खेल अधिनियम, C) पारंपरिक खेल अधिनियम, D) स्कूल खेल विनियमन अधिनियम")</f>
        <v>A) शिक्षा अधिनियम, B) राष्ट्रीय खेल अधिनियम, C) पारंपरिक खेल अधिनियम, D) स्कूल खेल विनियमन अधिनियम</v>
      </c>
      <c r="I117" s="5" t="str">
        <f>IFERROR(__xludf.DUMMYFUNCTION("GOOGLETRANSLATE(D117, ""en"", ""hi"")"),"C) पारंपरिक खेल अधिनियम")</f>
        <v>C) पारंपरिक खेल अधिनियम</v>
      </c>
    </row>
    <row r="118" ht="22.5" customHeight="1">
      <c r="A118" s="7">
        <v>117.0</v>
      </c>
      <c r="B118" s="8" t="s">
        <v>5127</v>
      </c>
      <c r="C118" s="8" t="s">
        <v>5128</v>
      </c>
      <c r="D118" s="8" t="s">
        <v>4966</v>
      </c>
      <c r="F118" s="5" t="str">
        <f>IFERROR(__xludf.DUMMYFUNCTION("GOOGLETRANSLATE(A118, ""en"", ""hi"")"),"117")</f>
        <v>117</v>
      </c>
      <c r="G118" s="5" t="str">
        <f>IFERROR(__xludf.DUMMYFUNCTION("GOOGLETRANSLATE(B118, ""en"", ""hi"")"),"1980 के दशक में वह उल्लेखनीय पम्बरम खिलाड़ी कौन था जो अपने रक्षात्मक कौशल के लिए जाना जाता था?")</f>
        <v>1980 के दशक में वह उल्लेखनीय पम्बरम खिलाड़ी कौन था जो अपने रक्षात्मक कौशल के लिए जाना जाता था?</v>
      </c>
      <c r="H118" s="5" t="str">
        <f>IFERROR(__xludf.DUMMYFUNCTION("GOOGLETRANSLATE(C118, ""en"", ""hi"")"),"A) एस. एम. श्रीनिवासन, B) के. एस. रमेश, C) आर. के. राजेश, D) टी. एम. गणेशन")</f>
        <v>A) एस. एम. श्रीनिवासन, B) के. एस. रमेश, C) आर. के. राजेश, D) टी. एम. गणेशन</v>
      </c>
      <c r="I118" s="5" t="str">
        <f>IFERROR(__xludf.DUMMYFUNCTION("GOOGLETRANSLATE(D118, ""en"", ""hi"")"),"A) एस. एम. श्रीनिवासन")</f>
        <v>A) एस. एम. श्रीनिवासन</v>
      </c>
    </row>
    <row r="119" ht="22.5" customHeight="1">
      <c r="A119" s="7">
        <v>118.0</v>
      </c>
      <c r="B119" s="8" t="s">
        <v>5129</v>
      </c>
      <c r="C119" s="8" t="s">
        <v>5130</v>
      </c>
      <c r="D119" s="8" t="s">
        <v>5131</v>
      </c>
      <c r="F119" s="5" t="str">
        <f>IFERROR(__xludf.DUMMYFUNCTION("GOOGLETRANSLATE(A119, ""en"", ""hi"")"),"118")</f>
        <v>118</v>
      </c>
      <c r="G119" s="5" t="str">
        <f>IFERROR(__xludf.DUMMYFUNCTION("GOOGLETRANSLATE(B119, ""en"", ""hi"")"),"कौन सी पम्बरम तकनीक 1990 के दशक में विकसित की गई थी और अपनी आक्रामक क्षमता के लिए जानी जाती है?")</f>
        <v>कौन सी पम्बरम तकनीक 1990 के दशक में विकसित की गई थी और अपनी आक्रामक क्षमता के लिए जानी जाती है?</v>
      </c>
      <c r="H119" s="5" t="str">
        <f>IFERROR(__xludf.DUMMYFUNCTION("GOOGLETRANSLATE(C119, ""en"", ""hi"")"),"ए) द थंडरबोल्ट, बी) द साइक्लोन स्पिन, सी) द रैपिड फायर, डी) द क्विक फ्लिक")</f>
        <v>ए) द थंडरबोल्ट, बी) द साइक्लोन स्पिन, सी) द रैपिड फायर, डी) द क्विक फ्लिक</v>
      </c>
      <c r="I119" s="5" t="str">
        <f>IFERROR(__xludf.DUMMYFUNCTION("GOOGLETRANSLATE(D119, ""en"", ""hi"")"),"ए) थंडरबोल्ट")</f>
        <v>ए) थंडरबोल्ट</v>
      </c>
    </row>
    <row r="120" ht="22.5" customHeight="1">
      <c r="A120" s="7">
        <v>119.0</v>
      </c>
      <c r="B120" s="8" t="s">
        <v>5132</v>
      </c>
      <c r="C120" s="8" t="s">
        <v>5133</v>
      </c>
      <c r="D120" s="8" t="s">
        <v>5134</v>
      </c>
      <c r="F120" s="5" t="str">
        <f>IFERROR(__xludf.DUMMYFUNCTION("GOOGLETRANSLATE(A120, ""en"", ""hi"")"),"119")</f>
        <v>119</v>
      </c>
      <c r="G120" s="5" t="str">
        <f>IFERROR(__xludf.DUMMYFUNCTION("GOOGLETRANSLATE(B120, ""en"", ""hi"")"),"पम्बरम विश्व कप के नियम और विनियम निर्धारित करने के लिए कौन सा अंतर्राष्ट्रीय संगठन जिम्मेदार है?")</f>
        <v>पम्बरम विश्व कप के नियम और विनियम निर्धारित करने के लिए कौन सा अंतर्राष्ट्रीय संगठन जिम्मेदार है?</v>
      </c>
      <c r="H120" s="5" t="str">
        <f>IFERROR(__xludf.DUMMYFUNCTION("GOOGLETRANSLATE(C120, ""en"", ""hi"")"),"A) विश्व पम्बरम एसोसिएशन, B) अंतर्राष्ट्रीय पम्बरम महासंघ, C) वैश्विक खेल परिषद, D) अंतर्राष्ट्रीय खेल महासंघ")</f>
        <v>A) विश्व पम्बरम एसोसिएशन, B) अंतर्राष्ट्रीय पम्बरम महासंघ, C) वैश्विक खेल परिषद, D) अंतर्राष्ट्रीय खेल महासंघ</v>
      </c>
      <c r="I120" s="5" t="str">
        <f>IFERROR(__xludf.DUMMYFUNCTION("GOOGLETRANSLATE(D120, ""en"", ""hi"")"),"बी) अंतर्राष्ट्रीय पम्बरम महासंघ")</f>
        <v>बी) अंतर्राष्ट्रीय पम्बरम महासंघ</v>
      </c>
    </row>
    <row r="121" ht="22.5" customHeight="1">
      <c r="A121" s="7">
        <v>120.0</v>
      </c>
      <c r="B121" s="8" t="s">
        <v>5135</v>
      </c>
      <c r="C121" s="8" t="s">
        <v>5136</v>
      </c>
      <c r="D121" s="8" t="s">
        <v>4860</v>
      </c>
      <c r="F121" s="5" t="str">
        <f>IFERROR(__xludf.DUMMYFUNCTION("GOOGLETRANSLATE(A121, ""en"", ""hi"")"),"120")</f>
        <v>120</v>
      </c>
      <c r="G121" s="5" t="str">
        <f>IFERROR(__xludf.DUMMYFUNCTION("GOOGLETRANSLATE(B121, ""en"", ""hi"")"),"कौन सा पम्बरम खिलाड़ी 'कॉम्बो स्ट्राइक' तकनीक के विकास में अपने योगदान के लिए प्रसिद्ध है?")</f>
        <v>कौन सा पम्बरम खिलाड़ी 'कॉम्बो स्ट्राइक' तकनीक के विकास में अपने योगदान के लिए प्रसिद्ध है?</v>
      </c>
      <c r="H121" s="5" t="str">
        <f>IFERROR(__xludf.DUMMYFUNCTION("GOOGLETRANSLATE(C121, ""en"", ""hi"")"),"A) के. एस. रमेश, B) टी. एम. गणेशन, C) आर. के. राजेश, D) एस. वी. रवि")</f>
        <v>A) के. एस. रमेश, B) टी. एम. गणेशन, C) आर. के. राजेश, D) एस. वी. रवि</v>
      </c>
      <c r="I121" s="5" t="str">
        <f>IFERROR(__xludf.DUMMYFUNCTION("GOOGLETRANSLATE(D121, ""en"", ""hi"")"),"बी) टी. एम. गणेशन")</f>
        <v>बी) टी. एम. गणेशन</v>
      </c>
    </row>
    <row r="122" ht="22.5" customHeight="1">
      <c r="A122" s="7">
        <v>121.0</v>
      </c>
      <c r="B122" s="8" t="s">
        <v>5137</v>
      </c>
      <c r="C122" s="8" t="s">
        <v>5138</v>
      </c>
      <c r="D122" s="8" t="s">
        <v>5139</v>
      </c>
      <c r="F122" s="5" t="str">
        <f>IFERROR(__xludf.DUMMYFUNCTION("GOOGLETRANSLATE(A122, ""en"", ""hi"")"),"121")</f>
        <v>121</v>
      </c>
      <c r="G122" s="5" t="str">
        <f>IFERROR(__xludf.DUMMYFUNCTION("GOOGLETRANSLATE(B122, ""en"", ""hi"")"),"कौन सा पम्बरम टूर्नामेंट निष्पक्ष खेल और खेल भावना पर जोर देने के लिए जाना जाता है?")</f>
        <v>कौन सा पम्बरम टूर्नामेंट निष्पक्ष खेल और खेल भावना पर जोर देने के लिए जाना जाता है?</v>
      </c>
      <c r="H122" s="5" t="str">
        <f>IFERROR(__xludf.DUMMYFUNCTION("GOOGLETRANSLATE(C122, ""en"", ""hi"")"),"A) द गोल्डन पट्टम टूर्नामेंट, B) द सदर्न मास्टर्स, C) द नेशनल चैम्पियनशिप, D) द चेन्नई ओपन")</f>
        <v>A) द गोल्डन पट्टम टूर्नामेंट, B) द सदर्न मास्टर्स, C) द नेशनल चैम्पियनशिप, D) द चेन्नई ओपन</v>
      </c>
      <c r="I122" s="5" t="str">
        <f>IFERROR(__xludf.DUMMYFUNCTION("GOOGLETRANSLATE(D122, ""en"", ""hi"")"),"A) गोल्डन पट्टम टूर्नामेंट")</f>
        <v>A) गोल्डन पट्टम टूर्नामेंट</v>
      </c>
    </row>
    <row r="123" ht="22.5" customHeight="1">
      <c r="A123" s="7">
        <v>122.0</v>
      </c>
      <c r="B123" s="8" t="s">
        <v>5140</v>
      </c>
      <c r="C123" s="8" t="s">
        <v>5141</v>
      </c>
      <c r="D123" s="8" t="s">
        <v>5142</v>
      </c>
      <c r="F123" s="5" t="str">
        <f>IFERROR(__xludf.DUMMYFUNCTION("GOOGLETRANSLATE(A123, ""en"", ""hi"")"),"122")</f>
        <v>122</v>
      </c>
      <c r="G123" s="5" t="str">
        <f>IFERROR(__xludf.DUMMYFUNCTION("GOOGLETRANSLATE(B123, ""en"", ""hi"")"),"पम्बरम जैसे पारंपरिक खेलों के लिए बुनियादी ढांचे के विकास का समर्थन करने के लिए 2005 में कौन सा उल्लेखनीय कानून बनाया गया था?")</f>
        <v>पम्बरम जैसे पारंपरिक खेलों के लिए बुनियादी ढांचे के विकास का समर्थन करने के लिए 2005 में कौन सा उल्लेखनीय कानून बनाया गया था?</v>
      </c>
      <c r="H123" s="5" t="str">
        <f>IFERROR(__xludf.DUMMYFUNCTION("GOOGLETRANSLATE(C123, ""en"", ""hi"")"),"A) खेल अवसंरचना विकास अधिनियम, B) राष्ट्रीय खेल सुविधाएं अधिनियम, C) पारंपरिक खेल विकास अधिनियम, D) खेल संवर्धन अधिनियम")</f>
        <v>A) खेल अवसंरचना विकास अधिनियम, B) राष्ट्रीय खेल सुविधाएं अधिनियम, C) पारंपरिक खेल विकास अधिनियम, D) खेल संवर्धन अधिनियम</v>
      </c>
      <c r="I123" s="5" t="str">
        <f>IFERROR(__xludf.DUMMYFUNCTION("GOOGLETRANSLATE(D123, ""en"", ""hi"")"),"C) पारंपरिक खेल विकास अधिनियम")</f>
        <v>C) पारंपरिक खेल विकास अधिनियम</v>
      </c>
    </row>
    <row r="124" ht="22.5" customHeight="1">
      <c r="A124" s="7">
        <v>123.0</v>
      </c>
      <c r="B124" s="8" t="s">
        <v>5143</v>
      </c>
      <c r="C124" s="8" t="s">
        <v>5144</v>
      </c>
      <c r="D124" s="8" t="s">
        <v>5145</v>
      </c>
      <c r="F124" s="5" t="str">
        <f>IFERROR(__xludf.DUMMYFUNCTION("GOOGLETRANSLATE(A124, ""en"", ""hi"")"),"123")</f>
        <v>123</v>
      </c>
      <c r="G124" s="5" t="str">
        <f>IFERROR(__xludf.DUMMYFUNCTION("GOOGLETRANSLATE(B124, ""en"", ""hi"")"),"1970 के दशक में 'हाई आर्क थ्रो' में अपने कौशल के लिए प्रसिद्ध प्रमुख पम्बरम खिलाड़ी कौन थे?")</f>
        <v>1970 के दशक में 'हाई आर्क थ्रो' में अपने कौशल के लिए प्रसिद्ध प्रमुख पम्बरम खिलाड़ी कौन थे?</v>
      </c>
      <c r="H124" s="5" t="str">
        <f>IFERROR(__xludf.DUMMYFUNCTION("GOOGLETRANSLATE(C124, ""en"", ""hi"")"),"ए) एस. वी. रवि, बी) के. आर. मोहन, सी) आर. के. राजेश, डी) टी. एम. गणेशन")</f>
        <v>ए) एस. वी. रवि, बी) के. आर. मोहन, सी) आर. के. राजेश, डी) टी. एम. गणेशन</v>
      </c>
      <c r="I124" s="5" t="str">
        <f>IFERROR(__xludf.DUMMYFUNCTION("GOOGLETRANSLATE(D124, ""en"", ""hi"")"),"D) टी. एम. गणेशन")</f>
        <v>D) टी. एम. गणेशन</v>
      </c>
    </row>
    <row r="125" ht="22.5" customHeight="1">
      <c r="A125" s="7">
        <v>124.0</v>
      </c>
      <c r="B125" s="8" t="s">
        <v>5146</v>
      </c>
      <c r="C125" s="8" t="s">
        <v>5147</v>
      </c>
      <c r="D125" s="8" t="s">
        <v>5148</v>
      </c>
      <c r="F125" s="5" t="str">
        <f>IFERROR(__xludf.DUMMYFUNCTION("GOOGLETRANSLATE(A125, ""en"", ""hi"")"),"124")</f>
        <v>124</v>
      </c>
      <c r="G125" s="5" t="str">
        <f>IFERROR(__xludf.DUMMYFUNCTION("GOOGLETRANSLATE(B125, ""en"", ""hi"")"),"स्कूली बच्चों के बीच पम्बरम को बढ़ावा देने के लिए 2018 में कौन सी सरकारी पहल शुरू की गई थी?")</f>
        <v>स्कूली बच्चों के बीच पम्बरम को बढ़ावा देने के लिए 2018 में कौन सी सरकारी पहल शुरू की गई थी?</v>
      </c>
      <c r="H125" s="5" t="str">
        <f>IFERROR(__xludf.DUMMYFUNCTION("GOOGLETRANSLATE(C125, ""en"", ""hi"")"),"ए) स्कूल खेल पहल, बी) राष्ट्रीय युवा खेल कार्यक्रम, सी) पारंपरिक खेल प्रोत्साहन योजना, डी) युवा जुड़ाव परियोजना")</f>
        <v>ए) स्कूल खेल पहल, बी) राष्ट्रीय युवा खेल कार्यक्रम, सी) पारंपरिक खेल प्रोत्साहन योजना, डी) युवा जुड़ाव परियोजना</v>
      </c>
      <c r="I125" s="5" t="str">
        <f>IFERROR(__xludf.DUMMYFUNCTION("GOOGLETRANSLATE(D125, ""en"", ""hi"")"),"C) पारंपरिक खेल प्रोत्साहन योजना")</f>
        <v>C) पारंपरिक खेल प्रोत्साहन योजना</v>
      </c>
    </row>
    <row r="126" ht="22.5" customHeight="1">
      <c r="A126" s="7">
        <v>125.0</v>
      </c>
      <c r="B126" s="8" t="s">
        <v>5149</v>
      </c>
      <c r="C126" s="8" t="s">
        <v>5150</v>
      </c>
      <c r="D126" s="8" t="s">
        <v>5071</v>
      </c>
      <c r="F126" s="5" t="str">
        <f>IFERROR(__xludf.DUMMYFUNCTION("GOOGLETRANSLATE(A126, ""en"", ""hi"")"),"125")</f>
        <v>125</v>
      </c>
      <c r="G126" s="5" t="str">
        <f>IFERROR(__xludf.DUMMYFUNCTION("GOOGLETRANSLATE(B126, ""en"", ""hi"")"),"पम्बरम हॉल ऑफ फेम में शामिल होने वाले पहले खिलाड़ी कौन थे?")</f>
        <v>पम्बरम हॉल ऑफ फेम में शामिल होने वाले पहले खिलाड़ी कौन थे?</v>
      </c>
      <c r="H126" s="5" t="str">
        <f>IFERROR(__xludf.DUMMYFUNCTION("GOOGLETRANSLATE(C126, ""en"", ""hi"")"),"A) के. एस. रमेश, B) आर. के. राजेश, C) टी. एम. गणेशन, D) एस. वी. रवि")</f>
        <v>A) के. एस. रमेश, B) आर. के. राजेश, C) टी. एम. गणेशन, D) एस. वी. रवि</v>
      </c>
      <c r="I126" s="5" t="str">
        <f>IFERROR(__xludf.DUMMYFUNCTION("GOOGLETRANSLATE(D126, ""en"", ""hi"")"),"बी) आर. के. राजेश")</f>
        <v>बी) आर. के. राजेश</v>
      </c>
    </row>
    <row r="127" ht="22.5" customHeight="1">
      <c r="A127" s="7">
        <v>126.0</v>
      </c>
      <c r="B127" s="8" t="s">
        <v>5151</v>
      </c>
      <c r="C127" s="8" t="s">
        <v>5152</v>
      </c>
      <c r="D127" s="8" t="s">
        <v>5153</v>
      </c>
      <c r="F127" s="5" t="str">
        <f>IFERROR(__xludf.DUMMYFUNCTION("GOOGLETRANSLATE(A127, ""en"", ""hi"")"),"126")</f>
        <v>126</v>
      </c>
      <c r="G127" s="5" t="str">
        <f>IFERROR(__xludf.DUMMYFUNCTION("GOOGLETRANSLATE(B127, ""en"", ""hi"")"),"पम्बरम में किस टूर्नामेंट को सबसे अधिक प्रतिस्पर्धी स्तर के खेल के लिए मान्यता प्राप्त है?")</f>
        <v>पम्बरम में किस टूर्नामेंट को सबसे अधिक प्रतिस्पर्धी स्तर के खेल के लिए मान्यता प्राप्त है?</v>
      </c>
      <c r="H127" s="5" t="str">
        <f>IFERROR(__xludf.DUMMYFUNCTION("GOOGLETRANSLATE(C127, ""en"", ""hi"")"),"A) राष्ट्रीय चैम्पियनशिप, B) अंतर्राष्ट्रीय कप, C) दक्षिणी मास्टर्स, D) चेन्नई ओपन")</f>
        <v>A) राष्ट्रीय चैम्पियनशिप, B) अंतर्राष्ट्रीय कप, C) दक्षिणी मास्टर्स, D) चेन्नई ओपन</v>
      </c>
      <c r="I127" s="5" t="str">
        <f>IFERROR(__xludf.DUMMYFUNCTION("GOOGLETRANSLATE(D127, ""en"", ""hi"")"),"बी) अंतर्राष्ट्रीय कप")</f>
        <v>बी) अंतर्राष्ट्रीय कप</v>
      </c>
    </row>
    <row r="128" ht="22.5" customHeight="1">
      <c r="A128" s="7">
        <v>127.0</v>
      </c>
      <c r="B128" s="8" t="s">
        <v>5154</v>
      </c>
      <c r="C128" s="8" t="s">
        <v>5155</v>
      </c>
      <c r="D128" s="8" t="s">
        <v>5156</v>
      </c>
      <c r="F128" s="5" t="str">
        <f>IFERROR(__xludf.DUMMYFUNCTION("GOOGLETRANSLATE(A128, ""en"", ""hi"")"),"127")</f>
        <v>127</v>
      </c>
      <c r="G128" s="5" t="str">
        <f>IFERROR(__xludf.DUMMYFUNCTION("GOOGLETRANSLATE(B128, ""en"", ""hi"")"),"कौन सी पम्बरम तकनीक त्वरित रक्षात्मक गतिविधियों और जवाबी हमलों पर केंद्रित है?")</f>
        <v>कौन सी पम्बरम तकनीक त्वरित रक्षात्मक गतिविधियों और जवाबी हमलों पर केंद्रित है?</v>
      </c>
      <c r="H128" s="5" t="str">
        <f>IFERROR(__xludf.DUMMYFUNCTION("GOOGLETRANSLATE(C128, ""en"", ""hi"")"),"ए) डिफेंसिव गार्ड, बी) रैपिड स्ट्राइक, सी) काउंटर स्पिन, डी) क्विक फ्लिक")</f>
        <v>ए) डिफेंसिव गार्ड, बी) रैपिड स्ट्राइक, सी) काउंटर स्पिन, डी) क्विक फ्लिक</v>
      </c>
      <c r="I128" s="5" t="str">
        <f>IFERROR(__xludf.DUMMYFUNCTION("GOOGLETRANSLATE(D128, ""en"", ""hi"")"),"A) रक्षात्मक गार्ड")</f>
        <v>A) रक्षात्मक गार्ड</v>
      </c>
    </row>
    <row r="129" ht="22.5" customHeight="1">
      <c r="A129" s="7">
        <v>128.0</v>
      </c>
      <c r="B129" s="8" t="s">
        <v>5157</v>
      </c>
      <c r="C129" s="8" t="s">
        <v>5158</v>
      </c>
      <c r="D129" s="8" t="s">
        <v>4925</v>
      </c>
      <c r="F129" s="5" t="str">
        <f>IFERROR(__xludf.DUMMYFUNCTION("GOOGLETRANSLATE(A129, ""en"", ""hi"")"),"128")</f>
        <v>128</v>
      </c>
      <c r="G129" s="5" t="str">
        <f>IFERROR(__xludf.DUMMYFUNCTION("GOOGLETRANSLATE(B129, ""en"", ""hi"")"),"पम्बरम में 'साइक्लोन स्पिन' तकनीक शुरू करने का श्रेय किस खिलाड़ी को दिया जाता है?")</f>
        <v>पम्बरम में 'साइक्लोन स्पिन' तकनीक शुरू करने का श्रेय किस खिलाड़ी को दिया जाता है?</v>
      </c>
      <c r="H129" s="5" t="str">
        <f>IFERROR(__xludf.DUMMYFUNCTION("GOOGLETRANSLATE(C129, ""en"", ""hi"")"),"A) आर. के. राजेश, B) के. एस. रमेश, C) टी. एम. गणेशन, D) एस. वी. रवि")</f>
        <v>A) आर. के. राजेश, B) के. एस. रमेश, C) टी. एम. गणेशन, D) एस. वी. रवि</v>
      </c>
      <c r="I129" s="5" t="str">
        <f>IFERROR(__xludf.DUMMYFUNCTION("GOOGLETRANSLATE(D129, ""en"", ""hi"")"),"A) आर. के. राजेश")</f>
        <v>A) आर. के. राजेश</v>
      </c>
    </row>
    <row r="130" ht="22.5" customHeight="1">
      <c r="A130" s="7">
        <v>129.0</v>
      </c>
      <c r="B130" s="8" t="s">
        <v>5159</v>
      </c>
      <c r="C130" s="8" t="s">
        <v>5160</v>
      </c>
      <c r="D130" s="8" t="s">
        <v>5161</v>
      </c>
      <c r="F130" s="5" t="str">
        <f>IFERROR(__xludf.DUMMYFUNCTION("GOOGLETRANSLATE(A130, ""en"", ""hi"")"),"129")</f>
        <v>129</v>
      </c>
      <c r="G130" s="5" t="str">
        <f>IFERROR(__xludf.DUMMYFUNCTION("GOOGLETRANSLATE(B130, ""en"", ""hi"")"),"2016 में स्थापित पम्बरम विकास निधि का प्राथमिक उद्देश्य क्या था?")</f>
        <v>2016 में स्थापित पम्बरम विकास निधि का प्राथमिक उद्देश्य क्या था?</v>
      </c>
      <c r="H130" s="5" t="str">
        <f>IFERROR(__xludf.DUMMYFUNCTION("GOOGLETRANSLATE(C130, ""en"", ""hi"")"),"A) अंतर्राष्ट्रीय टूर्नामेंटों को प्रायोजित करना, B) जमीनी स्तर के कार्यक्रमों का समर्थन करना, C) कोचिंग तकनीकों को बढ़ाना, D) खिलाड़ी सुविधाओं में सुधार करना")</f>
        <v>A) अंतर्राष्ट्रीय टूर्नामेंटों को प्रायोजित करना, B) जमीनी स्तर के कार्यक्रमों का समर्थन करना, C) कोचिंग तकनीकों को बढ़ाना, D) खिलाड़ी सुविधाओं में सुधार करना</v>
      </c>
      <c r="I130" s="5" t="str">
        <f>IFERROR(__xludf.DUMMYFUNCTION("GOOGLETRANSLATE(D130, ""en"", ""hi"")"),"बी) जमीनी स्तर के कार्यक्रमों का समर्थन करना")</f>
        <v>बी) जमीनी स्तर के कार्यक्रमों का समर्थन करना</v>
      </c>
    </row>
    <row r="131" ht="22.5" customHeight="1">
      <c r="A131" s="7">
        <v>130.0</v>
      </c>
      <c r="B131" s="8" t="s">
        <v>5162</v>
      </c>
      <c r="C131" s="8" t="s">
        <v>5163</v>
      </c>
      <c r="D131" s="8" t="s">
        <v>5164</v>
      </c>
      <c r="F131" s="5" t="str">
        <f>IFERROR(__xludf.DUMMYFUNCTION("GOOGLETRANSLATE(A131, ""en"", ""hi"")"),"130")</f>
        <v>130</v>
      </c>
      <c r="G131" s="5" t="str">
        <f>IFERROR(__xludf.DUMMYFUNCTION("GOOGLETRANSLATE(B131, ""en"", ""hi"")"),"कौन सा पम्बरम टूर्नामेंट प्रतिवर्ष आयोजित किया जाता है और इसमें स्थानीय और अंतर्राष्ट्रीय टीमों का मिश्रण होता है?")</f>
        <v>कौन सा पम्बरम टूर्नामेंट प्रतिवर्ष आयोजित किया जाता है और इसमें स्थानीय और अंतर्राष्ट्रीय टीमों का मिश्रण होता है?</v>
      </c>
      <c r="H131" s="5" t="str">
        <f>IFERROR(__xludf.DUMMYFUNCTION("GOOGLETRANSLATE(C131, ""en"", ""hi"")"),"A) द सदर्न मास्टर्स, B) द गोल्डन पट्टम टूर्नामेंट, C) द नेशनल चैम्पियनशिप, D) द इंटरनेशनल पम्बरम कप")</f>
        <v>A) द सदर्न मास्टर्स, B) द गोल्डन पट्टम टूर्नामेंट, C) द नेशनल चैम्पियनशिप, D) द इंटरनेशनल पम्बरम कप</v>
      </c>
      <c r="I131" s="5" t="str">
        <f>IFERROR(__xludf.DUMMYFUNCTION("GOOGLETRANSLATE(D131, ""en"", ""hi"")"),"D) अंतर्राष्ट्रीय पम्बरम कप")</f>
        <v>D) अंतर्राष्ट्रीय पम्बरम कप</v>
      </c>
    </row>
    <row r="132" ht="22.5" customHeight="1">
      <c r="A132" s="7">
        <v>131.0</v>
      </c>
      <c r="B132" s="8" t="s">
        <v>5165</v>
      </c>
      <c r="C132" s="8" t="s">
        <v>5166</v>
      </c>
      <c r="D132" s="8" t="s">
        <v>5167</v>
      </c>
      <c r="F132" s="5" t="str">
        <f>IFERROR(__xludf.DUMMYFUNCTION("GOOGLETRANSLATE(A132, ""en"", ""hi"")"),"131")</f>
        <v>131</v>
      </c>
      <c r="G132" s="5" t="str">
        <f>IFERROR(__xludf.DUMMYFUNCTION("GOOGLETRANSLATE(B132, ""en"", ""hi"")"),"पम्बरम मैचों में प्रयुक्त उपकरणों के मानकीकरण के लिए निम्नलिखित में से कौन सा विनियमन लागू किया गया था?")</f>
        <v>पम्बरम मैचों में प्रयुक्त उपकरणों के मानकीकरण के लिए निम्नलिखित में से कौन सा विनियमन लागू किया गया था?</v>
      </c>
      <c r="H132" s="5" t="str">
        <f>IFERROR(__xludf.DUMMYFUNCTION("GOOGLETRANSLATE(C132, ""en"", ""hi"")"),"ए) एकसमान पट्टा विनिर्देश, बी) मानक सुरक्षात्मक गियर आवश्यकताएँ, सी) मैच अवधि सीमाएँ, डी) स्कोरिंग प्रणाली में परिवर्तन")</f>
        <v>ए) एकसमान पट्टा विनिर्देश, बी) मानक सुरक्षात्मक गियर आवश्यकताएँ, सी) मैच अवधि सीमाएँ, डी) स्कोरिंग प्रणाली में परिवर्तन</v>
      </c>
      <c r="I132" s="5" t="str">
        <f>IFERROR(__xludf.DUMMYFUNCTION("GOOGLETRANSLATE(D132, ""en"", ""hi"")"),"ए) एकसमान पट्टाम विनिर्देश")</f>
        <v>ए) एकसमान पट्टाम विनिर्देश</v>
      </c>
    </row>
    <row r="133" ht="22.5" customHeight="1">
      <c r="A133" s="7">
        <v>132.0</v>
      </c>
      <c r="B133" s="8" t="s">
        <v>5168</v>
      </c>
      <c r="C133" s="8" t="s">
        <v>5169</v>
      </c>
      <c r="D133" s="8" t="s">
        <v>5107</v>
      </c>
      <c r="F133" s="5" t="str">
        <f>IFERROR(__xludf.DUMMYFUNCTION("GOOGLETRANSLATE(A133, ""en"", ""hi"")"),"132")</f>
        <v>132</v>
      </c>
      <c r="G133" s="5" t="str">
        <f>IFERROR(__xludf.DUMMYFUNCTION("GOOGLETRANSLATE(B133, ""en"", ""hi"")"),"कौन सा खिलाड़ी पम्बाराम में 'क्विक फ्लिक' चाल के रणनीतिक उपयोग के लिए जाना जाता है?")</f>
        <v>कौन सा खिलाड़ी पम्बाराम में 'क्विक फ्लिक' चाल के रणनीतिक उपयोग के लिए जाना जाता है?</v>
      </c>
      <c r="H133" s="5" t="str">
        <f>IFERROR(__xludf.DUMMYFUNCTION("GOOGLETRANSLATE(C133, ""en"", ""hi"")"),"A) के. आर. मोहन, B) टी. एम. गणेशन, C) एस. वी. रवि, D) आर. के. राजेश")</f>
        <v>A) के. आर. मोहन, B) टी. एम. गणेशन, C) एस. वी. रवि, D) आर. के. राजेश</v>
      </c>
      <c r="I133" s="5" t="str">
        <f>IFERROR(__xludf.DUMMYFUNCTION("GOOGLETRANSLATE(D133, ""en"", ""hi"")"),"D) आर. के. राजेश")</f>
        <v>D) आर. के. राजेश</v>
      </c>
    </row>
    <row r="134" ht="22.5" customHeight="1">
      <c r="A134" s="7">
        <v>133.0</v>
      </c>
      <c r="B134" s="8" t="s">
        <v>5170</v>
      </c>
      <c r="C134" s="8" t="s">
        <v>5171</v>
      </c>
      <c r="D134" s="8" t="s">
        <v>5172</v>
      </c>
      <c r="F134" s="5" t="str">
        <f>IFERROR(__xludf.DUMMYFUNCTION("GOOGLETRANSLATE(A134, ""en"", ""hi"")"),"133")</f>
        <v>133</v>
      </c>
      <c r="G134" s="5" t="str">
        <f>IFERROR(__xludf.DUMMYFUNCTION("GOOGLETRANSLATE(B134, ""en"", ""hi"")"),"कौन सा ऐतिहासिक पम्बरम खिलाड़ी 'लॉन्ग रीच' तकनीक में अपने कौशल के लिए जाना जाता था?")</f>
        <v>कौन सा ऐतिहासिक पम्बरम खिलाड़ी 'लॉन्ग रीच' तकनीक में अपने कौशल के लिए जाना जाता था?</v>
      </c>
      <c r="H134" s="5" t="str">
        <f>IFERROR(__xludf.DUMMYFUNCTION("GOOGLETRANSLATE(C134, ""en"", ""hi"")"),"A) टी. एम. गणेशन, B) एस. वी. रवि, C) के. एस. रमेश, D) आर. के. राजेश")</f>
        <v>A) टी. एम. गणेशन, B) एस. वी. रवि, C) के. एस. रमेश, D) आर. के. राजेश</v>
      </c>
      <c r="I134" s="5" t="str">
        <f>IFERROR(__xludf.DUMMYFUNCTION("GOOGLETRANSLATE(D134, ""en"", ""hi"")"),"C) के. एस. रमेश")</f>
        <v>C) के. एस. रमेश</v>
      </c>
    </row>
    <row r="135" ht="22.5" customHeight="1">
      <c r="A135" s="7">
        <v>134.0</v>
      </c>
      <c r="B135" s="8" t="s">
        <v>5173</v>
      </c>
      <c r="C135" s="8" t="s">
        <v>5174</v>
      </c>
      <c r="D135" s="8" t="s">
        <v>4980</v>
      </c>
      <c r="F135" s="5" t="str">
        <f>IFERROR(__xludf.DUMMYFUNCTION("GOOGLETRANSLATE(A135, ""en"", ""hi"")"),"134")</f>
        <v>134</v>
      </c>
      <c r="G135" s="5" t="str">
        <f>IFERROR(__xludf.DUMMYFUNCTION("GOOGLETRANSLATE(B135, ""en"", ""hi"")"),"कौन सा पम्बरम टूर्नामेंट मैचों का लाइव टेलीविजन प्रसारण शामिल करने वाला पहला टूर्नामेंट था?")</f>
        <v>कौन सा पम्बरम टूर्नामेंट मैचों का लाइव टेलीविजन प्रसारण शामिल करने वाला पहला टूर्नामेंट था?</v>
      </c>
      <c r="H135" s="5" t="str">
        <f>IFERROR(__xludf.DUMMYFUNCTION("GOOGLETRANSLATE(C135, ""en"", ""hi"")"),"A) गोल्डन पट्टम टूर्नामेंट, B) राष्ट्रीय चैम्पियनशिप, C) अंतर्राष्ट्रीय कप, D) चेन्नई ओपन")</f>
        <v>A) गोल्डन पट्टम टूर्नामेंट, B) राष्ट्रीय चैम्पियनशिप, C) अंतर्राष्ट्रीय कप, D) चेन्नई ओपन</v>
      </c>
      <c r="I135" s="5" t="str">
        <f>IFERROR(__xludf.DUMMYFUNCTION("GOOGLETRANSLATE(D135, ""en"", ""hi"")"),"D) चेन्नई ओपन")</f>
        <v>D) चेन्नई ओपन</v>
      </c>
    </row>
    <row r="136" ht="22.5" customHeight="1">
      <c r="A136" s="7">
        <v>135.0</v>
      </c>
      <c r="B136" s="8" t="s">
        <v>5175</v>
      </c>
      <c r="C136" s="8" t="s">
        <v>5176</v>
      </c>
      <c r="D136" s="8" t="s">
        <v>5177</v>
      </c>
      <c r="F136" s="5" t="str">
        <f>IFERROR(__xludf.DUMMYFUNCTION("GOOGLETRANSLATE(A136, ""en"", ""hi"")"),"135")</f>
        <v>135</v>
      </c>
      <c r="G136" s="5" t="str">
        <f>IFERROR(__xludf.DUMMYFUNCTION("GOOGLETRANSLATE(B136, ""en"", ""hi"")"),"2005 में गठित पम्बरम विकास समिति का प्राथमिक कार्य क्या है?")</f>
        <v>2005 में गठित पम्बरम विकास समिति का प्राथमिक कार्य क्या है?</v>
      </c>
      <c r="H136" s="5" t="str">
        <f>IFERROR(__xludf.DUMMYFUNCTION("GOOGLETRANSLATE(C136, ""en"", ""hi"")"),"A) अंतर्राष्ट्रीय कार्यक्रम आयोजित करना, B) नए प्रशिक्षण कार्यक्रम विकसित करना, C) पम्बरम को विश्व स्तर पर बढ़ावा देना, D) पारंपरिक तकनीकों को संरक्षित करना")</f>
        <v>A) अंतर्राष्ट्रीय कार्यक्रम आयोजित करना, B) नए प्रशिक्षण कार्यक्रम विकसित करना, C) पम्बरम को विश्व स्तर पर बढ़ावा देना, D) पारंपरिक तकनीकों को संरक्षित करना</v>
      </c>
      <c r="I136" s="5" t="str">
        <f>IFERROR(__xludf.DUMMYFUNCTION("GOOGLETRANSLATE(D136, ""en"", ""hi"")"),"C) पम्बरम को विश्व स्तर पर बढ़ावा देना")</f>
        <v>C) पम्बरम को विश्व स्तर पर बढ़ावा देना</v>
      </c>
    </row>
    <row r="137" ht="22.5" customHeight="1">
      <c r="A137" s="7">
        <v>136.0</v>
      </c>
      <c r="B137" s="8" t="s">
        <v>5178</v>
      </c>
      <c r="C137" s="8" t="s">
        <v>5179</v>
      </c>
      <c r="D137" s="8" t="s">
        <v>4966</v>
      </c>
      <c r="F137" s="5" t="str">
        <f>IFERROR(__xludf.DUMMYFUNCTION("GOOGLETRANSLATE(A137, ""en"", ""hi"")"),"136")</f>
        <v>136</v>
      </c>
      <c r="G137" s="5" t="str">
        <f>IFERROR(__xludf.DUMMYFUNCTION("GOOGLETRANSLATE(B137, ""en"", ""hi"")"),"कौन सा पम्बरम खिलाड़ी अपनी 'स्पाइरल जंप' तकनीक के लिए प्रसिद्ध है?")</f>
        <v>कौन सा पम्बरम खिलाड़ी अपनी 'स्पाइरल जंप' तकनीक के लिए प्रसिद्ध है?</v>
      </c>
      <c r="H137" s="5" t="str">
        <f>IFERROR(__xludf.DUMMYFUNCTION("GOOGLETRANSLATE(C137, ""en"", ""hi"")"),"A) एस. एम. श्रीनिवासन, B) के. एस. रमेश, C) टी. एम. गणेशन, D) आर. के. राजेश")</f>
        <v>A) एस. एम. श्रीनिवासन, B) के. एस. रमेश, C) टी. एम. गणेशन, D) आर. के. राजेश</v>
      </c>
      <c r="I137" s="5" t="str">
        <f>IFERROR(__xludf.DUMMYFUNCTION("GOOGLETRANSLATE(D137, ""en"", ""hi"")"),"A) एस. एम. श्रीनिवासन")</f>
        <v>A) एस. एम. श्रीनिवासन</v>
      </c>
    </row>
    <row r="138" ht="22.5" customHeight="1">
      <c r="A138" s="7">
        <v>137.0</v>
      </c>
      <c r="B138" s="8" t="s">
        <v>5180</v>
      </c>
      <c r="C138" s="8" t="s">
        <v>5181</v>
      </c>
      <c r="D138" s="8" t="s">
        <v>5182</v>
      </c>
      <c r="F138" s="5" t="str">
        <f>IFERROR(__xludf.DUMMYFUNCTION("GOOGLETRANSLATE(A138, ""en"", ""hi"")"),"137")</f>
        <v>137</v>
      </c>
      <c r="G138" s="5" t="str">
        <f>IFERROR(__xludf.DUMMYFUNCTION("GOOGLETRANSLATE(B138, ""en"", ""hi"")"),"पम्बरम बुनियादी ढांचे के विकास के लिए वित्त पोषण प्रदान करने हेतु 2019 में कौन सी सरकारी योजना शुरू की गई?")</f>
        <v>पम्बरम बुनियादी ढांचे के विकास के लिए वित्त पोषण प्रदान करने हेतु 2019 में कौन सी सरकारी योजना शुरू की गई?</v>
      </c>
      <c r="H138" s="5" t="str">
        <f>IFERROR(__xludf.DUMMYFUNCTION("GOOGLETRANSLATE(C138, ""en"", ""hi"")"),"ए) खेल अवसंरचना अनुदान योजना, बी) राष्ट्रीय खेल सुविधा कार्यक्रम, सी) पारंपरिक खेल अवसंरचना निधि, डी) राष्ट्रीय खेल संवर्धन पहल")</f>
        <v>ए) खेल अवसंरचना अनुदान योजना, बी) राष्ट्रीय खेल सुविधा कार्यक्रम, सी) पारंपरिक खेल अवसंरचना निधि, डी) राष्ट्रीय खेल संवर्धन पहल</v>
      </c>
      <c r="I138" s="5" t="str">
        <f>IFERROR(__xludf.DUMMYFUNCTION("GOOGLETRANSLATE(D138, ""en"", ""hi"")"),"C) पारंपरिक खेल अवसंरचना कोष")</f>
        <v>C) पारंपरिक खेल अवसंरचना कोष</v>
      </c>
    </row>
    <row r="139" ht="22.5" customHeight="1">
      <c r="A139" s="7">
        <v>138.0</v>
      </c>
      <c r="B139" s="8" t="s">
        <v>5183</v>
      </c>
      <c r="C139" s="8" t="s">
        <v>5184</v>
      </c>
      <c r="D139" s="8" t="s">
        <v>5071</v>
      </c>
      <c r="F139" s="5" t="str">
        <f>IFERROR(__xludf.DUMMYFUNCTION("GOOGLETRANSLATE(A139, ""en"", ""hi"")"),"138")</f>
        <v>138</v>
      </c>
      <c r="G139" s="5" t="str">
        <f>IFERROR(__xludf.DUMMYFUNCTION("GOOGLETRANSLATE(B139, ""en"", ""hi"")"),"लगातार वर्षों में पम्बरम ग्रैंड स्लैम जीतने वाला पहला खिलाड़ी कौन था?")</f>
        <v>लगातार वर्षों में पम्बरम ग्रैंड स्लैम जीतने वाला पहला खिलाड़ी कौन था?</v>
      </c>
      <c r="H139" s="5" t="str">
        <f>IFERROR(__xludf.DUMMYFUNCTION("GOOGLETRANSLATE(C139, ""en"", ""hi"")"),"A) के. एस. रमेश, B) आर. के. राजेश, C) एस. वी. रवि, D) टी. एम. गणेशन")</f>
        <v>A) के. एस. रमेश, B) आर. के. राजेश, C) एस. वी. रवि, D) टी. एम. गणेशन</v>
      </c>
      <c r="I139" s="5" t="str">
        <f>IFERROR(__xludf.DUMMYFUNCTION("GOOGLETRANSLATE(D139, ""en"", ""hi"")"),"बी) आर. के. राजेश")</f>
        <v>बी) आर. के. राजेश</v>
      </c>
    </row>
    <row r="140" ht="22.5" customHeight="1">
      <c r="A140" s="7">
        <v>139.0</v>
      </c>
      <c r="B140" s="8" t="s">
        <v>5185</v>
      </c>
      <c r="C140" s="8" t="s">
        <v>5186</v>
      </c>
      <c r="D140" s="8" t="s">
        <v>5187</v>
      </c>
      <c r="F140" s="5" t="str">
        <f>IFERROR(__xludf.DUMMYFUNCTION("GOOGLETRANSLATE(A140, ""en"", ""hi"")"),"139")</f>
        <v>139</v>
      </c>
      <c r="G140" s="5" t="str">
        <f>IFERROR(__xludf.DUMMYFUNCTION("GOOGLETRANSLATE(B140, ""en"", ""hi"")"),"पम्बरम तकनीकी सलाहकार बोर्ड की प्राथमिक भूमिका क्या है?")</f>
        <v>पम्बरम तकनीकी सलाहकार बोर्ड की प्राथमिक भूमिका क्या है?</v>
      </c>
      <c r="H140" s="5" t="str">
        <f>IFERROR(__xludf.DUMMYFUNCTION("GOOGLETRANSLATE(C140, ""en"", ""hi"")"),"A) नियमों की समीक्षा और अद्यतन करना, B) प्रशिक्षण शिविर आयोजित करना, C) टूर्नामेंट लॉजिस्टिक्स का प्रबंधन करना, D) पम्बरम को अंतरराष्ट्रीय स्तर पर बढ़ावा देना")</f>
        <v>A) नियमों की समीक्षा और अद्यतन करना, B) प्रशिक्षण शिविर आयोजित करना, C) टूर्नामेंट लॉजिस्टिक्स का प्रबंधन करना, D) पम्बरम को अंतरराष्ट्रीय स्तर पर बढ़ावा देना</v>
      </c>
      <c r="I140" s="5" t="str">
        <f>IFERROR(__xludf.DUMMYFUNCTION("GOOGLETRANSLATE(D140, ""en"", ""hi"")"),"A) नियमों की समीक्षा और अद्यतन करना")</f>
        <v>A) नियमों की समीक्षा और अद्यतन करना</v>
      </c>
    </row>
    <row r="141" ht="22.5" customHeight="1">
      <c r="A141" s="7">
        <v>140.0</v>
      </c>
      <c r="B141" s="8" t="s">
        <v>5188</v>
      </c>
      <c r="C141" s="8" t="s">
        <v>5189</v>
      </c>
      <c r="D141" s="8" t="s">
        <v>5190</v>
      </c>
      <c r="F141" s="5" t="str">
        <f>IFERROR(__xludf.DUMMYFUNCTION("GOOGLETRANSLATE(A141, ""en"", ""hi"")"),"140")</f>
        <v>140</v>
      </c>
      <c r="G141" s="5" t="str">
        <f>IFERROR(__xludf.DUMMYFUNCTION("GOOGLETRANSLATE(B141, ""en"", ""hi"")"),"कौन सी सरकारी पहल पम्बरम जैसे पारंपरिक खेलों को स्कूल पाठ्यक्रम में शामिल करने पर केंद्रित है?")</f>
        <v>कौन सी सरकारी पहल पम्बरम जैसे पारंपरिक खेलों को स्कूल पाठ्यक्रम में शामिल करने पर केंद्रित है?</v>
      </c>
      <c r="H141" s="5" t="str">
        <f>IFERROR(__xludf.DUMMYFUNCTION("GOOGLETRANSLATE(C141, ""en"", ""hi"")"),"ए) स्कूल खेल एकीकरण कार्यक्रम, बी) राष्ट्रीय शैक्षिक खेल योजना, सी) पारंपरिक खेल शिक्षा पहल, डी) स्कूल खेल विकास अधिनियम")</f>
        <v>ए) स्कूल खेल एकीकरण कार्यक्रम, बी) राष्ट्रीय शैक्षिक खेल योजना, सी) पारंपरिक खेल शिक्षा पहल, डी) स्कूल खेल विकास अधिनियम</v>
      </c>
      <c r="I141" s="5" t="str">
        <f>IFERROR(__xludf.DUMMYFUNCTION("GOOGLETRANSLATE(D141, ""en"", ""hi"")"),"C) पारंपरिक खेल शिक्षा पहल")</f>
        <v>C) पारंपरिक खेल शिक्षा पहल</v>
      </c>
    </row>
    <row r="142" ht="22.5" customHeight="1">
      <c r="A142" s="7">
        <v>141.0</v>
      </c>
      <c r="B142" s="8" t="s">
        <v>5191</v>
      </c>
      <c r="C142" s="8" t="s">
        <v>5192</v>
      </c>
      <c r="D142" s="8" t="s">
        <v>4925</v>
      </c>
      <c r="F142" s="5" t="str">
        <f>IFERROR(__xludf.DUMMYFUNCTION("GOOGLETRANSLATE(A142, ""en"", ""hi"")"),"141")</f>
        <v>141</v>
      </c>
      <c r="G142" s="5" t="str">
        <f>IFERROR(__xludf.DUMMYFUNCTION("GOOGLETRANSLATE(B142, ""en"", ""hi"")"),"कौन सा खिलाड़ी अंतर्राष्ट्रीय टूर्नामेंटों में 'थंडरबोल्ट' तकनीक के उपयोग के लिए प्रसिद्ध है?")</f>
        <v>कौन सा खिलाड़ी अंतर्राष्ट्रीय टूर्नामेंटों में 'थंडरबोल्ट' तकनीक के उपयोग के लिए प्रसिद्ध है?</v>
      </c>
      <c r="H142" s="5" t="str">
        <f>IFERROR(__xludf.DUMMYFUNCTION("GOOGLETRANSLATE(C142, ""en"", ""hi"")"),"A) आर. के. राजेश, B) टी. एम. गणेशन, C) के. एस. रमेश, D) एस. वी. रवि")</f>
        <v>A) आर. के. राजेश, B) टी. एम. गणेशन, C) के. एस. रमेश, D) एस. वी. रवि</v>
      </c>
      <c r="I142" s="5" t="str">
        <f>IFERROR(__xludf.DUMMYFUNCTION("GOOGLETRANSLATE(D142, ""en"", ""hi"")"),"A) आर. के. राजेश")</f>
        <v>A) आर. के. राजेश</v>
      </c>
    </row>
    <row r="143" ht="22.5" customHeight="1">
      <c r="A143" s="7">
        <v>142.0</v>
      </c>
      <c r="B143" s="8" t="s">
        <v>5193</v>
      </c>
      <c r="C143" s="8" t="s">
        <v>5194</v>
      </c>
      <c r="D143" s="8" t="s">
        <v>5195</v>
      </c>
      <c r="F143" s="5" t="str">
        <f>IFERROR(__xludf.DUMMYFUNCTION("GOOGLETRANSLATE(A143, ""en"", ""hi"")"),"142")</f>
        <v>142</v>
      </c>
      <c r="G143" s="5" t="str">
        <f>IFERROR(__xludf.DUMMYFUNCTION("GOOGLETRANSLATE(B143, ""en"", ""hi"")"),"1970 के दशक में के.एस. रमेश ने कौन सी पम्बरम तकनीक को लोकप्रिय बनाया?")</f>
        <v>1970 के दशक में के.एस. रमेश ने कौन सी पम्बरम तकनीक को लोकप्रिय बनाया?</v>
      </c>
      <c r="H143" s="5" t="str">
        <f>IFERROR(__xludf.DUMMYFUNCTION("GOOGLETRANSLATE(C143, ""en"", ""hi"")"),"ए) लॉन्ग रीच, बी) साइक्लोन स्पिन, सी) पावर स्लैम, डी) हाई आर्क थ्रो")</f>
        <v>ए) लॉन्ग रीच, बी) साइक्लोन स्पिन, सी) पावर स्लैम, डी) हाई आर्क थ्रो</v>
      </c>
      <c r="I143" s="5" t="str">
        <f>IFERROR(__xludf.DUMMYFUNCTION("GOOGLETRANSLATE(D143, ""en"", ""hi"")"),"A) लंबी पहुंच")</f>
        <v>A) लंबी पहुंच</v>
      </c>
    </row>
    <row r="144" ht="22.5" customHeight="1">
      <c r="A144" s="7">
        <v>143.0</v>
      </c>
      <c r="B144" s="8" t="s">
        <v>5196</v>
      </c>
      <c r="C144" s="8" t="s">
        <v>5119</v>
      </c>
      <c r="D144" s="8" t="s">
        <v>5197</v>
      </c>
      <c r="F144" s="5" t="str">
        <f>IFERROR(__xludf.DUMMYFUNCTION("GOOGLETRANSLATE(A144, ""en"", ""hi"")"),"143")</f>
        <v>143</v>
      </c>
      <c r="G144" s="5" t="str">
        <f>IFERROR(__xludf.DUMMYFUNCTION("GOOGLETRANSLATE(B144, ""en"", ""hi"")"),"कौन सा पम्बरम खिलाड़ी 'पावर स्लैम' तकनीक के अग्रणी के लिए जाना जाता है?")</f>
        <v>कौन सा पम्बरम खिलाड़ी 'पावर स्लैम' तकनीक के अग्रणी के लिए जाना जाता है?</v>
      </c>
      <c r="H144" s="5" t="str">
        <f>IFERROR(__xludf.DUMMYFUNCTION("GOOGLETRANSLATE(C144, ""en"", ""hi"")"),"A) टी. एम. गणेशन, B) के. आर. मोहन, C) आर. के. राजेश, D) एस. वी. रवि")</f>
        <v>A) टी. एम. गणेशन, B) के. आर. मोहन, C) आर. के. राजेश, D) एस. वी. रवि</v>
      </c>
      <c r="I144" s="5" t="str">
        <f>IFERROR(__xludf.DUMMYFUNCTION("GOOGLETRANSLATE(D144, ""en"", ""hi"")"),"बी) के. आर. मोहन")</f>
        <v>बी) के. आर. मोहन</v>
      </c>
    </row>
    <row r="145" ht="22.5" customHeight="1">
      <c r="A145" s="7">
        <v>144.0</v>
      </c>
      <c r="B145" s="8" t="s">
        <v>5198</v>
      </c>
      <c r="C145" s="8" t="s">
        <v>5199</v>
      </c>
      <c r="D145" s="8" t="s">
        <v>5200</v>
      </c>
      <c r="F145" s="5" t="str">
        <f>IFERROR(__xludf.DUMMYFUNCTION("GOOGLETRANSLATE(A145, ""en"", ""hi"")"),"144")</f>
        <v>144</v>
      </c>
      <c r="G145" s="5" t="str">
        <f>IFERROR(__xludf.DUMMYFUNCTION("GOOGLETRANSLATE(B145, ""en"", ""hi"")"),"2018 में शुरू किए गए पम्बरम प्रशिक्षण और विकास कार्यक्रम का प्राथमिक उद्देश्य क्या है?")</f>
        <v>2018 में शुरू किए गए पम्बरम प्रशिक्षण और विकास कार्यक्रम का प्राथमिक उद्देश्य क्या है?</v>
      </c>
      <c r="H145" s="5" t="str">
        <f>IFERROR(__xludf.DUMMYFUNCTION("GOOGLETRANSLATE(C145, ""en"", ""hi"")"),"A) खिलाड़ियों के कौशल का विकास करना, B) टूर्नामेंटों के लिए धन उपलब्ध कराना, C) कोचिंग तकनीकों को बढ़ाना, D) जमीनी स्तर की पहलों का समर्थन करना")</f>
        <v>A) खिलाड़ियों के कौशल का विकास करना, B) टूर्नामेंटों के लिए धन उपलब्ध कराना, C) कोचिंग तकनीकों को बढ़ाना, D) जमीनी स्तर की पहलों का समर्थन करना</v>
      </c>
      <c r="I145" s="5" t="str">
        <f>IFERROR(__xludf.DUMMYFUNCTION("GOOGLETRANSLATE(D145, ""en"", ""hi"")"),"A) खिलाड़ी कौशल विकसित करने के लिए")</f>
        <v>A) खिलाड़ी कौशल विकसित करने के लिए</v>
      </c>
    </row>
    <row r="146" ht="22.5" customHeight="1">
      <c r="A146" s="7">
        <v>145.0</v>
      </c>
      <c r="B146" s="8" t="s">
        <v>5201</v>
      </c>
      <c r="C146" s="8" t="s">
        <v>5202</v>
      </c>
      <c r="D146" s="8" t="s">
        <v>5203</v>
      </c>
      <c r="F146" s="5" t="str">
        <f>IFERROR(__xludf.DUMMYFUNCTION("GOOGLETRANSLATE(A146, ""en"", ""hi"")"),"145")</f>
        <v>145</v>
      </c>
      <c r="G146" s="5" t="str">
        <f>IFERROR(__xludf.DUMMYFUNCTION("GOOGLETRANSLATE(B146, ""en"", ""hi"")"),"निम्नलिखित में से कौन सा दक्षिण भारत में आयोजित होने वाला एक प्रमुख पम्बरम टूर्नामेंट है?")</f>
        <v>निम्नलिखित में से कौन सा दक्षिण भारत में आयोजित होने वाला एक प्रमुख पम्बरम टूर्नामेंट है?</v>
      </c>
      <c r="H146" s="5" t="str">
        <f>IFERROR(__xludf.DUMMYFUNCTION("GOOGLETRANSLATE(C146, ""en"", ""hi"")"),"A) द सदर्न मास्टर्स, B) द नेशनल चैम्पियनशिप, C) द इंटरनेशनल पम्बरम कप, D) द चेन्नई ओपन")</f>
        <v>A) द सदर्न मास्टर्स, B) द नेशनल चैम्पियनशिप, C) द इंटरनेशनल पम्बरम कप, D) द चेन्नई ओपन</v>
      </c>
      <c r="I146" s="5" t="str">
        <f>IFERROR(__xludf.DUMMYFUNCTION("GOOGLETRANSLATE(D146, ""en"", ""hi"")"),"A) द सदर्न मास्टर्स")</f>
        <v>A) द सदर्न मास्टर्स</v>
      </c>
    </row>
    <row r="147" ht="22.5" customHeight="1">
      <c r="A147" s="7">
        <v>146.0</v>
      </c>
      <c r="B147" s="8" t="s">
        <v>5204</v>
      </c>
      <c r="C147" s="8" t="s">
        <v>2001</v>
      </c>
      <c r="D147" s="8" t="s">
        <v>612</v>
      </c>
      <c r="F147" s="5" t="str">
        <f>IFERROR(__xludf.DUMMYFUNCTION("GOOGLETRANSLATE(A147, ""en"", ""hi"")"),"146")</f>
        <v>146</v>
      </c>
      <c r="G147" s="5" t="str">
        <f>IFERROR(__xludf.DUMMYFUNCTION("GOOGLETRANSLATE(B147, ""en"", ""hi"")"),"पम्बरम टूर्नामेंटों में 'इलेक्ट्रॉनिक स्कोरिंग सिस्टम' की शुरुआत किस वर्ष हुई?")</f>
        <v>पम्बरम टूर्नामेंटों में 'इलेक्ट्रॉनिक स्कोरिंग सिस्टम' की शुरुआत किस वर्ष हुई?</v>
      </c>
      <c r="H147" s="5" t="str">
        <f>IFERROR(__xludf.DUMMYFUNCTION("GOOGLETRANSLATE(C147, ""en"", ""hi"")"),"ए) 2000, बी) 2005, सी) 2010, डी) 2015")</f>
        <v>ए) 2000, बी) 2005, सी) 2010, डी) 2015</v>
      </c>
      <c r="I147" s="5" t="str">
        <f>IFERROR(__xludf.DUMMYFUNCTION("GOOGLETRANSLATE(D147, ""en"", ""hi"")"),"बी) 2005")</f>
        <v>बी) 2005</v>
      </c>
    </row>
    <row r="148" ht="22.5" customHeight="1">
      <c r="A148" s="7">
        <v>147.0</v>
      </c>
      <c r="B148" s="8" t="s">
        <v>5205</v>
      </c>
      <c r="C148" s="8" t="s">
        <v>5206</v>
      </c>
      <c r="D148" s="8" t="s">
        <v>5145</v>
      </c>
      <c r="F148" s="5" t="str">
        <f>IFERROR(__xludf.DUMMYFUNCTION("GOOGLETRANSLATE(A148, ""en"", ""hi"")"),"147")</f>
        <v>147</v>
      </c>
      <c r="G148" s="5" t="str">
        <f>IFERROR(__xludf.DUMMYFUNCTION("GOOGLETRANSLATE(B148, ""en"", ""hi"")"),"कौन सा पम्बरम खिलाड़ी 'कॉम्बो स्ट्राइक' तकनीक के अपने अभिनव उपयोग के लिए जाना जाता है?")</f>
        <v>कौन सा पम्बरम खिलाड़ी 'कॉम्बो स्ट्राइक' तकनीक के अपने अभिनव उपयोग के लिए जाना जाता है?</v>
      </c>
      <c r="H148" s="5" t="str">
        <f>IFERROR(__xludf.DUMMYFUNCTION("GOOGLETRANSLATE(C148, ""en"", ""hi"")"),"A) आर. के. राजेश, B) के. आर. मोहन, C) एस. वी. रवि, D) टी. एम. गणेशन")</f>
        <v>A) आर. के. राजेश, B) के. आर. मोहन, C) एस. वी. रवि, D) टी. एम. गणेशन</v>
      </c>
      <c r="I148" s="5" t="str">
        <f>IFERROR(__xludf.DUMMYFUNCTION("GOOGLETRANSLATE(D148, ""en"", ""hi"")"),"D) टी. एम. गणेशन")</f>
        <v>D) टी. एम. गणेशन</v>
      </c>
    </row>
    <row r="149" ht="22.5" customHeight="1">
      <c r="A149" s="7">
        <v>148.0</v>
      </c>
      <c r="B149" s="8" t="s">
        <v>5207</v>
      </c>
      <c r="C149" s="8" t="s">
        <v>5208</v>
      </c>
      <c r="D149" s="8" t="s">
        <v>5209</v>
      </c>
      <c r="F149" s="5" t="str">
        <f>IFERROR(__xludf.DUMMYFUNCTION("GOOGLETRANSLATE(A149, ""en"", ""hi"")"),"148")</f>
        <v>148</v>
      </c>
      <c r="G149" s="5" t="str">
        <f>IFERROR(__xludf.DUMMYFUNCTION("GOOGLETRANSLATE(B149, ""en"", ""hi"")"),"किस अंतर्राष्ट्रीय टूर्नामेंट में दुनिया भर के शीर्ष पम्बरम खिलाड़ी भाग लेते हैं?")</f>
        <v>किस अंतर्राष्ट्रीय टूर्नामेंट में दुनिया भर के शीर्ष पम्बरम खिलाड़ी भाग लेते हैं?</v>
      </c>
      <c r="H149" s="5" t="str">
        <f>IFERROR(__xludf.DUMMYFUNCTION("GOOGLETRANSLATE(C149, ""en"", ""hi"")"),"A) विश्व पम्बरम कप, B) ग्लोबल पम्बरम चैम्पियनशिप, C) अंतर्राष्ट्रीय ओपन, D) विश्व चैम्पियनशिप")</f>
        <v>A) विश्व पम्बरम कप, B) ग्लोबल पम्बरम चैम्पियनशिप, C) अंतर्राष्ट्रीय ओपन, D) विश्व चैम्पियनशिप</v>
      </c>
      <c r="I149" s="5" t="str">
        <f>IFERROR(__xludf.DUMMYFUNCTION("GOOGLETRANSLATE(D149, ""en"", ""hi"")"),"A) विश्व पम्बरम कप")</f>
        <v>A) विश्व पम्बरम कप</v>
      </c>
    </row>
    <row r="150" ht="22.5" customHeight="1">
      <c r="A150" s="7">
        <v>149.0</v>
      </c>
      <c r="B150" s="8" t="s">
        <v>5210</v>
      </c>
      <c r="C150" s="8" t="s">
        <v>5211</v>
      </c>
      <c r="D150" s="8" t="s">
        <v>5212</v>
      </c>
      <c r="F150" s="5" t="str">
        <f>IFERROR(__xludf.DUMMYFUNCTION("GOOGLETRANSLATE(A150, ""en"", ""hi"")"),"149")</f>
        <v>149</v>
      </c>
      <c r="G150" s="5" t="str">
        <f>IFERROR(__xludf.DUMMYFUNCTION("GOOGLETRANSLATE(B150, ""en"", ""hi"")"),"पम्बरम को विश्व स्तर पर बढ़ावा देने के लिए 1990 में किस संगठन की स्थापना की गई थी?")</f>
        <v>पम्बरम को विश्व स्तर पर बढ़ावा देने के लिए 1990 में किस संगठन की स्थापना की गई थी?</v>
      </c>
      <c r="H150" s="5" t="str">
        <f>IFERROR(__xludf.DUMMYFUNCTION("GOOGLETRANSLATE(C150, ""en"", ""hi"")"),"A) अंतर्राष्ट्रीय पम्बरम महासंघ, B) विश्व खेल परिषद, C) वैश्विक पम्बरम संघ, D) अंतर्राष्ट्रीय खेल महासंघ")</f>
        <v>A) अंतर्राष्ट्रीय पम्बरम महासंघ, B) विश्व खेल परिषद, C) वैश्विक पम्बरम संघ, D) अंतर्राष्ट्रीय खेल महासंघ</v>
      </c>
      <c r="I150" s="5" t="str">
        <f>IFERROR(__xludf.DUMMYFUNCTION("GOOGLETRANSLATE(D150, ""en"", ""hi"")"),"A) अंतर्राष्ट्रीय पम्बरम महासंघ")</f>
        <v>A) अंतर्राष्ट्रीय पम्बरम महासंघ</v>
      </c>
    </row>
    <row r="151" ht="22.5" customHeight="1">
      <c r="A151" s="7">
        <v>150.0</v>
      </c>
      <c r="B151" s="8" t="s">
        <v>5213</v>
      </c>
      <c r="C151" s="8" t="s">
        <v>5214</v>
      </c>
      <c r="D151" s="8" t="s">
        <v>5215</v>
      </c>
      <c r="F151" s="5" t="str">
        <f>IFERROR(__xludf.DUMMYFUNCTION("GOOGLETRANSLATE(A151, ""en"", ""hi"")"),"150")</f>
        <v>150</v>
      </c>
      <c r="G151" s="5" t="str">
        <f>IFERROR(__xludf.DUMMYFUNCTION("GOOGLETRANSLATE(B151, ""en"", ""hi"")"),"कौन सी सरकारी नीति का उद्देश्य जमीनी स्तर पर पम्बरम जैसे पारंपरिक खेलों में भागीदारी बढ़ाना है?")</f>
        <v>कौन सी सरकारी नीति का उद्देश्य जमीनी स्तर पर पम्बरम जैसे पारंपरिक खेलों में भागीदारी बढ़ाना है?</v>
      </c>
      <c r="H151" s="5" t="str">
        <f>IFERROR(__xludf.DUMMYFUNCTION("GOOGLETRANSLATE(C151, ""en"", ""hi"")"),"A) राष्ट्रीय खेल प्रोत्साहन नीति, B) पारंपरिक खेल संवर्धन नीति, C) जमीनी स्तर पर खेल विकास नीति, D) राष्ट्रीय युवा सहभागिता नीति")</f>
        <v>A) राष्ट्रीय खेल प्रोत्साहन नीति, B) पारंपरिक खेल संवर्धन नीति, C) जमीनी स्तर पर खेल विकास नीति, D) राष्ट्रीय युवा सहभागिता नीति</v>
      </c>
      <c r="I151" s="5" t="str">
        <f>IFERROR(__xludf.DUMMYFUNCTION("GOOGLETRANSLATE(D151, ""en"", ""hi"")"),"C) जमीनी स्तर पर खेल विकास नीति")</f>
        <v>C) जमीनी स्तर पर खेल विकास नीति</v>
      </c>
    </row>
    <row r="152" ht="22.5" customHeight="1">
      <c r="A152" s="7">
        <v>151.0</v>
      </c>
      <c r="B152" s="8" t="s">
        <v>5216</v>
      </c>
      <c r="C152" s="8" t="s">
        <v>5217</v>
      </c>
      <c r="D152" s="8" t="s">
        <v>4956</v>
      </c>
      <c r="F152" s="5" t="str">
        <f>IFERROR(__xludf.DUMMYFUNCTION("GOOGLETRANSLATE(A152, ""en"", ""hi"")"),"151")</f>
        <v>151</v>
      </c>
      <c r="G152" s="5" t="str">
        <f>IFERROR(__xludf.DUMMYFUNCTION("GOOGLETRANSLATE(B152, ""en"", ""hi"")"),"कौन सा पम्बरम खिलाड़ी 'टोरनेडो स्पिन' तकनीक में अपनी निपुणता के लिए प्रसिद्ध है?")</f>
        <v>कौन सा पम्बरम खिलाड़ी 'टोरनेडो स्पिन' तकनीक में अपनी निपुणता के लिए प्रसिद्ध है?</v>
      </c>
      <c r="H152" s="5" t="str">
        <f>IFERROR(__xludf.DUMMYFUNCTION("GOOGLETRANSLATE(C152, ""en"", ""hi"")"),"A) टी. एम. गणेशन, B) के. एस. रमेश, C) आर. के. राजेश, D) एस. वी. रवि")</f>
        <v>A) टी. एम. गणेशन, B) के. एस. रमेश, C) आर. के. राजेश, D) एस. वी. रवि</v>
      </c>
      <c r="I152" s="5" t="str">
        <f>IFERROR(__xludf.DUMMYFUNCTION("GOOGLETRANSLATE(D152, ""en"", ""hi"")"),"A) टी. एम. गणेशन")</f>
        <v>A) टी. एम. गणेशन</v>
      </c>
    </row>
    <row r="153" ht="22.5" customHeight="1">
      <c r="A153" s="7">
        <v>152.0</v>
      </c>
      <c r="B153" s="8" t="s">
        <v>5218</v>
      </c>
      <c r="C153" s="8" t="s">
        <v>2001</v>
      </c>
      <c r="D153" s="8" t="s">
        <v>612</v>
      </c>
      <c r="F153" s="5" t="str">
        <f>IFERROR(__xludf.DUMMYFUNCTION("GOOGLETRANSLATE(A153, ""en"", ""hi"")"),"152")</f>
        <v>152</v>
      </c>
      <c r="G153" s="5" t="str">
        <f>IFERROR(__xludf.DUMMYFUNCTION("GOOGLETRANSLATE(B153, ""en"", ""hi"")"),"दिग्गज खिलाड़ियों को सम्मानित करने के लिए पम्बरम हॉल ऑफ फेम की स्थापना किस वर्ष हुई?")</f>
        <v>दिग्गज खिलाड़ियों को सम्मानित करने के लिए पम्बरम हॉल ऑफ फेम की स्थापना किस वर्ष हुई?</v>
      </c>
      <c r="H153" s="5" t="str">
        <f>IFERROR(__xludf.DUMMYFUNCTION("GOOGLETRANSLATE(C153, ""en"", ""hi"")"),"ए) 2000, बी) 2005, सी) 2010, डी) 2015")</f>
        <v>ए) 2000, बी) 2005, सी) 2010, डी) 2015</v>
      </c>
      <c r="I153" s="5" t="str">
        <f>IFERROR(__xludf.DUMMYFUNCTION("GOOGLETRANSLATE(D153, ""en"", ""hi"")"),"बी) 2005")</f>
        <v>बी) 2005</v>
      </c>
    </row>
    <row r="154" ht="22.5" customHeight="1">
      <c r="A154" s="7">
        <v>153.0</v>
      </c>
      <c r="B154" s="8" t="s">
        <v>5219</v>
      </c>
      <c r="C154" s="8" t="s">
        <v>5220</v>
      </c>
      <c r="D154" s="8" t="s">
        <v>5139</v>
      </c>
      <c r="F154" s="5" t="str">
        <f>IFERROR(__xludf.DUMMYFUNCTION("GOOGLETRANSLATE(A154, ""en"", ""hi"")"),"153")</f>
        <v>153</v>
      </c>
      <c r="G154" s="5" t="str">
        <f>IFERROR(__xludf.DUMMYFUNCTION("GOOGLETRANSLATE(B154, ""en"", ""hi"")"),"कौन सा पम्बरम टूर्नामेंट पारंपरिक नियमों और तकनीकों के सख्त पालन के लिए जाना जाता है?")</f>
        <v>कौन सा पम्बरम टूर्नामेंट पारंपरिक नियमों और तकनीकों के सख्त पालन के लिए जाना जाता है?</v>
      </c>
      <c r="H154" s="5" t="str">
        <f>IFERROR(__xludf.DUMMYFUNCTION("GOOGLETRANSLATE(C154, ""en"", ""hi"")"),"A) गोल्डन पट्टम टूर्नामेंट, B) राष्ट्रीय चैम्पियनशिप, C) अंतर्राष्ट्रीय कप, D) दक्षिणी मास्टर्स")</f>
        <v>A) गोल्डन पट्टम टूर्नामेंट, B) राष्ट्रीय चैम्पियनशिप, C) अंतर्राष्ट्रीय कप, D) दक्षिणी मास्टर्स</v>
      </c>
      <c r="I154" s="5" t="str">
        <f>IFERROR(__xludf.DUMMYFUNCTION("GOOGLETRANSLATE(D154, ""en"", ""hi"")"),"A) गोल्डन पट्टम टूर्नामेंट")</f>
        <v>A) गोल्डन पट्टम टूर्नामेंट</v>
      </c>
    </row>
    <row r="155" ht="22.5" customHeight="1">
      <c r="A155" s="7">
        <v>154.0</v>
      </c>
      <c r="B155" s="8" t="s">
        <v>5221</v>
      </c>
      <c r="C155" s="8" t="s">
        <v>5222</v>
      </c>
      <c r="D155" s="8" t="s">
        <v>5223</v>
      </c>
      <c r="F155" s="5" t="str">
        <f>IFERROR(__xludf.DUMMYFUNCTION("GOOGLETRANSLATE(A155, ""en"", ""hi"")"),"154")</f>
        <v>154</v>
      </c>
      <c r="G155" s="5" t="str">
        <f>IFERROR(__xludf.DUMMYFUNCTION("GOOGLETRANSLATE(B155, ""en"", ""hi"")"),"कौन सी सरकारी पहल पम्बरम सहित पारंपरिक खेल सुविधाओं के विकास का समर्थन करती है?")</f>
        <v>कौन सी सरकारी पहल पम्बरम सहित पारंपरिक खेल सुविधाओं के विकास का समर्थन करती है?</v>
      </c>
      <c r="H155" s="5" t="str">
        <f>IFERROR(__xludf.DUMMYFUNCTION("GOOGLETRANSLATE(C155, ""en"", ""hi"")"),"ए) खेल अवसंरचना विकास योजना, बी) पारंपरिक खेल सुविधा कार्यक्रम, सी) राष्ट्रीय खेल संवर्धन योजना, डी) जमीनी स्तर पर खेल विकास निधि")</f>
        <v>ए) खेल अवसंरचना विकास योजना, बी) पारंपरिक खेल सुविधा कार्यक्रम, सी) राष्ट्रीय खेल संवर्धन योजना, डी) जमीनी स्तर पर खेल विकास निधि</v>
      </c>
      <c r="I155" s="5" t="str">
        <f>IFERROR(__xludf.DUMMYFUNCTION("GOOGLETRANSLATE(D155, ""en"", ""hi"")"),"बी) पारंपरिक खेल सुविधा कार्यक्रम")</f>
        <v>बी) पारंपरिक खेल सुविधा कार्यक्रम</v>
      </c>
    </row>
    <row r="156" ht="22.5" customHeight="1">
      <c r="A156" s="7">
        <v>155.0</v>
      </c>
      <c r="B156" s="8" t="s">
        <v>5224</v>
      </c>
      <c r="C156" s="8" t="s">
        <v>5225</v>
      </c>
      <c r="D156" s="8" t="s">
        <v>4845</v>
      </c>
      <c r="F156" s="5" t="str">
        <f>IFERROR(__xludf.DUMMYFUNCTION("GOOGLETRANSLATE(A156, ""en"", ""hi"")"),"155")</f>
        <v>155</v>
      </c>
      <c r="G156" s="5" t="str">
        <f>IFERROR(__xludf.DUMMYFUNCTION("GOOGLETRANSLATE(B156, ""en"", ""hi"")"),"कौन सा पम्बरम खिलाड़ी अपनी रक्षात्मक तकनीक के लिए जाना जाता है जिसे 'रक्षा की दीवार' के रूप में जाना जाता है?")</f>
        <v>कौन सा पम्बरम खिलाड़ी अपनी रक्षात्मक तकनीक के लिए जाना जाता है जिसे 'रक्षा की दीवार' के रूप में जाना जाता है?</v>
      </c>
      <c r="H156" s="5" t="str">
        <f>IFERROR(__xludf.DUMMYFUNCTION("GOOGLETRANSLATE(C156, ""en"", ""hi"")"),"A) के. एस. रमेश, B) एस. वी. रवि, C) आर. के. राजेश, D) टी. एम. गणेशन")</f>
        <v>A) के. एस. रमेश, B) एस. वी. रवि, C) आर. के. राजेश, D) टी. एम. गणेशन</v>
      </c>
      <c r="I156" s="5" t="str">
        <f>IFERROR(__xludf.DUMMYFUNCTION("GOOGLETRANSLATE(D156, ""en"", ""hi"")"),"A) के. एस. रमेश")</f>
        <v>A) के. एस. रमेश</v>
      </c>
    </row>
    <row r="157" ht="22.5" customHeight="1">
      <c r="A157" s="7">
        <v>156.0</v>
      </c>
      <c r="B157" s="8" t="s">
        <v>5226</v>
      </c>
      <c r="C157" s="8" t="s">
        <v>4933</v>
      </c>
      <c r="D157" s="8" t="s">
        <v>5227</v>
      </c>
      <c r="F157" s="5" t="str">
        <f>IFERROR(__xludf.DUMMYFUNCTION("GOOGLETRANSLATE(A157, ""en"", ""hi"")"),"156")</f>
        <v>156</v>
      </c>
      <c r="G157" s="5" t="str">
        <f>IFERROR(__xludf.DUMMYFUNCTION("GOOGLETRANSLATE(B157, ""en"", ""hi"")"),"अंतर्राष्ट्रीय पम्बरम महासंघ ने मानकीकृत मैच नियम किस वर्ष शुरू किए?")</f>
        <v>अंतर्राष्ट्रीय पम्बरम महासंघ ने मानकीकृत मैच नियम किस वर्ष शुरू किए?</v>
      </c>
      <c r="H157" s="5" t="str">
        <f>IFERROR(__xludf.DUMMYFUNCTION("GOOGLETRANSLATE(C157, ""en"", ""hi"")"),"ए) 1990, बी) 1995, सी) 2000, डी) 2005")</f>
        <v>ए) 1990, बी) 1995, सी) 2000, डी) 2005</v>
      </c>
      <c r="I157" s="5" t="str">
        <f>IFERROR(__xludf.DUMMYFUNCTION("GOOGLETRANSLATE(D157, ""en"", ""hi"")"),"सी) 2000")</f>
        <v>सी) 2000</v>
      </c>
    </row>
    <row r="158" ht="22.5" customHeight="1">
      <c r="A158" s="7">
        <v>157.0</v>
      </c>
      <c r="B158" s="8" t="s">
        <v>5228</v>
      </c>
      <c r="C158" s="8" t="s">
        <v>5229</v>
      </c>
      <c r="D158" s="8" t="s">
        <v>5230</v>
      </c>
      <c r="F158" s="5" t="str">
        <f>IFERROR(__xludf.DUMMYFUNCTION("GOOGLETRANSLATE(A158, ""en"", ""hi"")"),"157")</f>
        <v>157</v>
      </c>
      <c r="G158" s="5" t="str">
        <f>IFERROR(__xludf.DUMMYFUNCTION("GOOGLETRANSLATE(B158, ""en"", ""hi"")"),"पम्बरम प्रतिभा पहचान कार्यक्रम का प्राथमिक लक्ष्य क्या है?")</f>
        <v>पम्बरम प्रतिभा पहचान कार्यक्रम का प्राथमिक लक्ष्य क्या है?</v>
      </c>
      <c r="H158" s="5" t="str">
        <f>IFERROR(__xludf.DUMMYFUNCTION("GOOGLETRANSLATE(C158, ""en"", ""hi"")"),"A) नए खिलाड़ियों की खोज करना, B) खिलाड़ियों के कौशल को बढ़ाना, C) अंतर्राष्ट्रीय टूर्नामेंट आयोजित करना, D) पारंपरिक तकनीकों को बढ़ावा देना")</f>
        <v>A) नए खिलाड़ियों की खोज करना, B) खिलाड़ियों के कौशल को बढ़ाना, C) अंतर्राष्ट्रीय टूर्नामेंट आयोजित करना, D) पारंपरिक तकनीकों को बढ़ावा देना</v>
      </c>
      <c r="I158" s="5" t="str">
        <f>IFERROR(__xludf.DUMMYFUNCTION("GOOGLETRANSLATE(D158, ""en"", ""hi"")"),"A) नए खिलाड़ियों की खोज करना")</f>
        <v>A) नए खिलाड़ियों की खोज करना</v>
      </c>
    </row>
    <row r="159" ht="22.5" customHeight="1">
      <c r="A159" s="7">
        <v>158.0</v>
      </c>
      <c r="B159" s="8" t="s">
        <v>5231</v>
      </c>
      <c r="C159" s="8" t="s">
        <v>5232</v>
      </c>
      <c r="D159" s="8" t="s">
        <v>5233</v>
      </c>
      <c r="F159" s="5" t="str">
        <f>IFERROR(__xludf.DUMMYFUNCTION("GOOGLETRANSLATE(A159, ""en"", ""hi"")"),"158")</f>
        <v>158</v>
      </c>
      <c r="G159" s="5" t="str">
        <f>IFERROR(__xludf.DUMMYFUNCTION("GOOGLETRANSLATE(B159, ""en"", ""hi"")"),"कौन सा टूर्नामेंट विभिन्न सांस्कृतिक पृष्ठभूमि के खिलाड़ियों को शामिल करने पर जोर देने के लिए जाना जाता है?")</f>
        <v>कौन सा टूर्नामेंट विभिन्न सांस्कृतिक पृष्ठभूमि के खिलाड़ियों को शामिल करने पर जोर देने के लिए जाना जाता है?</v>
      </c>
      <c r="H159" s="5" t="str">
        <f>IFERROR(__xludf.DUMMYFUNCTION("GOOGLETRANSLATE(C159, ""en"", ""hi"")"),"A) अंतर्राष्ट्रीय पम्बरम कप, B) राष्ट्रीय चैम्पियनशिप, C) दक्षिणी मास्टर्स, D) गोल्डन पट्टम टूर्नामेंट")</f>
        <v>A) अंतर्राष्ट्रीय पम्बरम कप, B) राष्ट्रीय चैम्पियनशिप, C) दक्षिणी मास्टर्स, D) गोल्डन पट्टम टूर्नामेंट</v>
      </c>
      <c r="I159" s="5" t="str">
        <f>IFERROR(__xludf.DUMMYFUNCTION("GOOGLETRANSLATE(D159, ""en"", ""hi"")"),"A) अंतर्राष्ट्रीय पम्बरम कप")</f>
        <v>A) अंतर्राष्ट्रीय पम्बरम कप</v>
      </c>
    </row>
    <row r="160" ht="22.5" customHeight="1">
      <c r="A160" s="7">
        <v>159.0</v>
      </c>
      <c r="B160" s="8" t="s">
        <v>5234</v>
      </c>
      <c r="C160" s="8" t="s">
        <v>5235</v>
      </c>
      <c r="D160" s="8" t="s">
        <v>5236</v>
      </c>
      <c r="F160" s="5" t="str">
        <f>IFERROR(__xludf.DUMMYFUNCTION("GOOGLETRANSLATE(A160, ""en"", ""hi"")"),"159")</f>
        <v>159</v>
      </c>
      <c r="G160" s="5" t="str">
        <f>IFERROR(__xludf.DUMMYFUNCTION("GOOGLETRANSLATE(B160, ""en"", ""hi"")"),"कौन सी उल्लेखनीय पम्बरम तकनीक में विरोधियों को निहत्था करने के लिए उच्च गति वाली घूर्णन गति शामिल है?")</f>
        <v>कौन सी उल्लेखनीय पम्बरम तकनीक में विरोधियों को निहत्था करने के लिए उच्च गति वाली घूर्णन गति शामिल है?</v>
      </c>
      <c r="H160" s="5" t="str">
        <f>IFERROR(__xludf.DUMMYFUNCTION("GOOGLETRANSLATE(C160, ""en"", ""hi"")"),"ए) टोर्नेडो स्पिन, बी) साइक्लोन स्पिन, सी) रैपिड स्पिन, डी) हाई आर्क थ्रो")</f>
        <v>ए) टोर्नेडो स्पिन, बी) साइक्लोन स्पिन, सी) रैपिड स्पिन, डी) हाई आर्क थ्रो</v>
      </c>
      <c r="I160" s="5" t="str">
        <f>IFERROR(__xludf.DUMMYFUNCTION("GOOGLETRANSLATE(D160, ""en"", ""hi"")"),"A) टॉरनेडो स्पिन")</f>
        <v>A) टॉरनेडो स्पिन</v>
      </c>
    </row>
    <row r="161" ht="22.5" customHeight="1">
      <c r="A161" s="7">
        <v>160.0</v>
      </c>
      <c r="B161" s="8" t="s">
        <v>5237</v>
      </c>
      <c r="C161" s="8" t="s">
        <v>5119</v>
      </c>
      <c r="D161" s="8" t="s">
        <v>5120</v>
      </c>
      <c r="F161" s="5" t="str">
        <f>IFERROR(__xludf.DUMMYFUNCTION("GOOGLETRANSLATE(A161, ""en"", ""hi"")"),"160")</f>
        <v>160</v>
      </c>
      <c r="G161" s="5" t="str">
        <f>IFERROR(__xludf.DUMMYFUNCTION("GOOGLETRANSLATE(B161, ""en"", ""hi"")"),"कौन सा पम्बरम खिलाड़ी 'रैपिड स्पिन' तकनीक के अपने अभिनव उपयोग के लिए जाना जाता है?")</f>
        <v>कौन सा पम्बरम खिलाड़ी 'रैपिड स्पिन' तकनीक के अपने अभिनव उपयोग के लिए जाना जाता है?</v>
      </c>
      <c r="H161" s="5" t="str">
        <f>IFERROR(__xludf.DUMMYFUNCTION("GOOGLETRANSLATE(C161, ""en"", ""hi"")"),"A) टी. एम. गणेशन, B) के. आर. मोहन, C) आर. के. राजेश, D) एस. वी. रवि")</f>
        <v>A) टी. एम. गणेशन, B) के. आर. मोहन, C) आर. के. राजेश, D) एस. वी. रवि</v>
      </c>
      <c r="I161" s="5" t="str">
        <f>IFERROR(__xludf.DUMMYFUNCTION("GOOGLETRANSLATE(D161, ""en"", ""hi"")"),"C) आर. के. राजेश")</f>
        <v>C) आर. के. राजेश</v>
      </c>
    </row>
    <row r="162" ht="22.5" customHeight="1">
      <c r="A162" s="7">
        <v>161.0</v>
      </c>
      <c r="B162" s="8" t="s">
        <v>5238</v>
      </c>
      <c r="C162" s="8" t="s">
        <v>5239</v>
      </c>
      <c r="D162" s="8" t="s">
        <v>5240</v>
      </c>
      <c r="F162" s="5" t="str">
        <f>IFERROR(__xludf.DUMMYFUNCTION("GOOGLETRANSLATE(A162, ""en"", ""hi"")"),"161")</f>
        <v>161</v>
      </c>
      <c r="G162" s="5" t="str">
        <f>IFERROR(__xludf.DUMMYFUNCTION("GOOGLETRANSLATE(B162, ""en"", ""hi"")"),"पम्बरम सहित पारंपरिक खेलों को समर्थन देने के लिए 2017 में कौन सा सरकारी कार्यक्रम शुरू किया गया था?")</f>
        <v>पम्बरम सहित पारंपरिक खेलों को समर्थन देने के लिए 2017 में कौन सा सरकारी कार्यक्रम शुरू किया गया था?</v>
      </c>
      <c r="H162" s="5" t="str">
        <f>IFERROR(__xludf.DUMMYFUNCTION("GOOGLETRANSLATE(C162, ""en"", ""hi"")"),"ए) पारंपरिक खेल सहायता योजना, बी) राष्ट्रीय विरासत खेल निधि, सी) सांस्कृतिक खेल संरक्षण कार्यक्रम, डी) पारंपरिक खेल विकास निधि")</f>
        <v>ए) पारंपरिक खेल सहायता योजना, बी) राष्ट्रीय विरासत खेल निधि, सी) सांस्कृतिक खेल संरक्षण कार्यक्रम, डी) पारंपरिक खेल विकास निधि</v>
      </c>
      <c r="I162" s="5" t="str">
        <f>IFERROR(__xludf.DUMMYFUNCTION("GOOGLETRANSLATE(D162, ""en"", ""hi"")"),"D) पारंपरिक खेल विकास कोष")</f>
        <v>D) पारंपरिक खेल विकास कोष</v>
      </c>
    </row>
    <row r="163" ht="22.5" customHeight="1">
      <c r="A163" s="7">
        <v>162.0</v>
      </c>
      <c r="B163" s="8" t="s">
        <v>5241</v>
      </c>
      <c r="C163" s="8" t="s">
        <v>5242</v>
      </c>
      <c r="D163" s="8" t="s">
        <v>5131</v>
      </c>
      <c r="F163" s="5" t="str">
        <f>IFERROR(__xludf.DUMMYFUNCTION("GOOGLETRANSLATE(A163, ""en"", ""hi"")"),"162")</f>
        <v>162</v>
      </c>
      <c r="G163" s="5" t="str">
        <f>IFERROR(__xludf.DUMMYFUNCTION("GOOGLETRANSLATE(B163, ""en"", ""hi"")"),"निम्नलिखित में से कौन सी पम्बरम तकनीक अपनी आक्रामक शक्ति के लिए प्रसिद्ध है?")</f>
        <v>निम्नलिखित में से कौन सी पम्बरम तकनीक अपनी आक्रामक शक्ति के लिए प्रसिद्ध है?</v>
      </c>
      <c r="H163" s="5" t="str">
        <f>IFERROR(__xludf.DUMMYFUNCTION("GOOGLETRANSLATE(C163, ""en"", ""hi"")"),"ए) थंडरबोल्ट, बी) हाई आर्क थ्रो, सी) साइक्लोन स्पिन, डी) कॉम्बो स्ट्राइक")</f>
        <v>ए) थंडरबोल्ट, बी) हाई आर्क थ्रो, सी) साइक्लोन स्पिन, डी) कॉम्बो स्ट्राइक</v>
      </c>
      <c r="I163" s="5" t="str">
        <f>IFERROR(__xludf.DUMMYFUNCTION("GOOGLETRANSLATE(D163, ""en"", ""hi"")"),"ए) थंडरबोल्ट")</f>
        <v>ए) थंडरबोल्ट</v>
      </c>
    </row>
    <row r="164" ht="22.5" customHeight="1">
      <c r="A164" s="7">
        <v>163.0</v>
      </c>
      <c r="B164" s="8" t="s">
        <v>5243</v>
      </c>
      <c r="C164" s="8" t="s">
        <v>5050</v>
      </c>
      <c r="D164" s="8" t="s">
        <v>5139</v>
      </c>
      <c r="F164" s="5" t="str">
        <f>IFERROR(__xludf.DUMMYFUNCTION("GOOGLETRANSLATE(A164, ""en"", ""hi"")"),"163")</f>
        <v>163</v>
      </c>
      <c r="G164" s="5" t="str">
        <f>IFERROR(__xludf.DUMMYFUNCTION("GOOGLETRANSLATE(B164, ""en"", ""hi"")"),"कौन सा पम्बरम टूर्नामेंट खेल भावना और निष्पक्ष खेल पर ध्यान केंद्रित करने के लिए जाना जाता है?")</f>
        <v>कौन सा पम्बरम टूर्नामेंट खेल भावना और निष्पक्ष खेल पर ध्यान केंद्रित करने के लिए जाना जाता है?</v>
      </c>
      <c r="H164" s="5" t="str">
        <f>IFERROR(__xludf.DUMMYFUNCTION("GOOGLETRANSLATE(C164, ""en"", ""hi"")"),"A) गोल्डन पट्टम टूर्नामेंट, B) राष्ट्रीय चैम्पियनशिप, C) चेन्नई ओपन, D) सदर्न मास्टर्स")</f>
        <v>A) गोल्डन पट्टम टूर्नामेंट, B) राष्ट्रीय चैम्पियनशिप, C) चेन्नई ओपन, D) सदर्न मास्टर्स</v>
      </c>
      <c r="I164" s="5" t="str">
        <f>IFERROR(__xludf.DUMMYFUNCTION("GOOGLETRANSLATE(D164, ""en"", ""hi"")"),"A) गोल्डन पट्टम टूर्नामेंट")</f>
        <v>A) गोल्डन पट्टम टूर्नामेंट</v>
      </c>
    </row>
    <row r="165" ht="22.5" customHeight="1">
      <c r="A165" s="7">
        <v>164.0</v>
      </c>
      <c r="B165" s="8" t="s">
        <v>5244</v>
      </c>
      <c r="C165" s="8" t="s">
        <v>5150</v>
      </c>
      <c r="D165" s="8" t="s">
        <v>5071</v>
      </c>
      <c r="F165" s="5" t="str">
        <f>IFERROR(__xludf.DUMMYFUNCTION("GOOGLETRANSLATE(A165, ""en"", ""hi"")"),"164")</f>
        <v>164</v>
      </c>
      <c r="G165" s="5" t="str">
        <f>IFERROR(__xludf.DUMMYFUNCTION("GOOGLETRANSLATE(B165, ""en"", ""hi"")"),"1980 के दशक में कौन सा पम्बरम खिलाड़ी 'कॉम्बो स्ट्राइक' के रणनीतिक उपयोग के लिए जाना जाता था?")</f>
        <v>1980 के दशक में कौन सा पम्बरम खिलाड़ी 'कॉम्बो स्ट्राइक' के रणनीतिक उपयोग के लिए जाना जाता था?</v>
      </c>
      <c r="H165" s="5" t="str">
        <f>IFERROR(__xludf.DUMMYFUNCTION("GOOGLETRANSLATE(C165, ""en"", ""hi"")"),"A) के. एस. रमेश, B) आर. के. राजेश, C) टी. एम. गणेशन, D) एस. वी. रवि")</f>
        <v>A) के. एस. रमेश, B) आर. के. राजेश, C) टी. एम. गणेशन, D) एस. वी. रवि</v>
      </c>
      <c r="I165" s="5" t="str">
        <f>IFERROR(__xludf.DUMMYFUNCTION("GOOGLETRANSLATE(D165, ""en"", ""hi"")"),"बी) आर. के. राजेश")</f>
        <v>बी) आर. के. राजेश</v>
      </c>
    </row>
    <row r="166" ht="22.5" customHeight="1">
      <c r="A166" s="7">
        <v>165.0</v>
      </c>
      <c r="B166" s="8" t="s">
        <v>5245</v>
      </c>
      <c r="C166" s="8" t="s">
        <v>5246</v>
      </c>
      <c r="D166" s="8" t="s">
        <v>5247</v>
      </c>
      <c r="F166" s="5" t="str">
        <f>IFERROR(__xludf.DUMMYFUNCTION("GOOGLETRANSLATE(A166, ""en"", ""hi"")"),"165")</f>
        <v>165</v>
      </c>
      <c r="G166" s="5" t="str">
        <f>IFERROR(__xludf.DUMMYFUNCTION("GOOGLETRANSLATE(B166, ""en"", ""hi"")"),"कौन सी पम्बरम तकनीक त्वरित, क्रमिक हमलों की विशेषता है और रक्षा में इसकी प्रभावशीलता के लिए जानी जाती है?")</f>
        <v>कौन सी पम्बरम तकनीक त्वरित, क्रमिक हमलों की विशेषता है और रक्षा में इसकी प्रभावशीलता के लिए जानी जाती है?</v>
      </c>
      <c r="H166" s="5" t="str">
        <f>IFERROR(__xludf.DUMMYFUNCTION("GOOGLETRANSLATE(C166, ""en"", ""hi"")"),"ए) रैपिड स्ट्राइक, बी) क्विक फ्लिक, सी) डिफेंसिव गार्ड, डी) साइक्लोन स्पिन")</f>
        <v>ए) रैपिड स्ट्राइक, बी) क्विक फ्लिक, सी) डिफेंसिव गार्ड, डी) साइक्लोन स्पिन</v>
      </c>
      <c r="I166" s="5" t="str">
        <f>IFERROR(__xludf.DUMMYFUNCTION("GOOGLETRANSLATE(D166, ""en"", ""hi"")"),"C) रक्षात्मक गार्ड")</f>
        <v>C) रक्षात्मक गार्ड</v>
      </c>
    </row>
    <row r="167" ht="22.5" customHeight="1">
      <c r="A167" s="7">
        <v>166.0</v>
      </c>
      <c r="B167" s="8" t="s">
        <v>5248</v>
      </c>
      <c r="C167" s="8" t="s">
        <v>5249</v>
      </c>
      <c r="D167" s="8" t="s">
        <v>5075</v>
      </c>
      <c r="F167" s="5" t="str">
        <f>IFERROR(__xludf.DUMMYFUNCTION("GOOGLETRANSLATE(A167, ""en"", ""hi"")"),"166")</f>
        <v>166</v>
      </c>
      <c r="G167" s="5" t="str">
        <f>IFERROR(__xludf.DUMMYFUNCTION("GOOGLETRANSLATE(B167, ""en"", ""hi"")"),"वार्षिक पम्बरम विश्व कप के आयोजन के लिए कौन सा संगठन जिम्मेदार है?")</f>
        <v>वार्षिक पम्बरम विश्व कप के आयोजन के लिए कौन सा संगठन जिम्मेदार है?</v>
      </c>
      <c r="H167" s="5" t="str">
        <f>IFERROR(__xludf.DUMMYFUNCTION("GOOGLETRANSLATE(C167, ""en"", ""hi"")"),"A) अंतर्राष्ट्रीय पम्बरम महासंघ, B) विश्व पम्बरम संघ, C) वैश्विक पम्बरम परिषद, D) अंतर्राष्ट्रीय खेल महासंघ")</f>
        <v>A) अंतर्राष्ट्रीय पम्बरम महासंघ, B) विश्व पम्बरम संघ, C) वैश्विक पम्बरम परिषद, D) अंतर्राष्ट्रीय खेल महासंघ</v>
      </c>
      <c r="I167" s="5" t="str">
        <f>IFERROR(__xludf.DUMMYFUNCTION("GOOGLETRANSLATE(D167, ""en"", ""hi"")"),"A) अंतर्राष्ट्रीय पम्बरम महासंघ")</f>
        <v>A) अंतर्राष्ट्रीय पम्बरम महासंघ</v>
      </c>
    </row>
    <row r="168" ht="22.5" customHeight="1">
      <c r="A168" s="7">
        <v>167.0</v>
      </c>
      <c r="B168" s="8" t="s">
        <v>5250</v>
      </c>
      <c r="C168" s="8" t="s">
        <v>5251</v>
      </c>
      <c r="D168" s="8" t="s">
        <v>5252</v>
      </c>
      <c r="F168" s="5" t="str">
        <f>IFERROR(__xludf.DUMMYFUNCTION("GOOGLETRANSLATE(A168, ""en"", ""hi"")"),"167")</f>
        <v>167</v>
      </c>
      <c r="G168" s="5" t="str">
        <f>IFERROR(__xludf.DUMMYFUNCTION("GOOGLETRANSLATE(B168, ""en"", ""hi"")"),"सामुदायिक स्तर पर पारंपरिक खेलों को बढ़ावा देने के लिए कौन सी सरकारी नीति शुरू की गई?")</f>
        <v>सामुदायिक स्तर पर पारंपरिक खेलों को बढ़ावा देने के लिए कौन सी सरकारी नीति शुरू की गई?</v>
      </c>
      <c r="H168" s="5" t="str">
        <f>IFERROR(__xludf.DUMMYFUNCTION("GOOGLETRANSLATE(C168, ""en"", ""hi"")"),"ए) सामुदायिक खेल सहभागिता कार्यक्रम, बी) पारंपरिक खेल प्रोत्साहन अधिनियम, सी) राष्ट्रीय खेल सामुदायिक योजना, डी) स्थानीय खेल विकास नीति")</f>
        <v>ए) सामुदायिक खेल सहभागिता कार्यक्रम, बी) पारंपरिक खेल प्रोत्साहन अधिनियम, सी) राष्ट्रीय खेल सामुदायिक योजना, डी) स्थानीय खेल विकास नीति</v>
      </c>
      <c r="I168" s="5" t="str">
        <f>IFERROR(__xludf.DUMMYFUNCTION("GOOGLETRANSLATE(D168, ""en"", ""hi"")"),"बी) पारंपरिक खेल संवर्धन अधिनियम")</f>
        <v>बी) पारंपरिक खेल संवर्धन अधिनियम</v>
      </c>
    </row>
    <row r="169" ht="22.5" customHeight="1">
      <c r="A169" s="7">
        <v>168.0</v>
      </c>
      <c r="B169" s="8" t="s">
        <v>5253</v>
      </c>
      <c r="C169" s="8" t="s">
        <v>5011</v>
      </c>
      <c r="D169" s="8" t="s">
        <v>5071</v>
      </c>
      <c r="F169" s="5" t="str">
        <f>IFERROR(__xludf.DUMMYFUNCTION("GOOGLETRANSLATE(A169, ""en"", ""hi"")"),"168")</f>
        <v>168</v>
      </c>
      <c r="G169" s="5" t="str">
        <f>IFERROR(__xludf.DUMMYFUNCTION("GOOGLETRANSLATE(B169, ""en"", ""hi"")"),"1990 के दशक में कौन सा पम्बरम खिलाड़ी 'स्पाइरल जंप' तकनीक में अपनी विशेषज्ञता के लिए जाना जाता था?")</f>
        <v>1990 के दशक में कौन सा पम्बरम खिलाड़ी 'स्पाइरल जंप' तकनीक में अपनी विशेषज्ञता के लिए जाना जाता था?</v>
      </c>
      <c r="H169" s="5" t="str">
        <f>IFERROR(__xludf.DUMMYFUNCTION("GOOGLETRANSLATE(C169, ""en"", ""hi"")"),"A) टी. एम. गणेशन, B) आर. के. राजेश, C) के. एस. रमेश, D) एस. वी. रवि")</f>
        <v>A) टी. एम. गणेशन, B) आर. के. राजेश, C) के. एस. रमेश, D) एस. वी. रवि</v>
      </c>
      <c r="I169" s="5" t="str">
        <f>IFERROR(__xludf.DUMMYFUNCTION("GOOGLETRANSLATE(D169, ""en"", ""hi"")"),"बी) आर. के. राजेश")</f>
        <v>बी) आर. के. राजेश</v>
      </c>
    </row>
    <row r="170" ht="22.5" customHeight="1">
      <c r="A170" s="7">
        <v>169.0</v>
      </c>
      <c r="B170" s="8" t="s">
        <v>5254</v>
      </c>
      <c r="C170" s="8" t="s">
        <v>5255</v>
      </c>
      <c r="D170" s="8" t="s">
        <v>71</v>
      </c>
      <c r="F170" s="5" t="str">
        <f>IFERROR(__xludf.DUMMYFUNCTION("GOOGLETRANSLATE(A170, ""en"", ""hi"")"),"169")</f>
        <v>169</v>
      </c>
      <c r="G170" s="5" t="str">
        <f>IFERROR(__xludf.DUMMYFUNCTION("GOOGLETRANSLATE(B170, ""en"", ""hi"")"),"पम्बरम टूर्नामेंट में 'मैच समीक्षा प्रणाली' की शुरुआत किस वर्ष हुई?")</f>
        <v>पम्बरम टूर्नामेंट में 'मैच समीक्षा प्रणाली' की शुरुआत किस वर्ष हुई?</v>
      </c>
      <c r="H170" s="5" t="str">
        <f>IFERROR(__xludf.DUMMYFUNCTION("GOOGLETRANSLATE(C170, ""en"", ""hi"")"),"ए) 2005, बी) 2010, सी) 2015, डी) 2020")</f>
        <v>ए) 2005, बी) 2010, सी) 2015, डी) 2020</v>
      </c>
      <c r="I170" s="5" t="str">
        <f>IFERROR(__xludf.DUMMYFUNCTION("GOOGLETRANSLATE(D170, ""en"", ""hi"")"),"बी) 2010")</f>
        <v>बी) 2010</v>
      </c>
    </row>
    <row r="171" ht="22.5" customHeight="1">
      <c r="A171" s="7">
        <v>170.0</v>
      </c>
      <c r="B171" s="8" t="s">
        <v>5256</v>
      </c>
      <c r="C171" s="8" t="s">
        <v>5217</v>
      </c>
      <c r="D171" s="8" t="s">
        <v>4956</v>
      </c>
      <c r="F171" s="5" t="str">
        <f>IFERROR(__xludf.DUMMYFUNCTION("GOOGLETRANSLATE(A171, ""en"", ""hi"")"),"170")</f>
        <v>170</v>
      </c>
      <c r="G171" s="5" t="str">
        <f>IFERROR(__xludf.DUMMYFUNCTION("GOOGLETRANSLATE(B171, ""en"", ""hi"")"),"पम्बाराम में 'व्हर्लविंड स्ट्राइक' तकनीक विकसित करने का श्रेय किस खिलाड़ी को दिया जाता है?")</f>
        <v>पम्बाराम में 'व्हर्लविंड स्ट्राइक' तकनीक विकसित करने का श्रेय किस खिलाड़ी को दिया जाता है?</v>
      </c>
      <c r="H171" s="5" t="str">
        <f>IFERROR(__xludf.DUMMYFUNCTION("GOOGLETRANSLATE(C171, ""en"", ""hi"")"),"A) टी. एम. गणेशन, B) के. एस. रमेश, C) आर. के. राजेश, D) एस. वी. रवि")</f>
        <v>A) टी. एम. गणेशन, B) के. एस. रमेश, C) आर. के. राजेश, D) एस. वी. रवि</v>
      </c>
      <c r="I171" s="5" t="str">
        <f>IFERROR(__xludf.DUMMYFUNCTION("GOOGLETRANSLATE(D171, ""en"", ""hi"")"),"A) टी. एम. गणेशन")</f>
        <v>A) टी. एम. गणेशन</v>
      </c>
    </row>
    <row r="172" ht="22.5" customHeight="1">
      <c r="A172" s="7">
        <v>171.0</v>
      </c>
      <c r="B172" s="8" t="s">
        <v>5257</v>
      </c>
      <c r="C172" s="8" t="s">
        <v>5258</v>
      </c>
      <c r="D172" s="8" t="s">
        <v>5259</v>
      </c>
      <c r="F172" s="5" t="str">
        <f>IFERROR(__xludf.DUMMYFUNCTION("GOOGLETRANSLATE(A172, ""en"", ""hi"")"),"171")</f>
        <v>171</v>
      </c>
      <c r="G172" s="5" t="str">
        <f>IFERROR(__xludf.DUMMYFUNCTION("GOOGLETRANSLATE(B172, ""en"", ""hi"")"),"कौन सा पम्बरम टूर्नामेंट सबसे अधिक संख्या में अंतर्राष्ट्रीय टीमों की भागीदारी के लिए जाना जाता है?")</f>
        <v>कौन सा पम्बरम टूर्नामेंट सबसे अधिक संख्या में अंतर्राष्ट्रीय टीमों की भागीदारी के लिए जाना जाता है?</v>
      </c>
      <c r="H172" s="5" t="str">
        <f>IFERROR(__xludf.DUMMYFUNCTION("GOOGLETRANSLATE(C172, ""en"", ""hi"")"),"A) ग्लोबल पम्बरम चैम्पियनशिप, B) वर्ल्ड पम्बरम कप, C) इंटरनेशनल ओपन, D) सदर्न मास्टर्स")</f>
        <v>A) ग्लोबल पम्बरम चैम्पियनशिप, B) वर्ल्ड पम्बरम कप, C) इंटरनेशनल ओपन, D) सदर्न मास्टर्स</v>
      </c>
      <c r="I172" s="5" t="str">
        <f>IFERROR(__xludf.DUMMYFUNCTION("GOOGLETRANSLATE(D172, ""en"", ""hi"")"),"बी) विश्व पम्बरम कप")</f>
        <v>बी) विश्व पम्बरम कप</v>
      </c>
    </row>
    <row r="173" ht="22.5" customHeight="1">
      <c r="A173" s="7">
        <v>172.0</v>
      </c>
      <c r="B173" s="8" t="s">
        <v>5260</v>
      </c>
      <c r="C173" s="8" t="s">
        <v>5261</v>
      </c>
      <c r="D173" s="8" t="s">
        <v>5262</v>
      </c>
      <c r="F173" s="5" t="str">
        <f>IFERROR(__xludf.DUMMYFUNCTION("GOOGLETRANSLATE(A173, ""en"", ""hi"")"),"172")</f>
        <v>172</v>
      </c>
      <c r="G173" s="5" t="str">
        <f>IFERROR(__xludf.DUMMYFUNCTION("GOOGLETRANSLATE(B173, ""en"", ""hi"")"),"पम्बरम जैसे पारंपरिक खेलों के संरक्षण और विकास को बढ़ावा देने के लिए 2010 में कौन सा कानून बनाया गया था?")</f>
        <v>पम्बरम जैसे पारंपरिक खेलों के संरक्षण और विकास को बढ़ावा देने के लिए 2010 में कौन सा कानून बनाया गया था?</v>
      </c>
      <c r="H173" s="5" t="str">
        <f>IFERROR(__xludf.DUMMYFUNCTION("GOOGLETRANSLATE(C173, ""en"", ""hi"")"),"A) विरासत खेल संरक्षण अधिनियम, B) राष्ट्रीय खेल विकास अधिनियम, C) पारंपरिक खेल संरक्षण अधिनियम, D) सांस्कृतिक खेल विकास अधिनियम")</f>
        <v>A) विरासत खेल संरक्षण अधिनियम, B) राष्ट्रीय खेल विकास अधिनियम, C) पारंपरिक खेल संरक्षण अधिनियम, D) सांस्कृतिक खेल विकास अधिनियम</v>
      </c>
      <c r="I173" s="5" t="str">
        <f>IFERROR(__xludf.DUMMYFUNCTION("GOOGLETRANSLATE(D173, ""en"", ""hi"")"),"C) पारंपरिक खेल संरक्षण अधिनियम")</f>
        <v>C) पारंपरिक खेल संरक्षण अधिनियम</v>
      </c>
    </row>
    <row r="174" ht="22.5" customHeight="1">
      <c r="A174" s="7">
        <v>173.0</v>
      </c>
      <c r="B174" s="8" t="s">
        <v>5263</v>
      </c>
      <c r="C174" s="8" t="s">
        <v>5158</v>
      </c>
      <c r="D174" s="8" t="s">
        <v>5264</v>
      </c>
      <c r="F174" s="5" t="str">
        <f>IFERROR(__xludf.DUMMYFUNCTION("GOOGLETRANSLATE(A174, ""en"", ""hi"")"),"173")</f>
        <v>173</v>
      </c>
      <c r="G174" s="5" t="str">
        <f>IFERROR(__xludf.DUMMYFUNCTION("GOOGLETRANSLATE(B174, ""en"", ""hi"")"),"कौन सा पम्बरम खिलाड़ी 'फ्लैश स्ट्राइक' तकनीक के अग्रणी के लिए जाना जाता था?")</f>
        <v>कौन सा पम्बरम खिलाड़ी 'फ्लैश स्ट्राइक' तकनीक के अग्रणी के लिए जाना जाता था?</v>
      </c>
      <c r="H174" s="5" t="str">
        <f>IFERROR(__xludf.DUMMYFUNCTION("GOOGLETRANSLATE(C174, ""en"", ""hi"")"),"A) आर. के. राजेश, B) के. एस. रमेश, C) टी. एम. गणेशन, D) एस. वी. रवि")</f>
        <v>A) आर. के. राजेश, B) के. एस. रमेश, C) टी. एम. गणेशन, D) एस. वी. रवि</v>
      </c>
      <c r="I174" s="5" t="str">
        <f>IFERROR(__xludf.DUMMYFUNCTION("GOOGLETRANSLATE(D174, ""en"", ""hi"")"),"D) एस. वी. रवि")</f>
        <v>D) एस. वी. रवि</v>
      </c>
    </row>
    <row r="175" ht="22.5" customHeight="1">
      <c r="A175" s="7">
        <v>174.0</v>
      </c>
      <c r="B175" s="8" t="s">
        <v>5265</v>
      </c>
      <c r="C175" s="8" t="s">
        <v>5266</v>
      </c>
      <c r="D175" s="8" t="s">
        <v>5267</v>
      </c>
      <c r="F175" s="5" t="str">
        <f>IFERROR(__xludf.DUMMYFUNCTION("GOOGLETRANSLATE(A175, ""en"", ""hi"")"),"174")</f>
        <v>174</v>
      </c>
      <c r="G175" s="5" t="str">
        <f>IFERROR(__xludf.DUMMYFUNCTION("GOOGLETRANSLATE(B175, ""en"", ""hi"")"),"कौन सा पम्बरम टूर्नामेंट विशेष रूप से शहरी क्षेत्रों की युवा प्रतिभाओं के विकास के लिए समर्पित है?")</f>
        <v>कौन सा पम्बरम टूर्नामेंट विशेष रूप से शहरी क्षेत्रों की युवा प्रतिभाओं के विकास के लिए समर्पित है?</v>
      </c>
      <c r="H175" s="5" t="str">
        <f>IFERROR(__xludf.DUMMYFUNCTION("GOOGLETRANSLATE(C175, ""en"", ""hi"")"),"ए) द अर्बन टैलेंट शोकेस, बी) द यूथ डेवलपमेंट कप, सी) द जूनियर टैलेंट चैंपियनशिप, डी) द नेशनल यूथ टूर्नामेंट")</f>
        <v>ए) द अर्बन टैलेंट शोकेस, बी) द यूथ डेवलपमेंट कप, सी) द जूनियर टैलेंट चैंपियनशिप, डी) द नेशनल यूथ टूर्नामेंट</v>
      </c>
      <c r="I175" s="5" t="str">
        <f>IFERROR(__xludf.DUMMYFUNCTION("GOOGLETRANSLATE(D175, ""en"", ""hi"")"),"A) शहरी प्रतिभा प्रदर्शन")</f>
        <v>A) शहरी प्रतिभा प्रदर्शन</v>
      </c>
    </row>
    <row r="176" ht="22.5" customHeight="1">
      <c r="A176" s="7">
        <v>175.0</v>
      </c>
      <c r="B176" s="8" t="s">
        <v>5268</v>
      </c>
      <c r="C176" s="8" t="s">
        <v>5269</v>
      </c>
      <c r="D176" s="8" t="s">
        <v>5270</v>
      </c>
      <c r="F176" s="5" t="str">
        <f>IFERROR(__xludf.DUMMYFUNCTION("GOOGLETRANSLATE(A176, ""en"", ""hi"")"),"175")</f>
        <v>175</v>
      </c>
      <c r="G176" s="5" t="str">
        <f>IFERROR(__xludf.DUMMYFUNCTION("GOOGLETRANSLATE(B176, ""en"", ""hi"")"),"निम्नलिखित में से किस सरकारी पहल का उद्देश्य महिलाओं के बीच पारंपरिक खेलों में भागीदारी बढ़ाना है?")</f>
        <v>निम्नलिखित में से किस सरकारी पहल का उद्देश्य महिलाओं के बीच पारंपरिक खेलों में भागीदारी बढ़ाना है?</v>
      </c>
      <c r="H176" s="5" t="str">
        <f>IFERROR(__xludf.DUMMYFUNCTION("GOOGLETRANSLATE(C176, ""en"", ""hi"")"),"ए) महिला खेल सहभागिता कार्यक्रम, बी) राष्ट्रीय महिला खेल योजना, सी) पारंपरिक खेल महिला पहल, डी) महिला एथलीट विकास कोष")</f>
        <v>ए) महिला खेल सहभागिता कार्यक्रम, बी) राष्ट्रीय महिला खेल योजना, सी) पारंपरिक खेल महिला पहल, डी) महिला एथलीट विकास कोष</v>
      </c>
      <c r="I176" s="5" t="str">
        <f>IFERROR(__xludf.DUMMYFUNCTION("GOOGLETRANSLATE(D176, ""en"", ""hi"")"),"C) पारंपरिक खेल महिलाओं की पहल")</f>
        <v>C) पारंपरिक खेल महिलाओं की पहल</v>
      </c>
    </row>
    <row r="177" ht="22.5" customHeight="1">
      <c r="A177" s="7">
        <v>176.0</v>
      </c>
      <c r="B177" s="8" t="s">
        <v>5271</v>
      </c>
      <c r="C177" s="8" t="s">
        <v>5272</v>
      </c>
      <c r="D177" s="8" t="s">
        <v>5273</v>
      </c>
      <c r="F177" s="5" t="str">
        <f>IFERROR(__xludf.DUMMYFUNCTION("GOOGLETRANSLATE(A177, ""en"", ""hi"")"),"176")</f>
        <v>176</v>
      </c>
      <c r="G177" s="5" t="str">
        <f>IFERROR(__xludf.DUMMYFUNCTION("GOOGLETRANSLATE(B177, ""en"", ""hi"")"),"कौन सी पम्बरम तकनीक प्रतिद्वंद्वी की लय को बाधित करने की क्षमता के लिए प्रसिद्ध है?")</f>
        <v>कौन सी पम्बरम तकनीक प्रतिद्वंद्वी की लय को बाधित करने की क्षमता के लिए प्रसिद्ध है?</v>
      </c>
      <c r="H177" s="5" t="str">
        <f>IFERROR(__xludf.DUMMYFUNCTION("GOOGLETRANSLATE(C177, ""en"", ""hi"")"),"ए) द डिसरप्टर स्पिन, बी) द क्विक फ्लिक, सी) द थंडरबोल्ट, डी) द रैपिड स्ट्राइक")</f>
        <v>ए) द डिसरप्टर स्पिन, बी) द क्विक फ्लिक, सी) द थंडरबोल्ट, डी) द रैपिड स्ट्राइक</v>
      </c>
      <c r="I177" s="5" t="str">
        <f>IFERROR(__xludf.DUMMYFUNCTION("GOOGLETRANSLATE(D177, ""en"", ""hi"")"),"ए) विघटनकारी स्पिन")</f>
        <v>ए) विघटनकारी स्पिन</v>
      </c>
    </row>
    <row r="178" ht="22.5" customHeight="1">
      <c r="A178" s="7">
        <v>177.0</v>
      </c>
      <c r="B178" s="8" t="s">
        <v>5274</v>
      </c>
      <c r="C178" s="8" t="s">
        <v>5048</v>
      </c>
      <c r="D178" s="8" t="s">
        <v>5071</v>
      </c>
      <c r="F178" s="5" t="str">
        <f>IFERROR(__xludf.DUMMYFUNCTION("GOOGLETRANSLATE(A178, ""en"", ""hi"")"),"177")</f>
        <v>177</v>
      </c>
      <c r="G178" s="5" t="str">
        <f>IFERROR(__xludf.DUMMYFUNCTION("GOOGLETRANSLATE(B178, ""en"", ""hi"")"),"पम्बरम टूर्नामेंट में 'प्रिसिशन फ्लिक' तकनीक को शुरू करने में किस खिलाड़ी की महत्वपूर्ण भूमिका थी?")</f>
        <v>पम्बरम टूर्नामेंट में 'प्रिसिशन फ्लिक' तकनीक को शुरू करने में किस खिलाड़ी की महत्वपूर्ण भूमिका थी?</v>
      </c>
      <c r="H178" s="5" t="str">
        <f>IFERROR(__xludf.DUMMYFUNCTION("GOOGLETRANSLATE(C178, ""en"", ""hi"")"),"A) टी. एम. गणेशन, B) आर. के. राजेश, C) एस. वी. रवि, D) के. एस. रमेश")</f>
        <v>A) टी. एम. गणेशन, B) आर. के. राजेश, C) एस. वी. रवि, D) के. एस. रमेश</v>
      </c>
      <c r="I178" s="5" t="str">
        <f>IFERROR(__xludf.DUMMYFUNCTION("GOOGLETRANSLATE(D178, ""en"", ""hi"")"),"बी) आर. के. राजेश")</f>
        <v>बी) आर. के. राजेश</v>
      </c>
    </row>
    <row r="179" ht="22.5" customHeight="1">
      <c r="A179" s="7">
        <v>178.0</v>
      </c>
      <c r="B179" s="8" t="s">
        <v>5275</v>
      </c>
      <c r="C179" s="8" t="s">
        <v>2001</v>
      </c>
      <c r="D179" s="8" t="s">
        <v>2002</v>
      </c>
      <c r="F179" s="5" t="str">
        <f>IFERROR(__xludf.DUMMYFUNCTION("GOOGLETRANSLATE(A179, ""en"", ""hi"")"),"178")</f>
        <v>178</v>
      </c>
      <c r="G179" s="5" t="str">
        <f>IFERROR(__xludf.DUMMYFUNCTION("GOOGLETRANSLATE(B179, ""en"", ""hi"")"),"पम्बरम कोच प्रमाणन कार्यक्रम किस वर्ष शुरू किया गया?")</f>
        <v>पम्बरम कोच प्रमाणन कार्यक्रम किस वर्ष शुरू किया गया?</v>
      </c>
      <c r="H179" s="5" t="str">
        <f>IFERROR(__xludf.DUMMYFUNCTION("GOOGLETRANSLATE(C179, ""en"", ""hi"")"),"ए) 2000, बी) 2005, सी) 2010, डी) 2015")</f>
        <v>ए) 2000, बी) 2005, सी) 2010, डी) 2015</v>
      </c>
      <c r="I179" s="5" t="str">
        <f>IFERROR(__xludf.DUMMYFUNCTION("GOOGLETRANSLATE(D179, ""en"", ""hi"")"),"सी) 2010")</f>
        <v>सी) 2010</v>
      </c>
    </row>
    <row r="180" ht="22.5" customHeight="1">
      <c r="A180" s="7">
        <v>179.0</v>
      </c>
      <c r="B180" s="8" t="s">
        <v>5276</v>
      </c>
      <c r="C180" s="8" t="s">
        <v>5277</v>
      </c>
      <c r="D180" s="8" t="s">
        <v>5278</v>
      </c>
      <c r="F180" s="5" t="str">
        <f>IFERROR(__xludf.DUMMYFUNCTION("GOOGLETRANSLATE(A180, ""en"", ""hi"")"),"179")</f>
        <v>179</v>
      </c>
      <c r="G180" s="5" t="str">
        <f>IFERROR(__xludf.DUMMYFUNCTION("GOOGLETRANSLATE(B180, ""en"", ""hi"")"),"कौन सी पम्बरम तकनीक लाभ प्राप्त करने के लिए त्वरित, उच्च प्रभाव वाली चालों पर केंद्रित है?")</f>
        <v>कौन सी पम्बरम तकनीक लाभ प्राप्त करने के लिए त्वरित, उच्च प्रभाव वाली चालों पर केंद्रित है?</v>
      </c>
      <c r="H180" s="5" t="str">
        <f>IFERROR(__xludf.DUMMYFUNCTION("GOOGLETRANSLATE(C180, ""en"", ""hi"")"),"ए) थंडरबोल्ट, बी) पावर स्लैम, सी) साइक्लोन स्पिन, डी) क्विक फ्लिक")</f>
        <v>ए) थंडरबोल्ट, बी) पावर स्लैम, सी) साइक्लोन स्पिन, डी) क्विक फ्लिक</v>
      </c>
      <c r="I180" s="5" t="str">
        <f>IFERROR(__xludf.DUMMYFUNCTION("GOOGLETRANSLATE(D180, ""en"", ""hi"")"),"बी) पावर स्लैम")</f>
        <v>बी) पावर स्लैम</v>
      </c>
    </row>
    <row r="181" ht="22.5" customHeight="1">
      <c r="A181" s="7">
        <v>180.0</v>
      </c>
      <c r="B181" s="8" t="s">
        <v>5279</v>
      </c>
      <c r="C181" s="8" t="s">
        <v>5280</v>
      </c>
      <c r="D181" s="8" t="s">
        <v>5281</v>
      </c>
      <c r="F181" s="5" t="str">
        <f>IFERROR(__xludf.DUMMYFUNCTION("GOOGLETRANSLATE(A181, ""en"", ""hi"")"),"180")</f>
        <v>180</v>
      </c>
      <c r="G181" s="5" t="str">
        <f>IFERROR(__xludf.DUMMYFUNCTION("GOOGLETRANSLATE(B181, ""en"", ""hi"")"),"2021 में शुरू की गई कौन सी सरकारी योजना स्थानीय पम्बरम टूर्नामेंट के आयोजन का समर्थन करती है?")</f>
        <v>2021 में शुरू की गई कौन सी सरकारी योजना स्थानीय पम्बरम टूर्नामेंट के आयोजन का समर्थन करती है?</v>
      </c>
      <c r="H181" s="5" t="str">
        <f>IFERROR(__xludf.DUMMYFUNCTION("GOOGLETRANSLATE(C181, ""en"", ""hi"")"),"ए) स्थानीय खेल सहायता कार्यक्रम, बी) राष्ट्रीय पारंपरिक खेल योजना, सी) सामुदायिक खेल अनुदान निधि, डी) जमीनी स्तर की खेल पहल")</f>
        <v>ए) स्थानीय खेल सहायता कार्यक्रम, बी) राष्ट्रीय पारंपरिक खेल योजना, सी) सामुदायिक खेल अनुदान निधि, डी) जमीनी स्तर की खेल पहल</v>
      </c>
      <c r="I181" s="5" t="str">
        <f>IFERROR(__xludf.DUMMYFUNCTION("GOOGLETRANSLATE(D181, ""en"", ""hi"")"),"सी) सामुदायिक खेल अनुदान निधि")</f>
        <v>सी) सामुदायिक खेल अनुदान निधि</v>
      </c>
    </row>
    <row r="182" ht="22.5" customHeight="1">
      <c r="A182" s="7">
        <v>181.0</v>
      </c>
      <c r="B182" s="8" t="s">
        <v>5282</v>
      </c>
      <c r="C182" s="8" t="s">
        <v>5283</v>
      </c>
      <c r="D182" s="8" t="s">
        <v>5284</v>
      </c>
      <c r="F182" s="5" t="str">
        <f>IFERROR(__xludf.DUMMYFUNCTION("GOOGLETRANSLATE(A182, ""en"", ""hi"")"),"181")</f>
        <v>181</v>
      </c>
      <c r="G182" s="5" t="str">
        <f>IFERROR(__xludf.DUMMYFUNCTION("GOOGLETRANSLATE(B182, ""en"", ""hi"")"),"कौन सा पम्बरम खिलाड़ी आक्रामक चालों का मुकाबला करने के लिए 'क्विक रिफ्लेक्स' तकनीक के उपयोग के लिए जाना जाता है?")</f>
        <v>कौन सा पम्बरम खिलाड़ी आक्रामक चालों का मुकाबला करने के लिए 'क्विक रिफ्लेक्स' तकनीक के उपयोग के लिए जाना जाता है?</v>
      </c>
      <c r="H182" s="5" t="str">
        <f>IFERROR(__xludf.DUMMYFUNCTION("GOOGLETRANSLATE(C182, ""en"", ""hi"")"),"ए) एस. वी. रवि, बी) आर. के. राजेश, सी) टी. एम. गणेशन, डी) के. एस. रमेश")</f>
        <v>ए) एस. वी. रवि, बी) आर. के. राजेश, सी) टी. एम. गणेशन, डी) के. एस. रमेश</v>
      </c>
      <c r="I182" s="5" t="str">
        <f>IFERROR(__xludf.DUMMYFUNCTION("GOOGLETRANSLATE(D182, ""en"", ""hi"")"),"A) एस. वी. रवि")</f>
        <v>A) एस. वी. रवि</v>
      </c>
    </row>
    <row r="183" ht="22.5" customHeight="1">
      <c r="A183" s="7">
        <v>182.0</v>
      </c>
      <c r="B183" s="8" t="s">
        <v>5285</v>
      </c>
      <c r="C183" s="8" t="s">
        <v>5286</v>
      </c>
      <c r="D183" s="8" t="s">
        <v>5287</v>
      </c>
      <c r="F183" s="5" t="str">
        <f>IFERROR(__xludf.DUMMYFUNCTION("GOOGLETRANSLATE(A183, ""en"", ""hi"")"),"182")</f>
        <v>182</v>
      </c>
      <c r="G183" s="5" t="str">
        <f>IFERROR(__xludf.DUMMYFUNCTION("GOOGLETRANSLATE(B183, ""en"", ""hi"")"),"कौन सा पम्बरम टूर्नामेंट खिलाड़ी तकनीक और कौशल विकास पर जोर देने के लिए जाना जाता है?")</f>
        <v>कौन सा पम्बरम टूर्नामेंट खिलाड़ी तकनीक और कौशल विकास पर जोर देने के लिए जाना जाता है?</v>
      </c>
      <c r="H183" s="5" t="str">
        <f>IFERROR(__xludf.DUMMYFUNCTION("GOOGLETRANSLATE(C183, ""en"", ""hi"")"),"ए) टेक्निकल एक्सीलेंस कप, बी) नेशनल स्किल चैम्पियनशिप, सी) एलीट प्लेयर टूर्नामेंट, डी) प्रिसिजन गेम्स")</f>
        <v>ए) टेक्निकल एक्सीलेंस कप, बी) नेशनल स्किल चैम्पियनशिप, सी) एलीट प्लेयर टूर्नामेंट, डी) प्रिसिजन गेम्स</v>
      </c>
      <c r="I183" s="5" t="str">
        <f>IFERROR(__xludf.DUMMYFUNCTION("GOOGLETRANSLATE(D183, ""en"", ""hi"")"),"ए) तकनीकी उत्कृष्टता कप")</f>
        <v>ए) तकनीकी उत्कृष्टता कप</v>
      </c>
    </row>
    <row r="184" ht="22.5" customHeight="1">
      <c r="A184" s="7">
        <v>183.0</v>
      </c>
      <c r="B184" s="8" t="s">
        <v>5288</v>
      </c>
      <c r="C184" s="8" t="s">
        <v>5289</v>
      </c>
      <c r="D184" s="8" t="s">
        <v>5290</v>
      </c>
      <c r="F184" s="5" t="str">
        <f>IFERROR(__xludf.DUMMYFUNCTION("GOOGLETRANSLATE(A184, ""en"", ""hi"")"),"183")</f>
        <v>183</v>
      </c>
      <c r="G184" s="5" t="str">
        <f>IFERROR(__xludf.DUMMYFUNCTION("GOOGLETRANSLATE(B184, ""en"", ""hi"")"),"पम्बरम जैसे पारंपरिक खेलों को वित्तीय सहायता प्रदान करने के लिए 2018 में कौन सा कानून बनाया गया था?")</f>
        <v>पम्बरम जैसे पारंपरिक खेलों को वित्तीय सहायता प्रदान करने के लिए 2018 में कौन सा कानून बनाया गया था?</v>
      </c>
      <c r="H184" s="5" t="str">
        <f>IFERROR(__xludf.DUMMYFUNCTION("GOOGLETRANSLATE(C184, ""en"", ""hi"")"),"ए) पारंपरिक खेल समर्थन अधिनियम, बी) राष्ट्रीय विरासत खेल निधि, सी) खेल अवसंरचना विकास अधिनियम, डी) जमीनी स्तर के खेल वित्तपोषण अधिनियम")</f>
        <v>ए) पारंपरिक खेल समर्थन अधिनियम, बी) राष्ट्रीय विरासत खेल निधि, सी) खेल अवसंरचना विकास अधिनियम, डी) जमीनी स्तर के खेल वित्तपोषण अधिनियम</v>
      </c>
      <c r="I184" s="5" t="str">
        <f>IFERROR(__xludf.DUMMYFUNCTION("GOOGLETRANSLATE(D184, ""en"", ""hi"")"),"बी) राष्ट्रीय विरासत खेल कोष")</f>
        <v>बी) राष्ट्रीय विरासत खेल कोष</v>
      </c>
    </row>
    <row r="185" ht="22.5" customHeight="1">
      <c r="A185" s="7">
        <v>184.0</v>
      </c>
      <c r="B185" s="8" t="s">
        <v>5291</v>
      </c>
      <c r="C185" s="8" t="s">
        <v>5292</v>
      </c>
      <c r="D185" s="8" t="s">
        <v>5293</v>
      </c>
      <c r="F185" s="5" t="str">
        <f>IFERROR(__xludf.DUMMYFUNCTION("GOOGLETRANSLATE(A185, ""en"", ""hi"")"),"184")</f>
        <v>184</v>
      </c>
      <c r="G185" s="5" t="str">
        <f>IFERROR(__xludf.DUMMYFUNCTION("GOOGLETRANSLATE(B185, ""en"", ""hi"")"),"कौन सी पम्बरम तकनीक में विरोधियों को परास्त करने के लिए किए गए तीव्र हमलों का क्रम शामिल है?")</f>
        <v>कौन सी पम्बरम तकनीक में विरोधियों को परास्त करने के लिए किए गए तीव्र हमलों का क्रम शामिल है?</v>
      </c>
      <c r="H185" s="5" t="str">
        <f>IFERROR(__xludf.DUMMYFUNCTION("GOOGLETRANSLATE(C185, ""en"", ""hi"")"),"A) रैपिड फायर, B) थंडरबोल्ट, C) साइक्लोन स्पिन, D) कॉम्बो स्ट्राइक")</f>
        <v>A) रैपिड फायर, B) थंडरबोल्ट, C) साइक्लोन स्पिन, D) कॉम्बो स्ट्राइक</v>
      </c>
      <c r="I185" s="5" t="str">
        <f>IFERROR(__xludf.DUMMYFUNCTION("GOOGLETRANSLATE(D185, ""en"", ""hi"")"),"ए) रैपिड फायर")</f>
        <v>ए) रैपिड फायर</v>
      </c>
    </row>
    <row r="186" ht="22.5" customHeight="1">
      <c r="A186" s="7">
        <v>185.0</v>
      </c>
      <c r="B186" s="8" t="s">
        <v>5294</v>
      </c>
      <c r="C186" s="8" t="s">
        <v>5295</v>
      </c>
      <c r="D186" s="8" t="s">
        <v>5107</v>
      </c>
      <c r="F186" s="5" t="str">
        <f>IFERROR(__xludf.DUMMYFUNCTION("GOOGLETRANSLATE(A186, ""en"", ""hi"")"),"185")</f>
        <v>185</v>
      </c>
      <c r="G186" s="5" t="str">
        <f>IFERROR(__xludf.DUMMYFUNCTION("GOOGLETRANSLATE(B186, ""en"", ""hi"")"),"1990 के दशक में किस पम्बरम खिलाड़ी को 'साइक्लोन स्पिन' तकनीक के प्रति उनके अभिनव दृष्टिकोण के लिए पहचाना गया था?")</f>
        <v>1990 के दशक में किस पम्बरम खिलाड़ी को 'साइक्लोन स्पिन' तकनीक के प्रति उनके अभिनव दृष्टिकोण के लिए पहचाना गया था?</v>
      </c>
      <c r="H186" s="5" t="str">
        <f>IFERROR(__xludf.DUMMYFUNCTION("GOOGLETRANSLATE(C186, ""en"", ""hi"")"),"A) टी. एम. गणेशन, B) के. एस. रमेश, C) एस. वी. रवि, D) आर. के. राजेश")</f>
        <v>A) टी. एम. गणेशन, B) के. एस. रमेश, C) एस. वी. रवि, D) आर. के. राजेश</v>
      </c>
      <c r="I186" s="5" t="str">
        <f>IFERROR(__xludf.DUMMYFUNCTION("GOOGLETRANSLATE(D186, ""en"", ""hi"")"),"D) आर. के. राजेश")</f>
        <v>D) आर. के. राजेश</v>
      </c>
    </row>
    <row r="187" ht="22.5" customHeight="1">
      <c r="A187" s="7">
        <v>186.0</v>
      </c>
      <c r="B187" s="8" t="s">
        <v>5296</v>
      </c>
      <c r="C187" s="8" t="s">
        <v>5297</v>
      </c>
      <c r="D187" s="8" t="s">
        <v>5298</v>
      </c>
      <c r="F187" s="5" t="str">
        <f>IFERROR(__xludf.DUMMYFUNCTION("GOOGLETRANSLATE(A187, ""en"", ""hi"")"),"186")</f>
        <v>186</v>
      </c>
      <c r="G187" s="5" t="str">
        <f>IFERROR(__xludf.DUMMYFUNCTION("GOOGLETRANSLATE(B187, ""en"", ""hi"")"),"उत्कृष्ट खिलाड़ियों को सम्मानित करने के लिए 'पम्बरम उत्कृष्टता पुरस्कार' की शुरुआत किस वर्ष हुई?")</f>
        <v>उत्कृष्ट खिलाड़ियों को सम्मानित करने के लिए 'पम्बरम उत्कृष्टता पुरस्कार' की शुरुआत किस वर्ष हुई?</v>
      </c>
      <c r="H187" s="5" t="str">
        <f>IFERROR(__xludf.DUMMYFUNCTION("GOOGLETRANSLATE(C187, ""en"", ""hi"")"),"ए) 2010, बी) 2012, सी) 2015, डी) 2018")</f>
        <v>ए) 2010, बी) 2012, सी) 2015, डी) 2018</v>
      </c>
      <c r="I187" s="5" t="str">
        <f>IFERROR(__xludf.DUMMYFUNCTION("GOOGLETRANSLATE(D187, ""en"", ""hi"")"),"सी) 2015")</f>
        <v>सी) 2015</v>
      </c>
    </row>
    <row r="188" ht="22.5" customHeight="1">
      <c r="A188" s="7">
        <v>187.0</v>
      </c>
      <c r="B188" s="8" t="s">
        <v>5299</v>
      </c>
      <c r="C188" s="8" t="s">
        <v>5300</v>
      </c>
      <c r="D188" s="8" t="s">
        <v>5252</v>
      </c>
      <c r="F188" s="5" t="str">
        <f>IFERROR(__xludf.DUMMYFUNCTION("GOOGLETRANSLATE(A188, ""en"", ""hi"")"),"187")</f>
        <v>187</v>
      </c>
      <c r="G188" s="5" t="str">
        <f>IFERROR(__xludf.DUMMYFUNCTION("GOOGLETRANSLATE(B188, ""en"", ""hi"")"),"निम्नलिखित में से कौन सी सरकारी नीति पारंपरिक खेलों में जागरूकता और भागीदारी बढ़ाने के लिए बनाई गई है?")</f>
        <v>निम्नलिखित में से कौन सी सरकारी नीति पारंपरिक खेलों में जागरूकता और भागीदारी बढ़ाने के लिए बनाई गई है?</v>
      </c>
      <c r="H188" s="5" t="str">
        <f>IFERROR(__xludf.DUMMYFUNCTION("GOOGLETRANSLATE(C188, ""en"", ""hi"")"),"ए) राष्ट्रीय खेल जागरूकता कार्यक्रम, बी) पारंपरिक खेल प्रोत्साहन अधिनियम, सी) जमीनी स्तर की खेल नीति, डी) सामुदायिक खेल सहभागिता योजना")</f>
        <v>ए) राष्ट्रीय खेल जागरूकता कार्यक्रम, बी) पारंपरिक खेल प्रोत्साहन अधिनियम, सी) जमीनी स्तर की खेल नीति, डी) सामुदायिक खेल सहभागिता योजना</v>
      </c>
      <c r="I188" s="5" t="str">
        <f>IFERROR(__xludf.DUMMYFUNCTION("GOOGLETRANSLATE(D188, ""en"", ""hi"")"),"बी) पारंपरिक खेल संवर्धन अधिनियम")</f>
        <v>बी) पारंपरिक खेल संवर्धन अधिनियम</v>
      </c>
    </row>
    <row r="189" ht="22.5" customHeight="1">
      <c r="A189" s="7">
        <v>188.0</v>
      </c>
      <c r="B189" s="8" t="s">
        <v>5301</v>
      </c>
      <c r="C189" s="8" t="s">
        <v>5302</v>
      </c>
      <c r="D189" s="8" t="s">
        <v>5303</v>
      </c>
      <c r="F189" s="5" t="str">
        <f>IFERROR(__xludf.DUMMYFUNCTION("GOOGLETRANSLATE(A189, ""en"", ""hi"")"),"188")</f>
        <v>188</v>
      </c>
      <c r="G189" s="5" t="str">
        <f>IFERROR(__xludf.DUMMYFUNCTION("GOOGLETRANSLATE(B189, ""en"", ""hi"")"),"कौन सी पम्बरम तकनीक अपनी भ्रामक चालों और रणनीतिक स्थिति के लिए जानी जाती है?")</f>
        <v>कौन सी पम्बरम तकनीक अपनी भ्रामक चालों और रणनीतिक स्थिति के लिए जानी जाती है?</v>
      </c>
      <c r="H189" s="5" t="str">
        <f>IFERROR(__xludf.DUMMYFUNCTION("GOOGLETRANSLATE(C189, ""en"", ""hi"")"),"ए) द डिसेप्शन स्पिन, बी) द क्विक फ्लिक, सी) द रैपिड स्ट्राइक, डी) द साइक्लोन स्पिन")</f>
        <v>ए) द डिसेप्शन स्पिन, बी) द क्विक फ्लिक, सी) द रैपिड स्ट्राइक, डी) द साइक्लोन स्पिन</v>
      </c>
      <c r="I189" s="5" t="str">
        <f>IFERROR(__xludf.DUMMYFUNCTION("GOOGLETRANSLATE(D189, ""en"", ""hi"")"),"A) धोखे का चक्र")</f>
        <v>A) धोखे का चक्र</v>
      </c>
    </row>
    <row r="190" ht="22.5" customHeight="1">
      <c r="A190" s="7">
        <v>189.0</v>
      </c>
      <c r="B190" s="8" t="s">
        <v>5304</v>
      </c>
      <c r="C190" s="8" t="s">
        <v>5171</v>
      </c>
      <c r="D190" s="8" t="s">
        <v>4956</v>
      </c>
      <c r="F190" s="5" t="str">
        <f>IFERROR(__xludf.DUMMYFUNCTION("GOOGLETRANSLATE(A190, ""en"", ""hi"")"),"189")</f>
        <v>189</v>
      </c>
      <c r="G190" s="5" t="str">
        <f>IFERROR(__xludf.DUMMYFUNCTION("GOOGLETRANSLATE(B190, ""en"", ""hi"")"),"1980 के दशक में किस पम्बरम खिलाड़ी ने 'टोरनेडो स्पिन' तकनीक शुरू की?")</f>
        <v>1980 के दशक में किस पम्बरम खिलाड़ी ने 'टोरनेडो स्पिन' तकनीक शुरू की?</v>
      </c>
      <c r="H190" s="5" t="str">
        <f>IFERROR(__xludf.DUMMYFUNCTION("GOOGLETRANSLATE(C190, ""en"", ""hi"")"),"A) टी. एम. गणेशन, B) एस. वी. रवि, C) के. एस. रमेश, D) आर. के. राजेश")</f>
        <v>A) टी. एम. गणेशन, B) एस. वी. रवि, C) के. एस. रमेश, D) आर. के. राजेश</v>
      </c>
      <c r="I190" s="5" t="str">
        <f>IFERROR(__xludf.DUMMYFUNCTION("GOOGLETRANSLATE(D190, ""en"", ""hi"")"),"A) टी. एम. गणेशन")</f>
        <v>A) टी. एम. गणेशन</v>
      </c>
    </row>
    <row r="191" ht="22.5" customHeight="1">
      <c r="A191" s="7">
        <v>190.0</v>
      </c>
      <c r="B191" s="8" t="s">
        <v>5305</v>
      </c>
      <c r="C191" s="8" t="s">
        <v>5306</v>
      </c>
      <c r="D191" s="8" t="s">
        <v>5259</v>
      </c>
      <c r="F191" s="5" t="str">
        <f>IFERROR(__xludf.DUMMYFUNCTION("GOOGLETRANSLATE(A191, ""en"", ""hi"")"),"190")</f>
        <v>190</v>
      </c>
      <c r="G191" s="5" t="str">
        <f>IFERROR(__xludf.DUMMYFUNCTION("GOOGLETRANSLATE(B191, ""en"", ""hi"")"),"कौन सा टूर्नामेंट दुनिया भर के सबसे प्रसिद्ध पम्बरम खिलाड़ियों को आकर्षित करने के लिए जाना जाता है?")</f>
        <v>कौन सा टूर्नामेंट दुनिया भर के सबसे प्रसिद्ध पम्बरम खिलाड़ियों को आकर्षित करने के लिए जाना जाता है?</v>
      </c>
      <c r="H191" s="5" t="str">
        <f>IFERROR(__xludf.DUMMYFUNCTION("GOOGLETRANSLATE(C191, ""en"", ""hi"")"),"A) ग्लोबल पम्बरम चैम्पियनशिप, B) वर्ल्ड पम्बरम कप, C) सदर्न मास्टर्स, D) इंटरनेशनल ओपन")</f>
        <v>A) ग्लोबल पम्बरम चैम्पियनशिप, B) वर्ल्ड पम्बरम कप, C) सदर्न मास्टर्स, D) इंटरनेशनल ओपन</v>
      </c>
      <c r="I191" s="5" t="str">
        <f>IFERROR(__xludf.DUMMYFUNCTION("GOOGLETRANSLATE(D191, ""en"", ""hi"")"),"बी) विश्व पम्बरम कप")</f>
        <v>बी) विश्व पम्बरम कप</v>
      </c>
    </row>
    <row r="192" ht="22.5" customHeight="1">
      <c r="A192" s="7">
        <v>191.0</v>
      </c>
      <c r="B192" s="8" t="s">
        <v>5307</v>
      </c>
      <c r="C192" s="8" t="s">
        <v>5308</v>
      </c>
      <c r="D192" s="8" t="s">
        <v>5309</v>
      </c>
      <c r="F192" s="5" t="str">
        <f>IFERROR(__xludf.DUMMYFUNCTION("GOOGLETRANSLATE(A192, ""en"", ""hi"")"),"191")</f>
        <v>191</v>
      </c>
      <c r="G192" s="5" t="str">
        <f>IFERROR(__xludf.DUMMYFUNCTION("GOOGLETRANSLATE(B192, ""en"", ""hi"")"),"2016 में शुरू की गई कौन सी सरकारी पहल पम्बरम प्रशिक्षण सुविधाओं के विकास पर केंद्रित है?")</f>
        <v>2016 में शुरू की गई कौन सी सरकारी पहल पम्बरम प्रशिक्षण सुविधाओं के विकास पर केंद्रित है?</v>
      </c>
      <c r="H192" s="5" t="str">
        <f>IFERROR(__xludf.DUMMYFUNCTION("GOOGLETRANSLATE(C192, ""en"", ""hi"")"),"ए) राष्ट्रीय प्रशिक्षण सुविधा कार्यक्रम, बी) पारंपरिक खेल सुविधा पहल, सी) खेल अवसंरचना संवर्धन योजना, डी) सामुदायिक खेल विकास निधि")</f>
        <v>ए) राष्ट्रीय प्रशिक्षण सुविधा कार्यक्रम, बी) पारंपरिक खेल सुविधा पहल, सी) खेल अवसंरचना संवर्धन योजना, डी) सामुदायिक खेल विकास निधि</v>
      </c>
      <c r="I192" s="5" t="str">
        <f>IFERROR(__xludf.DUMMYFUNCTION("GOOGLETRANSLATE(D192, ""en"", ""hi"")"),"बी) पारंपरिक खेल सुविधा पहल")</f>
        <v>बी) पारंपरिक खेल सुविधा पहल</v>
      </c>
    </row>
    <row r="193" ht="22.5" customHeight="1">
      <c r="A193" s="7">
        <v>192.0</v>
      </c>
      <c r="B193" s="8" t="s">
        <v>5310</v>
      </c>
      <c r="C193" s="8" t="s">
        <v>5192</v>
      </c>
      <c r="D193" s="8" t="s">
        <v>4925</v>
      </c>
      <c r="F193" s="5" t="str">
        <f>IFERROR(__xludf.DUMMYFUNCTION("GOOGLETRANSLATE(A193, ""en"", ""hi"")"),"192")</f>
        <v>192</v>
      </c>
      <c r="G193" s="5" t="str">
        <f>IFERROR(__xludf.DUMMYFUNCTION("GOOGLETRANSLATE(B193, ""en"", ""hi"")"),"किस खिलाड़ी को 'फ्लैश स्ट्राइक' तकनीक में निपुणता के लिए जाना जाता है?")</f>
        <v>किस खिलाड़ी को 'फ्लैश स्ट्राइक' तकनीक में निपुणता के लिए जाना जाता है?</v>
      </c>
      <c r="H193" s="5" t="str">
        <f>IFERROR(__xludf.DUMMYFUNCTION("GOOGLETRANSLATE(C193, ""en"", ""hi"")"),"A) आर. के. राजेश, B) टी. एम. गणेशन, C) के. एस. रमेश, D) एस. वी. रवि")</f>
        <v>A) आर. के. राजेश, B) टी. एम. गणेशन, C) के. एस. रमेश, D) एस. वी. रवि</v>
      </c>
      <c r="I193" s="5" t="str">
        <f>IFERROR(__xludf.DUMMYFUNCTION("GOOGLETRANSLATE(D193, ""en"", ""hi"")"),"A) आर. के. राजेश")</f>
        <v>A) आर. के. राजेश</v>
      </c>
    </row>
    <row r="194" ht="22.5" customHeight="1">
      <c r="A194" s="7">
        <v>193.0</v>
      </c>
      <c r="B194" s="8" t="s">
        <v>5311</v>
      </c>
      <c r="C194" s="8" t="s">
        <v>5312</v>
      </c>
      <c r="D194" s="8" t="s">
        <v>5313</v>
      </c>
      <c r="F194" s="5" t="str">
        <f>IFERROR(__xludf.DUMMYFUNCTION("GOOGLETRANSLATE(A194, ""en"", ""hi"")"),"193")</f>
        <v>193</v>
      </c>
      <c r="G194" s="5" t="str">
        <f>IFERROR(__xludf.DUMMYFUNCTION("GOOGLETRANSLATE(B194, ""en"", ""hi"")"),"निम्नलिखित में से कौन सी पम्बरम तकनीक 2000 के दशक के प्रारंभ में लोकप्रिय हुई थी?")</f>
        <v>निम्नलिखित में से कौन सी पम्बरम तकनीक 2000 के दशक के प्रारंभ में लोकप्रिय हुई थी?</v>
      </c>
      <c r="H194" s="5" t="str">
        <f>IFERROR(__xludf.DUMMYFUNCTION("GOOGLETRANSLATE(C194, ""en"", ""hi"")"),"ए) द प्रिसिजन फ्लिक, बी) द रैपिड स्पिन, सी) द टॉरनेडो स्पिन, डी) द क्विक फ्लिक")</f>
        <v>ए) द प्रिसिजन फ्लिक, बी) द रैपिड स्पिन, सी) द टॉरनेडो स्पिन, डी) द क्विक फ्लिक</v>
      </c>
      <c r="I194" s="5" t="str">
        <f>IFERROR(__xludf.DUMMYFUNCTION("GOOGLETRANSLATE(D194, ""en"", ""hi"")"),"बी) तीव्र स्पिन")</f>
        <v>बी) तीव्र स्पिन</v>
      </c>
    </row>
    <row r="195" ht="22.5" customHeight="1">
      <c r="A195" s="7">
        <v>194.0</v>
      </c>
      <c r="B195" s="8" t="s">
        <v>5314</v>
      </c>
      <c r="C195" s="8" t="s">
        <v>5315</v>
      </c>
      <c r="D195" s="8" t="s">
        <v>5316</v>
      </c>
      <c r="F195" s="5" t="str">
        <f>IFERROR(__xludf.DUMMYFUNCTION("GOOGLETRANSLATE(A195, ""en"", ""hi"")"),"194")</f>
        <v>194</v>
      </c>
      <c r="G195" s="5" t="str">
        <f>IFERROR(__xludf.DUMMYFUNCTION("GOOGLETRANSLATE(B195, ""en"", ""hi"")"),"कौन सा पम्बरम टूर्नामेंट एकल और युगल दोनों मैचों को शामिल करने वाले अपने अनूठे प्रारूप के लिए जाना जाता है?")</f>
        <v>कौन सा पम्बरम टूर्नामेंट एकल और युगल दोनों मैचों को शामिल करने वाले अपने अनूठे प्रारूप के लिए जाना जाता है?</v>
      </c>
      <c r="H195" s="5" t="str">
        <f>IFERROR(__xludf.DUMMYFUNCTION("GOOGLETRANSLATE(C195, ""en"", ""hi"")"),"ए) नेशनल ड्यूल चैम्पियनशिप, बी) द सदर्न मास्टर्स, सी) द इंटरनेशनल ओपन, डी) द गोल्डन पट्टम टूर्नामेंट")</f>
        <v>ए) नेशनल ड्यूल चैम्पियनशिप, बी) द सदर्न मास्टर्स, सी) द इंटरनेशनल ओपन, डी) द गोल्डन पट्टम टूर्नामेंट</v>
      </c>
      <c r="I195" s="5" t="str">
        <f>IFERROR(__xludf.DUMMYFUNCTION("GOOGLETRANSLATE(D195, ""en"", ""hi"")"),"ए) राष्ट्रीय दोहरी चैम्पियनशिप")</f>
        <v>ए) राष्ट्रीय दोहरी चैम्पियनशिप</v>
      </c>
    </row>
    <row r="196" ht="22.5" customHeight="1">
      <c r="A196" s="7">
        <v>195.0</v>
      </c>
      <c r="B196" s="8" t="s">
        <v>5317</v>
      </c>
      <c r="C196" s="8" t="s">
        <v>5318</v>
      </c>
      <c r="D196" s="8" t="s">
        <v>5319</v>
      </c>
      <c r="F196" s="5" t="str">
        <f>IFERROR(__xludf.DUMMYFUNCTION("GOOGLETRANSLATE(A196, ""en"", ""hi"")"),"195")</f>
        <v>195</v>
      </c>
      <c r="G196" s="5" t="str">
        <f>IFERROR(__xludf.DUMMYFUNCTION("GOOGLETRANSLATE(B196, ""en"", ""hi"")"),"2022 में अधिनियमित कौन सा कानून पम्बरम जैसे पारंपरिक खेलों के लिए सामुदायिक खेल केंद्रों की स्थापना का प्रावधान करता है?")</f>
        <v>2022 में अधिनियमित कौन सा कानून पम्बरम जैसे पारंपरिक खेलों के लिए सामुदायिक खेल केंद्रों की स्थापना का प्रावधान करता है?</v>
      </c>
      <c r="H196" s="5" t="str">
        <f>IFERROR(__xludf.DUMMYFUNCTION("GOOGLETRANSLATE(C196, ""en"", ""hi"")"),"A) सामुदायिक खेल विकास अधिनियम, B) राष्ट्रीय खेल अवसंरचना अधिनियम, C) पारंपरिक खेल समुदाय अधिनियम, D) खेल सुविधा संवर्धन अधिनियम")</f>
        <v>A) सामुदायिक खेल विकास अधिनियम, B) राष्ट्रीय खेल अवसंरचना अधिनियम, C) पारंपरिक खेल समुदाय अधिनियम, D) खेल सुविधा संवर्धन अधिनियम</v>
      </c>
      <c r="I196" s="5" t="str">
        <f>IFERROR(__xludf.DUMMYFUNCTION("GOOGLETRANSLATE(D196, ""en"", ""hi"")"),"C) पारंपरिक खेल समुदाय अधिनियम")</f>
        <v>C) पारंपरिक खेल समुदाय अधिनियम</v>
      </c>
    </row>
    <row r="197" ht="22.5" customHeight="1">
      <c r="A197" s="7">
        <v>196.0</v>
      </c>
      <c r="B197" s="8" t="s">
        <v>5320</v>
      </c>
      <c r="C197" s="8" t="s">
        <v>5321</v>
      </c>
      <c r="D197" s="8" t="s">
        <v>5107</v>
      </c>
      <c r="F197" s="5" t="str">
        <f>IFERROR(__xludf.DUMMYFUNCTION("GOOGLETRANSLATE(A197, ""en"", ""hi"")"),"196")</f>
        <v>196</v>
      </c>
      <c r="G197" s="5" t="str">
        <f>IFERROR(__xludf.DUMMYFUNCTION("GOOGLETRANSLATE(B197, ""en"", ""hi"")"),"कौन सा खिलाड़ी महत्वपूर्ण मैच जीतने के लिए 'प्रिसिजन फ्लिक' तकनीक के रणनीतिक उपयोग के लिए जाना जाता है?")</f>
        <v>कौन सा खिलाड़ी महत्वपूर्ण मैच जीतने के लिए 'प्रिसिजन फ्लिक' तकनीक के रणनीतिक उपयोग के लिए जाना जाता है?</v>
      </c>
      <c r="H197" s="5" t="str">
        <f>IFERROR(__xludf.DUMMYFUNCTION("GOOGLETRANSLATE(C197, ""en"", ""hi"")"),"A) के. एस. रमेश, B) टी. एम. गणेशन, C) एस. वी. रवि, D) आर. के. राजेश")</f>
        <v>A) के. एस. रमेश, B) टी. एम. गणेशन, C) एस. वी. रवि, D) आर. के. राजेश</v>
      </c>
      <c r="I197" s="5" t="str">
        <f>IFERROR(__xludf.DUMMYFUNCTION("GOOGLETRANSLATE(D197, ""en"", ""hi"")"),"D) आर. के. राजेश")</f>
        <v>D) आर. के. राजेश</v>
      </c>
    </row>
    <row r="198" ht="22.5" customHeight="1">
      <c r="A198" s="7">
        <v>197.0</v>
      </c>
      <c r="B198" s="8" t="s">
        <v>5322</v>
      </c>
      <c r="C198" s="8" t="s">
        <v>5255</v>
      </c>
      <c r="D198" s="8" t="s">
        <v>71</v>
      </c>
      <c r="F198" s="5" t="str">
        <f>IFERROR(__xludf.DUMMYFUNCTION("GOOGLETRANSLATE(A198, ""en"", ""hi"")"),"197")</f>
        <v>197</v>
      </c>
      <c r="G198" s="5" t="str">
        <f>IFERROR(__xludf.DUMMYFUNCTION("GOOGLETRANSLATE(B198, ""en"", ""hi"")"),"अंतर्राष्ट्रीय पम्बरम महासंघ ने खेल भावना सुनिश्चित करने के लिए 'फेयर प्ले कोड' को किस वर्ष अपनाया था?")</f>
        <v>अंतर्राष्ट्रीय पम्बरम महासंघ ने खेल भावना सुनिश्चित करने के लिए 'फेयर प्ले कोड' को किस वर्ष अपनाया था?</v>
      </c>
      <c r="H198" s="5" t="str">
        <f>IFERROR(__xludf.DUMMYFUNCTION("GOOGLETRANSLATE(C198, ""en"", ""hi"")"),"ए) 2005, बी) 2010, सी) 2015, डी) 2020")</f>
        <v>ए) 2005, बी) 2010, सी) 2015, डी) 2020</v>
      </c>
      <c r="I198" s="5" t="str">
        <f>IFERROR(__xludf.DUMMYFUNCTION("GOOGLETRANSLATE(D198, ""en"", ""hi"")"),"बी) 2010")</f>
        <v>बी) 2010</v>
      </c>
    </row>
    <row r="199" ht="22.5" customHeight="1">
      <c r="A199" s="7">
        <v>198.0</v>
      </c>
      <c r="B199" s="8" t="s">
        <v>5323</v>
      </c>
      <c r="C199" s="8" t="s">
        <v>5324</v>
      </c>
      <c r="D199" s="8" t="s">
        <v>5156</v>
      </c>
      <c r="F199" s="5" t="str">
        <f>IFERROR(__xludf.DUMMYFUNCTION("GOOGLETRANSLATE(A199, ""en"", ""hi"")"),"198")</f>
        <v>198</v>
      </c>
      <c r="G199" s="5" t="str">
        <f>IFERROR(__xludf.DUMMYFUNCTION("GOOGLETRANSLATE(B199, ""en"", ""hi"")"),"कौन सी पम्बरम तकनीक प्रतिद्वंद्वी के हमले को तुरंत बेअसर करने की क्षमता के लिए प्रसिद्ध है?")</f>
        <v>कौन सी पम्बरम तकनीक प्रतिद्वंद्वी के हमले को तुरंत बेअसर करने की क्षमता के लिए प्रसिद्ध है?</v>
      </c>
      <c r="H199" s="5" t="str">
        <f>IFERROR(__xludf.DUMMYFUNCTION("GOOGLETRANSLATE(C199, ""en"", ""hi"")"),"ए) डिफेंसिव गार्ड, बी) रैपिड स्ट्राइक, सी) थंडरबोल्ट, डी) क्विक फ्लिक")</f>
        <v>ए) डिफेंसिव गार्ड, बी) रैपिड स्ट्राइक, सी) थंडरबोल्ट, डी) क्विक फ्लिक</v>
      </c>
      <c r="I199" s="5" t="str">
        <f>IFERROR(__xludf.DUMMYFUNCTION("GOOGLETRANSLATE(D199, ""en"", ""hi"")"),"A) रक्षात्मक गार्ड")</f>
        <v>A) रक्षात्मक गार्ड</v>
      </c>
    </row>
    <row r="200" ht="22.5" customHeight="1">
      <c r="A200" s="7">
        <v>199.0</v>
      </c>
      <c r="B200" s="8" t="s">
        <v>5325</v>
      </c>
      <c r="C200" s="8" t="s">
        <v>5158</v>
      </c>
      <c r="D200" s="8" t="s">
        <v>5021</v>
      </c>
      <c r="F200" s="5" t="str">
        <f>IFERROR(__xludf.DUMMYFUNCTION("GOOGLETRANSLATE(A200, ""en"", ""hi"")"),"199")</f>
        <v>199</v>
      </c>
      <c r="G200" s="5" t="str">
        <f>IFERROR(__xludf.DUMMYFUNCTION("GOOGLETRANSLATE(B200, ""en"", ""hi"")"),"कौन सा पम्बरम खिलाड़ी 'लाइटनिंग थ्रो' तकनीक के विकास के लिए जाना जाता है?")</f>
        <v>कौन सा पम्बरम खिलाड़ी 'लाइटनिंग थ्रो' तकनीक के विकास के लिए जाना जाता है?</v>
      </c>
      <c r="H200" s="5" t="str">
        <f>IFERROR(__xludf.DUMMYFUNCTION("GOOGLETRANSLATE(C200, ""en"", ""hi"")"),"A) आर. के. राजेश, B) के. एस. रमेश, C) टी. एम. गणेशन, D) एस. वी. रवि")</f>
        <v>A) आर. के. राजेश, B) के. एस. रमेश, C) टी. एम. गणेशन, D) एस. वी. रवि</v>
      </c>
      <c r="I200" s="5" t="str">
        <f>IFERROR(__xludf.DUMMYFUNCTION("GOOGLETRANSLATE(D200, ""en"", ""hi"")"),"C) टी. एम. गणेशन")</f>
        <v>C) टी. एम. गणेशन</v>
      </c>
    </row>
    <row r="201" ht="22.5" customHeight="1">
      <c r="A201" s="7">
        <v>200.0</v>
      </c>
      <c r="B201" s="8" t="s">
        <v>5326</v>
      </c>
      <c r="C201" s="8" t="s">
        <v>5327</v>
      </c>
      <c r="D201" s="8" t="s">
        <v>5328</v>
      </c>
      <c r="F201" s="5" t="str">
        <f>IFERROR(__xludf.DUMMYFUNCTION("GOOGLETRANSLATE(A201, ""en"", ""hi"")"),"200")</f>
        <v>200</v>
      </c>
      <c r="G201" s="5" t="str">
        <f>IFERROR(__xludf.DUMMYFUNCTION("GOOGLETRANSLATE(B201, ""en"", ""hi"")"),"2020 में शुरू की गई कौन सी सरकारी योजना पारंपरिक खेलों की दृश्यता बढ़ाने पर केंद्रित है?")</f>
        <v>2020 में शुरू की गई कौन सी सरकारी योजना पारंपरिक खेलों की दृश्यता बढ़ाने पर केंद्रित है?</v>
      </c>
      <c r="H201" s="5" t="str">
        <f>IFERROR(__xludf.DUMMYFUNCTION("GOOGLETRANSLATE(C201, ""en"", ""hi"")"),"ए) पारंपरिक खेल मीडिया प्रचार कार्यक्रम, बी) राष्ट्रीय दृश्यता योजना, सी) जमीनी स्तर पर जुड़ाव निधि, डी) सामुदायिक खेल जागरूकता पहल")</f>
        <v>ए) पारंपरिक खेल मीडिया प्रचार कार्यक्रम, बी) राष्ट्रीय दृश्यता योजना, सी) जमीनी स्तर पर जुड़ाव निधि, डी) सामुदायिक खेल जागरूकता पहल</v>
      </c>
      <c r="I201" s="5" t="str">
        <f>IFERROR(__xludf.DUMMYFUNCTION("GOOGLETRANSLATE(D201, ""en"", ""hi"")"),"ए) पारंपरिक खेल मीडिया प्रचार कार्यक्रम")</f>
        <v>ए) पारंपरिक खेल मीडिया प्रचार कार्यक्रम</v>
      </c>
    </row>
    <row r="202" ht="22.5" customHeight="1">
      <c r="A202" s="7">
        <v>201.0</v>
      </c>
      <c r="B202" s="8" t="s">
        <v>5329</v>
      </c>
      <c r="C202" s="8" t="s">
        <v>5150</v>
      </c>
      <c r="D202" s="8" t="s">
        <v>5071</v>
      </c>
      <c r="F202" s="5" t="str">
        <f>IFERROR(__xludf.DUMMYFUNCTION("GOOGLETRANSLATE(A202, ""en"", ""hi"")"),"201")</f>
        <v>201</v>
      </c>
      <c r="G202" s="5" t="str">
        <f>IFERROR(__xludf.DUMMYFUNCTION("GOOGLETRANSLATE(B202, ""en"", ""hi"")"),"किस पम्बरम खिलाड़ी को 'साइक्लोन स्पिन' तकनीक में निपुणता के लिए जाना जाता है?")</f>
        <v>किस पम्बरम खिलाड़ी को 'साइक्लोन स्पिन' तकनीक में निपुणता के लिए जाना जाता है?</v>
      </c>
      <c r="H202" s="5" t="str">
        <f>IFERROR(__xludf.DUMMYFUNCTION("GOOGLETRANSLATE(C202, ""en"", ""hi"")"),"A) के. एस. रमेश, B) आर. के. राजेश, C) टी. एम. गणेशन, D) एस. वी. रवि")</f>
        <v>A) के. एस. रमेश, B) आर. के. राजेश, C) टी. एम. गणेशन, D) एस. वी. रवि</v>
      </c>
      <c r="I202" s="5" t="str">
        <f>IFERROR(__xludf.DUMMYFUNCTION("GOOGLETRANSLATE(D202, ""en"", ""hi"")"),"बी) आर. के. राजेश")</f>
        <v>बी) आर. के. राजेश</v>
      </c>
    </row>
    <row r="203" ht="22.5" customHeight="1">
      <c r="A203" s="7">
        <v>202.0</v>
      </c>
      <c r="B203" s="8" t="s">
        <v>5330</v>
      </c>
      <c r="C203" s="8" t="s">
        <v>5331</v>
      </c>
      <c r="D203" s="8" t="s">
        <v>5332</v>
      </c>
      <c r="F203" s="5" t="str">
        <f>IFERROR(__xludf.DUMMYFUNCTION("GOOGLETRANSLATE(A203, ""en"", ""hi"")"),"202")</f>
        <v>202</v>
      </c>
      <c r="G203" s="5" t="str">
        <f>IFERROR(__xludf.DUMMYFUNCTION("GOOGLETRANSLATE(B203, ""en"", ""hi"")"),"कौन सा पम्बरम टूर्नामेंट मैचों के साथ-साथ पारंपरिक सांस्कृतिक कार्यक्रमों को शामिल करने के लिए प्रसिद्ध है?")</f>
        <v>कौन सा पम्बरम टूर्नामेंट मैचों के साथ-साथ पारंपरिक सांस्कृतिक कार्यक्रमों को शामिल करने के लिए प्रसिद्ध है?</v>
      </c>
      <c r="H203" s="5" t="str">
        <f>IFERROR(__xludf.DUMMYFUNCTION("GOOGLETRANSLATE(C203, ""en"", ""hi"")"),"A) सांस्कृतिक खेल महोत्सव, B) हेरिटेज स्पोर्ट्स टूर्नामेंट, C) दक्षिणी मास्टर्स, D) राष्ट्रीय चैम्पियनशिप")</f>
        <v>A) सांस्कृतिक खेल महोत्सव, B) हेरिटेज स्पोर्ट्स टूर्नामेंट, C) दक्षिणी मास्टर्स, D) राष्ट्रीय चैम्पियनशिप</v>
      </c>
      <c r="I203" s="5" t="str">
        <f>IFERROR(__xludf.DUMMYFUNCTION("GOOGLETRANSLATE(D203, ""en"", ""hi"")"),"बी) हेरिटेज स्पोर्ट्स टूर्नामेंट")</f>
        <v>बी) हेरिटेज स्पोर्ट्स टूर्नामेंट</v>
      </c>
    </row>
    <row r="204" ht="22.5" customHeight="1">
      <c r="A204" s="7">
        <v>203.0</v>
      </c>
      <c r="B204" s="8" t="s">
        <v>5333</v>
      </c>
      <c r="C204" s="8" t="s">
        <v>5334</v>
      </c>
      <c r="D204" s="8" t="s">
        <v>5335</v>
      </c>
      <c r="F204" s="5" t="str">
        <f>IFERROR(__xludf.DUMMYFUNCTION("GOOGLETRANSLATE(A204, ""en"", ""hi"")"),"203")</f>
        <v>203</v>
      </c>
      <c r="G204" s="5" t="str">
        <f>IFERROR(__xludf.DUMMYFUNCTION("GOOGLETRANSLATE(B204, ""en"", ""hi"")"),"2021 में पारित कौन सा कानून शैक्षणिक संस्थानों में पारंपरिक खेलों को शामिल करने के लिए प्रोत्साहन प्रदान करता है?")</f>
        <v>2021 में पारित कौन सा कानून शैक्षणिक संस्थानों में पारंपरिक खेलों को शामिल करने के लिए प्रोत्साहन प्रदान करता है?</v>
      </c>
      <c r="H204" s="5" t="str">
        <f>IFERROR(__xludf.DUMMYFUNCTION("GOOGLETRANSLATE(C204, ""en"", ""hi"")"),"A) शिक्षा खेल संवर्धन अधिनियम, B) राष्ट्रीय पारंपरिक खेल शिक्षा अधिनियम, C) स्कूल खेल विकास निधि, D) सांस्कृतिक खेल एकीकरण अधिनियम")</f>
        <v>A) शिक्षा खेल संवर्धन अधिनियम, B) राष्ट्रीय पारंपरिक खेल शिक्षा अधिनियम, C) स्कूल खेल विकास निधि, D) सांस्कृतिक खेल एकीकरण अधिनियम</v>
      </c>
      <c r="I204" s="5" t="str">
        <f>IFERROR(__xludf.DUMMYFUNCTION("GOOGLETRANSLATE(D204, ""en"", ""hi"")"),"बी) राष्ट्रीय पारंपरिक खेल शिक्षा अधिनियम")</f>
        <v>बी) राष्ट्रीय पारंपरिक खेल शिक्षा अधिनियम</v>
      </c>
    </row>
    <row r="205" ht="22.5" customHeight="1">
      <c r="A205" s="7">
        <v>204.0</v>
      </c>
      <c r="B205" s="8" t="s">
        <v>5336</v>
      </c>
      <c r="C205" s="8" t="s">
        <v>5337</v>
      </c>
      <c r="D205" s="8" t="s">
        <v>5338</v>
      </c>
      <c r="F205" s="5" t="str">
        <f>IFERROR(__xludf.DUMMYFUNCTION("GOOGLETRANSLATE(A205, ""en"", ""hi"")"),"204")</f>
        <v>204</v>
      </c>
      <c r="G205" s="5" t="str">
        <f>IFERROR(__xludf.DUMMYFUNCTION("GOOGLETRANSLATE(B205, ""en"", ""hi"")"),"कौन सी पम्बरम तकनीक में विरोधियों को मात देने के लिए अचानक गति बढ़ाई जाती है?")</f>
        <v>कौन सी पम्बरम तकनीक में विरोधियों को मात देने के लिए अचानक गति बढ़ाई जाती है?</v>
      </c>
      <c r="H205" s="5" t="str">
        <f>IFERROR(__xludf.DUMMYFUNCTION("GOOGLETRANSLATE(C205, ""en"", ""hi"")"),"ए) द लाइटनिंग स्ट्राइक, बी) द टर्बो स्पिन, सी) द पावर स्लैम, डी) द क्विक फ्लिक")</f>
        <v>ए) द लाइटनिंग स्ट्राइक, बी) द टर्बो स्पिन, सी) द पावर स्लैम, डी) द क्विक फ्लिक</v>
      </c>
      <c r="I205" s="5" t="str">
        <f>IFERROR(__xludf.DUMMYFUNCTION("GOOGLETRANSLATE(D205, ""en"", ""hi"")"),"बी) टर्बो स्पिन")</f>
        <v>बी) टर्बो स्पिन</v>
      </c>
    </row>
    <row r="206" ht="22.5" customHeight="1">
      <c r="A206" s="7">
        <v>205.0</v>
      </c>
      <c r="B206" s="8" t="s">
        <v>5339</v>
      </c>
      <c r="C206" s="8" t="s">
        <v>5340</v>
      </c>
      <c r="D206" s="8" t="s">
        <v>5341</v>
      </c>
      <c r="F206" s="5" t="str">
        <f>IFERROR(__xludf.DUMMYFUNCTION("GOOGLETRANSLATE(A206, ""en"", ""hi"")"),"205")</f>
        <v>205</v>
      </c>
      <c r="G206" s="5" t="str">
        <f>IFERROR(__xludf.DUMMYFUNCTION("GOOGLETRANSLATE(B206, ""en"", ""hi"")"),"कौन सा सरकारी कार्यक्रम पम्बरम जैसे पारंपरिक खेलों के लिए उन्नत प्रशिक्षण सुविधाओं के विकास का समर्थन करता है?")</f>
        <v>कौन सा सरकारी कार्यक्रम पम्बरम जैसे पारंपरिक खेलों के लिए उन्नत प्रशिक्षण सुविधाओं के विकास का समर्थन करता है?</v>
      </c>
      <c r="H206" s="5" t="str">
        <f>IFERROR(__xludf.DUMMYFUNCTION("GOOGLETRANSLATE(C206, ""en"", ""hi"")"),"ए) उन्नत खेल सुविधा कोष, बी) पारंपरिक खेल विकास कार्यक्रम, सी) राष्ट्रीय प्रशिक्षण सुविधा पहल, डी) जमीनी स्तर पर खेल संवर्धन योजना")</f>
        <v>ए) उन्नत खेल सुविधा कोष, बी) पारंपरिक खेल विकास कार्यक्रम, सी) राष्ट्रीय प्रशिक्षण सुविधा पहल, डी) जमीनी स्तर पर खेल संवर्धन योजना</v>
      </c>
      <c r="I206" s="5" t="str">
        <f>IFERROR(__xludf.DUMMYFUNCTION("GOOGLETRANSLATE(D206, ""en"", ""hi"")"),"बी) पारंपरिक खेल विकास कार्यक्रम")</f>
        <v>बी) पारंपरिक खेल विकास कार्यक्रम</v>
      </c>
    </row>
    <row r="207" ht="22.5" customHeight="1">
      <c r="A207" s="7">
        <v>206.0</v>
      </c>
      <c r="B207" s="8" t="s">
        <v>5342</v>
      </c>
      <c r="C207" s="8" t="s">
        <v>5011</v>
      </c>
      <c r="D207" s="8" t="s">
        <v>4956</v>
      </c>
      <c r="F207" s="5" t="str">
        <f>IFERROR(__xludf.DUMMYFUNCTION("GOOGLETRANSLATE(A207, ""en"", ""hi"")"),"206")</f>
        <v>206</v>
      </c>
      <c r="G207" s="5" t="str">
        <f>IFERROR(__xludf.DUMMYFUNCTION("GOOGLETRANSLATE(B207, ""en"", ""hi"")"),"कौन सा पम्बरम खिलाड़ी उच्च दांव टूर्नामेंटों में 'कॉम्बो स्ट्राइक' तकनीक के उपयोग के लिए प्रसिद्ध है?")</f>
        <v>कौन सा पम्बरम खिलाड़ी उच्च दांव टूर्नामेंटों में 'कॉम्बो स्ट्राइक' तकनीक के उपयोग के लिए प्रसिद्ध है?</v>
      </c>
      <c r="H207" s="5" t="str">
        <f>IFERROR(__xludf.DUMMYFUNCTION("GOOGLETRANSLATE(C207, ""en"", ""hi"")"),"A) टी. एम. गणेशन, B) आर. के. राजेश, C) के. एस. रमेश, D) एस. वी. रवि")</f>
        <v>A) टी. एम. गणेशन, B) आर. के. राजेश, C) के. एस. रमेश, D) एस. वी. रवि</v>
      </c>
      <c r="I207" s="5" t="str">
        <f>IFERROR(__xludf.DUMMYFUNCTION("GOOGLETRANSLATE(D207, ""en"", ""hi"")"),"A) टी. एम. गणेशन")</f>
        <v>A) टी. एम. गणेशन</v>
      </c>
    </row>
    <row r="208" ht="22.5" customHeight="1">
      <c r="A208" s="7">
        <v>207.0</v>
      </c>
      <c r="B208" s="8" t="s">
        <v>5343</v>
      </c>
      <c r="C208" s="8" t="s">
        <v>5344</v>
      </c>
      <c r="D208" s="8" t="s">
        <v>5345</v>
      </c>
      <c r="F208" s="5" t="str">
        <f>IFERROR(__xludf.DUMMYFUNCTION("GOOGLETRANSLATE(A208, ""en"", ""hi"")"),"207")</f>
        <v>207</v>
      </c>
      <c r="G208" s="5" t="str">
        <f>IFERROR(__xludf.DUMMYFUNCTION("GOOGLETRANSLATE(B208, ""en"", ""hi"")"),"2010 के दशक में लोकप्रिय हुई कौन सी पम्बरम तकनीक अपनी तीव्र और अप्रत्याशित गतिविधियों के लिए जानी जाती है?")</f>
        <v>2010 के दशक में लोकप्रिय हुई कौन सी पम्बरम तकनीक अपनी तीव्र और अप्रत्याशित गतिविधियों के लिए जानी जाती है?</v>
      </c>
      <c r="H208" s="5" t="str">
        <f>IFERROR(__xludf.DUMMYFUNCTION("GOOGLETRANSLATE(C208, ""en"", ""hi"")"),"ए) फ्लैश स्पिन, बी) साइक्लोन स्पिन, सी) टॉरनेडो स्पिन, डी) रैपिड फ्लिक")</f>
        <v>ए) फ्लैश स्पिन, बी) साइक्लोन स्पिन, सी) टॉरनेडो स्पिन, डी) रैपिड फ्लिक</v>
      </c>
      <c r="I208" s="5" t="str">
        <f>IFERROR(__xludf.DUMMYFUNCTION("GOOGLETRANSLATE(D208, ""en"", ""hi"")"),"ए) द फ्लैश स्पिन")</f>
        <v>ए) द फ्लैश स्पिन</v>
      </c>
    </row>
    <row r="209" ht="22.5" customHeight="1">
      <c r="A209" s="7">
        <v>208.0</v>
      </c>
      <c r="B209" s="8" t="s">
        <v>5346</v>
      </c>
      <c r="C209" s="8" t="s">
        <v>5225</v>
      </c>
      <c r="D209" s="8" t="s">
        <v>5120</v>
      </c>
      <c r="F209" s="5" t="str">
        <f>IFERROR(__xludf.DUMMYFUNCTION("GOOGLETRANSLATE(A209, ""en"", ""hi"")"),"208")</f>
        <v>208</v>
      </c>
      <c r="G209" s="5" t="str">
        <f>IFERROR(__xludf.DUMMYFUNCTION("GOOGLETRANSLATE(B209, ""en"", ""hi"")"),"2000 के दशक के प्रारंभ में 'आर्क थ्रो' तकनीक विकसित करने में किस खिलाड़ी की महत्वपूर्ण भूमिका थी?")</f>
        <v>2000 के दशक के प्रारंभ में 'आर्क थ्रो' तकनीक विकसित करने में किस खिलाड़ी की महत्वपूर्ण भूमिका थी?</v>
      </c>
      <c r="H209" s="5" t="str">
        <f>IFERROR(__xludf.DUMMYFUNCTION("GOOGLETRANSLATE(C209, ""en"", ""hi"")"),"A) के. एस. रमेश, B) एस. वी. रवि, C) आर. के. राजेश, D) टी. एम. गणेशन")</f>
        <v>A) के. एस. रमेश, B) एस. वी. रवि, C) आर. के. राजेश, D) टी. एम. गणेशन</v>
      </c>
      <c r="I209" s="5" t="str">
        <f>IFERROR(__xludf.DUMMYFUNCTION("GOOGLETRANSLATE(D209, ""en"", ""hi"")"),"C) आर. के. राजेश")</f>
        <v>C) आर. के. राजेश</v>
      </c>
    </row>
    <row r="210" ht="22.5" customHeight="1">
      <c r="A210" s="7">
        <v>209.0</v>
      </c>
      <c r="B210" s="8" t="s">
        <v>5347</v>
      </c>
      <c r="C210" s="8" t="s">
        <v>5348</v>
      </c>
      <c r="D210" s="8" t="s">
        <v>5349</v>
      </c>
      <c r="F210" s="5" t="str">
        <f>IFERROR(__xludf.DUMMYFUNCTION("GOOGLETRANSLATE(A210, ""en"", ""hi"")"),"209")</f>
        <v>209</v>
      </c>
      <c r="G210" s="5" t="str">
        <f>IFERROR(__xludf.DUMMYFUNCTION("GOOGLETRANSLATE(B210, ""en"", ""hi"")"),"कौन सा पम्बरम टूर्नामेंट शौकिया खिलाड़ियों की बड़े पैमाने पर भागीदारी के लिए जाना जाता है?")</f>
        <v>कौन सा पम्बरम टूर्नामेंट शौकिया खिलाड़ियों की बड़े पैमाने पर भागीदारी के लिए जाना जाता है?</v>
      </c>
      <c r="H210" s="5" t="str">
        <f>IFERROR(__xludf.DUMMYFUNCTION("GOOGLETRANSLATE(C210, ""en"", ""hi"")"),"ए) एमेच्योर पम्बरम टूर्नामेंट, बी) यूथ गेम्स चैम्पियनशिप, सी) नेशनल ओपन, डी) रीजनल कप")</f>
        <v>ए) एमेच्योर पम्बरम टूर्नामेंट, बी) यूथ गेम्स चैम्पियनशिप, सी) नेशनल ओपन, डी) रीजनल कप</v>
      </c>
      <c r="I210" s="5" t="str">
        <f>IFERROR(__xludf.DUMMYFUNCTION("GOOGLETRANSLATE(D210, ""en"", ""hi"")"),"ए) एमेच्योर पम्बरम टूर्नामेंट")</f>
        <v>ए) एमेच्योर पम्बरम टूर्नामेंट</v>
      </c>
    </row>
    <row r="211" ht="22.5" customHeight="1">
      <c r="A211" s="7">
        <v>210.0</v>
      </c>
      <c r="B211" s="8" t="s">
        <v>5350</v>
      </c>
      <c r="C211" s="8" t="s">
        <v>5351</v>
      </c>
      <c r="D211" s="8" t="s">
        <v>5352</v>
      </c>
      <c r="F211" s="5" t="str">
        <f>IFERROR(__xludf.DUMMYFUNCTION("GOOGLETRANSLATE(A211, ""en"", ""hi"")"),"210")</f>
        <v>210</v>
      </c>
      <c r="G211" s="5" t="str">
        <f>IFERROR(__xludf.DUMMYFUNCTION("GOOGLETRANSLATE(B211, ""en"", ""hi"")"),"2022 में लागू की जाने वाली किस सरकारी नीति का उद्देश्य पारंपरिक खेलों में जमीनी स्तर पर भागीदारी बढ़ाना है?")</f>
        <v>2022 में लागू की जाने वाली किस सरकारी नीति का उद्देश्य पारंपरिक खेलों में जमीनी स्तर पर भागीदारी बढ़ाना है?</v>
      </c>
      <c r="H211" s="5" t="str">
        <f>IFERROR(__xludf.DUMMYFUNCTION("GOOGLETRANSLATE(C211, ""en"", ""hi"")"),"ए) ग्रासरूट स्पोर्ट्स एंगेजमेंट एक्ट, बी) राष्ट्रीय खेल भागीदारी नीति, सी) सामुदायिक खेल विकास पहल, डी) पारंपरिक खेल संवर्धन कार्यक्रम")</f>
        <v>ए) ग्रासरूट स्पोर्ट्स एंगेजमेंट एक्ट, बी) राष्ट्रीय खेल भागीदारी नीति, सी) सामुदायिक खेल विकास पहल, डी) पारंपरिक खेल संवर्धन कार्यक्रम</v>
      </c>
      <c r="I211" s="5" t="str">
        <f>IFERROR(__xludf.DUMMYFUNCTION("GOOGLETRANSLATE(D211, ""en"", ""hi"")"),"डी) पारंपरिक खेल संवर्धन कार्यक्रम")</f>
        <v>डी) पारंपरिक खेल संवर्धन कार्यक्रम</v>
      </c>
    </row>
    <row r="212" ht="22.5" customHeight="1">
      <c r="A212" s="7">
        <v>211.0</v>
      </c>
      <c r="B212" s="8" t="s">
        <v>5353</v>
      </c>
      <c r="C212" s="8" t="s">
        <v>5283</v>
      </c>
      <c r="D212" s="8" t="s">
        <v>4940</v>
      </c>
      <c r="F212" s="5" t="str">
        <f>IFERROR(__xludf.DUMMYFUNCTION("GOOGLETRANSLATE(A212, ""en"", ""hi"")"),"211")</f>
        <v>211</v>
      </c>
      <c r="G212" s="5" t="str">
        <f>IFERROR(__xludf.DUMMYFUNCTION("GOOGLETRANSLATE(B212, ""en"", ""hi"")"),"कौन सा पम्बरम खिलाड़ी महत्वपूर्ण क्षणों के दौरान 'पावर स्लैम' तकनीक के रणनीतिक उपयोग के लिए प्रसिद्ध है?")</f>
        <v>कौन सा पम्बरम खिलाड़ी महत्वपूर्ण क्षणों के दौरान 'पावर स्लैम' तकनीक के रणनीतिक उपयोग के लिए प्रसिद्ध है?</v>
      </c>
      <c r="H212" s="5" t="str">
        <f>IFERROR(__xludf.DUMMYFUNCTION("GOOGLETRANSLATE(C212, ""en"", ""hi"")"),"ए) एस. वी. रवि, बी) आर. के. राजेश, सी) टी. एम. गणेशन, डी) के. एस. रमेश")</f>
        <v>ए) एस. वी. रवि, बी) आर. के. राजेश, सी) टी. एम. गणेशन, डी) के. एस. रमेश</v>
      </c>
      <c r="I212" s="5" t="str">
        <f>IFERROR(__xludf.DUMMYFUNCTION("GOOGLETRANSLATE(D212, ""en"", ""hi"")"),"D) के. एस. रमेश")</f>
        <v>D) के. एस. रमेश</v>
      </c>
    </row>
    <row r="213" ht="22.5" customHeight="1">
      <c r="A213" s="7">
        <v>212.0</v>
      </c>
      <c r="B213" s="8" t="s">
        <v>5354</v>
      </c>
      <c r="C213" s="8" t="s">
        <v>5255</v>
      </c>
      <c r="D213" s="8" t="s">
        <v>71</v>
      </c>
      <c r="F213" s="5" t="str">
        <f>IFERROR(__xludf.DUMMYFUNCTION("GOOGLETRANSLATE(A213, ""en"", ""hi"")"),"212")</f>
        <v>212</v>
      </c>
      <c r="G213" s="5" t="str">
        <f>IFERROR(__xludf.DUMMYFUNCTION("GOOGLETRANSLATE(B213, ""en"", ""hi"")"),"खिलाड़ियों की तकनीक को बढ़ाने के उद्देश्य से 'पंबरम कौशल विकास कार्यशालाओं' की शुरुआत किस वर्ष हुई?")</f>
        <v>खिलाड़ियों की तकनीक को बढ़ाने के उद्देश्य से 'पंबरम कौशल विकास कार्यशालाओं' की शुरुआत किस वर्ष हुई?</v>
      </c>
      <c r="H213" s="5" t="str">
        <f>IFERROR(__xludf.DUMMYFUNCTION("GOOGLETRANSLATE(C213, ""en"", ""hi"")"),"ए) 2005, बी) 2010, सी) 2015, डी) 2020")</f>
        <v>ए) 2005, बी) 2010, सी) 2015, डी) 2020</v>
      </c>
      <c r="I213" s="5" t="str">
        <f>IFERROR(__xludf.DUMMYFUNCTION("GOOGLETRANSLATE(D213, ""en"", ""hi"")"),"बी) 2010")</f>
        <v>बी) 2010</v>
      </c>
    </row>
    <row r="214" ht="22.5" customHeight="1">
      <c r="A214" s="7">
        <v>213.0</v>
      </c>
      <c r="B214" s="8" t="s">
        <v>5355</v>
      </c>
      <c r="C214" s="8" t="s">
        <v>5356</v>
      </c>
      <c r="D214" s="8" t="s">
        <v>5357</v>
      </c>
      <c r="F214" s="5" t="str">
        <f>IFERROR(__xludf.DUMMYFUNCTION("GOOGLETRANSLATE(A214, ""en"", ""hi"")"),"213")</f>
        <v>213</v>
      </c>
      <c r="G214" s="5" t="str">
        <f>IFERROR(__xludf.DUMMYFUNCTION("GOOGLETRANSLATE(B214, ""en"", ""hi"")"),"कौन सी पम्बरम तकनीक आक्रामक और रक्षात्मक दोनों चालों को कुशलतापूर्वक निष्पादित करने की क्षमता से चिह्नित है?")</f>
        <v>कौन सी पम्बरम तकनीक आक्रामक और रक्षात्मक दोनों चालों को कुशलतापूर्वक निष्पादित करने की क्षमता से चिह्नित है?</v>
      </c>
      <c r="H214" s="5" t="str">
        <f>IFERROR(__xludf.DUMMYFUNCTION("GOOGLETRANSLATE(C214, ""en"", ""hi"")"),"ए) दोहरी तकनीक, बी) कॉम्बो स्ट्राइक, सी) टॉरनेडो स्पिन, डी) सटीक फ्लिक")</f>
        <v>ए) दोहरी तकनीक, बी) कॉम्बो स्ट्राइक, सी) टॉरनेडो स्पिन, डी) सटीक फ्लिक</v>
      </c>
      <c r="I214" s="5" t="str">
        <f>IFERROR(__xludf.DUMMYFUNCTION("GOOGLETRANSLATE(D214, ""en"", ""hi"")"),"बी) कॉम्बो स्ट्राइक")</f>
        <v>बी) कॉम्बो स्ट्राइक</v>
      </c>
    </row>
    <row r="215" ht="22.5" customHeight="1">
      <c r="A215" s="7">
        <v>214.0</v>
      </c>
      <c r="B215" s="8" t="s">
        <v>5358</v>
      </c>
      <c r="C215" s="8" t="s">
        <v>5359</v>
      </c>
      <c r="D215" s="8" t="s">
        <v>5360</v>
      </c>
      <c r="F215" s="5" t="str">
        <f>IFERROR(__xludf.DUMMYFUNCTION("GOOGLETRANSLATE(A215, ""en"", ""hi"")"),"214")</f>
        <v>214</v>
      </c>
      <c r="G215" s="5" t="str">
        <f>IFERROR(__xludf.DUMMYFUNCTION("GOOGLETRANSLATE(B215, ""en"", ""hi"")"),"किस पम्बरम टूर्नामेंट ने 2005 में पहली बार 'मिश्रित युगल' प्रारूप की शुरुआत की?")</f>
        <v>किस पम्बरम टूर्नामेंट ने 2005 में पहली बार 'मिश्रित युगल' प्रारूप की शुरुआत की?</v>
      </c>
      <c r="H215" s="5" t="str">
        <f>IFERROR(__xludf.DUMMYFUNCTION("GOOGLETRANSLATE(C215, ""en"", ""hi"")"),"A) राष्ट्रीय चैम्पियनशिप, B) दक्षिणी मास्टर्स, C) गोल्डन पट्टम टूर्नामेंट, D) अंतर्राष्ट्रीय ओपन")</f>
        <v>A) राष्ट्रीय चैम्पियनशिप, B) दक्षिणी मास्टर्स, C) गोल्डन पट्टम टूर्नामेंट, D) अंतर्राष्ट्रीय ओपन</v>
      </c>
      <c r="I215" s="5" t="str">
        <f>IFERROR(__xludf.DUMMYFUNCTION("GOOGLETRANSLATE(D215, ""en"", ""hi"")"),"D) इंटरनेशनल ओपन")</f>
        <v>D) इंटरनेशनल ओपन</v>
      </c>
    </row>
    <row r="216" ht="22.5" customHeight="1">
      <c r="A216" s="7">
        <v>215.0</v>
      </c>
      <c r="B216" s="8" t="s">
        <v>5361</v>
      </c>
      <c r="C216" s="8" t="s">
        <v>5362</v>
      </c>
      <c r="D216" s="8" t="s">
        <v>5363</v>
      </c>
      <c r="F216" s="5" t="str">
        <f>IFERROR(__xludf.DUMMYFUNCTION("GOOGLETRANSLATE(A216, ""en"", ""hi"")"),"215")</f>
        <v>215</v>
      </c>
      <c r="G216" s="5" t="str">
        <f>IFERROR(__xludf.DUMMYFUNCTION("GOOGLETRANSLATE(B216, ""en"", ""hi"")"),"कौन सी सरकारी पहल पम्बरम कोचों के प्रशिक्षण को समर्थन देने पर केंद्रित है?")</f>
        <v>कौन सी सरकारी पहल पम्बरम कोचों के प्रशिक्षण को समर्थन देने पर केंद्रित है?</v>
      </c>
      <c r="H216" s="5" t="str">
        <f>IFERROR(__xludf.DUMMYFUNCTION("GOOGLETRANSLATE(C216, ""en"", ""hi"")"),"ए) राष्ट्रीय कोच प्रशिक्षण कार्यक्रम, बी) पारंपरिक खेल कोचिंग पहल, सी) खेल उत्कृष्टता विकास निधि, डी) जमीनी स्तर पर कोचिंग योजना")</f>
        <v>ए) राष्ट्रीय कोच प्रशिक्षण कार्यक्रम, बी) पारंपरिक खेल कोचिंग पहल, सी) खेल उत्कृष्टता विकास निधि, डी) जमीनी स्तर पर कोचिंग योजना</v>
      </c>
      <c r="I216" s="5" t="str">
        <f>IFERROR(__xludf.DUMMYFUNCTION("GOOGLETRANSLATE(D216, ""en"", ""hi"")"),"बी) पारंपरिक खेल कोचिंग पहल")</f>
        <v>बी) पारंपरिक खेल कोचिंग पहल</v>
      </c>
    </row>
    <row r="217" ht="22.5" customHeight="1">
      <c r="A217" s="7">
        <v>216.0</v>
      </c>
      <c r="B217" s="8" t="s">
        <v>5364</v>
      </c>
      <c r="C217" s="8" t="s">
        <v>5365</v>
      </c>
      <c r="D217" s="8" t="s">
        <v>5366</v>
      </c>
      <c r="F217" s="5" t="str">
        <f>IFERROR(__xludf.DUMMYFUNCTION("GOOGLETRANSLATE(A217, ""en"", ""hi"")"),"216")</f>
        <v>216</v>
      </c>
      <c r="G217" s="5" t="str">
        <f>IFERROR(__xludf.DUMMYFUNCTION("GOOGLETRANSLATE(B217, ""en"", ""hi"")"),"कौन सी पम्बरम तकनीक में विरोधियों को परास्त करने के लिए गति और सटीकता का संयोजन शामिल है?")</f>
        <v>कौन सी पम्बरम तकनीक में विरोधियों को परास्त करने के लिए गति और सटीकता का संयोजन शामिल है?</v>
      </c>
      <c r="H217" s="5" t="str">
        <f>IFERROR(__xludf.DUMMYFUNCTION("GOOGLETRANSLATE(C217, ""en"", ""hi"")"),"ए) रैपिड फ्लिक, बी) पावर स्लैम, सी) प्रिसिजन फ्लिक, डी) लाइटनिंग थ्रो")</f>
        <v>ए) रैपिड फ्लिक, बी) पावर स्लैम, सी) प्रिसिजन फ्लिक, डी) लाइटनिंग थ्रो</v>
      </c>
      <c r="I217" s="5" t="str">
        <f>IFERROR(__xludf.DUMMYFUNCTION("GOOGLETRANSLATE(D217, ""en"", ""hi"")"),"सी) द प्रिसिजन फ्लिक")</f>
        <v>सी) द प्रिसिजन फ्लिक</v>
      </c>
    </row>
    <row r="218" ht="22.5" customHeight="1">
      <c r="A218" s="7">
        <v>217.0</v>
      </c>
      <c r="B218" s="8" t="s">
        <v>5367</v>
      </c>
      <c r="C218" s="8" t="s">
        <v>5225</v>
      </c>
      <c r="D218" s="8" t="s">
        <v>4845</v>
      </c>
      <c r="F218" s="5" t="str">
        <f>IFERROR(__xludf.DUMMYFUNCTION("GOOGLETRANSLATE(A218, ""en"", ""hi"")"),"217")</f>
        <v>217</v>
      </c>
      <c r="G218" s="5" t="str">
        <f>IFERROR(__xludf.DUMMYFUNCTION("GOOGLETRANSLATE(B218, ""en"", ""hi"")"),"कौन सा खिलाड़ी उच्च दबाव की स्थिति में 'रैपिड स्ट्राइक' तकनीक के उपयोग के लिए जाना जाता है?")</f>
        <v>कौन सा खिलाड़ी उच्च दबाव की स्थिति में 'रैपिड स्ट्राइक' तकनीक के उपयोग के लिए जाना जाता है?</v>
      </c>
      <c r="H218" s="5" t="str">
        <f>IFERROR(__xludf.DUMMYFUNCTION("GOOGLETRANSLATE(C218, ""en"", ""hi"")"),"A) के. एस. रमेश, B) एस. वी. रवि, C) आर. के. राजेश, D) टी. एम. गणेशन")</f>
        <v>A) के. एस. रमेश, B) एस. वी. रवि, C) आर. के. राजेश, D) टी. एम. गणेशन</v>
      </c>
      <c r="I218" s="5" t="str">
        <f>IFERROR(__xludf.DUMMYFUNCTION("GOOGLETRANSLATE(D218, ""en"", ""hi"")"),"A) के. एस. रमेश")</f>
        <v>A) के. एस. रमेश</v>
      </c>
    </row>
    <row r="219" ht="22.5" customHeight="1">
      <c r="A219" s="7">
        <v>218.0</v>
      </c>
      <c r="B219" s="8" t="s">
        <v>5368</v>
      </c>
      <c r="C219" s="8" t="s">
        <v>5369</v>
      </c>
      <c r="D219" s="8" t="s">
        <v>837</v>
      </c>
      <c r="F219" s="5" t="str">
        <f>IFERROR(__xludf.DUMMYFUNCTION("GOOGLETRANSLATE(A219, ""en"", ""hi"")"),"218")</f>
        <v>218</v>
      </c>
      <c r="G219" s="5" t="str">
        <f>IFERROR(__xludf.DUMMYFUNCTION("GOOGLETRANSLATE(B219, ""en"", ""hi"")"),"खेल में ऐतिहासिक हस्तियों को मान्यता देने के लिए 'पंबरम लीजेंड्स हॉल ऑफ फेम' का शुभारंभ किस वर्ष हुआ?")</f>
        <v>खेल में ऐतिहासिक हस्तियों को मान्यता देने के लिए 'पंबरम लीजेंड्स हॉल ऑफ फेम' का शुभारंभ किस वर्ष हुआ?</v>
      </c>
      <c r="H219" s="5" t="str">
        <f>IFERROR(__xludf.DUMMYFUNCTION("GOOGLETRANSLATE(C219, ""en"", ""hi"")"),"ए) 2010, बी) 2015, सी) 2018, डी) 2020")</f>
        <v>ए) 2010, बी) 2015, सी) 2018, डी) 2020</v>
      </c>
      <c r="I219" s="5" t="str">
        <f>IFERROR(__xludf.DUMMYFUNCTION("GOOGLETRANSLATE(D219, ""en"", ""hi"")"),"बी) 2015")</f>
        <v>बी) 2015</v>
      </c>
    </row>
    <row r="220" ht="22.5" customHeight="1">
      <c r="A220" s="7">
        <v>219.0</v>
      </c>
      <c r="B220" s="8" t="s">
        <v>5370</v>
      </c>
      <c r="C220" s="8" t="s">
        <v>5371</v>
      </c>
      <c r="D220" s="8" t="s">
        <v>5372</v>
      </c>
      <c r="F220" s="5" t="str">
        <f>IFERROR(__xludf.DUMMYFUNCTION("GOOGLETRANSLATE(A220, ""en"", ""hi"")"),"219")</f>
        <v>219</v>
      </c>
      <c r="G220" s="5" t="str">
        <f>IFERROR(__xludf.DUMMYFUNCTION("GOOGLETRANSLATE(B220, ""en"", ""hi"")"),"कौन सा पम्बरम टूर्नामेंट खिलाड़ी नवाचार और रचनात्मकता पर जोर देने के लिए जाना जाता है?")</f>
        <v>कौन सा पम्बरम टूर्नामेंट खिलाड़ी नवाचार और रचनात्मकता पर जोर देने के लिए जाना जाता है?</v>
      </c>
      <c r="H220" s="5" t="str">
        <f>IFERROR(__xludf.DUMMYFUNCTION("GOOGLETRANSLATE(C220, ""en"", ""hi"")"),"A) इनोवेटिव गेम्स कप, B) नेशनल चैम्पियनशिप, C) गोल्डन पट्टम टूर्नामेंट, D) क्रिएटिव टूर्नामेंट")</f>
        <v>A) इनोवेटिव गेम्स कप, B) नेशनल चैम्पियनशिप, C) गोल्डन पट्टम टूर्नामेंट, D) क्रिएटिव टूर्नामेंट</v>
      </c>
      <c r="I220" s="5" t="str">
        <f>IFERROR(__xludf.DUMMYFUNCTION("GOOGLETRANSLATE(D220, ""en"", ""hi"")"),"A) इनोवेटिव गेम्स कप")</f>
        <v>A) इनोवेटिव गेम्स कप</v>
      </c>
    </row>
    <row r="221" ht="22.5" customHeight="1">
      <c r="A221" s="7">
        <v>220.0</v>
      </c>
      <c r="B221" s="8" t="s">
        <v>5373</v>
      </c>
      <c r="C221" s="8" t="s">
        <v>5374</v>
      </c>
      <c r="D221" s="8" t="s">
        <v>5375</v>
      </c>
      <c r="F221" s="5" t="str">
        <f>IFERROR(__xludf.DUMMYFUNCTION("GOOGLETRANSLATE(A221, ""en"", ""hi"")"),"220")</f>
        <v>220</v>
      </c>
      <c r="G221" s="5" t="str">
        <f>IFERROR(__xludf.DUMMYFUNCTION("GOOGLETRANSLATE(B221, ""en"", ""hi"")"),"2021 में अधिनियमित कौन सा कानून पारंपरिक खेल आयोजनों और टूर्नामेंटों के लिए बढ़ी हुई धनराशि प्रदान करता है?")</f>
        <v>2021 में अधिनियमित कौन सा कानून पारंपरिक खेल आयोजनों और टूर्नामेंटों के लिए बढ़ी हुई धनराशि प्रदान करता है?</v>
      </c>
      <c r="H221" s="5" t="str">
        <f>IFERROR(__xludf.DUMMYFUNCTION("GOOGLETRANSLATE(C221, ""en"", ""hi"")"),"ए) खेल वित्तपोषण अधिनियम, बी) पारंपरिक खेल समर्थन कानून, सी) राष्ट्रीय आयोजन संवर्धन अधिनियम, डी) पारंपरिक खेल वित्तपोषण अधिनियम")</f>
        <v>ए) खेल वित्तपोषण अधिनियम, बी) पारंपरिक खेल समर्थन कानून, सी) राष्ट्रीय आयोजन संवर्धन अधिनियम, डी) पारंपरिक खेल वित्तपोषण अधिनियम</v>
      </c>
      <c r="I221" s="5" t="str">
        <f>IFERROR(__xludf.DUMMYFUNCTION("GOOGLETRANSLATE(D221, ""en"", ""hi"")"),"D) पारंपरिक खेल वित्तपोषण अधिनियम")</f>
        <v>D) पारंपरिक खेल वित्तपोषण अधिनियम</v>
      </c>
    </row>
    <row r="222" ht="22.5" customHeight="1">
      <c r="A222" s="7">
        <v>221.0</v>
      </c>
      <c r="B222" s="8" t="s">
        <v>5376</v>
      </c>
      <c r="C222" s="8" t="s">
        <v>5171</v>
      </c>
      <c r="D222" s="8" t="s">
        <v>4912</v>
      </c>
      <c r="F222" s="5" t="str">
        <f>IFERROR(__xludf.DUMMYFUNCTION("GOOGLETRANSLATE(A222, ""en"", ""hi"")"),"221")</f>
        <v>221</v>
      </c>
      <c r="G222" s="5" t="str">
        <f>IFERROR(__xludf.DUMMYFUNCTION("GOOGLETRANSLATE(B222, ""en"", ""hi"")"),"कौन सा पम्बरम खिलाड़ी 'डिसर्प्टर स्पिन' तकनीक के प्रभावी उपयोग के लिए प्रसिद्ध था?")</f>
        <v>कौन सा पम्बरम खिलाड़ी 'डिसर्प्टर स्पिन' तकनीक के प्रभावी उपयोग के लिए प्रसिद्ध था?</v>
      </c>
      <c r="H222" s="5" t="str">
        <f>IFERROR(__xludf.DUMMYFUNCTION("GOOGLETRANSLATE(C222, ""en"", ""hi"")"),"A) टी. एम. गणेशन, B) एस. वी. रवि, C) के. एस. रमेश, D) आर. के. राजेश")</f>
        <v>A) टी. एम. गणेशन, B) एस. वी. रवि, C) के. एस. रमेश, D) आर. के. राजेश</v>
      </c>
      <c r="I222" s="5" t="str">
        <f>IFERROR(__xludf.DUMMYFUNCTION("GOOGLETRANSLATE(D222, ""en"", ""hi"")"),"बी) एस. वी. रवि")</f>
        <v>बी) एस. वी. रवि</v>
      </c>
    </row>
    <row r="223" ht="22.5" customHeight="1">
      <c r="A223" s="7">
        <v>222.0</v>
      </c>
      <c r="B223" s="8" t="s">
        <v>5377</v>
      </c>
      <c r="C223" s="8" t="s">
        <v>5378</v>
      </c>
      <c r="D223" s="8" t="s">
        <v>5379</v>
      </c>
      <c r="F223" s="5" t="str">
        <f>IFERROR(__xludf.DUMMYFUNCTION("GOOGLETRANSLATE(A223, ""en"", ""hi"")"),"222")</f>
        <v>222</v>
      </c>
      <c r="G223" s="5" t="str">
        <f>IFERROR(__xludf.DUMMYFUNCTION("GOOGLETRANSLATE(B223, ""en"", ""hi"")"),"2019 में शुरू किए गए किस सरकारी कार्यक्रम का उद्देश्य पम्बरम जैसे पारंपरिक खेलों में युवाओं की भागीदारी बढ़ाना है?")</f>
        <v>2019 में शुरू किए गए किस सरकारी कार्यक्रम का उद्देश्य पम्बरम जैसे पारंपरिक खेलों में युवाओं की भागीदारी बढ़ाना है?</v>
      </c>
      <c r="H223" s="5" t="str">
        <f>IFERROR(__xludf.DUMMYFUNCTION("GOOGLETRANSLATE(C223, ""en"", ""hi"")"),"ए) युवा जुड़ाव कार्यक्रम, बी) राष्ट्रीय युवा खेल पहल, सी) जमीनी स्तर पर खेल भागीदारी निधि, डी) पारंपरिक खेल युवा कार्यक्रम")</f>
        <v>ए) युवा जुड़ाव कार्यक्रम, बी) राष्ट्रीय युवा खेल पहल, सी) जमीनी स्तर पर खेल भागीदारी निधि, डी) पारंपरिक खेल युवा कार्यक्रम</v>
      </c>
      <c r="I223" s="5" t="str">
        <f>IFERROR(__xludf.DUMMYFUNCTION("GOOGLETRANSLATE(D223, ""en"", ""hi"")"),"डी) पारंपरिक खेल युवा कार्यक्रम")</f>
        <v>डी) पारंपरिक खेल युवा कार्यक्रम</v>
      </c>
    </row>
    <row r="224" ht="22.5" customHeight="1">
      <c r="A224" s="7">
        <v>223.0</v>
      </c>
      <c r="B224" s="8" t="s">
        <v>5380</v>
      </c>
      <c r="C224" s="8" t="s">
        <v>5381</v>
      </c>
      <c r="D224" s="8" t="s">
        <v>5382</v>
      </c>
      <c r="F224" s="5" t="str">
        <f>IFERROR(__xludf.DUMMYFUNCTION("GOOGLETRANSLATE(A224, ""en"", ""hi"")"),"223")</f>
        <v>223</v>
      </c>
      <c r="G224" s="5" t="str">
        <f>IFERROR(__xludf.DUMMYFUNCTION("GOOGLETRANSLATE(B224, ""en"", ""hi"")"),"कौन सी पम्बरम तकनीक आक्रामक और रक्षात्मक दोनों प्रकार के खेल में अपनी बहुमुखी प्रतिभा के लिए जानी जाती है?")</f>
        <v>कौन सी पम्बरम तकनीक आक्रामक और रक्षात्मक दोनों प्रकार के खेल में अपनी बहुमुखी प्रतिभा के लिए जानी जाती है?</v>
      </c>
      <c r="H224" s="5" t="str">
        <f>IFERROR(__xludf.DUMMYFUNCTION("GOOGLETRANSLATE(C224, ""en"", ""hi"")"),"ए) बहुमुखी स्ट्राइक, बी) कॉम्बो फ्लिक, सी) त्वरित स्पिन, डी) साइक्लोन थ्रो")</f>
        <v>ए) बहुमुखी स्ट्राइक, बी) कॉम्बो फ्लिक, सी) त्वरित स्पिन, डी) साइक्लोन थ्रो</v>
      </c>
      <c r="I224" s="5" t="str">
        <f>IFERROR(__xludf.DUMMYFUNCTION("GOOGLETRANSLATE(D224, ""en"", ""hi"")"),"बी) कॉम्बो फ्लिक")</f>
        <v>बी) कॉम्बो फ्लिक</v>
      </c>
    </row>
    <row r="225" ht="22.5" customHeight="1">
      <c r="A225" s="7">
        <v>224.0</v>
      </c>
      <c r="B225" s="8" t="s">
        <v>5383</v>
      </c>
      <c r="C225" s="8" t="s">
        <v>5384</v>
      </c>
      <c r="D225" s="8" t="s">
        <v>5145</v>
      </c>
      <c r="F225" s="5" t="str">
        <f>IFERROR(__xludf.DUMMYFUNCTION("GOOGLETRANSLATE(A225, ""en"", ""hi"")"),"224")</f>
        <v>224</v>
      </c>
      <c r="G225" s="5" t="str">
        <f>IFERROR(__xludf.DUMMYFUNCTION("GOOGLETRANSLATE(B225, ""en"", ""hi"")"),"कौन सा पम्बरम खिलाड़ी अंतर्राष्ट्रीय टूर्नामेंटों में 'फ्लैश स्ट्राइक' तकनीक का अग्रणी होने के लिए जाना जाता है?")</f>
        <v>कौन सा पम्बरम खिलाड़ी अंतर्राष्ट्रीय टूर्नामेंटों में 'फ्लैश स्ट्राइक' तकनीक का अग्रणी होने के लिए जाना जाता है?</v>
      </c>
      <c r="H225" s="5" t="str">
        <f>IFERROR(__xludf.DUMMYFUNCTION("GOOGLETRANSLATE(C225, ""en"", ""hi"")"),"ए) एस. वी. रवि, बी) आर. के. राजेश, सी) के. एस. रमेश, डी) टी. एम. गणेशन")</f>
        <v>ए) एस. वी. रवि, बी) आर. के. राजेश, सी) के. एस. रमेश, डी) टी. एम. गणेशन</v>
      </c>
      <c r="I225" s="5" t="str">
        <f>IFERROR(__xludf.DUMMYFUNCTION("GOOGLETRANSLATE(D225, ""en"", ""hi"")"),"D) टी. एम. गणेशन")</f>
        <v>D) टी. एम. गणेशन</v>
      </c>
    </row>
    <row r="226" ht="22.5" customHeight="1">
      <c r="A226" s="7">
        <v>225.0</v>
      </c>
      <c r="B226" s="8" t="s">
        <v>5385</v>
      </c>
      <c r="C226" s="8" t="s">
        <v>5255</v>
      </c>
      <c r="D226" s="8" t="s">
        <v>5298</v>
      </c>
      <c r="F226" s="5" t="str">
        <f>IFERROR(__xludf.DUMMYFUNCTION("GOOGLETRANSLATE(A226, ""en"", ""hi"")"),"225")</f>
        <v>225</v>
      </c>
      <c r="G226" s="5" t="str">
        <f>IFERROR(__xludf.DUMMYFUNCTION("GOOGLETRANSLATE(B226, ""en"", ""hi"")"),"जमीनी स्तर के कार्यक्रमों के लिए 'पंबरम विकास निधि' की शुरुआत किस वर्ष हुई?")</f>
        <v>जमीनी स्तर के कार्यक्रमों के लिए 'पंबरम विकास निधि' की शुरुआत किस वर्ष हुई?</v>
      </c>
      <c r="H226" s="5" t="str">
        <f>IFERROR(__xludf.DUMMYFUNCTION("GOOGLETRANSLATE(C226, ""en"", ""hi"")"),"ए) 2005, बी) 2010, सी) 2015, डी) 2020")</f>
        <v>ए) 2005, बी) 2010, सी) 2015, डी) 2020</v>
      </c>
      <c r="I226" s="5" t="str">
        <f>IFERROR(__xludf.DUMMYFUNCTION("GOOGLETRANSLATE(D226, ""en"", ""hi"")"),"सी) 2015")</f>
        <v>सी) 2015</v>
      </c>
    </row>
    <row r="227" ht="22.5" customHeight="1">
      <c r="A227" s="7">
        <v>226.0</v>
      </c>
      <c r="B227" s="8" t="s">
        <v>5386</v>
      </c>
      <c r="C227" s="8" t="s">
        <v>5387</v>
      </c>
      <c r="D227" s="8" t="s">
        <v>5388</v>
      </c>
      <c r="F227" s="5" t="str">
        <f>IFERROR(__xludf.DUMMYFUNCTION("GOOGLETRANSLATE(A227, ""en"", ""hi"")"),"226")</f>
        <v>226</v>
      </c>
      <c r="G227" s="5" t="str">
        <f>IFERROR(__xludf.DUMMYFUNCTION("GOOGLETRANSLATE(B227, ""en"", ""hi"")"),"कौन सी पम्बरम तकनीक तीव्र और विविध चालों के साथ प्रतिद्वंद्वी की रक्षा को तोड़ने के लिए डिज़ाइन की गई है?")</f>
        <v>कौन सी पम्बरम तकनीक तीव्र और विविध चालों के साथ प्रतिद्वंद्वी की रक्षा को तोड़ने के लिए डिज़ाइन की गई है?</v>
      </c>
      <c r="H227" s="5" t="str">
        <f>IFERROR(__xludf.DUMMYFUNCTION("GOOGLETRANSLATE(C227, ""en"", ""hi"")"),"ए) द मल्टी-फ्लिक, बी) द रैपिड डिसरप्टर, सी) द थंडरबोल्ट, डी) द प्रिसिजन स्लैम")</f>
        <v>ए) द मल्टी-फ्लिक, बी) द रैपिड डिसरप्टर, सी) द थंडरबोल्ट, डी) द प्रिसिजन स्लैम</v>
      </c>
      <c r="I227" s="5" t="str">
        <f>IFERROR(__xludf.DUMMYFUNCTION("GOOGLETRANSLATE(D227, ""en"", ""hi"")"),"ए) मल्टी-फ्लिक")</f>
        <v>ए) मल्टी-फ्लिक</v>
      </c>
    </row>
    <row r="228" ht="22.5" customHeight="1">
      <c r="A228" s="7">
        <v>227.0</v>
      </c>
      <c r="B228" s="8" t="s">
        <v>5389</v>
      </c>
      <c r="C228" s="8" t="s">
        <v>5136</v>
      </c>
      <c r="D228" s="8" t="s">
        <v>5120</v>
      </c>
      <c r="F228" s="5" t="str">
        <f>IFERROR(__xludf.DUMMYFUNCTION("GOOGLETRANSLATE(A228, ""en"", ""hi"")"),"227")</f>
        <v>227</v>
      </c>
      <c r="G228" s="5" t="str">
        <f>IFERROR(__xludf.DUMMYFUNCTION("GOOGLETRANSLATE(B228, ""en"", ""hi"")"),"कौन सा खिलाड़ी क्षेत्रीय प्रतियोगिताओं में 'टोरनेडो स्पिन' तकनीक के उपयोग के लिए प्रसिद्ध है?")</f>
        <v>कौन सा खिलाड़ी क्षेत्रीय प्रतियोगिताओं में 'टोरनेडो स्पिन' तकनीक के उपयोग के लिए प्रसिद्ध है?</v>
      </c>
      <c r="H228" s="5" t="str">
        <f>IFERROR(__xludf.DUMMYFUNCTION("GOOGLETRANSLATE(C228, ""en"", ""hi"")"),"A) के. एस. रमेश, B) टी. एम. गणेशन, C) आर. के. राजेश, D) एस. वी. रवि")</f>
        <v>A) के. एस. रमेश, B) टी. एम. गणेशन, C) आर. के. राजेश, D) एस. वी. रवि</v>
      </c>
      <c r="I228" s="5" t="str">
        <f>IFERROR(__xludf.DUMMYFUNCTION("GOOGLETRANSLATE(D228, ""en"", ""hi"")"),"C) आर. के. राजेश")</f>
        <v>C) आर. के. राजेश</v>
      </c>
    </row>
    <row r="229" ht="22.5" customHeight="1">
      <c r="A229" s="7">
        <v>228.0</v>
      </c>
      <c r="B229" s="8" t="s">
        <v>5390</v>
      </c>
      <c r="C229" s="8" t="s">
        <v>5391</v>
      </c>
      <c r="D229" s="8" t="s">
        <v>5392</v>
      </c>
      <c r="F229" s="5" t="str">
        <f>IFERROR(__xludf.DUMMYFUNCTION("GOOGLETRANSLATE(A229, ""en"", ""hi"")"),"228")</f>
        <v>228</v>
      </c>
      <c r="G229" s="5" t="str">
        <f>IFERROR(__xludf.DUMMYFUNCTION("GOOGLETRANSLATE(B229, ""en"", ""hi"")"),"किस पम्बरम टूर्नामेंट ने 2018 में मिश्रित-लिंग टीमों के लिए एक नया प्रारूप पेश किया?")</f>
        <v>किस पम्बरम टूर्नामेंट ने 2018 में मिश्रित-लिंग टीमों के लिए एक नया प्रारूप पेश किया?</v>
      </c>
      <c r="H229" s="5" t="str">
        <f>IFERROR(__xludf.DUMMYFUNCTION("GOOGLETRANSLATE(C229, ""en"", ""hi"")"),"A) राष्ट्रीय मिश्रित टूर्नामेंट, B) ग्लोबल पम्बरम कप, C) अंतर्राष्ट्रीय ओपन, D) हेरिटेज गेम्स")</f>
        <v>A) राष्ट्रीय मिश्रित टूर्नामेंट, B) ग्लोबल पम्बरम कप, C) अंतर्राष्ट्रीय ओपन, D) हेरिटेज गेम्स</v>
      </c>
      <c r="I229" s="5" t="str">
        <f>IFERROR(__xludf.DUMMYFUNCTION("GOOGLETRANSLATE(D229, ""en"", ""hi"")"),"ए) राष्ट्रीय मिश्रित टूर्नामेंट")</f>
        <v>ए) राष्ट्रीय मिश्रित टूर्नामेंट</v>
      </c>
    </row>
    <row r="230" ht="22.5" customHeight="1">
      <c r="A230" s="7">
        <v>229.0</v>
      </c>
      <c r="B230" s="8" t="s">
        <v>5393</v>
      </c>
      <c r="C230" s="8" t="s">
        <v>5394</v>
      </c>
      <c r="D230" s="8" t="s">
        <v>5395</v>
      </c>
      <c r="F230" s="5" t="str">
        <f>IFERROR(__xludf.DUMMYFUNCTION("GOOGLETRANSLATE(A230, ""en"", ""hi"")"),"229")</f>
        <v>229</v>
      </c>
      <c r="G230" s="5" t="str">
        <f>IFERROR(__xludf.DUMMYFUNCTION("GOOGLETRANSLATE(B230, ""en"", ""hi"")"),"2022 में पेश किए जाने वाले किस कानून का उद्देश्य शैक्षिक कार्यक्रमों के माध्यम से पारंपरिक खेल विरासत को संरक्षित करना है?")</f>
        <v>2022 में पेश किए जाने वाले किस कानून का उद्देश्य शैक्षिक कार्यक्रमों के माध्यम से पारंपरिक खेल विरासत को संरक्षित करना है?</v>
      </c>
      <c r="H230" s="5" t="str">
        <f>IFERROR(__xludf.DUMMYFUNCTION("GOOGLETRANSLATE(C230, ""en"", ""hi"")"),"ए) शिक्षा और खेल विरासत अधिनियम, बी) पारंपरिक खेल संरक्षण कानून, सी) राष्ट्रीय विरासत और खेल पहल, डी) सांस्कृतिक खेल शिक्षा अधिनियम")</f>
        <v>ए) शिक्षा और खेल विरासत अधिनियम, बी) पारंपरिक खेल संरक्षण कानून, सी) राष्ट्रीय विरासत और खेल पहल, डी) सांस्कृतिक खेल शिक्षा अधिनियम</v>
      </c>
      <c r="I230" s="5" t="str">
        <f>IFERROR(__xludf.DUMMYFUNCTION("GOOGLETRANSLATE(D230, ""en"", ""hi"")"),"बी) पारंपरिक खेल संरक्षण कानून")</f>
        <v>बी) पारंपरिक खेल संरक्षण कानून</v>
      </c>
    </row>
    <row r="231" ht="22.5" customHeight="1">
      <c r="A231" s="7">
        <v>230.0</v>
      </c>
      <c r="B231" s="8" t="s">
        <v>5396</v>
      </c>
      <c r="C231" s="8" t="s">
        <v>5397</v>
      </c>
      <c r="D231" s="8" t="s">
        <v>5398</v>
      </c>
      <c r="F231" s="5" t="str">
        <f>IFERROR(__xludf.DUMMYFUNCTION("GOOGLETRANSLATE(A231, ""en"", ""hi"")"),"230")</f>
        <v>230</v>
      </c>
      <c r="G231" s="5" t="str">
        <f>IFERROR(__xludf.DUMMYFUNCTION("GOOGLETRANSLATE(B231, ""en"", ""hi"")"),"कौन सी पम्बरम तकनीक त्वरित जवाबी हमले करने की क्षमता के लिए जानी जाती है?")</f>
        <v>कौन सी पम्बरम तकनीक त्वरित जवाबी हमले करने की क्षमता के लिए जानी जाती है?</v>
      </c>
      <c r="H231" s="5" t="str">
        <f>IFERROR(__xludf.DUMMYFUNCTION("GOOGLETRANSLATE(C231, ""en"", ""hi"")"),"ए) रैपिड काउंटर, बी) साइक्लोन स्पिन, सी) प्रिसिजन फ्लिक, डी) थंडरबोल्ट")</f>
        <v>ए) रैपिड काउंटर, बी) साइक्लोन स्पिन, सी) प्रिसिजन फ्लिक, डी) थंडरबोल्ट</v>
      </c>
      <c r="I231" s="5" t="str">
        <f>IFERROR(__xludf.DUMMYFUNCTION("GOOGLETRANSLATE(D231, ""en"", ""hi"")"),"ए) रैपिड काउंटर")</f>
        <v>ए) रैपिड काउंटर</v>
      </c>
    </row>
    <row r="232" ht="22.5" customHeight="1">
      <c r="A232" s="7">
        <v>231.0</v>
      </c>
      <c r="B232" s="8" t="s">
        <v>5399</v>
      </c>
      <c r="C232" s="8" t="s">
        <v>5048</v>
      </c>
      <c r="D232" s="8" t="s">
        <v>4956</v>
      </c>
      <c r="F232" s="5" t="str">
        <f>IFERROR(__xludf.DUMMYFUNCTION("GOOGLETRANSLATE(A232, ""en"", ""hi"")"),"231")</f>
        <v>231</v>
      </c>
      <c r="G232" s="5" t="str">
        <f>IFERROR(__xludf.DUMMYFUNCTION("GOOGLETRANSLATE(B232, ""en"", ""hi"")"),"कौन सा खिलाड़ी प्रतिस्पर्धी मैचों में 'आर्क थ्रो' तकनीक के अभूतपूर्व उपयोग के लिए जाना जाता है?")</f>
        <v>कौन सा खिलाड़ी प्रतिस्पर्धी मैचों में 'आर्क थ्रो' तकनीक के अभूतपूर्व उपयोग के लिए जाना जाता है?</v>
      </c>
      <c r="H232" s="5" t="str">
        <f>IFERROR(__xludf.DUMMYFUNCTION("GOOGLETRANSLATE(C232, ""en"", ""hi"")"),"A) टी. एम. गणेशन, B) आर. के. राजेश, C) एस. वी. रवि, D) के. एस. रमेश")</f>
        <v>A) टी. एम. गणेशन, B) आर. के. राजेश, C) एस. वी. रवि, D) के. एस. रमेश</v>
      </c>
      <c r="I232" s="5" t="str">
        <f>IFERROR(__xludf.DUMMYFUNCTION("GOOGLETRANSLATE(D232, ""en"", ""hi"")"),"A) टी. एम. गणेशन")</f>
        <v>A) टी. एम. गणेशन</v>
      </c>
    </row>
    <row r="233" ht="22.5" customHeight="1">
      <c r="A233" s="7">
        <v>232.0</v>
      </c>
      <c r="B233" s="8" t="s">
        <v>5400</v>
      </c>
      <c r="C233" s="8" t="s">
        <v>5401</v>
      </c>
      <c r="D233" s="8" t="s">
        <v>5402</v>
      </c>
      <c r="F233" s="5" t="str">
        <f>IFERROR(__xludf.DUMMYFUNCTION("GOOGLETRANSLATE(A233, ""en"", ""hi"")"),"232")</f>
        <v>232</v>
      </c>
      <c r="G233" s="5" t="str">
        <f>IFERROR(__xludf.DUMMYFUNCTION("GOOGLETRANSLATE(B233, ""en"", ""hi"")"),"2019 में शुरू किया गया कौन सा पम्बरम टूर्नामेंट राउंड-रॉबिन खेल के अपने अनूठे प्रारूप के लिए जाना जाता है?")</f>
        <v>2019 में शुरू किया गया कौन सा पम्बरम टूर्नामेंट राउंड-रॉबिन खेल के अपने अनूठे प्रारूप के लिए जाना जाता है?</v>
      </c>
      <c r="H233" s="5" t="str">
        <f>IFERROR(__xludf.DUMMYFUNCTION("GOOGLETRANSLATE(C233, ""en"", ""hi"")"),"ए) राउंड-रॉबिन चैम्पियनशिप, बी) नेशनल राउंड-रॉबिन कप, सी) ग्लोबल पम्बरम ओपन, डी) रीजनल मास्टर्स")</f>
        <v>ए) राउंड-रॉबिन चैम्पियनशिप, बी) नेशनल राउंड-रॉबिन कप, सी) ग्लोबल पम्बरम ओपन, डी) रीजनल मास्टर्स</v>
      </c>
      <c r="I233" s="5" t="str">
        <f>IFERROR(__xludf.DUMMYFUNCTION("GOOGLETRANSLATE(D233, ""en"", ""hi"")"),"A) राउंड-रॉबिन चैम्पियनशिप")</f>
        <v>A) राउंड-रॉबिन चैम्पियनशिप</v>
      </c>
    </row>
    <row r="234" ht="22.5" customHeight="1">
      <c r="A234" s="7">
        <v>233.0</v>
      </c>
      <c r="B234" s="8" t="s">
        <v>5403</v>
      </c>
      <c r="C234" s="8" t="s">
        <v>5404</v>
      </c>
      <c r="D234" s="8" t="s">
        <v>5405</v>
      </c>
      <c r="F234" s="5" t="str">
        <f>IFERROR(__xludf.DUMMYFUNCTION("GOOGLETRANSLATE(A234, ""en"", ""hi"")"),"233")</f>
        <v>233</v>
      </c>
      <c r="G234" s="5" t="str">
        <f>IFERROR(__xludf.DUMMYFUNCTION("GOOGLETRANSLATE(B234, ""en"", ""hi"")"),"कौन सी सरकारी पहल पारंपरिक खेल सुविधाओं के विकास के लिए अनुदान प्रदान करती है?")</f>
        <v>कौन सी सरकारी पहल पारंपरिक खेल सुविधाओं के विकास के लिए अनुदान प्रदान करती है?</v>
      </c>
      <c r="H234" s="5" t="str">
        <f>IFERROR(__xludf.DUMMYFUNCTION("GOOGLETRANSLATE(C234, ""en"", ""hi"")"),"ए) पारंपरिक खेल सुविधा अनुदान कार्यक्रम, बी) राष्ट्रीय अवसंरचना निधि, सी) सामुदायिक विकास निधि, डी) खेल सुविधा संवर्धन योजना")</f>
        <v>ए) पारंपरिक खेल सुविधा अनुदान कार्यक्रम, बी) राष्ट्रीय अवसंरचना निधि, सी) सामुदायिक विकास निधि, डी) खेल सुविधा संवर्धन योजना</v>
      </c>
      <c r="I234" s="5" t="str">
        <f>IFERROR(__xludf.DUMMYFUNCTION("GOOGLETRANSLATE(D234, ""en"", ""hi"")"),"ए) पारंपरिक खेल सुविधा अनुदान कार्यक्रम")</f>
        <v>ए) पारंपरिक खेल सुविधा अनुदान कार्यक्रम</v>
      </c>
    </row>
    <row r="235" ht="22.5" customHeight="1">
      <c r="A235" s="7">
        <v>234.0</v>
      </c>
      <c r="B235" s="8" t="s">
        <v>5406</v>
      </c>
      <c r="C235" s="8" t="s">
        <v>5407</v>
      </c>
      <c r="D235" s="8" t="s">
        <v>5408</v>
      </c>
      <c r="F235" s="5" t="str">
        <f>IFERROR(__xludf.DUMMYFUNCTION("GOOGLETRANSLATE(A235, ""en"", ""hi"")"),"234")</f>
        <v>234</v>
      </c>
      <c r="G235" s="5" t="str">
        <f>IFERROR(__xludf.DUMMYFUNCTION("GOOGLETRANSLATE(B235, ""en"", ""hi"")"),"कौन सी पम्बरम तकनीक रक्षात्मक और आक्रामक दोनों खेलों में अपनी प्रभावशीलता के लिए जानी जाती है?")</f>
        <v>कौन सी पम्बरम तकनीक रक्षात्मक और आक्रामक दोनों खेलों में अपनी प्रभावशीलता के लिए जानी जाती है?</v>
      </c>
      <c r="H235" s="5" t="str">
        <f>IFERROR(__xludf.DUMMYFUNCTION("GOOGLETRANSLATE(C235, ""en"", ""hi"")"),"ए) रक्षात्मक झटका, बी) कॉम्बो स्पिन, सी) सटीक प्रहार, डी) तीव्र चाल")</f>
        <v>ए) रक्षात्मक झटका, बी) कॉम्बो स्पिन, सी) सटीक प्रहार, डी) तीव्र चाल</v>
      </c>
      <c r="I235" s="5" t="str">
        <f>IFERROR(__xludf.DUMMYFUNCTION("GOOGLETRANSLATE(D235, ""en"", ""hi"")"),"बी) कॉम्बो स्पिन")</f>
        <v>बी) कॉम्बो स्पिन</v>
      </c>
    </row>
    <row r="236" ht="22.5" customHeight="1">
      <c r="A236" s="7">
        <v>235.0</v>
      </c>
      <c r="B236" s="8" t="s">
        <v>5409</v>
      </c>
      <c r="C236" s="8" t="s">
        <v>5184</v>
      </c>
      <c r="D236" s="8" t="s">
        <v>5071</v>
      </c>
      <c r="F236" s="5" t="str">
        <f>IFERROR(__xludf.DUMMYFUNCTION("GOOGLETRANSLATE(A236, ""en"", ""hi"")"),"235")</f>
        <v>235</v>
      </c>
      <c r="G236" s="5" t="str">
        <f>IFERROR(__xludf.DUMMYFUNCTION("GOOGLETRANSLATE(B236, ""en"", ""hi"")"),"किस खिलाड़ी को राष्ट्रीय प्रतियोगिताओं में 'साइक्लोन स्पिन' तकनीक के अभिनव प्रयोग के लिए जाना जाता है?")</f>
        <v>किस खिलाड़ी को राष्ट्रीय प्रतियोगिताओं में 'साइक्लोन स्पिन' तकनीक के अभिनव प्रयोग के लिए जाना जाता है?</v>
      </c>
      <c r="H236" s="5" t="str">
        <f>IFERROR(__xludf.DUMMYFUNCTION("GOOGLETRANSLATE(C236, ""en"", ""hi"")"),"A) के. एस. रमेश, B) आर. के. राजेश, C) एस. वी. रवि, D) टी. एम. गणेशन")</f>
        <v>A) के. एस. रमेश, B) आर. के. राजेश, C) एस. वी. रवि, D) टी. एम. गणेशन</v>
      </c>
      <c r="I236" s="5" t="str">
        <f>IFERROR(__xludf.DUMMYFUNCTION("GOOGLETRANSLATE(D236, ""en"", ""hi"")"),"बी) आर. के. राजेश")</f>
        <v>बी) आर. के. राजेश</v>
      </c>
    </row>
    <row r="237" ht="22.5" customHeight="1">
      <c r="A237" s="7">
        <v>236.0</v>
      </c>
      <c r="B237" s="8" t="s">
        <v>5410</v>
      </c>
      <c r="C237" s="8" t="s">
        <v>5411</v>
      </c>
      <c r="D237" s="8" t="s">
        <v>5412</v>
      </c>
      <c r="F237" s="5" t="str">
        <f>IFERROR(__xludf.DUMMYFUNCTION("GOOGLETRANSLATE(A237, ""en"", ""hi"")"),"236")</f>
        <v>236</v>
      </c>
      <c r="G237" s="5" t="str">
        <f>IFERROR(__xludf.DUMMYFUNCTION("GOOGLETRANSLATE(B237, ""en"", ""hi"")"),"सेवानिवृत्त खिलाड़ियों को सम्मानित करने के लिए 'पंबरम लीजेंड्स टूर्नामेंट' की स्थापना किस वर्ष हुई?")</f>
        <v>सेवानिवृत्त खिलाड़ियों को सम्मानित करने के लिए 'पंबरम लीजेंड्स टूर्नामेंट' की स्थापना किस वर्ष हुई?</v>
      </c>
      <c r="H237" s="5" t="str">
        <f>IFERROR(__xludf.DUMMYFUNCTION("GOOGLETRANSLATE(C237, ""en"", ""hi"")"),"ए) 2015, बी) 2017, सी) 2019, डी) 2021")</f>
        <v>ए) 2015, बी) 2017, सी) 2019, डी) 2021</v>
      </c>
      <c r="I237" s="5" t="str">
        <f>IFERROR(__xludf.DUMMYFUNCTION("GOOGLETRANSLATE(D237, ""en"", ""hi"")"),"डी) 2021")</f>
        <v>डी) 2021</v>
      </c>
    </row>
    <row r="238" ht="22.5" customHeight="1">
      <c r="A238" s="7">
        <v>237.0</v>
      </c>
      <c r="B238" s="8" t="s">
        <v>5413</v>
      </c>
      <c r="C238" s="8" t="s">
        <v>5414</v>
      </c>
      <c r="D238" s="8" t="s">
        <v>5415</v>
      </c>
      <c r="F238" s="5" t="str">
        <f>IFERROR(__xludf.DUMMYFUNCTION("GOOGLETRANSLATE(A238, ""en"", ""hi"")"),"237")</f>
        <v>237</v>
      </c>
      <c r="G238" s="5" t="str">
        <f>IFERROR(__xludf.DUMMYFUNCTION("GOOGLETRANSLATE(B238, ""en"", ""hi"")"),"कौन सी पम्बरम तकनीक विरोधियों को आश्चर्यचकित करने के लिए तीव्र और अप्रत्याशित गतिविधियों के लिए डिज़ाइन की गई है?")</f>
        <v>कौन सी पम्बरम तकनीक विरोधियों को आश्चर्यचकित करने के लिए तीव्र और अप्रत्याशित गतिविधियों के लिए डिज़ाइन की गई है?</v>
      </c>
      <c r="H238" s="5" t="str">
        <f>IFERROR(__xludf.DUMMYFUNCTION("GOOGLETRANSLATE(C238, ""en"", ""hi"")"),"ए) द सरप्राइज़ स्पिन, बी) द रैपिड स्ट्राइक, सी) द थंडरबोल्ट, डी) द क्विक फ्लिक")</f>
        <v>ए) द सरप्राइज़ स्पिन, बी) द रैपिड स्ट्राइक, सी) द थंडरबोल्ट, डी) द क्विक फ्लिक</v>
      </c>
      <c r="I238" s="5" t="str">
        <f>IFERROR(__xludf.DUMMYFUNCTION("GOOGLETRANSLATE(D238, ""en"", ""hi"")"),"A) सरप्राइज़ स्पिन")</f>
        <v>A) सरप्राइज़ स्पिन</v>
      </c>
    </row>
    <row r="239" ht="22.5" customHeight="1">
      <c r="A239" s="7">
        <v>238.0</v>
      </c>
      <c r="B239" s="8" t="s">
        <v>5416</v>
      </c>
      <c r="C239" s="8" t="s">
        <v>5283</v>
      </c>
      <c r="D239" s="8" t="s">
        <v>5021</v>
      </c>
      <c r="F239" s="5" t="str">
        <f>IFERROR(__xludf.DUMMYFUNCTION("GOOGLETRANSLATE(A239, ""en"", ""hi"")"),"238")</f>
        <v>238</v>
      </c>
      <c r="G239" s="5" t="str">
        <f>IFERROR(__xludf.DUMMYFUNCTION("GOOGLETRANSLATE(B239, ""en"", ""hi"")"),"1990 के दशक के दौरान कौन सा पम्बरम खिलाड़ी 'फ्लैश स्ट्राइक' तकनीक को निपुणता से निभाने के लिए जाना जाता था?")</f>
        <v>1990 के दशक के दौरान कौन सा पम्बरम खिलाड़ी 'फ्लैश स्ट्राइक' तकनीक को निपुणता से निभाने के लिए जाना जाता था?</v>
      </c>
      <c r="H239" s="5" t="str">
        <f>IFERROR(__xludf.DUMMYFUNCTION("GOOGLETRANSLATE(C239, ""en"", ""hi"")"),"ए) एस. वी. रवि, बी) आर. के. राजेश, सी) टी. एम. गणेशन, डी) के. एस. रमेश")</f>
        <v>ए) एस. वी. रवि, बी) आर. के. राजेश, सी) टी. एम. गणेशन, डी) के. एस. रमेश</v>
      </c>
      <c r="I239" s="5" t="str">
        <f>IFERROR(__xludf.DUMMYFUNCTION("GOOGLETRANSLATE(D239, ""en"", ""hi"")"),"C) टी. एम. गणेशन")</f>
        <v>C) टी. एम. गणेशन</v>
      </c>
    </row>
    <row r="240" ht="22.5" customHeight="1">
      <c r="A240" s="7">
        <v>239.0</v>
      </c>
      <c r="B240" s="8" t="s">
        <v>5417</v>
      </c>
      <c r="C240" s="8" t="s">
        <v>5418</v>
      </c>
      <c r="D240" s="8" t="s">
        <v>5419</v>
      </c>
      <c r="F240" s="5" t="str">
        <f>IFERROR(__xludf.DUMMYFUNCTION("GOOGLETRANSLATE(A240, ""en"", ""hi"")"),"239")</f>
        <v>239</v>
      </c>
      <c r="G240" s="5" t="str">
        <f>IFERROR(__xludf.DUMMYFUNCTION("GOOGLETRANSLATE(B240, ""en"", ""hi"")"),"2018 में शुरू की गई कौन सी सरकारी योजना ग्रामीण क्षेत्रों में पारंपरिक खेलों को बढ़ावा देने में सहायता करती है?")</f>
        <v>2018 में शुरू की गई कौन सी सरकारी योजना ग्रामीण क्षेत्रों में पारंपरिक खेलों को बढ़ावा देने में सहायता करती है?</v>
      </c>
      <c r="H240" s="5" t="str">
        <f>IFERROR(__xludf.DUMMYFUNCTION("GOOGLETRANSLATE(C240, ""en"", ""hi"")"),"A) ग्रामीण खेल प्रोत्साहन कार्यक्रम, B) पारंपरिक खेल विकास निधि, C) जमीनी स्तर की खेल योजना, D) राष्ट्रीय ग्रामीण खेल पहल")</f>
        <v>A) ग्रामीण खेल प्रोत्साहन कार्यक्रम, B) पारंपरिक खेल विकास निधि, C) जमीनी स्तर की खेल योजना, D) राष्ट्रीय ग्रामीण खेल पहल</v>
      </c>
      <c r="I240" s="5" t="str">
        <f>IFERROR(__xludf.DUMMYFUNCTION("GOOGLETRANSLATE(D240, ""en"", ""hi"")"),"A) ग्रामीण खेल प्रोत्साहन कार्यक्रम")</f>
        <v>A) ग्रामीण खेल प्रोत्साहन कार्यक्रम</v>
      </c>
    </row>
    <row r="241" ht="22.5" customHeight="1">
      <c r="A241" s="7">
        <v>240.0</v>
      </c>
      <c r="B241" s="8" t="s">
        <v>5420</v>
      </c>
      <c r="C241" s="8" t="s">
        <v>5421</v>
      </c>
      <c r="D241" s="8" t="s">
        <v>5273</v>
      </c>
      <c r="F241" s="5" t="str">
        <f>IFERROR(__xludf.DUMMYFUNCTION("GOOGLETRANSLATE(A241, ""en"", ""hi"")"),"240")</f>
        <v>240</v>
      </c>
      <c r="G241" s="5" t="str">
        <f>IFERROR(__xludf.DUMMYFUNCTION("GOOGLETRANSLATE(B241, ""en"", ""hi"")"),"कौन सी पम्बरम तकनीक प्रतिद्वंद्वी की रणनीति को बाधित करने में अपनी प्रभावशीलता के लिए प्रसिद्ध है?")</f>
        <v>कौन सी पम्बरम तकनीक प्रतिद्वंद्वी की रणनीति को बाधित करने में अपनी प्रभावशीलता के लिए प्रसिद्ध है?</v>
      </c>
      <c r="H241" s="5" t="str">
        <f>IFERROR(__xludf.DUMMYFUNCTION("GOOGLETRANSLATE(C241, ""en"", ""hi"")"),"ए) डिसरप्टर स्पिन, बी) प्रिसिजन फ्लिक, सी) साइक्लोन स्पिन, डी) पावर स्लैम")</f>
        <v>ए) डिसरप्टर स्पिन, बी) प्रिसिजन फ्लिक, सी) साइक्लोन स्पिन, डी) पावर स्लैम</v>
      </c>
      <c r="I241" s="5" t="str">
        <f>IFERROR(__xludf.DUMMYFUNCTION("GOOGLETRANSLATE(D241, ""en"", ""hi"")"),"ए) विघटनकारी स्पिन")</f>
        <v>ए) विघटनकारी स्पिन</v>
      </c>
    </row>
    <row r="242" ht="22.5" customHeight="1">
      <c r="A242" s="7">
        <v>241.0</v>
      </c>
      <c r="B242" s="8" t="s">
        <v>5422</v>
      </c>
      <c r="C242" s="8" t="s">
        <v>5321</v>
      </c>
      <c r="D242" s="8" t="s">
        <v>4860</v>
      </c>
      <c r="F242" s="5" t="str">
        <f>IFERROR(__xludf.DUMMYFUNCTION("GOOGLETRANSLATE(A242, ""en"", ""hi"")"),"241")</f>
        <v>241</v>
      </c>
      <c r="G242" s="5" t="str">
        <f>IFERROR(__xludf.DUMMYFUNCTION("GOOGLETRANSLATE(B242, ""en"", ""hi"")"),"कौन सा खिलाड़ी प्रमुख टूर्नामेंटों में 'प्रिसिजन फ्लिक' तकनीक के प्रति अपने अभिनव दृष्टिकोण के लिए जाना जाता है?")</f>
        <v>कौन सा खिलाड़ी प्रमुख टूर्नामेंटों में 'प्रिसिजन फ्लिक' तकनीक के प्रति अपने अभिनव दृष्टिकोण के लिए जाना जाता है?</v>
      </c>
      <c r="H242" s="5" t="str">
        <f>IFERROR(__xludf.DUMMYFUNCTION("GOOGLETRANSLATE(C242, ""en"", ""hi"")"),"A) के. एस. रमेश, B) टी. एम. गणेशन, C) एस. वी. रवि, D) आर. के. राजेश")</f>
        <v>A) के. एस. रमेश, B) टी. एम. गणेशन, C) एस. वी. रवि, D) आर. के. राजेश</v>
      </c>
      <c r="I242" s="5" t="str">
        <f>IFERROR(__xludf.DUMMYFUNCTION("GOOGLETRANSLATE(D242, ""en"", ""hi"")"),"बी) टी. एम. गणेशन")</f>
        <v>बी) टी. एम. गणेशन</v>
      </c>
    </row>
    <row r="243" ht="22.5" customHeight="1">
      <c r="A243" s="7">
        <v>242.0</v>
      </c>
      <c r="B243" s="8" t="s">
        <v>5423</v>
      </c>
      <c r="C243" s="8" t="s">
        <v>5424</v>
      </c>
      <c r="D243" s="8" t="s">
        <v>5425</v>
      </c>
      <c r="F243" s="5" t="str">
        <f>IFERROR(__xludf.DUMMYFUNCTION("GOOGLETRANSLATE(A243, ""en"", ""hi"")"),"242")</f>
        <v>242</v>
      </c>
      <c r="G243" s="5" t="str">
        <f>IFERROR(__xludf.DUMMYFUNCTION("GOOGLETRANSLATE(B243, ""en"", ""hi"")"),"प्रशिक्षकों के लिए 'पंबरम प्रशिक्षण विकास कार्यक्रम' किस वर्ष शुरू किया गया?")</f>
        <v>प्रशिक्षकों के लिए 'पंबरम प्रशिक्षण विकास कार्यक्रम' किस वर्ष शुरू किया गया?</v>
      </c>
      <c r="H243" s="5" t="str">
        <f>IFERROR(__xludf.DUMMYFUNCTION("GOOGLETRANSLATE(C243, ""en"", ""hi"")"),"ए) 2008, बी) 2012, सी) 2015, डी) 2018")</f>
        <v>ए) 2008, बी) 2012, सी) 2015, डी) 2018</v>
      </c>
      <c r="I243" s="5" t="str">
        <f>IFERROR(__xludf.DUMMYFUNCTION("GOOGLETRANSLATE(D243, ""en"", ""hi"")"),"डी) 2018")</f>
        <v>डी) 2018</v>
      </c>
    </row>
    <row r="244" ht="22.5" customHeight="1">
      <c r="A244" s="7">
        <v>243.0</v>
      </c>
      <c r="B244" s="8" t="s">
        <v>5426</v>
      </c>
      <c r="C244" s="8" t="s">
        <v>5427</v>
      </c>
      <c r="D244" s="8" t="s">
        <v>5428</v>
      </c>
      <c r="F244" s="5" t="str">
        <f>IFERROR(__xludf.DUMMYFUNCTION("GOOGLETRANSLATE(A244, ""en"", ""hi"")"),"243")</f>
        <v>243</v>
      </c>
      <c r="G244" s="5" t="str">
        <f>IFERROR(__xludf.DUMMYFUNCTION("GOOGLETRANSLATE(B244, ""en"", ""hi"")"),"प्रतिवर्ष आयोजित होने वाला कौन सा पम्बरम टूर्नामेंट अनुभवी और उभरते हुए दोनों खिलाड़ियों की विशेषता के लिए प्रसिद्ध है?")</f>
        <v>प्रतिवर्ष आयोजित होने वाला कौन सा पम्बरम टूर्नामेंट अनुभवी और उभरते हुए दोनों खिलाड़ियों की विशेषता के लिए प्रसिद्ध है?</v>
      </c>
      <c r="H244" s="5" t="str">
        <f>IFERROR(__xludf.DUMMYFUNCTION("GOOGLETRANSLATE(C244, ""en"", ""hi"")"),"ए) द एनुअल ओपन टूर्नामेंट, बी) द नेशनल चैम्पियनशिप, सी) द ग्लोबल मास्टर्स, डी) द सदर्न ओपन")</f>
        <v>ए) द एनुअल ओपन टूर्नामेंट, बी) द नेशनल चैम्पियनशिप, सी) द ग्लोबल मास्टर्स, डी) द सदर्न ओपन</v>
      </c>
      <c r="I244" s="5" t="str">
        <f>IFERROR(__xludf.DUMMYFUNCTION("GOOGLETRANSLATE(D244, ""en"", ""hi"")"),"ए) वार्षिक ओपन टूर्नामेंट")</f>
        <v>ए) वार्षिक ओपन टूर्नामेंट</v>
      </c>
    </row>
    <row r="245" ht="22.5" customHeight="1">
      <c r="A245" s="7">
        <v>244.0</v>
      </c>
      <c r="B245" s="8" t="s">
        <v>5429</v>
      </c>
      <c r="C245" s="8" t="s">
        <v>5430</v>
      </c>
      <c r="D245" s="8" t="s">
        <v>5431</v>
      </c>
      <c r="F245" s="5" t="str">
        <f>IFERROR(__xludf.DUMMYFUNCTION("GOOGLETRANSLATE(A245, ""en"", ""hi"")"),"244")</f>
        <v>244</v>
      </c>
      <c r="G245" s="5" t="str">
        <f>IFERROR(__xludf.DUMMYFUNCTION("GOOGLETRANSLATE(B245, ""en"", ""hi"")"),"2019 में शुरू की गई किस सरकारी नीति का उद्देश्य पारंपरिक खेलों को स्कूली पाठ्यक्रम में एकीकृत करना है?")</f>
        <v>2019 में शुरू की गई किस सरकारी नीति का उद्देश्य पारंपरिक खेलों को स्कूली पाठ्यक्रम में एकीकृत करना है?</v>
      </c>
      <c r="H245" s="5" t="str">
        <f>IFERROR(__xludf.DUMMYFUNCTION("GOOGLETRANSLATE(C245, ""en"", ""hi"")"),"ए) स्कूल खेल एकीकरण अधिनियम, बी) पारंपरिक खेल पाठ्यक्रम कार्यक्रम, सी) राष्ट्रीय खेल शिक्षा योजना, डी) जमीनी स्तर पर स्कूल खेल पहल")</f>
        <v>ए) स्कूल खेल एकीकरण अधिनियम, बी) पारंपरिक खेल पाठ्यक्रम कार्यक्रम, सी) राष्ट्रीय खेल शिक्षा योजना, डी) जमीनी स्तर पर स्कूल खेल पहल</v>
      </c>
      <c r="I245" s="5" t="str">
        <f>IFERROR(__xludf.DUMMYFUNCTION("GOOGLETRANSLATE(D245, ""en"", ""hi"")"),"बी) पारंपरिक खेल पाठ्यक्रम कार्यक्रम")</f>
        <v>बी) पारंपरिक खेल पाठ्यक्रम कार्यक्रम</v>
      </c>
    </row>
    <row r="246" ht="22.5" customHeight="1">
      <c r="A246" s="7">
        <v>245.0</v>
      </c>
      <c r="B246" s="8" t="s">
        <v>5432</v>
      </c>
      <c r="C246" s="8" t="s">
        <v>5302</v>
      </c>
      <c r="D246" s="8" t="s">
        <v>5303</v>
      </c>
      <c r="F246" s="5" t="str">
        <f>IFERROR(__xludf.DUMMYFUNCTION("GOOGLETRANSLATE(A246, ""en"", ""hi"")"),"245")</f>
        <v>245</v>
      </c>
      <c r="G246" s="5" t="str">
        <f>IFERROR(__xludf.DUMMYFUNCTION("GOOGLETRANSLATE(B246, ""en"", ""hi"")"),"कौन सी पम्बरम तकनीक मैचों में बढ़त हासिल करने के लिए भ्रामक चालों के उपयोग के लिए जानी जाती है?")</f>
        <v>कौन सी पम्बरम तकनीक मैचों में बढ़त हासिल करने के लिए भ्रामक चालों के उपयोग के लिए जानी जाती है?</v>
      </c>
      <c r="H246" s="5" t="str">
        <f>IFERROR(__xludf.DUMMYFUNCTION("GOOGLETRANSLATE(C246, ""en"", ""hi"")"),"ए) द डिसेप्शन स्पिन, बी) द क्विक फ्लिक, सी) द रैपिड स्ट्राइक, डी) द साइक्लोन स्पिन")</f>
        <v>ए) द डिसेप्शन स्पिन, बी) द क्विक फ्लिक, सी) द रैपिड स्ट्राइक, डी) द साइक्लोन स्पिन</v>
      </c>
      <c r="I246" s="5" t="str">
        <f>IFERROR(__xludf.DUMMYFUNCTION("GOOGLETRANSLATE(D246, ""en"", ""hi"")"),"A) धोखे का चक्र")</f>
        <v>A) धोखे का चक्र</v>
      </c>
    </row>
    <row r="247" ht="22.5" customHeight="1">
      <c r="A247" s="7">
        <v>246.0</v>
      </c>
      <c r="B247" s="8" t="s">
        <v>5433</v>
      </c>
      <c r="C247" s="8" t="s">
        <v>5434</v>
      </c>
      <c r="D247" s="8" t="s">
        <v>5145</v>
      </c>
      <c r="F247" s="5" t="str">
        <f>IFERROR(__xludf.DUMMYFUNCTION("GOOGLETRANSLATE(A247, ""en"", ""hi"")"),"246")</f>
        <v>246</v>
      </c>
      <c r="G247" s="5" t="str">
        <f>IFERROR(__xludf.DUMMYFUNCTION("GOOGLETRANSLATE(B247, ""en"", ""hi"")"),"किस खिलाड़ी को अंतर्राष्ट्रीय मैचों में 'थंडरबोल्ट' तकनीक में महारत के लिए जाना जाता है?")</f>
        <v>किस खिलाड़ी को अंतर्राष्ट्रीय मैचों में 'थंडरबोल्ट' तकनीक में महारत के लिए जाना जाता है?</v>
      </c>
      <c r="H247" s="5" t="str">
        <f>IFERROR(__xludf.DUMMYFUNCTION("GOOGLETRANSLATE(C247, ""en"", ""hi"")"),"A) आर. के. राजेश, B) एस. वी. रवि, C) के. एस. रमेश, D) टी. एम. गणेशन")</f>
        <v>A) आर. के. राजेश, B) एस. वी. रवि, C) के. एस. रमेश, D) टी. एम. गणेशन</v>
      </c>
      <c r="I247" s="5" t="str">
        <f>IFERROR(__xludf.DUMMYFUNCTION("GOOGLETRANSLATE(D247, ""en"", ""hi"")"),"D) टी. एम. गणेशन")</f>
        <v>D) टी. एम. गणेशन</v>
      </c>
    </row>
    <row r="248" ht="22.5" customHeight="1">
      <c r="A248" s="7">
        <v>247.0</v>
      </c>
      <c r="B248" s="8" t="s">
        <v>5435</v>
      </c>
      <c r="C248" s="8" t="s">
        <v>5255</v>
      </c>
      <c r="D248" s="8" t="s">
        <v>71</v>
      </c>
      <c r="F248" s="5" t="str">
        <f>IFERROR(__xludf.DUMMYFUNCTION("GOOGLETRANSLATE(A248, ""en"", ""hi"")"),"247")</f>
        <v>247</v>
      </c>
      <c r="G248" s="5" t="str">
        <f>IFERROR(__xludf.DUMMYFUNCTION("GOOGLETRANSLATE(B248, ""en"", ""hi"")"),"नए खिलाड़ियों की खोज के लिए 'पंबरम प्रतिभा खोज कार्यक्रम' की शुरुआत किस वर्ष हुई?")</f>
        <v>नए खिलाड़ियों की खोज के लिए 'पंबरम प्रतिभा खोज कार्यक्रम' की शुरुआत किस वर्ष हुई?</v>
      </c>
      <c r="H248" s="5" t="str">
        <f>IFERROR(__xludf.DUMMYFUNCTION("GOOGLETRANSLATE(C248, ""en"", ""hi"")"),"ए) 2005, बी) 2010, सी) 2015, डी) 2020")</f>
        <v>ए) 2005, बी) 2010, सी) 2015, डी) 2020</v>
      </c>
      <c r="I248" s="5" t="str">
        <f>IFERROR(__xludf.DUMMYFUNCTION("GOOGLETRANSLATE(D248, ""en"", ""hi"")"),"बी) 2010")</f>
        <v>बी) 2010</v>
      </c>
    </row>
    <row r="249" ht="22.5" customHeight="1">
      <c r="A249" s="7">
        <v>248.0</v>
      </c>
      <c r="B249" s="8" t="s">
        <v>5436</v>
      </c>
      <c r="C249" s="8" t="s">
        <v>5437</v>
      </c>
      <c r="D249" s="8" t="s">
        <v>5438</v>
      </c>
      <c r="F249" s="5" t="str">
        <f>IFERROR(__xludf.DUMMYFUNCTION("GOOGLETRANSLATE(A249, ""en"", ""hi"")"),"248")</f>
        <v>248</v>
      </c>
      <c r="G249" s="5" t="str">
        <f>IFERROR(__xludf.DUMMYFUNCTION("GOOGLETRANSLATE(B249, ""en"", ""hi"")"),"कौन सी पम्बरम तकनीक विरोधियों पर हावी होने के लिए तीव्र और सटीक हमले करने के लिए डिज़ाइन की गई है?")</f>
        <v>कौन सी पम्बरम तकनीक विरोधियों पर हावी होने के लिए तीव्र और सटीक हमले करने के लिए डिज़ाइन की गई है?</v>
      </c>
      <c r="H249" s="5" t="str">
        <f>IFERROR(__xludf.DUMMYFUNCTION("GOOGLETRANSLATE(C249, ""en"", ""hi"")"),"ए) द प्रिसिशन फ्लिक, बी) द क्विक स्ट्राइक, सी) द साइक्लोन स्पिन, डी) द पावर स्लैम")</f>
        <v>ए) द प्रिसिशन फ्लिक, बी) द क्विक स्ट्राइक, सी) द साइक्लोन स्पिन, डी) द पावर स्लैम</v>
      </c>
      <c r="I249" s="5" t="str">
        <f>IFERROR(__xludf.DUMMYFUNCTION("GOOGLETRANSLATE(D249, ""en"", ""hi"")"),"बी) त्वरित हमला")</f>
        <v>बी) त्वरित हमला</v>
      </c>
    </row>
    <row r="250" ht="22.5" customHeight="1">
      <c r="A250" s="7">
        <v>249.0</v>
      </c>
      <c r="B250" s="8" t="s">
        <v>5439</v>
      </c>
      <c r="C250" s="8" t="s">
        <v>5150</v>
      </c>
      <c r="D250" s="8" t="s">
        <v>4845</v>
      </c>
      <c r="F250" s="5" t="str">
        <f>IFERROR(__xludf.DUMMYFUNCTION("GOOGLETRANSLATE(A250, ""en"", ""hi"")"),"249")</f>
        <v>249</v>
      </c>
      <c r="G250" s="5" t="str">
        <f>IFERROR(__xludf.DUMMYFUNCTION("GOOGLETRANSLATE(B250, ""en"", ""hi"")"),"किस खिलाड़ी को राष्ट्रीय प्रतियोगिताओं में 'रैपिड फ्लिक' तकनीक के अभिनव प्रयोग के लिए जाना जाता है?")</f>
        <v>किस खिलाड़ी को राष्ट्रीय प्रतियोगिताओं में 'रैपिड फ्लिक' तकनीक के अभिनव प्रयोग के लिए जाना जाता है?</v>
      </c>
      <c r="H250" s="5" t="str">
        <f>IFERROR(__xludf.DUMMYFUNCTION("GOOGLETRANSLATE(C250, ""en"", ""hi"")"),"A) के. एस. रमेश, B) आर. के. राजेश, C) टी. एम. गणेशन, D) एस. वी. रवि")</f>
        <v>A) के. एस. रमेश, B) आर. के. राजेश, C) टी. एम. गणेशन, D) एस. वी. रवि</v>
      </c>
      <c r="I250" s="5" t="str">
        <f>IFERROR(__xludf.DUMMYFUNCTION("GOOGLETRANSLATE(D250, ""en"", ""hi"")"),"A) के. एस. रमेश")</f>
        <v>A) के. एस. रमेश</v>
      </c>
    </row>
    <row r="251" ht="22.5" customHeight="1">
      <c r="A251" s="7">
        <v>250.0</v>
      </c>
      <c r="B251" s="8" t="s">
        <v>5440</v>
      </c>
      <c r="C251" s="8" t="s">
        <v>5441</v>
      </c>
      <c r="D251" s="8" t="s">
        <v>5442</v>
      </c>
      <c r="F251" s="5" t="str">
        <f>IFERROR(__xludf.DUMMYFUNCTION("GOOGLETRANSLATE(A251, ""en"", ""hi"")"),"250")</f>
        <v>250</v>
      </c>
      <c r="G251" s="5" t="str">
        <f>IFERROR(__xludf.DUMMYFUNCTION("GOOGLETRANSLATE(B251, ""en"", ""hi"")"),"2021 में शुरू किया गया कौन सा पम्बरम टूर्नामेंट नॉकआउट राउंड के अपने अनूठे प्रारूप के लिए जाना जाता है?")</f>
        <v>2021 में शुरू किया गया कौन सा पम्बरम टूर्नामेंट नॉकआउट राउंड के अपने अनूठे प्रारूप के लिए जाना जाता है?</v>
      </c>
      <c r="H251" s="5" t="str">
        <f>IFERROR(__xludf.DUMMYFUNCTION("GOOGLETRANSLATE(C251, ""en"", ""hi"")"),"ए) नॉकआउट कप, बी) नेशनल नॉकआउट चैम्पियनशिप, सी) ग्लोबल ओपन टूर्नामेंट, डी) रीजनल नॉकआउट सीरीज़")</f>
        <v>ए) नॉकआउट कप, बी) नेशनल नॉकआउट चैम्पियनशिप, सी) ग्लोबल ओपन टूर्नामेंट, डी) रीजनल नॉकआउट सीरीज़</v>
      </c>
      <c r="I251" s="5" t="str">
        <f>IFERROR(__xludf.DUMMYFUNCTION("GOOGLETRANSLATE(D251, ""en"", ""hi"")"),"बी) राष्ट्रीय नॉकआउट चैम्पियनशिप")</f>
        <v>बी) राष्ट्रीय नॉकआउट चैम्पियनशिप</v>
      </c>
    </row>
    <row r="252" ht="22.5" customHeight="1">
      <c r="A252" s="7">
        <v>251.0</v>
      </c>
      <c r="B252" s="8" t="s">
        <v>5443</v>
      </c>
      <c r="C252" s="8" t="s">
        <v>5444</v>
      </c>
      <c r="D252" s="8" t="s">
        <v>5445</v>
      </c>
      <c r="F252" s="5" t="str">
        <f>IFERROR(__xludf.DUMMYFUNCTION("GOOGLETRANSLATE(A252, ""en"", ""hi"")"),"251")</f>
        <v>251</v>
      </c>
      <c r="G252" s="5" t="str">
        <f>IFERROR(__xludf.DUMMYFUNCTION("GOOGLETRANSLATE(B252, ""en"", ""hi"")"),"2020 में शुरू की गई कौन सी सरकारी नीति पारंपरिक खेल कोचिंग कार्यक्रमों के लिए वित्तीय सहायता प्रदान करने पर केंद्रित है?")</f>
        <v>2020 में शुरू की गई कौन सी सरकारी नीति पारंपरिक खेल कोचिंग कार्यक्रमों के लिए वित्तीय सहायता प्रदान करने पर केंद्रित है?</v>
      </c>
      <c r="H252" s="5" t="str">
        <f>IFERROR(__xludf.DUMMYFUNCTION("GOOGLETRANSLATE(C252, ""en"", ""hi"")"),"ए) कोचिंग सहायता निधि, बी) राष्ट्रीय खेल कोचिंग संवर्धन अधिनियम, सी) पारंपरिक खेल कोचिंग सहायता कार्यक्रम, डी) खेल विकास निधि")</f>
        <v>ए) कोचिंग सहायता निधि, बी) राष्ट्रीय खेल कोचिंग संवर्धन अधिनियम, सी) पारंपरिक खेल कोचिंग सहायता कार्यक्रम, डी) खेल विकास निधि</v>
      </c>
      <c r="I252" s="5" t="str">
        <f>IFERROR(__xludf.DUMMYFUNCTION("GOOGLETRANSLATE(D252, ""en"", ""hi"")"),"सी) पारंपरिक खेल कोचिंग सहायता कार्यक्रम")</f>
        <v>सी) पारंपरिक खेल कोचिंग सहायता कार्यक्रम</v>
      </c>
    </row>
    <row r="253" ht="22.5" customHeight="1">
      <c r="A253" s="7">
        <v>252.0</v>
      </c>
      <c r="B253" s="8" t="s">
        <v>5446</v>
      </c>
      <c r="C253" s="8" t="s">
        <v>5447</v>
      </c>
      <c r="D253" s="8" t="s">
        <v>5448</v>
      </c>
      <c r="F253" s="5" t="str">
        <f>IFERROR(__xludf.DUMMYFUNCTION("GOOGLETRANSLATE(A253, ""en"", ""hi"")"),"252")</f>
        <v>252</v>
      </c>
      <c r="G253" s="5" t="str">
        <f>IFERROR(__xludf.DUMMYFUNCTION("GOOGLETRANSLATE(B253, ""en"", ""hi"")"),"पम्बारम में आक्रमण और बचाव दोनों के लिए कौन सी तकनीकें प्रभावी मानी जाती हैं?")</f>
        <v>पम्बारम में आक्रमण और बचाव दोनों के लिए कौन सी तकनीकें प्रभावी मानी जाती हैं?</v>
      </c>
      <c r="H253" s="5" t="str">
        <f>IFERROR(__xludf.DUMMYFUNCTION("GOOGLETRANSLATE(C253, ""en"", ""hi"")"),"ए) कॉम्बो स्ट्राइक, बी) टर्बो स्पिन, सी) प्रिसिजन फ्लिक, डी) लाइटनिंग थ्रो")</f>
        <v>ए) कॉम्बो स्ट्राइक, बी) टर्बो स्पिन, सी) प्रिसिजन फ्लिक, डी) लाइटनिंग थ्रो</v>
      </c>
      <c r="I253" s="5" t="str">
        <f>IFERROR(__xludf.DUMMYFUNCTION("GOOGLETRANSLATE(D253, ""en"", ""hi"")"),"A) कॉम्बो स्ट्राइक, C) प्रिसिजन फ्लिक")</f>
        <v>A) कॉम्बो स्ट्राइक, C) प्रिसिजन फ्लिक</v>
      </c>
    </row>
    <row r="254" ht="22.5" customHeight="1">
      <c r="A254" s="7">
        <v>253.0</v>
      </c>
      <c r="B254" s="8" t="s">
        <v>5449</v>
      </c>
      <c r="C254" s="8" t="s">
        <v>5450</v>
      </c>
      <c r="D254" s="8" t="s">
        <v>5451</v>
      </c>
      <c r="F254" s="5" t="str">
        <f>IFERROR(__xludf.DUMMYFUNCTION("GOOGLETRANSLATE(A254, ""en"", ""hi"")"),"253")</f>
        <v>253</v>
      </c>
      <c r="G254" s="5" t="str">
        <f>IFERROR(__xludf.DUMMYFUNCTION("GOOGLETRANSLATE(B254, ""en"", ""hi"")"),"कौन से पम्बरम टूर्नामेंट अपनी अंतर्राष्ट्रीय भागीदारी के लिए जाने जाते हैं?")</f>
        <v>कौन से पम्बरम टूर्नामेंट अपनी अंतर्राष्ट्रीय भागीदारी के लिए जाने जाते हैं?</v>
      </c>
      <c r="H254" s="5" t="str">
        <f>IFERROR(__xludf.DUMMYFUNCTION("GOOGLETRANSLATE(C254, ""en"", ""hi"")"),"A) ग्लोबल पम्बरम कप, B) नेशनल ओपन, C) इंटरनेशनल ओपन, D) हेरिटेज गेम्स")</f>
        <v>A) ग्लोबल पम्बरम कप, B) नेशनल ओपन, C) इंटरनेशनल ओपन, D) हेरिटेज गेम्स</v>
      </c>
      <c r="I254" s="5" t="str">
        <f>IFERROR(__xludf.DUMMYFUNCTION("GOOGLETRANSLATE(D254, ""en"", ""hi"")"),"A) ग्लोबल पम्बरम कप, C) इंटरनेशनल ओपन")</f>
        <v>A) ग्लोबल पम्बरम कप, C) इंटरनेशनल ओपन</v>
      </c>
    </row>
    <row r="255" ht="22.5" customHeight="1">
      <c r="A255" s="7">
        <v>254.0</v>
      </c>
      <c r="B255" s="8" t="s">
        <v>5452</v>
      </c>
      <c r="C255" s="8" t="s">
        <v>5011</v>
      </c>
      <c r="D255" s="8" t="s">
        <v>5453</v>
      </c>
      <c r="F255" s="5" t="str">
        <f>IFERROR(__xludf.DUMMYFUNCTION("GOOGLETRANSLATE(A255, ""en"", ""hi"")"),"254")</f>
        <v>254</v>
      </c>
      <c r="G255" s="5" t="str">
        <f>IFERROR(__xludf.DUMMYFUNCTION("GOOGLETRANSLATE(B255, ""en"", ""hi"")"),"कौन से पम्बरम खिलाड़ी 'साइक्लोन स्पिन' तकनीक के उपयोग के लिए प्रसिद्ध हैं?")</f>
        <v>कौन से पम्बरम खिलाड़ी 'साइक्लोन स्पिन' तकनीक के उपयोग के लिए प्रसिद्ध हैं?</v>
      </c>
      <c r="H255" s="5" t="str">
        <f>IFERROR(__xludf.DUMMYFUNCTION("GOOGLETRANSLATE(C255, ""en"", ""hi"")"),"A) टी. एम. गणेशन, B) आर. के. राजेश, C) के. एस. रमेश, D) एस. वी. रवि")</f>
        <v>A) टी. एम. गणेशन, B) आर. के. राजेश, C) के. एस. रमेश, D) एस. वी. रवि</v>
      </c>
      <c r="I255" s="5" t="str">
        <f>IFERROR(__xludf.DUMMYFUNCTION("GOOGLETRANSLATE(D255, ""en"", ""hi"")"),"बी) आर. के. राजेश, डी) एस. वी. रवि")</f>
        <v>बी) आर. के. राजेश, डी) एस. वी. रवि</v>
      </c>
    </row>
    <row r="256" ht="22.5" customHeight="1">
      <c r="A256" s="7">
        <v>255.0</v>
      </c>
      <c r="B256" s="8" t="s">
        <v>5454</v>
      </c>
      <c r="C256" s="8" t="s">
        <v>5455</v>
      </c>
      <c r="D256" s="8" t="s">
        <v>5456</v>
      </c>
      <c r="F256" s="5" t="str">
        <f>IFERROR(__xludf.DUMMYFUNCTION("GOOGLETRANSLATE(A256, ""en"", ""hi"")"),"255")</f>
        <v>255</v>
      </c>
      <c r="G256" s="5" t="str">
        <f>IFERROR(__xludf.DUMMYFUNCTION("GOOGLETRANSLATE(B256, ""en"", ""hi"")"),"कौन से कानून पारंपरिक खेलों को बढ़ावा देने तथा भागीदारी बढ़ाने पर केंद्रित हैं?")</f>
        <v>कौन से कानून पारंपरिक खेलों को बढ़ावा देने तथा भागीदारी बढ़ाने पर केंद्रित हैं?</v>
      </c>
      <c r="H256" s="5" t="str">
        <f>IFERROR(__xludf.DUMMYFUNCTION("GOOGLETRANSLATE(C256, ""en"", ""hi"")"),"ए) राष्ट्रीय खेल भागीदारी नीति, बी) पारंपरिक खेल संवर्धन कार्यक्रम, सी) सामुदायिक खेल विकास पहल, डी) जमीनी स्तर पर खेल जुड़ाव अधिनियम")</f>
        <v>ए) राष्ट्रीय खेल भागीदारी नीति, बी) पारंपरिक खेल संवर्धन कार्यक्रम, सी) सामुदायिक खेल विकास पहल, डी) जमीनी स्तर पर खेल जुड़ाव अधिनियम</v>
      </c>
      <c r="I256" s="5" t="str">
        <f>IFERROR(__xludf.DUMMYFUNCTION("GOOGLETRANSLATE(D256, ""en"", ""hi"")"),"बी) पारंपरिक खेल संवर्धन कार्यक्रम, सी) सामुदायिक खेल विकास पहल")</f>
        <v>बी) पारंपरिक खेल संवर्धन कार्यक्रम, सी) सामुदायिक खेल विकास पहल</v>
      </c>
    </row>
    <row r="257" ht="22.5" customHeight="1">
      <c r="A257" s="7">
        <v>256.0</v>
      </c>
      <c r="B257" s="8" t="s">
        <v>5457</v>
      </c>
      <c r="C257" s="8" t="s">
        <v>5458</v>
      </c>
      <c r="D257" s="8" t="s">
        <v>5459</v>
      </c>
      <c r="F257" s="5" t="str">
        <f>IFERROR(__xludf.DUMMYFUNCTION("GOOGLETRANSLATE(A257, ""en"", ""hi"")"),"256")</f>
        <v>256</v>
      </c>
      <c r="G257" s="5" t="str">
        <f>IFERROR(__xludf.DUMMYFUNCTION("GOOGLETRANSLATE(B257, ""en"", ""hi"")"),"कौन सी पम्बरम तकनीकें आक्रमण और बचाव दोनों में अपनी बहुमुखी प्रतिभा के लिए जानी जाती हैं?")</f>
        <v>कौन सी पम्बरम तकनीकें आक्रमण और बचाव दोनों में अपनी बहुमुखी प्रतिभा के लिए जानी जाती हैं?</v>
      </c>
      <c r="H257" s="5" t="str">
        <f>IFERROR(__xludf.DUMMYFUNCTION("GOOGLETRANSLATE(C257, ""en"", ""hi"")"),"ए) दोहरी तकनीक, बी) कॉम्बो स्पिन, सी) त्वरित फ्लिक, डी) थंडरबोल्ट")</f>
        <v>ए) दोहरी तकनीक, बी) कॉम्बो स्पिन, सी) त्वरित फ्लिक, डी) थंडरबोल्ट</v>
      </c>
      <c r="I257" s="5" t="str">
        <f>IFERROR(__xludf.DUMMYFUNCTION("GOOGLETRANSLATE(D257, ""en"", ""hi"")"),"ए) दोहरी तकनीक, बी) कॉम्बो स्पिन")</f>
        <v>ए) दोहरी तकनीक, बी) कॉम्बो स्पिन</v>
      </c>
    </row>
    <row r="258" ht="22.5" customHeight="1">
      <c r="A258" s="7">
        <v>257.0</v>
      </c>
      <c r="B258" s="8" t="s">
        <v>5460</v>
      </c>
      <c r="C258" s="8" t="s">
        <v>5192</v>
      </c>
      <c r="D258" s="8" t="s">
        <v>5461</v>
      </c>
      <c r="F258" s="5" t="str">
        <f>IFERROR(__xludf.DUMMYFUNCTION("GOOGLETRANSLATE(A258, ""en"", ""hi"")"),"257")</f>
        <v>257</v>
      </c>
      <c r="G258" s="5" t="str">
        <f>IFERROR(__xludf.DUMMYFUNCTION("GOOGLETRANSLATE(B258, ""en"", ""hi"")"),"कौन से पम्बरम वादक अपनी नवीन तकनीकों के विकास के लिए जाने जाते हैं?")</f>
        <v>कौन से पम्बरम वादक अपनी नवीन तकनीकों के विकास के लिए जाने जाते हैं?</v>
      </c>
      <c r="H258" s="5" t="str">
        <f>IFERROR(__xludf.DUMMYFUNCTION("GOOGLETRANSLATE(C258, ""en"", ""hi"")"),"A) आर. के. राजेश, B) टी. एम. गणेशन, C) के. एस. रमेश, D) एस. वी. रवि")</f>
        <v>A) आर. के. राजेश, B) टी. एम. गणेशन, C) के. एस. रमेश, D) एस. वी. रवि</v>
      </c>
      <c r="I258" s="5" t="str">
        <f>IFERROR(__xludf.DUMMYFUNCTION("GOOGLETRANSLATE(D258, ""en"", ""hi"")"),"A) आर. के. राजेश, B) टी. एम. गणेशन")</f>
        <v>A) आर. के. राजेश, B) टी. एम. गणेशन</v>
      </c>
    </row>
    <row r="259" ht="22.5" customHeight="1">
      <c r="A259" s="7">
        <v>258.0</v>
      </c>
      <c r="B259" s="8" t="s">
        <v>5462</v>
      </c>
      <c r="C259" s="8" t="s">
        <v>5463</v>
      </c>
      <c r="D259" s="8" t="s">
        <v>5464</v>
      </c>
      <c r="F259" s="5" t="str">
        <f>IFERROR(__xludf.DUMMYFUNCTION("GOOGLETRANSLATE(A259, ""en"", ""hi"")"),"258")</f>
        <v>258</v>
      </c>
      <c r="G259" s="5" t="str">
        <f>IFERROR(__xludf.DUMMYFUNCTION("GOOGLETRANSLATE(B259, ""en"", ""hi"")"),"कौन सी सरकारी पहल पारंपरिक खेलों के विकास और संवर्धन का समर्थन करती है?")</f>
        <v>कौन सी सरकारी पहल पारंपरिक खेलों के विकास और संवर्धन का समर्थन करती है?</v>
      </c>
      <c r="H259" s="5" t="str">
        <f>IFERROR(__xludf.DUMMYFUNCTION("GOOGLETRANSLATE(C259, ""en"", ""hi"")"),"ए) राष्ट्रीय पारंपरिक खेल शिक्षा अधिनियम, बी) पारंपरिक खेल विकास कार्यक्रम, सी) खेल उत्कृष्टता विकास निधि, डी) पारंपरिक खेल सुविधा अनुदान कार्यक्रम")</f>
        <v>ए) राष्ट्रीय पारंपरिक खेल शिक्षा अधिनियम, बी) पारंपरिक खेल विकास कार्यक्रम, सी) खेल उत्कृष्टता विकास निधि, डी) पारंपरिक खेल सुविधा अनुदान कार्यक्रम</v>
      </c>
      <c r="I259" s="5" t="str">
        <f>IFERROR(__xludf.DUMMYFUNCTION("GOOGLETRANSLATE(D259, ""en"", ""hi"")"),"ए) राष्ट्रीय पारंपरिक खेल शिक्षा अधिनियम, बी) पारंपरिक खेल विकास कार्यक्रम, डी) पारंपरिक खेल सुविधा अनुदान कार्यक्रम")</f>
        <v>ए) राष्ट्रीय पारंपरिक खेल शिक्षा अधिनियम, बी) पारंपरिक खेल विकास कार्यक्रम, डी) पारंपरिक खेल सुविधा अनुदान कार्यक्रम</v>
      </c>
    </row>
    <row r="260" ht="22.5" customHeight="1">
      <c r="A260" s="7">
        <v>259.0</v>
      </c>
      <c r="B260" s="8" t="s">
        <v>5465</v>
      </c>
      <c r="C260" s="8" t="s">
        <v>5466</v>
      </c>
      <c r="D260" s="8" t="s">
        <v>5467</v>
      </c>
      <c r="F260" s="5" t="str">
        <f>IFERROR(__xludf.DUMMYFUNCTION("GOOGLETRANSLATE(A260, ""en"", ""hi"")"),"259")</f>
        <v>259</v>
      </c>
      <c r="G260" s="5" t="str">
        <f>IFERROR(__xludf.DUMMYFUNCTION("GOOGLETRANSLATE(B260, ""en"", ""hi"")"),"कौन से पम्बरम टूर्नामेंट उभरते और स्थापित दोनों खिलाड़ियों की भागीदारी के लिए जाने जाते हैं?")</f>
        <v>कौन से पम्बरम टूर्नामेंट उभरते और स्थापित दोनों खिलाड़ियों की भागीदारी के लिए जाने जाते हैं?</v>
      </c>
      <c r="H260" s="5" t="str">
        <f>IFERROR(__xludf.DUMMYFUNCTION("GOOGLETRANSLATE(C260, ""en"", ""hi"")"),"ए) द एनुअल ओपन टूर्नामेंट, बी) द गोल्डन पट्टम टूर्नामेंट, सी) द ग्लोबल मास्टर्स, डी) द सदर्न ओपन")</f>
        <v>ए) द एनुअल ओपन टूर्नामेंट, बी) द गोल्डन पट्टम टूर्नामेंट, सी) द ग्लोबल मास्टर्स, डी) द सदर्न ओपन</v>
      </c>
      <c r="I260" s="5" t="str">
        <f>IFERROR(__xludf.DUMMYFUNCTION("GOOGLETRANSLATE(D260, ""en"", ""hi"")"),"ए) वार्षिक ओपन टूर्नामेंट, बी) गोल्डन पट्टम टूर्नामेंट")</f>
        <v>ए) वार्षिक ओपन टूर्नामेंट, बी) गोल्डन पट्टम टूर्नामेंट</v>
      </c>
    </row>
    <row r="261" ht="22.5" customHeight="1">
      <c r="A261" s="7">
        <v>260.0</v>
      </c>
      <c r="B261" s="8" t="s">
        <v>5468</v>
      </c>
      <c r="C261" s="8" t="s">
        <v>5469</v>
      </c>
      <c r="D261" s="8" t="s">
        <v>5470</v>
      </c>
      <c r="F261" s="5" t="str">
        <f>IFERROR(__xludf.DUMMYFUNCTION("GOOGLETRANSLATE(A261, ""en"", ""hi"")"),"260")</f>
        <v>260</v>
      </c>
      <c r="G261" s="5" t="str">
        <f>IFERROR(__xludf.DUMMYFUNCTION("GOOGLETRANSLATE(B261, ""en"", ""hi"")"),"कौन सी पम्बरम तकनीकें अपनी गति और सटीकता के लिए प्रसिद्ध हैं?")</f>
        <v>कौन सी पम्बरम तकनीकें अपनी गति और सटीकता के लिए प्रसिद्ध हैं?</v>
      </c>
      <c r="H261" s="5" t="str">
        <f>IFERROR(__xludf.DUMMYFUNCTION("GOOGLETRANSLATE(C261, ""en"", ""hi"")"),"ए) लाइटनिंग थ्रो, बी) क्विक स्ट्राइक, सी) प्रिसिजन फ्लिक, डी) साइक्लोन स्पिन")</f>
        <v>ए) लाइटनिंग थ्रो, बी) क्विक स्ट्राइक, सी) प्रिसिजन फ्लिक, डी) साइक्लोन स्पिन</v>
      </c>
      <c r="I261" s="5" t="str">
        <f>IFERROR(__xludf.DUMMYFUNCTION("GOOGLETRANSLATE(D261, ""en"", ""hi"")"),"बी) त्वरित प्रहार, सी) सटीक झटका")</f>
        <v>बी) त्वरित प्रहार, सी) सटीक झटका</v>
      </c>
    </row>
    <row r="262" ht="22.5" customHeight="1">
      <c r="A262" s="7">
        <v>261.0</v>
      </c>
      <c r="B262" s="8" t="s">
        <v>5471</v>
      </c>
      <c r="C262" s="8" t="s">
        <v>5255</v>
      </c>
      <c r="D262" s="8" t="s">
        <v>5472</v>
      </c>
      <c r="F262" s="5" t="str">
        <f>IFERROR(__xludf.DUMMYFUNCTION("GOOGLETRANSLATE(A262, ""en"", ""hi"")"),"261")</f>
        <v>261</v>
      </c>
      <c r="G262" s="5" t="str">
        <f>IFERROR(__xludf.DUMMYFUNCTION("GOOGLETRANSLATE(B262, ""en"", ""hi"")"),"पम्बरम को बढ़ावा देने के लिए प्रमुख पहल या कार्यक्रम किस वर्ष शुरू किए गए?")</f>
        <v>पम्बरम को बढ़ावा देने के लिए प्रमुख पहल या कार्यक्रम किस वर्ष शुरू किए गए?</v>
      </c>
      <c r="H262" s="5" t="str">
        <f>IFERROR(__xludf.DUMMYFUNCTION("GOOGLETRANSLATE(C262, ""en"", ""hi"")"),"ए) 2005, बी) 2010, सी) 2015, डी) 2020")</f>
        <v>ए) 2005, बी) 2010, सी) 2015, डी) 2020</v>
      </c>
      <c r="I262" s="5" t="str">
        <f>IFERROR(__xludf.DUMMYFUNCTION("GOOGLETRANSLATE(D262, ""en"", ""hi"")"),"बी) 2010, सी) 2015")</f>
        <v>बी) 2010, सी) 2015</v>
      </c>
    </row>
    <row r="263" ht="22.5" customHeight="1">
      <c r="A263" s="7">
        <v>262.0</v>
      </c>
      <c r="B263" s="8" t="s">
        <v>5473</v>
      </c>
      <c r="C263" s="8" t="s">
        <v>5474</v>
      </c>
      <c r="D263" s="8" t="s">
        <v>5475</v>
      </c>
      <c r="F263" s="5" t="str">
        <f>IFERROR(__xludf.DUMMYFUNCTION("GOOGLETRANSLATE(A263, ""en"", ""hi"")"),"262")</f>
        <v>262</v>
      </c>
      <c r="G263" s="5" t="str">
        <f>IFERROR(__xludf.DUMMYFUNCTION("GOOGLETRANSLATE(B263, ""en"", ""hi"")"),"प्रभावी जवाबी हमलों के लिए कौन सी पम्बरम तकनीक का उपयोग किया जाता है?")</f>
        <v>प्रभावी जवाबी हमलों के लिए कौन सी पम्बरम तकनीक का उपयोग किया जाता है?</v>
      </c>
      <c r="H263" s="5" t="str">
        <f>IFERROR(__xludf.DUMMYFUNCTION("GOOGLETRANSLATE(C263, ""en"", ""hi"")"),"ए) रैपिड काउंटर, बी) डिसेप्शन स्पिन, सी) साइक्लोन स्पिन, डी) मल्टी-फ्लिक")</f>
        <v>ए) रैपिड काउंटर, बी) डिसेप्शन स्पिन, सी) साइक्लोन स्पिन, डी) मल्टी-फ्लिक</v>
      </c>
      <c r="I263" s="5" t="str">
        <f>IFERROR(__xludf.DUMMYFUNCTION("GOOGLETRANSLATE(D263, ""en"", ""hi"")"),"ए) रैपिड काउंटर, बी) डिसेप्शन स्पिन")</f>
        <v>ए) रैपिड काउंटर, बी) डिसेप्शन स्पिन</v>
      </c>
    </row>
    <row r="264" ht="22.5" customHeight="1">
      <c r="A264" s="7">
        <v>263.0</v>
      </c>
      <c r="B264" s="8" t="s">
        <v>5476</v>
      </c>
      <c r="C264" s="8" t="s">
        <v>5477</v>
      </c>
      <c r="D264" s="8" t="s">
        <v>5478</v>
      </c>
      <c r="F264" s="5" t="str">
        <f>IFERROR(__xludf.DUMMYFUNCTION("GOOGLETRANSLATE(A264, ""en"", ""hi"")"),"263")</f>
        <v>263</v>
      </c>
      <c r="G264" s="5" t="str">
        <f>IFERROR(__xludf.DUMMYFUNCTION("GOOGLETRANSLATE(B264, ""en"", ""hi"")"),"कौन से पम्बरम टूर्नामेंट खेल के साथ-साथ सांस्कृतिक और पारंपरिक तत्वों पर जोर देते हैं?")</f>
        <v>कौन से पम्बरम टूर्नामेंट खेल के साथ-साथ सांस्कृतिक और पारंपरिक तत्वों पर जोर देते हैं?</v>
      </c>
      <c r="H264" s="5" t="str">
        <f>IFERROR(__xludf.DUMMYFUNCTION("GOOGLETRANSLATE(C264, ""en"", ""hi"")"),"A) हेरिटेज स्पोर्ट्स टूर्नामेंट, B) नेशनल चैम्पियनशिप, C) कल्चरल गेम्स फेस्टिवल, D) इनोवेटिव गेम्स कप")</f>
        <v>A) हेरिटेज स्पोर्ट्स टूर्नामेंट, B) नेशनल चैम्पियनशिप, C) कल्चरल गेम्स फेस्टिवल, D) इनोवेटिव गेम्स कप</v>
      </c>
      <c r="I264" s="5" t="str">
        <f>IFERROR(__xludf.DUMMYFUNCTION("GOOGLETRANSLATE(D264, ""en"", ""hi"")"),"A) हेरिटेज स्पोर्ट्स टूर्नामेंट, C) सांस्कृतिक खेल महोत्सव")</f>
        <v>A) हेरिटेज स्पोर्ट्स टूर्नामेंट, C) सांस्कृतिक खेल महोत्सव</v>
      </c>
    </row>
    <row r="265" ht="22.5" customHeight="1">
      <c r="A265" s="7">
        <v>264.0</v>
      </c>
      <c r="B265" s="8" t="s">
        <v>5479</v>
      </c>
      <c r="C265" s="8" t="s">
        <v>5480</v>
      </c>
      <c r="D265" s="8" t="s">
        <v>5481</v>
      </c>
      <c r="F265" s="5" t="str">
        <f>IFERROR(__xludf.DUMMYFUNCTION("GOOGLETRANSLATE(A265, ""en"", ""hi"")"),"264")</f>
        <v>264</v>
      </c>
      <c r="G265" s="5" t="str">
        <f>IFERROR(__xludf.DUMMYFUNCTION("GOOGLETRANSLATE(B265, ""en"", ""hi"")"),"कौन से कानून पारंपरिक खेलों के लिए वित्त पोषण और समर्थन बढ़ाने के उद्देश्य से हैं?")</f>
        <v>कौन से कानून पारंपरिक खेलों के लिए वित्त पोषण और समर्थन बढ़ाने के उद्देश्य से हैं?</v>
      </c>
      <c r="H265" s="5" t="str">
        <f>IFERROR(__xludf.DUMMYFUNCTION("GOOGLETRANSLATE(C265, ""en"", ""hi"")"),"ए) पारंपरिक खेल वित्तपोषण अधिनियम, बी) राष्ट्रीय आयोजन संवर्धन अधिनियम, सी) खेल वित्तपोषण अधिनियम, डी) पारंपरिक खेल समर्थन कानून")</f>
        <v>ए) पारंपरिक खेल वित्तपोषण अधिनियम, बी) राष्ट्रीय आयोजन संवर्धन अधिनियम, सी) खेल वित्तपोषण अधिनियम, डी) पारंपरिक खेल समर्थन कानून</v>
      </c>
      <c r="I265" s="5" t="str">
        <f>IFERROR(__xludf.DUMMYFUNCTION("GOOGLETRANSLATE(D265, ""en"", ""hi"")"),"A) पारंपरिक खेल वित्तपोषण अधिनियम, D) पारंपरिक खेल समर्थन कानून")</f>
        <v>A) पारंपरिक खेल वित्तपोषण अधिनियम, D) पारंपरिक खेल समर्थन कानून</v>
      </c>
    </row>
    <row r="266" ht="22.5" customHeight="1">
      <c r="A266" s="7">
        <v>265.0</v>
      </c>
      <c r="B266" s="8" t="s">
        <v>5482</v>
      </c>
      <c r="C266" s="8" t="s">
        <v>5048</v>
      </c>
      <c r="D266" s="8" t="s">
        <v>5483</v>
      </c>
      <c r="F266" s="5" t="str">
        <f>IFERROR(__xludf.DUMMYFUNCTION("GOOGLETRANSLATE(A266, ""en"", ""hi"")"),"265")</f>
        <v>265</v>
      </c>
      <c r="G266" s="5" t="str">
        <f>IFERROR(__xludf.DUMMYFUNCTION("GOOGLETRANSLATE(B266, ""en"", ""hi"")"),"कौन से पम्बरम खिलाड़ी नई तकनीक या रणनीति विकसित करने में सहायक रहे हैं?")</f>
        <v>कौन से पम्बरम खिलाड़ी नई तकनीक या रणनीति विकसित करने में सहायक रहे हैं?</v>
      </c>
      <c r="H266" s="5" t="str">
        <f>IFERROR(__xludf.DUMMYFUNCTION("GOOGLETRANSLATE(C266, ""en"", ""hi"")"),"A) टी. एम. गणेशन, B) आर. के. राजेश, C) एस. वी. रवि, D) के. एस. रमेश")</f>
        <v>A) टी. एम. गणेशन, B) आर. के. राजेश, C) एस. वी. रवि, D) के. एस. रमेश</v>
      </c>
      <c r="I266" s="5" t="str">
        <f>IFERROR(__xludf.DUMMYFUNCTION("GOOGLETRANSLATE(D266, ""en"", ""hi"")"),"A) टी. एम. गणेशन, B) आर. के. राजेश")</f>
        <v>A) टी. एम. गणेशन, B) आर. के. राजेश</v>
      </c>
    </row>
    <row r="267" ht="22.5" customHeight="1">
      <c r="A267" s="7">
        <v>266.0</v>
      </c>
      <c r="B267" s="8" t="s">
        <v>5484</v>
      </c>
      <c r="C267" s="8" t="s">
        <v>5485</v>
      </c>
      <c r="D267" s="8" t="s">
        <v>5486</v>
      </c>
      <c r="F267" s="5" t="str">
        <f>IFERROR(__xludf.DUMMYFUNCTION("GOOGLETRANSLATE(A267, ""en"", ""hi"")"),"266")</f>
        <v>266</v>
      </c>
      <c r="G267" s="5" t="str">
        <f>IFERROR(__xludf.DUMMYFUNCTION("GOOGLETRANSLATE(B267, ""en"", ""hi"")"),"कौन सी सरकारी नीतियाँ पारंपरिक खेलों को शैक्षिक पाठ्यक्रमों में शामिल करने का समर्थन करती हैं?")</f>
        <v>कौन सी सरकारी नीतियाँ पारंपरिक खेलों को शैक्षिक पाठ्यक्रमों में शामिल करने का समर्थन करती हैं?</v>
      </c>
      <c r="H267" s="5" t="str">
        <f>IFERROR(__xludf.DUMMYFUNCTION("GOOGLETRANSLATE(C267, ""en"", ""hi"")"),"ए) पारंपरिक खेल पाठ्यक्रम कार्यक्रम, बी) स्कूल खेल एकीकरण अधिनियम, सी) राष्ट्रीय खेल शिक्षा योजना, डी) जमीनी स्तर पर स्कूल खेल पहल")</f>
        <v>ए) पारंपरिक खेल पाठ्यक्रम कार्यक्रम, बी) स्कूल खेल एकीकरण अधिनियम, सी) राष्ट्रीय खेल शिक्षा योजना, डी) जमीनी स्तर पर स्कूल खेल पहल</v>
      </c>
      <c r="I267" s="5" t="str">
        <f>IFERROR(__xludf.DUMMYFUNCTION("GOOGLETRANSLATE(D267, ""en"", ""hi"")"),"ए) पारंपरिक खेल पाठ्यक्रम कार्यक्रम, बी) स्कूल खेल एकीकरण अधिनियम")</f>
        <v>ए) पारंपरिक खेल पाठ्यक्रम कार्यक्रम, बी) स्कूल खेल एकीकरण अधिनियम</v>
      </c>
    </row>
    <row r="268" ht="22.5" customHeight="1">
      <c r="A268" s="7">
        <v>267.0</v>
      </c>
      <c r="B268" s="8" t="s">
        <v>5487</v>
      </c>
      <c r="C268" s="8" t="s">
        <v>5488</v>
      </c>
      <c r="D268" s="8" t="s">
        <v>5489</v>
      </c>
      <c r="F268" s="5" t="str">
        <f>IFERROR(__xludf.DUMMYFUNCTION("GOOGLETRANSLATE(A268, ""en"", ""hi"")"),"267")</f>
        <v>267</v>
      </c>
      <c r="G268" s="5" t="str">
        <f>IFERROR(__xludf.DUMMYFUNCTION("GOOGLETRANSLATE(B268, ""en"", ""hi"")"),"कौन सी पम्बरम तकनीकें अपने तीव्र निष्पादन और आश्चर्यजनक तत्वों के लिए जानी जाती हैं?")</f>
        <v>कौन सी पम्बरम तकनीकें अपने तीव्र निष्पादन और आश्चर्यजनक तत्वों के लिए जानी जाती हैं?</v>
      </c>
      <c r="H268" s="5" t="str">
        <f>IFERROR(__xludf.DUMMYFUNCTION("GOOGLETRANSLATE(C268, ""en"", ""hi"")"),"ए) द रैपिड फ्लिक, बी) द सरप्राइज स्पिन, सी) द थंडरबोल्ट, डी) द प्रिसिजन फ्लिक")</f>
        <v>ए) द रैपिड फ्लिक, बी) द सरप्राइज स्पिन, सी) द थंडरबोल्ट, डी) द प्रिसिजन फ्लिक</v>
      </c>
      <c r="I268" s="5" t="str">
        <f>IFERROR(__xludf.DUMMYFUNCTION("GOOGLETRANSLATE(D268, ""en"", ""hi"")"),"A) रैपिड फ्लिक, B) सरप्राइज़ स्पिन")</f>
        <v>A) रैपिड फ्लिक, B) सरप्राइज़ स्पिन</v>
      </c>
    </row>
    <row r="269" ht="22.5" customHeight="1">
      <c r="A269" s="7">
        <v>268.0</v>
      </c>
      <c r="B269" s="8" t="s">
        <v>5490</v>
      </c>
      <c r="C269" s="8" t="s">
        <v>5434</v>
      </c>
      <c r="D269" s="8" t="s">
        <v>5491</v>
      </c>
      <c r="F269" s="5" t="str">
        <f>IFERROR(__xludf.DUMMYFUNCTION("GOOGLETRANSLATE(A269, ""en"", ""hi"")"),"268")</f>
        <v>268</v>
      </c>
      <c r="G269" s="5" t="str">
        <f>IFERROR(__xludf.DUMMYFUNCTION("GOOGLETRANSLATE(B269, ""en"", ""hi"")"),"कौन से खिलाड़ी 'थंडरबोल्ट' और 'आर्क थ्रो' तकनीकों के उपयोग के लिए प्रसिद्ध हैं?")</f>
        <v>कौन से खिलाड़ी 'थंडरबोल्ट' और 'आर्क थ्रो' तकनीकों के उपयोग के लिए प्रसिद्ध हैं?</v>
      </c>
      <c r="H269" s="5" t="str">
        <f>IFERROR(__xludf.DUMMYFUNCTION("GOOGLETRANSLATE(C269, ""en"", ""hi"")"),"A) आर. के. राजेश, B) एस. वी. रवि, C) के. एस. रमेश, D) टी. एम. गणेशन")</f>
        <v>A) आर. के. राजेश, B) एस. वी. रवि, C) के. एस. रमेश, D) टी. एम. गणेशन</v>
      </c>
      <c r="I269" s="5" t="str">
        <f>IFERROR(__xludf.DUMMYFUNCTION("GOOGLETRANSLATE(D269, ""en"", ""hi"")"),"A) आर. के. राजेश, D) टी. एम. गणेशन")</f>
        <v>A) आर. के. राजेश, D) टी. एम. गणेशन</v>
      </c>
    </row>
    <row r="270" ht="22.5" customHeight="1">
      <c r="A270" s="7">
        <v>269.0</v>
      </c>
      <c r="B270" s="8" t="s">
        <v>5492</v>
      </c>
      <c r="C270" s="8" t="s">
        <v>5493</v>
      </c>
      <c r="D270" s="8" t="s">
        <v>5494</v>
      </c>
      <c r="F270" s="5" t="str">
        <f>IFERROR(__xludf.DUMMYFUNCTION("GOOGLETRANSLATE(A270, ""en"", ""hi"")"),"269")</f>
        <v>269</v>
      </c>
      <c r="G270" s="5" t="str">
        <f>IFERROR(__xludf.DUMMYFUNCTION("GOOGLETRANSLATE(B270, ""en"", ""hi"")"),"पारंपरिक खेल प्रशिक्षकों के कौशल और प्रशिक्षण को बढ़ाने के लिए कौन सी सरकारी पहल तैयार की गई है?")</f>
        <v>पारंपरिक खेल प्रशिक्षकों के कौशल और प्रशिक्षण को बढ़ाने के लिए कौन सी सरकारी पहल तैयार की गई है?</v>
      </c>
      <c r="H270" s="5" t="str">
        <f>IFERROR(__xludf.DUMMYFUNCTION("GOOGLETRANSLATE(C270, ""en"", ""hi"")"),"ए) पारंपरिक खेल कोचिंग पहल, बी) राष्ट्रीय कोच प्रशिक्षण कार्यक्रम, सी) कोचिंग सहायता निधि, डी) जमीनी स्तर की कोचिंग योजना")</f>
        <v>ए) पारंपरिक खेल कोचिंग पहल, बी) राष्ट्रीय कोच प्रशिक्षण कार्यक्रम, सी) कोचिंग सहायता निधि, डी) जमीनी स्तर की कोचिंग योजना</v>
      </c>
      <c r="I270" s="5" t="str">
        <f>IFERROR(__xludf.DUMMYFUNCTION("GOOGLETRANSLATE(D270, ""en"", ""hi"")"),"ए) पारंपरिक खेल कोचिंग पहल, बी) राष्ट्रीय कोच प्रशिक्षण कार्यक्रम")</f>
        <v>ए) पारंपरिक खेल कोचिंग पहल, बी) राष्ट्रीय कोच प्रशिक्षण कार्यक्रम</v>
      </c>
    </row>
    <row r="271" ht="22.5" customHeight="1">
      <c r="A271" s="7">
        <v>270.0</v>
      </c>
      <c r="B271" s="8" t="s">
        <v>5495</v>
      </c>
      <c r="C271" s="8" t="s">
        <v>5496</v>
      </c>
      <c r="D271" s="8" t="s">
        <v>5497</v>
      </c>
      <c r="F271" s="5" t="str">
        <f>IFERROR(__xludf.DUMMYFUNCTION("GOOGLETRANSLATE(A271, ""en"", ""hi"")"),"270")</f>
        <v>270</v>
      </c>
      <c r="G271" s="5" t="str">
        <f>IFERROR(__xludf.DUMMYFUNCTION("GOOGLETRANSLATE(B271, ""en"", ""hi"")"),"कौन से पम्बरम टूर्नामेंट नवीन प्रारूपों या नियमों को प्रस्तुत करने के लिए जाने जाते हैं?")</f>
        <v>कौन से पम्बरम टूर्नामेंट नवीन प्रारूपों या नियमों को प्रस्तुत करने के लिए जाने जाते हैं?</v>
      </c>
      <c r="H271" s="5" t="str">
        <f>IFERROR(__xludf.DUMMYFUNCTION("GOOGLETRANSLATE(C271, ""en"", ""hi"")"),"A) इनोवेटिव गेम्स कप, B) राउंड-रॉबिन चैम्पियनशिप, C) नेशनल नॉकआउट चैम्पियनशिप, D) गोल्डन पट्टम टूर्नामेंट")</f>
        <v>A) इनोवेटिव गेम्स कप, B) राउंड-रॉबिन चैम्पियनशिप, C) नेशनल नॉकआउट चैम्पियनशिप, D) गोल्डन पट्टम टूर्नामेंट</v>
      </c>
      <c r="I271" s="5" t="str">
        <f>IFERROR(__xludf.DUMMYFUNCTION("GOOGLETRANSLATE(D271, ""en"", ""hi"")"),"ए) इनोवेटिव गेम्स कप, बी) राउंड-रॉबिन चैम्पियनशिप")</f>
        <v>ए) इनोवेटिव गेम्स कप, बी) राउंड-रॉबिन चैम्पियनशिप</v>
      </c>
    </row>
    <row r="272" ht="22.5" customHeight="1">
      <c r="A272" s="7">
        <v>271.0</v>
      </c>
      <c r="B272" s="8" t="s">
        <v>5498</v>
      </c>
      <c r="C272" s="8" t="s">
        <v>5499</v>
      </c>
      <c r="D272" s="8" t="s">
        <v>5500</v>
      </c>
      <c r="F272" s="5" t="str">
        <f>IFERROR(__xludf.DUMMYFUNCTION("GOOGLETRANSLATE(A272, ""en"", ""hi"")"),"271")</f>
        <v>271</v>
      </c>
      <c r="G272" s="5" t="str">
        <f>IFERROR(__xludf.DUMMYFUNCTION("GOOGLETRANSLATE(B272, ""en"", ""hi"")"),"पम्बाराम में सफल रक्षात्मक खेल के लिए कौन सी तकनीकें महत्वपूर्ण मानी जाती हैं?")</f>
        <v>पम्बाराम में सफल रक्षात्मक खेल के लिए कौन सी तकनीकें महत्वपूर्ण मानी जाती हैं?</v>
      </c>
      <c r="H272" s="5" t="str">
        <f>IFERROR(__xludf.DUMMYFUNCTION("GOOGLETRANSLATE(C272, ""en"", ""hi"")"),"ए) डिफेंसिव गार्ड, बी) पावर स्लैम, सी) क्विक फ्लिक, डी) रैपिड काउंटर")</f>
        <v>ए) डिफेंसिव गार्ड, बी) पावर स्लैम, सी) क्विक फ्लिक, डी) रैपिड काउंटर</v>
      </c>
      <c r="I272" s="5" t="str">
        <f>IFERROR(__xludf.DUMMYFUNCTION("GOOGLETRANSLATE(D272, ""en"", ""hi"")"),"A) रक्षात्मक गार्ड, D) रैपिड काउंटर")</f>
        <v>A) रक्षात्मक गार्ड, D) रैपिड काउंटर</v>
      </c>
    </row>
    <row r="273" ht="22.5" customHeight="1">
      <c r="A273" s="7">
        <v>272.0</v>
      </c>
      <c r="B273" s="4" t="s">
        <v>5501</v>
      </c>
      <c r="C273" s="4" t="s">
        <v>5502</v>
      </c>
      <c r="D273" s="4" t="s">
        <v>5503</v>
      </c>
      <c r="F273" s="5" t="str">
        <f>IFERROR(__xludf.DUMMYFUNCTION("GOOGLETRANSLATE(A273, ""en"", ""hi"")"),"272")</f>
        <v>272</v>
      </c>
      <c r="G273" s="5" t="str">
        <f>IFERROR(__xludf.DUMMYFUNCTION("GOOGLETRANSLATE(B273, ""en"", ""hi"")"),"दक्षिण भारतीय संस्कृति में पंबारम को पारंपरिक रूप से किस नाम से जाना जाता है?")</f>
        <v>दक्षिण भारतीय संस्कृति में पंबारम को पारंपरिक रूप से किस नाम से जाना जाता है?</v>
      </c>
      <c r="H273" s="5" t="str">
        <f>IFERROR(__xludf.DUMMYFUNCTION("GOOGLETRANSLATE(C273, ""en"", ""hi"")"),"A) एक संगीत वाद्ययंत्र, B) एक बोर्ड गेम, C) एक प्रकार का नृत्य, D) एक खाद्य पदार्थ")</f>
        <v>A) एक संगीत वाद्ययंत्र, B) एक बोर्ड गेम, C) एक प्रकार का नृत्य, D) एक खाद्य पदार्थ</v>
      </c>
      <c r="I273" s="5" t="str">
        <f>IFERROR(__xludf.DUMMYFUNCTION("GOOGLETRANSLATE(D273, ""en"", ""hi"")"),"बी) एक बोर्ड गेम")</f>
        <v>बी) एक बोर्ड गेम</v>
      </c>
    </row>
    <row r="274" ht="22.5" customHeight="1">
      <c r="A274" s="7">
        <v>273.0</v>
      </c>
      <c r="B274" s="4" t="s">
        <v>5504</v>
      </c>
      <c r="C274" s="4" t="s">
        <v>5505</v>
      </c>
      <c r="D274" s="4" t="s">
        <v>5506</v>
      </c>
      <c r="F274" s="5" t="str">
        <f>IFERROR(__xludf.DUMMYFUNCTION("GOOGLETRANSLATE(A274, ""en"", ""hi"")"),"273")</f>
        <v>273</v>
      </c>
      <c r="G274" s="5" t="str">
        <f>IFERROR(__xludf.DUMMYFUNCTION("GOOGLETRANSLATE(B274, ""en"", ""hi"")"),"पम्बरम की उत्पत्ति का श्रेय किस प्राचीन सभ्यता को दिया जाता है?")</f>
        <v>पम्बरम की उत्पत्ति का श्रेय किस प्राचीन सभ्यता को दिया जाता है?</v>
      </c>
      <c r="H274" s="5" t="str">
        <f>IFERROR(__xludf.DUMMYFUNCTION("GOOGLETRANSLATE(C274, ""en"", ""hi"")"),"A) सिंधु घाटी सभ्यता, B) मौर्य साम्राज्य, C) चोल राजवंश, D) गुप्त साम्राज्य")</f>
        <v>A) सिंधु घाटी सभ्यता, B) मौर्य साम्राज्य, C) चोल राजवंश, D) गुप्त साम्राज्य</v>
      </c>
      <c r="I274" s="5" t="str">
        <f>IFERROR(__xludf.DUMMYFUNCTION("GOOGLETRANSLATE(D274, ""en"", ""hi"")"),"C) चोल राजवंश")</f>
        <v>C) चोल राजवंश</v>
      </c>
    </row>
    <row r="275" ht="22.5" customHeight="1">
      <c r="A275" s="7">
        <v>274.0</v>
      </c>
      <c r="B275" s="4" t="s">
        <v>5507</v>
      </c>
      <c r="C275" s="4" t="s">
        <v>5508</v>
      </c>
      <c r="D275" s="4" t="s">
        <v>5509</v>
      </c>
      <c r="F275" s="5" t="str">
        <f>IFERROR(__xludf.DUMMYFUNCTION("GOOGLETRANSLATE(A275, ""en"", ""hi"")"),"274")</f>
        <v>274</v>
      </c>
      <c r="G275" s="5" t="str">
        <f>IFERROR(__xludf.DUMMYFUNCTION("GOOGLETRANSLATE(B275, ""en"", ""hi"")"),"पम्बरम मुख्य रूप से भारत के किस क्षेत्र में खेला जाता है?")</f>
        <v>पम्बरम मुख्य रूप से भारत के किस क्षेत्र में खेला जाता है?</v>
      </c>
      <c r="H275" s="5" t="str">
        <f>IFERROR(__xludf.DUMMYFUNCTION("GOOGLETRANSLATE(C275, ""en"", ""hi"")"),"A) उत्तरी भारत, B) पूर्वी भारत, C) दक्षिणी भारत, D) पश्चिमी भारत")</f>
        <v>A) उत्तरी भारत, B) पूर्वी भारत, C) दक्षिणी भारत, D) पश्चिमी भारत</v>
      </c>
      <c r="I275" s="5" t="str">
        <f>IFERROR(__xludf.DUMMYFUNCTION("GOOGLETRANSLATE(D275, ""en"", ""hi"")"),"C) दक्षिणी भारत")</f>
        <v>C) दक्षिणी भारत</v>
      </c>
    </row>
    <row r="276" ht="22.5" customHeight="1">
      <c r="A276" s="7">
        <v>275.0</v>
      </c>
      <c r="B276" s="4" t="s">
        <v>5510</v>
      </c>
      <c r="C276" s="4" t="s">
        <v>5511</v>
      </c>
      <c r="D276" s="4" t="s">
        <v>5512</v>
      </c>
      <c r="F276" s="5" t="str">
        <f>IFERROR(__xludf.DUMMYFUNCTION("GOOGLETRANSLATE(A276, ""en"", ""hi"")"),"275")</f>
        <v>275</v>
      </c>
      <c r="G276" s="5" t="str">
        <f>IFERROR(__xludf.DUMMYFUNCTION("GOOGLETRANSLATE(B276, ""en"", ""hi"")"),"'पंबरम' नाम किस भाषा से लिया गया है?")</f>
        <v>'पंबरम' नाम किस भाषा से लिया गया है?</v>
      </c>
      <c r="H276" s="5" t="str">
        <f>IFERROR(__xludf.DUMMYFUNCTION("GOOGLETRANSLATE(C276, ""en"", ""hi"")"),"ए) संस्कृत, बी) तमिल, सी) हिंदी, डी) तेलुगु")</f>
        <v>ए) संस्कृत, बी) तमिल, सी) हिंदी, डी) तेलुगु</v>
      </c>
      <c r="I276" s="5" t="str">
        <f>IFERROR(__xludf.DUMMYFUNCTION("GOOGLETRANSLATE(D276, ""en"", ""hi"")"),"बी) तमिल")</f>
        <v>बी) तमिल</v>
      </c>
    </row>
    <row r="277" ht="22.5" customHeight="1">
      <c r="A277" s="7">
        <v>276.0</v>
      </c>
      <c r="B277" s="4" t="s">
        <v>5513</v>
      </c>
      <c r="C277" s="4" t="s">
        <v>5514</v>
      </c>
      <c r="D277" s="4" t="s">
        <v>5515</v>
      </c>
      <c r="F277" s="5" t="str">
        <f>IFERROR(__xludf.DUMMYFUNCTION("GOOGLETRANSLATE(A277, ""en"", ""hi"")"),"276")</f>
        <v>276</v>
      </c>
      <c r="G277" s="5" t="str">
        <f>IFERROR(__xludf.DUMMYFUNCTION("GOOGLETRANSLATE(B277, ""en"", ""hi"")"),"पम्बरम खेल का प्राथमिक उद्देश्य क्या है?")</f>
        <v>पम्बरम खेल का प्राथमिक उद्देश्य क्या है?</v>
      </c>
      <c r="H277" s="5" t="str">
        <f>IFERROR(__xludf.DUMMYFUNCTION("GOOGLETRANSLATE(C277, ""en"", ""hi"")"),"A) अधिकतम अंक प्राप्त करने के लिए, B) प्रतिद्वंद्वी के मोहरों पर कब्जा करने के लिए, C) बोर्ड पर मोहरों को इधर-उधर ले जाने के लिए, D) बाधाओं से बचने के लिए")</f>
        <v>A) अधिकतम अंक प्राप्त करने के लिए, B) प्रतिद्वंद्वी के मोहरों पर कब्जा करने के लिए, C) बोर्ड पर मोहरों को इधर-उधर ले जाने के लिए, D) बाधाओं से बचने के लिए</v>
      </c>
      <c r="I277" s="5" t="str">
        <f>IFERROR(__xludf.DUMMYFUNCTION("GOOGLETRANSLATE(D277, ""en"", ""hi"")"),"C) बोर्ड पर टुकड़ों को इधर-उधर ले जाने के लिए")</f>
        <v>C) बोर्ड पर टुकड़ों को इधर-उधर ले जाने के लिए</v>
      </c>
    </row>
    <row r="278" ht="22.5" customHeight="1">
      <c r="A278" s="7">
        <v>277.0</v>
      </c>
      <c r="B278" s="4" t="s">
        <v>5516</v>
      </c>
      <c r="C278" s="4" t="s">
        <v>5517</v>
      </c>
      <c r="D278" s="4" t="s">
        <v>4854</v>
      </c>
      <c r="F278" s="5" t="str">
        <f>IFERROR(__xludf.DUMMYFUNCTION("GOOGLETRANSLATE(A278, ""en"", ""hi"")"),"277")</f>
        <v>277</v>
      </c>
      <c r="G278" s="5" t="str">
        <f>IFERROR(__xludf.DUMMYFUNCTION("GOOGLETRANSLATE(B278, ""en"", ""hi"")"),"पम्बारम प्रायः किस पारंपरिक त्यौहार से जुड़ा हुआ है?")</f>
        <v>पम्बारम प्रायः किस पारंपरिक त्यौहार से जुड़ा हुआ है?</v>
      </c>
      <c r="H278" s="5" t="str">
        <f>IFERROR(__xludf.DUMMYFUNCTION("GOOGLETRANSLATE(C278, ""en"", ""hi"")"),"ए) पोंगल, बी) दिवाली, सी) होली, डी) ओणम")</f>
        <v>ए) पोंगल, बी) दिवाली, सी) होली, डी) ओणम</v>
      </c>
      <c r="I278" s="5" t="str">
        <f>IFERROR(__xludf.DUMMYFUNCTION("GOOGLETRANSLATE(D278, ""en"", ""hi"")"),"ए) पोंगल")</f>
        <v>ए) पोंगल</v>
      </c>
    </row>
    <row r="279" ht="22.5" customHeight="1">
      <c r="A279" s="7">
        <v>278.0</v>
      </c>
      <c r="B279" s="4" t="s">
        <v>5518</v>
      </c>
      <c r="C279" s="4" t="s">
        <v>5519</v>
      </c>
      <c r="D279" s="4" t="s">
        <v>5520</v>
      </c>
      <c r="F279" s="5" t="str">
        <f>IFERROR(__xludf.DUMMYFUNCTION("GOOGLETRANSLATE(A279, ""en"", ""hi"")"),"278")</f>
        <v>278</v>
      </c>
      <c r="G279" s="5" t="str">
        <f>IFERROR(__xludf.DUMMYFUNCTION("GOOGLETRANSLATE(B279, ""en"", ""hi"")"),"किस राजवंश के दौरान पंबारम को पारंपरिक खेल के रूप में प्रसिद्धि मिली?")</f>
        <v>किस राजवंश के दौरान पंबारम को पारंपरिक खेल के रूप में प्रसिद्धि मिली?</v>
      </c>
      <c r="H279" s="5" t="str">
        <f>IFERROR(__xludf.DUMMYFUNCTION("GOOGLETRANSLATE(C279, ""en"", ""hi"")"),"A) विजयनगर साम्राज्य, B) मुगल साम्राज्य, C) मराठा साम्राज्य, D) पल्लव राजवंश")</f>
        <v>A) विजयनगर साम्राज्य, B) मुगल साम्राज्य, C) मराठा साम्राज्य, D) पल्लव राजवंश</v>
      </c>
      <c r="I279" s="5" t="str">
        <f>IFERROR(__xludf.DUMMYFUNCTION("GOOGLETRANSLATE(D279, ""en"", ""hi"")"),"D) पल्लव राजवंश")</f>
        <v>D) पल्लव राजवंश</v>
      </c>
    </row>
    <row r="280" ht="22.5" customHeight="1">
      <c r="A280" s="7">
        <v>279.0</v>
      </c>
      <c r="B280" s="4" t="s">
        <v>5521</v>
      </c>
      <c r="C280" s="4" t="s">
        <v>5522</v>
      </c>
      <c r="D280" s="4" t="s">
        <v>5523</v>
      </c>
      <c r="F280" s="5" t="str">
        <f>IFERROR(__xludf.DUMMYFUNCTION("GOOGLETRANSLATE(A280, ""en"", ""hi"")"),"279")</f>
        <v>279</v>
      </c>
      <c r="G280" s="5" t="str">
        <f>IFERROR(__xludf.DUMMYFUNCTION("GOOGLETRANSLATE(B280, ""en"", ""hi"")"),"पम्बरम खेल के टुकड़े बनाने के लिए पारंपरिक रूप से किस सामग्री का उपयोग किया जाता है?")</f>
        <v>पम्बरम खेल के टुकड़े बनाने के लिए पारंपरिक रूप से किस सामग्री का उपयोग किया जाता है?</v>
      </c>
      <c r="H280" s="5" t="str">
        <f>IFERROR(__xludf.DUMMYFUNCTION("GOOGLETRANSLATE(C280, ""en"", ""hi"")"),"A) लकड़ी, B) धातु, C) प्लास्टिक, D) पत्थर")</f>
        <v>A) लकड़ी, B) धातु, C) प्लास्टिक, D) पत्थर</v>
      </c>
      <c r="I280" s="5" t="str">
        <f>IFERROR(__xludf.DUMMYFUNCTION("GOOGLETRANSLATE(D280, ""en"", ""hi"")"),"एक लकड़ी")</f>
        <v>एक लकड़ी</v>
      </c>
    </row>
    <row r="281" ht="22.5" customHeight="1">
      <c r="A281" s="7">
        <v>280.0</v>
      </c>
      <c r="B281" s="4" t="s">
        <v>5524</v>
      </c>
      <c r="C281" s="4" t="s">
        <v>5525</v>
      </c>
      <c r="D281" s="4" t="s">
        <v>5526</v>
      </c>
      <c r="F281" s="5" t="str">
        <f>IFERROR(__xludf.DUMMYFUNCTION("GOOGLETRANSLATE(A281, ""en"", ""hi"")"),"280")</f>
        <v>280</v>
      </c>
      <c r="G281" s="5" t="str">
        <f>IFERROR(__xludf.DUMMYFUNCTION("GOOGLETRANSLATE(B281, ""en"", ""hi"")"),"कौन सा शाही दरबार पम्बरम खेल को संरक्षण देने के लिए जाना जाता है?")</f>
        <v>कौन सा शाही दरबार पम्बरम खेल को संरक्षण देने के लिए जाना जाता है?</v>
      </c>
      <c r="H281" s="5" t="str">
        <f>IFERROR(__xludf.DUMMYFUNCTION("GOOGLETRANSLATE(C281, ""en"", ""hi"")"),"A) मैसूर साम्राज्य, B) हैदराबाद सल्तनत, C) मराठा साम्राज्य, D) त्रावणकोर साम्राज्य")</f>
        <v>A) मैसूर साम्राज्य, B) हैदराबाद सल्तनत, C) मराठा साम्राज्य, D) त्रावणकोर साम्राज्य</v>
      </c>
      <c r="I281" s="5" t="str">
        <f>IFERROR(__xludf.DUMMYFUNCTION("GOOGLETRANSLATE(D281, ""en"", ""hi"")"),"D) त्रावणकोर साम्राज्य")</f>
        <v>D) त्रावणकोर साम्राज्य</v>
      </c>
    </row>
    <row r="282" ht="22.5" customHeight="1">
      <c r="A282" s="7">
        <v>281.0</v>
      </c>
      <c r="B282" s="4" t="s">
        <v>5527</v>
      </c>
      <c r="C282" s="4" t="s">
        <v>5528</v>
      </c>
      <c r="D282" s="4" t="s">
        <v>4591</v>
      </c>
      <c r="F282" s="5" t="str">
        <f>IFERROR(__xludf.DUMMYFUNCTION("GOOGLETRANSLATE(A282, ""en"", ""hi"")"),"281")</f>
        <v>281</v>
      </c>
      <c r="G282" s="5" t="str">
        <f>IFERROR(__xludf.DUMMYFUNCTION("GOOGLETRANSLATE(B282, ""en"", ""hi"")"),"ऐतिहासिक भारतीय समाज में पम्बरम का प्राथमिक उद्देश्य क्या था?")</f>
        <v>ऐतिहासिक भारतीय समाज में पम्बरम का प्राथमिक उद्देश्य क्या था?</v>
      </c>
      <c r="H282" s="5" t="str">
        <f>IFERROR(__xludf.DUMMYFUNCTION("GOOGLETRANSLATE(C282, ""en"", ""hi"")"),"A) मनोरंजन, B) शिक्षा, C) अनुष्ठानिक अभ्यास, D) सैन्य प्रशिक्षण")</f>
        <v>A) मनोरंजन, B) शिक्षा, C) अनुष्ठानिक अभ्यास, D) सैन्य प्रशिक्षण</v>
      </c>
      <c r="I282" s="5" t="str">
        <f>IFERROR(__xludf.DUMMYFUNCTION("GOOGLETRANSLATE(D282, ""en"", ""hi"")"),"ए) मनोरंजन")</f>
        <v>ए) मनोरंजन</v>
      </c>
    </row>
    <row r="283" ht="22.5" customHeight="1">
      <c r="A283" s="7">
        <v>282.0</v>
      </c>
      <c r="B283" s="4" t="s">
        <v>5529</v>
      </c>
      <c r="C283" s="4" t="s">
        <v>5530</v>
      </c>
      <c r="D283" s="4" t="s">
        <v>5531</v>
      </c>
      <c r="F283" s="5" t="str">
        <f>IFERROR(__xludf.DUMMYFUNCTION("GOOGLETRANSLATE(A283, ""en"", ""hi"")"),"282")</f>
        <v>282</v>
      </c>
      <c r="G283" s="5" t="str">
        <f>IFERROR(__xludf.DUMMYFUNCTION("GOOGLETRANSLATE(B283, ""en"", ""hi"")"),"दक्षिण भारत में पम्बारम के प्रचार से कौन सा ऐतिहासिक व्यक्ति जुड़ा हुआ है?")</f>
        <v>दक्षिण भारत में पम्बारम के प्रचार से कौन सा ऐतिहासिक व्यक्ति जुड़ा हुआ है?</v>
      </c>
      <c r="H283" s="5" t="str">
        <f>IFERROR(__xludf.DUMMYFUNCTION("GOOGLETRANSLATE(C283, ""en"", ""hi"")"),"ए) राजराजा चोल प्रथम, बी) अकबर, सी) शिवाजी महाराज, डी) औरंगजेब")</f>
        <v>ए) राजराजा चोल प्रथम, बी) अकबर, सी) शिवाजी महाराज, डी) औरंगजेब</v>
      </c>
      <c r="I283" s="5" t="str">
        <f>IFERROR(__xludf.DUMMYFUNCTION("GOOGLETRANSLATE(D283, ""en"", ""hi"")"),"A) राजराजा चोल प्रथम")</f>
        <v>A) राजराजा चोल प्रथम</v>
      </c>
    </row>
    <row r="284" ht="22.5" customHeight="1">
      <c r="A284" s="7">
        <v>283.0</v>
      </c>
      <c r="B284" s="4" t="s">
        <v>5532</v>
      </c>
      <c r="C284" s="4" t="s">
        <v>5533</v>
      </c>
      <c r="D284" s="4" t="s">
        <v>5534</v>
      </c>
      <c r="F284" s="5" t="str">
        <f>IFERROR(__xludf.DUMMYFUNCTION("GOOGLETRANSLATE(A284, ""en"", ""hi"")"),"283")</f>
        <v>283</v>
      </c>
      <c r="G284" s="5" t="str">
        <f>IFERROR(__xludf.DUMMYFUNCTION("GOOGLETRANSLATE(B284, ""en"", ""hi"")"),"पम्बरम खेल बोर्ड का ऐतिहासिक महत्व क्या है?")</f>
        <v>पम्बरम खेल बोर्ड का ऐतिहासिक महत्व क्या है?</v>
      </c>
      <c r="H284" s="5" t="str">
        <f>IFERROR(__xludf.DUMMYFUNCTION("GOOGLETRANSLATE(C284, ""en"", ""hi"")"),"A) यह धन का प्रतीक है, B) यह सैन्य रणनीति का प्रतिनिधित्व करता है, C) यह कलात्मक कौशल को प्रदर्शित करता है, D) यह सामाजिक स्थिति को दर्शाता है")</f>
        <v>A) यह धन का प्रतीक है, B) यह सैन्य रणनीति का प्रतिनिधित्व करता है, C) यह कलात्मक कौशल को प्रदर्शित करता है, D) यह सामाजिक स्थिति को दर्शाता है</v>
      </c>
      <c r="I284" s="5" t="str">
        <f>IFERROR(__xludf.DUMMYFUNCTION("GOOGLETRANSLATE(D284, ""en"", ""hi"")"),"B) यह सैन्य रणनीति का प्रतिनिधित्व करता है")</f>
        <v>B) यह सैन्य रणनीति का प्रतिनिधित्व करता है</v>
      </c>
    </row>
    <row r="285" ht="22.5" customHeight="1">
      <c r="A285" s="7">
        <v>284.0</v>
      </c>
      <c r="B285" s="4" t="s">
        <v>5535</v>
      </c>
      <c r="C285" s="4" t="s">
        <v>5536</v>
      </c>
      <c r="D285" s="4" t="s">
        <v>5537</v>
      </c>
      <c r="F285" s="5" t="str">
        <f>IFERROR(__xludf.DUMMYFUNCTION("GOOGLETRANSLATE(A285, ""en"", ""hi"")"),"284")</f>
        <v>284</v>
      </c>
      <c r="G285" s="5" t="str">
        <f>IFERROR(__xludf.DUMMYFUNCTION("GOOGLETRANSLATE(B285, ""en"", ""hi"")"),"पम्बारम किस शताब्दी में दक्षिण भारत में व्यापक रूप से मान्यता प्राप्त खेल बन गया?")</f>
        <v>पम्बारम किस शताब्दी में दक्षिण भारत में व्यापक रूप से मान्यता प्राप्त खेल बन गया?</v>
      </c>
      <c r="H285" s="5" t="str">
        <f>IFERROR(__xludf.DUMMYFUNCTION("GOOGLETRANSLATE(C285, ""en"", ""hi"")"),"A) 10वीं शताब्दी, B) 12वीं शताब्दी, C) 15वीं शताब्दी, D) 18वीं शताब्दी")</f>
        <v>A) 10वीं शताब्दी, B) 12वीं शताब्दी, C) 15वीं शताब्दी, D) 18वीं शताब्दी</v>
      </c>
      <c r="I285" s="5" t="str">
        <f>IFERROR(__xludf.DUMMYFUNCTION("GOOGLETRANSLATE(D285, ""en"", ""hi"")"),"बी) 12वीं शताब्दी")</f>
        <v>बी) 12वीं शताब्दी</v>
      </c>
    </row>
    <row r="286" ht="22.5" customHeight="1">
      <c r="A286" s="7">
        <v>285.0</v>
      </c>
      <c r="B286" s="4" t="s">
        <v>5538</v>
      </c>
      <c r="C286" s="4" t="s">
        <v>5539</v>
      </c>
      <c r="D286" s="4" t="s">
        <v>5540</v>
      </c>
      <c r="F286" s="5" t="str">
        <f>IFERROR(__xludf.DUMMYFUNCTION("GOOGLETRANSLATE(A286, ""en"", ""hi"")"),"285")</f>
        <v>285</v>
      </c>
      <c r="G286" s="5" t="str">
        <f>IFERROR(__xludf.DUMMYFUNCTION("GOOGLETRANSLATE(B286, ""en"", ""hi"")"),"किस प्राचीन ग्रंथ या पांडुलिपि में पम्बरम खेल का उल्लेख है?")</f>
        <v>किस प्राचीन ग्रंथ या पांडुलिपि में पम्बरम खेल का उल्लेख है?</v>
      </c>
      <c r="H286" s="5" t="str">
        <f>IFERROR(__xludf.DUMMYFUNCTION("GOOGLETRANSLATE(C286, ""en"", ""hi"")"),"ए) अर्थशास्त्र, बी) महाभारत, सी) रामायण, डी) सिलप्पतिकारम")</f>
        <v>ए) अर्थशास्त्र, बी) महाभारत, सी) रामायण, डी) सिलप्पतिकारम</v>
      </c>
      <c r="I286" s="5" t="str">
        <f>IFERROR(__xludf.DUMMYFUNCTION("GOOGLETRANSLATE(D286, ""en"", ""hi"")"),"D) सिलप्पाटिकरम")</f>
        <v>D) सिलप्पाटिकरम</v>
      </c>
    </row>
    <row r="287" ht="22.5" customHeight="1">
      <c r="A287" s="7">
        <v>286.0</v>
      </c>
      <c r="B287" s="4" t="s">
        <v>5541</v>
      </c>
      <c r="C287" s="4" t="s">
        <v>5542</v>
      </c>
      <c r="D287" s="4" t="s">
        <v>5543</v>
      </c>
      <c r="F287" s="5" t="str">
        <f>IFERROR(__xludf.DUMMYFUNCTION("GOOGLETRANSLATE(A287, ""en"", ""hi"")"),"286")</f>
        <v>286</v>
      </c>
      <c r="G287" s="5" t="str">
        <f>IFERROR(__xludf.DUMMYFUNCTION("GOOGLETRANSLATE(B287, ""en"", ""hi"")"),"प्राचीन शैक्षिक प्रथाओं में पम्बरम की क्या भूमिका थी?")</f>
        <v>प्राचीन शैक्षिक प्रथाओं में पम्बरम की क्या भूमिका थी?</v>
      </c>
      <c r="H287" s="5" t="str">
        <f>IFERROR(__xludf.DUMMYFUNCTION("GOOGLETRANSLATE(C287, ""en"", ""hi"")"),"A) अंकगणित पढ़ाना, B) रणनीति और योजना पढ़ाना, C) लेखन कौशल पढ़ाना, D) भूगोल पढ़ाना")</f>
        <v>A) अंकगणित पढ़ाना, B) रणनीति और योजना पढ़ाना, C) लेखन कौशल पढ़ाना, D) भूगोल पढ़ाना</v>
      </c>
      <c r="I287" s="5" t="str">
        <f>IFERROR(__xludf.DUMMYFUNCTION("GOOGLETRANSLATE(D287, ""en"", ""hi"")"),"बी) शिक्षण रणनीति और योजना")</f>
        <v>बी) शिक्षण रणनीति और योजना</v>
      </c>
    </row>
    <row r="288" ht="22.5" customHeight="1">
      <c r="A288" s="7">
        <v>287.0</v>
      </c>
      <c r="B288" s="4" t="s">
        <v>5544</v>
      </c>
      <c r="C288" s="4" t="s">
        <v>5545</v>
      </c>
      <c r="D288" s="4" t="s">
        <v>5546</v>
      </c>
      <c r="F288" s="5" t="str">
        <f>IFERROR(__xludf.DUMMYFUNCTION("GOOGLETRANSLATE(A288, ""en"", ""hi"")"),"287")</f>
        <v>287</v>
      </c>
      <c r="G288" s="5" t="str">
        <f>IFERROR(__xludf.DUMMYFUNCTION("GOOGLETRANSLATE(B288, ""en"", ""hi"")"),"कौन सा प्राचीन भारतीय राजा पम्बारम के विभिन्न रूपों को शुरू करने के लिए जाना जाता है?")</f>
        <v>कौन सा प्राचीन भारतीय राजा पम्बारम के विभिन्न रूपों को शुरू करने के लिए जाना जाता है?</v>
      </c>
      <c r="H288" s="5" t="str">
        <f>IFERROR(__xludf.DUMMYFUNCTION("GOOGLETRANSLATE(C288, ""en"", ""hi"")"),"A) अशोक, B) चंद्रगुप्त मौर्य, C) कृष्णदेव राय, D) हर्ष")</f>
        <v>A) अशोक, B) चंद्रगुप्त मौर्य, C) कृष्णदेव राय, D) हर्ष</v>
      </c>
      <c r="I288" s="5" t="str">
        <f>IFERROR(__xludf.DUMMYFUNCTION("GOOGLETRANSLATE(D288, ""en"", ""hi"")"),"C) कृष्ण देव राय")</f>
        <v>C) कृष्ण देव राय</v>
      </c>
    </row>
    <row r="289" ht="22.5" customHeight="1">
      <c r="A289" s="7">
        <v>288.0</v>
      </c>
      <c r="B289" s="4" t="s">
        <v>5547</v>
      </c>
      <c r="C289" s="4" t="s">
        <v>5548</v>
      </c>
      <c r="D289" s="4" t="s">
        <v>5549</v>
      </c>
      <c r="F289" s="5" t="str">
        <f>IFERROR(__xludf.DUMMYFUNCTION("GOOGLETRANSLATE(A289, ""en"", ""hi"")"),"288")</f>
        <v>288</v>
      </c>
      <c r="G289" s="5" t="str">
        <f>IFERROR(__xludf.DUMMYFUNCTION("GOOGLETRANSLATE(B289, ""en"", ""hi"")"),"पम्बाराम का कौन सा पहलू इसकी ऐतिहासिक जड़ों को दर्शाता है?")</f>
        <v>पम्बाराम का कौन सा पहलू इसकी ऐतिहासिक जड़ों को दर्शाता है?</v>
      </c>
      <c r="H289" s="5" t="str">
        <f>IFERROR(__xludf.DUMMYFUNCTION("GOOGLETRANSLATE(C289, ""en"", ""hi"")"),"A) अनुष्ठानों में इसका उपयोग, B) समय के साथ इसका विकास, C) आधुनिक खेलों पर इसका प्रभाव, D) इसकी क्षेत्रीय विविधताएँ")</f>
        <v>A) अनुष्ठानों में इसका उपयोग, B) समय के साथ इसका विकास, C) आधुनिक खेलों पर इसका प्रभाव, D) इसकी क्षेत्रीय विविधताएँ</v>
      </c>
      <c r="I289" s="5" t="str">
        <f>IFERROR(__xludf.DUMMYFUNCTION("GOOGLETRANSLATE(D289, ""en"", ""hi"")"),"बी) समय के साथ इसका विकास")</f>
        <v>बी) समय के साथ इसका विकास</v>
      </c>
    </row>
    <row r="290" ht="22.5" customHeight="1">
      <c r="A290" s="7">
        <v>289.0</v>
      </c>
      <c r="B290" s="4" t="s">
        <v>5550</v>
      </c>
      <c r="C290" s="4" t="s">
        <v>5551</v>
      </c>
      <c r="D290" s="4" t="s">
        <v>5552</v>
      </c>
      <c r="F290" s="5" t="str">
        <f>IFERROR(__xludf.DUMMYFUNCTION("GOOGLETRANSLATE(A290, ""en"", ""hi"")"),"289")</f>
        <v>289</v>
      </c>
      <c r="G290" s="5" t="str">
        <f>IFERROR(__xludf.DUMMYFUNCTION("GOOGLETRANSLATE(B290, ""en"", ""hi"")"),"ऐतिहासिक समय में पम्बरम बजाने की पारंपरिक पृष्ठभूमि क्या है?")</f>
        <v>ऐतिहासिक समय में पम्बरम बजाने की पारंपरिक पृष्ठभूमि क्या है?</v>
      </c>
      <c r="H290" s="5" t="str">
        <f>IFERROR(__xludf.DUMMYFUNCTION("GOOGLETRANSLATE(C290, ""en"", ""hi"")"),"A) मंदिर, B) शाही दरबार, C) गाँव के चौराहे, D) शैक्षणिक संस्थान")</f>
        <v>A) मंदिर, B) शाही दरबार, C) गाँव के चौराहे, D) शैक्षणिक संस्थान</v>
      </c>
      <c r="I290" s="5" t="str">
        <f>IFERROR(__xludf.DUMMYFUNCTION("GOOGLETRANSLATE(D290, ""en"", ""hi"")"),"C) गाँव के चौराहे")</f>
        <v>C) गाँव के चौराहे</v>
      </c>
    </row>
    <row r="291" ht="22.5" customHeight="1">
      <c r="A291" s="7">
        <v>290.0</v>
      </c>
      <c r="B291" s="4" t="s">
        <v>5553</v>
      </c>
      <c r="C291" s="4" t="s">
        <v>5554</v>
      </c>
      <c r="D291" s="4" t="s">
        <v>5555</v>
      </c>
      <c r="F291" s="5" t="str">
        <f>IFERROR(__xludf.DUMMYFUNCTION("GOOGLETRANSLATE(A291, ""en"", ""hi"")"),"290")</f>
        <v>290</v>
      </c>
      <c r="G291" s="5" t="str">
        <f>IFERROR(__xludf.DUMMYFUNCTION("GOOGLETRANSLATE(B291, ""en"", ""hi"")"),"ऐतिहासिक रूप से पम्बाराम का सामाजिक संपर्क के साधन के रूप में किस प्रकार उपयोग किया जाता था?")</f>
        <v>ऐतिहासिक रूप से पम्बाराम का सामाजिक संपर्क के साधन के रूप में किस प्रकार उपयोग किया जाता था?</v>
      </c>
      <c r="H291" s="5" t="str">
        <f>IFERROR(__xludf.DUMMYFUNCTION("GOOGLETRANSLATE(C291, ""en"", ""hi"")"),"A) प्रतियोगिताओं के माध्यम से, B) कहानी सुनाने के माध्यम से, C) धार्मिक अनुष्ठानों के माध्यम से, D) व्यापार के माध्यम से")</f>
        <v>A) प्रतियोगिताओं के माध्यम से, B) कहानी सुनाने के माध्यम से, C) धार्मिक अनुष्ठानों के माध्यम से, D) व्यापार के माध्यम से</v>
      </c>
      <c r="I291" s="5" t="str">
        <f>IFERROR(__xludf.DUMMYFUNCTION("GOOGLETRANSLATE(D291, ""en"", ""hi"")"),"A) प्रतियोगिताओं के माध्यम से")</f>
        <v>A) प्रतियोगिताओं के माध्यम से</v>
      </c>
    </row>
    <row r="292" ht="22.5" customHeight="1">
      <c r="A292" s="7">
        <v>291.0</v>
      </c>
      <c r="B292" s="4" t="s">
        <v>5556</v>
      </c>
      <c r="C292" s="4" t="s">
        <v>5557</v>
      </c>
      <c r="D292" s="4" t="s">
        <v>5558</v>
      </c>
      <c r="F292" s="5" t="str">
        <f>IFERROR(__xludf.DUMMYFUNCTION("GOOGLETRANSLATE(A292, ""en"", ""hi"")"),"291")</f>
        <v>291</v>
      </c>
      <c r="G292" s="5" t="str">
        <f>IFERROR(__xludf.DUMMYFUNCTION("GOOGLETRANSLATE(B292, ""en"", ""hi"")"),"कौन सा ऐतिहासिक दस्तावेज़ पम्बाराम के नियमों की जानकारी देता है?")</f>
        <v>कौन सा ऐतिहासिक दस्तावेज़ पम्बाराम के नियमों की जानकारी देता है?</v>
      </c>
      <c r="H292" s="5" t="str">
        <f>IFERROR(__xludf.DUMMYFUNCTION("GOOGLETRANSLATE(C292, ""en"", ""hi"")"),"ए) नाट्यशास्त्र, बी) मनुस्मृति, सी) राजतरंगिणी, डी) अर्थशास्त्र")</f>
        <v>ए) नाट्यशास्त्र, बी) मनुस्मृति, सी) राजतरंगिणी, डी) अर्थशास्त्र</v>
      </c>
      <c r="I292" s="5" t="str">
        <f>IFERROR(__xludf.DUMMYFUNCTION("GOOGLETRANSLATE(D292, ""en"", ""hi"")"),"C) राजतरंगिणी")</f>
        <v>C) राजतरंगिणी</v>
      </c>
    </row>
    <row r="293" ht="22.5" customHeight="1">
      <c r="A293" s="7">
        <v>292.0</v>
      </c>
      <c r="B293" s="4" t="s">
        <v>5559</v>
      </c>
      <c r="C293" s="4" t="s">
        <v>5560</v>
      </c>
      <c r="D293" s="4" t="s">
        <v>644</v>
      </c>
      <c r="F293" s="5" t="str">
        <f>IFERROR(__xludf.DUMMYFUNCTION("GOOGLETRANSLATE(A293, ""en"", ""hi"")"),"292")</f>
        <v>292</v>
      </c>
      <c r="G293" s="5" t="str">
        <f>IFERROR(__xludf.DUMMYFUNCTION("GOOGLETRANSLATE(B293, ""en"", ""hi"")"),"पम्बरम के विकास पर किन ऐतिहासिक परिवर्तनों का प्रभाव पड़ा है?")</f>
        <v>पम्बरम के विकास पर किन ऐतिहासिक परिवर्तनों का प्रभाव पड़ा है?</v>
      </c>
      <c r="H293" s="5" t="str">
        <f>IFERROR(__xludf.DUMMYFUNCTION("GOOGLETRANSLATE(C293, ""en"", ""hi"")"),"A) शाही संरक्षण में परिवर्तन, B) प्रयुक्त सामग्रियों में उन्नति, C) अन्य खेलों का प्रभाव, D) उपरोक्त सभी")</f>
        <v>A) शाही संरक्षण में परिवर्तन, B) प्रयुक्त सामग्रियों में उन्नति, C) अन्य खेलों का प्रभाव, D) उपरोक्त सभी</v>
      </c>
      <c r="I293" s="5" t="str">
        <f>IFERROR(__xludf.DUMMYFUNCTION("GOOGLETRANSLATE(D293, ""en"", ""hi"")"),"D। उपरोक्त सभी")</f>
        <v>D। उपरोक्त सभी</v>
      </c>
    </row>
    <row r="294" ht="22.5" customHeight="1">
      <c r="A294" s="7">
        <v>293.0</v>
      </c>
      <c r="B294" s="4" t="s">
        <v>5561</v>
      </c>
      <c r="C294" s="4" t="s">
        <v>4071</v>
      </c>
      <c r="D294" s="4" t="s">
        <v>205</v>
      </c>
      <c r="F294" s="5" t="str">
        <f>IFERROR(__xludf.DUMMYFUNCTION("GOOGLETRANSLATE(A294, ""en"", ""hi"")"),"293")</f>
        <v>293</v>
      </c>
      <c r="G294" s="5" t="str">
        <f>IFERROR(__xludf.DUMMYFUNCTION("GOOGLETRANSLATE(B294, ""en"", ""hi"")"),"दक्षिण भारत का कौन सा क्षेत्र ऐतिहासिक रूप से अपने पम्बरम टूर्नामेंट के लिए विशेष रूप से प्रसिद्ध है?")</f>
        <v>दक्षिण भारत का कौन सा क्षेत्र ऐतिहासिक रूप से अपने पम्बरम टूर्नामेंट के लिए विशेष रूप से प्रसिद्ध है?</v>
      </c>
      <c r="H294" s="5" t="str">
        <f>IFERROR(__xludf.DUMMYFUNCTION("GOOGLETRANSLATE(C294, ""en"", ""hi"")"),"A) तमिलनाडु, B) कर्नाटक, C) केरल, D) आंध्र प्रदेश")</f>
        <v>A) तमिलनाडु, B) कर्नाटक, C) केरल, D) आंध्र प्रदेश</v>
      </c>
      <c r="I294" s="5" t="str">
        <f>IFERROR(__xludf.DUMMYFUNCTION("GOOGLETRANSLATE(D294, ""en"", ""hi"")"),"A) तमिलनाडु")</f>
        <v>A) तमिलनाडु</v>
      </c>
    </row>
    <row r="295" ht="22.5" customHeight="1">
      <c r="A295" s="7">
        <v>294.0</v>
      </c>
      <c r="B295" s="4" t="s">
        <v>5562</v>
      </c>
      <c r="C295" s="4" t="s">
        <v>5563</v>
      </c>
      <c r="D295" s="4" t="s">
        <v>5564</v>
      </c>
      <c r="F295" s="5" t="str">
        <f>IFERROR(__xludf.DUMMYFUNCTION("GOOGLETRANSLATE(A295, ""en"", ""hi"")"),"294")</f>
        <v>294</v>
      </c>
      <c r="G295" s="5" t="str">
        <f>IFERROR(__xludf.DUMMYFUNCTION("GOOGLETRANSLATE(B295, ""en"", ""hi"")"),"प्राचीन दक्षिण भारतीय त्योहारों में पम्बरम की क्या भूमिका थी?")</f>
        <v>प्राचीन दक्षिण भारतीय त्योहारों में पम्बरम की क्या भूमिका थी?</v>
      </c>
      <c r="H295" s="5" t="str">
        <f>IFERROR(__xludf.DUMMYFUNCTION("GOOGLETRANSLATE(C295, ""en"", ""hi"")"),"A) अनुष्ठानिक महत्व, B) त्योहारों के दौरान मनोरंजन, C) शैक्षिक प्रदर्शन, D) कोई नहीं")</f>
        <v>A) अनुष्ठानिक महत्व, B) त्योहारों के दौरान मनोरंजन, C) शैक्षिक प्रदर्शन, D) कोई नहीं</v>
      </c>
      <c r="I295" s="5" t="str">
        <f>IFERROR(__xludf.DUMMYFUNCTION("GOOGLETRANSLATE(D295, ""en"", ""hi"")"),"बी) त्योहारों के दौरान मनोरंजन")</f>
        <v>बी) त्योहारों के दौरान मनोरंजन</v>
      </c>
    </row>
    <row r="296" ht="22.5" customHeight="1">
      <c r="A296" s="7">
        <v>295.0</v>
      </c>
      <c r="B296" s="4" t="s">
        <v>5565</v>
      </c>
      <c r="C296" s="4" t="s">
        <v>5566</v>
      </c>
      <c r="D296" s="4" t="s">
        <v>5567</v>
      </c>
      <c r="F296" s="5" t="str">
        <f>IFERROR(__xludf.DUMMYFUNCTION("GOOGLETRANSLATE(A296, ""en"", ""hi"")"),"295")</f>
        <v>295</v>
      </c>
      <c r="G296" s="5" t="str">
        <f>IFERROR(__xludf.DUMMYFUNCTION("GOOGLETRANSLATE(B296, ""en"", ""hi"")"),"कौन सा ऐतिहासिक साक्ष्य शाही दरबारों में पम्बरम के प्रयोग का सुझाव देता है?")</f>
        <v>कौन सा ऐतिहासिक साक्ष्य शाही दरबारों में पम्बरम के प्रयोग का सुझाव देता है?</v>
      </c>
      <c r="H296" s="5" t="str">
        <f>IFERROR(__xludf.DUMMYFUNCTION("GOOGLETRANSLATE(C296, ""en"", ""hi"")"),"A) प्राचीन पांडुलिपियाँ, B) शाही फरमान, C) पुरातात्विक खोजें, D) चित्रकारी")</f>
        <v>A) प्राचीन पांडुलिपियाँ, B) शाही फरमान, C) पुरातात्विक खोजें, D) चित्रकारी</v>
      </c>
      <c r="I296" s="5" t="str">
        <f>IFERROR(__xludf.DUMMYFUNCTION("GOOGLETRANSLATE(D296, ""en"", ""hi"")"),"C) पुरातात्विक खोजें")</f>
        <v>C) पुरातात्विक खोजें</v>
      </c>
    </row>
    <row r="297" ht="22.5" customHeight="1">
      <c r="A297" s="7">
        <v>296.0</v>
      </c>
      <c r="B297" s="4" t="s">
        <v>5568</v>
      </c>
      <c r="C297" s="4" t="s">
        <v>5569</v>
      </c>
      <c r="D297" s="4" t="s">
        <v>3898</v>
      </c>
      <c r="F297" s="5" t="str">
        <f>IFERROR(__xludf.DUMMYFUNCTION("GOOGLETRANSLATE(A297, ""en"", ""hi"")"),"296")</f>
        <v>296</v>
      </c>
      <c r="G297" s="5" t="str">
        <f>IFERROR(__xludf.DUMMYFUNCTION("GOOGLETRANSLATE(B297, ""en"", ""hi"")"),"कौन सी पारंपरिक कला शैली पम्बरम खेल से निकटता से जुड़ी हुई है?")</f>
        <v>कौन सी पारंपरिक कला शैली पम्बरम खेल से निकटता से जुड़ी हुई है?</v>
      </c>
      <c r="H297" s="5" t="str">
        <f>IFERROR(__xludf.DUMMYFUNCTION("GOOGLETRANSLATE(C297, ""en"", ""hi"")"),"ए) भरतनाट्यम, बी) कथकली, सी) कठपुतली, डी) कूडियाट्टम")</f>
        <v>ए) भरतनाट्यम, बी) कथकली, सी) कठपुतली, डी) कूडियाट्टम</v>
      </c>
      <c r="I297" s="5" t="str">
        <f>IFERROR(__xludf.DUMMYFUNCTION("GOOGLETRANSLATE(D297, ""en"", ""hi"")"),"A) भरतनाट्यम")</f>
        <v>A) भरतनाट्यम</v>
      </c>
    </row>
    <row r="298" ht="22.5" customHeight="1">
      <c r="A298" s="7">
        <v>297.0</v>
      </c>
      <c r="B298" s="4" t="s">
        <v>5570</v>
      </c>
      <c r="C298" s="4" t="s">
        <v>5571</v>
      </c>
      <c r="D298" s="4" t="s">
        <v>5572</v>
      </c>
      <c r="F298" s="5" t="str">
        <f>IFERROR(__xludf.DUMMYFUNCTION("GOOGLETRANSLATE(A298, ""en"", ""hi"")"),"297")</f>
        <v>297</v>
      </c>
      <c r="G298" s="5" t="str">
        <f>IFERROR(__xludf.DUMMYFUNCTION("GOOGLETRANSLATE(B298, ""en"", ""hi"")"),"दक्षिण भारतीय साहित्य में पम्बरम का चित्रण किस ऐतिहासिक काल में किया गया?")</f>
        <v>दक्षिण भारतीय साहित्य में पम्बरम का चित्रण किस ऐतिहासिक काल में किया गया?</v>
      </c>
      <c r="H298" s="5" t="str">
        <f>IFERROR(__xludf.DUMMYFUNCTION("GOOGLETRANSLATE(C298, ""en"", ""hi"")"),"A) संगम काल, B) गुप्त काल, C) विजयनगर काल, D) चोल काल")</f>
        <v>A) संगम काल, B) गुप्त काल, C) विजयनगर काल, D) चोल काल</v>
      </c>
      <c r="I298" s="5" t="str">
        <f>IFERROR(__xludf.DUMMYFUNCTION("GOOGLETRANSLATE(D298, ""en"", ""hi"")"),"A) संगम काल")</f>
        <v>A) संगम काल</v>
      </c>
    </row>
    <row r="299" ht="22.5" customHeight="1">
      <c r="A299" s="7">
        <v>298.0</v>
      </c>
      <c r="B299" s="4" t="s">
        <v>5573</v>
      </c>
      <c r="C299" s="4" t="s">
        <v>5574</v>
      </c>
      <c r="D299" s="4" t="s">
        <v>5575</v>
      </c>
      <c r="F299" s="5" t="str">
        <f>IFERROR(__xludf.DUMMYFUNCTION("GOOGLETRANSLATE(A299, ""en"", ""hi"")"),"298")</f>
        <v>298</v>
      </c>
      <c r="G299" s="5" t="str">
        <f>IFERROR(__xludf.DUMMYFUNCTION("GOOGLETRANSLATE(B299, ""en"", ""hi"")"),"कौन सी ऐतिहासिक कलाकृति में लोगों को पम्बरम खेलते हुए दिखाया गया है?")</f>
        <v>कौन सी ऐतिहासिक कलाकृति में लोगों को पम्बरम खेलते हुए दिखाया गया है?</v>
      </c>
      <c r="H299" s="5" t="str">
        <f>IFERROR(__xludf.DUMMYFUNCTION("GOOGLETRANSLATE(C299, ""en"", ""hi"")"),"A) मंदिरों की नक्काशी, B) प्राचीन सिक्के, C) मिट्टी के बर्तन, D) पांडुलिपियाँ")</f>
        <v>A) मंदिरों की नक्काशी, B) प्राचीन सिक्के, C) मिट्टी के बर्तन, D) पांडुलिपियाँ</v>
      </c>
      <c r="I299" s="5" t="str">
        <f>IFERROR(__xludf.DUMMYFUNCTION("GOOGLETRANSLATE(D299, ""en"", ""hi"")"),"A) मंदिर की नक्काशी")</f>
        <v>A) मंदिर की नक्काशी</v>
      </c>
    </row>
    <row r="300" ht="22.5" customHeight="1">
      <c r="A300" s="7">
        <v>299.0</v>
      </c>
      <c r="B300" s="4" t="s">
        <v>5576</v>
      </c>
      <c r="C300" s="4" t="s">
        <v>5577</v>
      </c>
      <c r="D300" s="4" t="s">
        <v>5578</v>
      </c>
      <c r="F300" s="5" t="str">
        <f>IFERROR(__xludf.DUMMYFUNCTION("GOOGLETRANSLATE(A300, ""en"", ""hi"")"),"299")</f>
        <v>299</v>
      </c>
      <c r="G300" s="5" t="str">
        <f>IFERROR(__xludf.DUMMYFUNCTION("GOOGLETRANSLATE(B300, ""en"", ""hi"")"),"कौन सा ऐतिहासिक राजा अपनी प्रजा के बीच पम्बरम को लोकप्रिय बनाने के लिए जाना जाता है?")</f>
        <v>कौन सा ऐतिहासिक राजा अपनी प्रजा के बीच पम्बरम को लोकप्रिय बनाने के लिए जाना जाता है?</v>
      </c>
      <c r="H300" s="5" t="str">
        <f>IFERROR(__xludf.DUMMYFUNCTION("GOOGLETRANSLATE(C300, ""en"", ""hi"")"),"ए) राजेंद्र चोल प्रथम, बी) रणजीत सिंह, सी) अकबर, डी) टीपू सुल्तान")</f>
        <v>ए) राजेंद्र चोल प्रथम, बी) रणजीत सिंह, सी) अकबर, डी) टीपू सुल्तान</v>
      </c>
      <c r="I300" s="5" t="str">
        <f>IFERROR(__xludf.DUMMYFUNCTION("GOOGLETRANSLATE(D300, ""en"", ""hi"")"),"A) राजेंद्र चोल प्रथम")</f>
        <v>A) राजेंद्र चोल प्रथम</v>
      </c>
    </row>
    <row r="301" ht="22.5" customHeight="1">
      <c r="A301" s="7">
        <v>300.0</v>
      </c>
      <c r="B301" s="4" t="s">
        <v>5579</v>
      </c>
      <c r="C301" s="4" t="s">
        <v>5580</v>
      </c>
      <c r="D301" s="4" t="s">
        <v>5581</v>
      </c>
      <c r="F301" s="5" t="str">
        <f>IFERROR(__xludf.DUMMYFUNCTION("GOOGLETRANSLATE(A301, ""en"", ""hi"")"),"300")</f>
        <v>300</v>
      </c>
      <c r="G301" s="5" t="str">
        <f>IFERROR(__xludf.DUMMYFUNCTION("GOOGLETRANSLATE(B301, ""en"", ""hi"")"),"किस ऐतिहासिक बदलाव के कारण पम्बारम का एक प्रमुख खेल के रूप में पतन हो गया?")</f>
        <v>किस ऐतिहासिक बदलाव के कारण पम्बारम का एक प्रमुख खेल के रूप में पतन हो गया?</v>
      </c>
      <c r="H301" s="5" t="str">
        <f>IFERROR(__xludf.DUMMYFUNCTION("GOOGLETRANSLATE(C301, ""en"", ""hi"")"),"A) औपनिवेशिक शासन, B) औद्योगीकरण, C) आधुनिकीकरण, D) युद्ध")</f>
        <v>A) औपनिवेशिक शासन, B) औद्योगीकरण, C) आधुनिकीकरण, D) युद्ध</v>
      </c>
      <c r="I301" s="5" t="str">
        <f>IFERROR(__xludf.DUMMYFUNCTION("GOOGLETRANSLATE(D301, ""en"", ""hi"")"),"A) औपनिवेशिक शासन")</f>
        <v>A) औपनिवेशिक शासन</v>
      </c>
    </row>
    <row r="302" ht="22.5" customHeight="1">
      <c r="A302" s="7">
        <v>301.0</v>
      </c>
      <c r="B302" s="4" t="s">
        <v>5582</v>
      </c>
      <c r="C302" s="4" t="s">
        <v>5583</v>
      </c>
      <c r="D302" s="4" t="s">
        <v>5584</v>
      </c>
      <c r="F302" s="5" t="str">
        <f>IFERROR(__xludf.DUMMYFUNCTION("GOOGLETRANSLATE(A302, ""en"", ""hi"")"),"301")</f>
        <v>301</v>
      </c>
      <c r="G302" s="5" t="str">
        <f>IFERROR(__xludf.DUMMYFUNCTION("GOOGLETRANSLATE(B302, ""en"", ""hi"")"),"किस प्राचीन दक्षिण भारतीय राज्य में पम्बाराम का प्रयोग रणनीति के लिए प्रशिक्षण उपकरण के रूप में किया जाता था?")</f>
        <v>किस प्राचीन दक्षिण भारतीय राज्य में पम्बाराम का प्रयोग रणनीति के लिए प्रशिक्षण उपकरण के रूप में किया जाता था?</v>
      </c>
      <c r="H302" s="5" t="str">
        <f>IFERROR(__xludf.DUMMYFUNCTION("GOOGLETRANSLATE(C302, ""en"", ""hi"")"),"A) चोल साम्राज्य, B) विजयनगर साम्राज्य, C) चेर साम्राज्य, D) पांड्य साम्राज्य")</f>
        <v>A) चोल साम्राज्य, B) विजयनगर साम्राज्य, C) चेर साम्राज्य, D) पांड्य साम्राज्य</v>
      </c>
      <c r="I302" s="5" t="str">
        <f>IFERROR(__xludf.DUMMYFUNCTION("GOOGLETRANSLATE(D302, ""en"", ""hi"")"),"बी) विजयनगर साम्राज्य")</f>
        <v>बी) विजयनगर साम्राज्य</v>
      </c>
    </row>
    <row r="303" ht="22.5" customHeight="1">
      <c r="A303" s="7">
        <v>302.0</v>
      </c>
      <c r="B303" s="4" t="s">
        <v>5585</v>
      </c>
      <c r="C303" s="4" t="s">
        <v>5586</v>
      </c>
      <c r="D303" s="4" t="s">
        <v>5587</v>
      </c>
      <c r="F303" s="5" t="str">
        <f>IFERROR(__xludf.DUMMYFUNCTION("GOOGLETRANSLATE(A303, ""en"", ""hi"")"),"302")</f>
        <v>302</v>
      </c>
      <c r="G303" s="5" t="str">
        <f>IFERROR(__xludf.DUMMYFUNCTION("GOOGLETRANSLATE(B303, ""en"", ""hi"")"),"ऐतिहासिक पारिवारिक समारोहों में पम्बरम का पारंपरिक महत्व क्या है?")</f>
        <v>ऐतिहासिक पारिवारिक समारोहों में पम्बरम का पारंपरिक महत्व क्या है?</v>
      </c>
      <c r="H303" s="5" t="str">
        <f>IFERROR(__xludf.DUMMYFUNCTION("GOOGLETRANSLATE(C303, ""en"", ""hi"")"),"A) पारिवारिक बंधन को बढ़ावा देना, B) कौशल का प्रदर्शन करना, C) इतिहास पढ़ाना, D) मेहमानों का मनोरंजन करना")</f>
        <v>A) पारिवारिक बंधन को बढ़ावा देना, B) कौशल का प्रदर्शन करना, C) इतिहास पढ़ाना, D) मेहमानों का मनोरंजन करना</v>
      </c>
      <c r="I303" s="5" t="str">
        <f>IFERROR(__xludf.DUMMYFUNCTION("GOOGLETRANSLATE(D303, ""en"", ""hi"")"),"A) पारिवारिक बंधन को बढ़ावा देना")</f>
        <v>A) पारिवारिक बंधन को बढ़ावा देना</v>
      </c>
    </row>
    <row r="304" ht="22.5" customHeight="1">
      <c r="A304" s="7">
        <v>303.0</v>
      </c>
      <c r="B304" s="4" t="s">
        <v>5588</v>
      </c>
      <c r="C304" s="4" t="s">
        <v>5589</v>
      </c>
      <c r="D304" s="4" t="s">
        <v>5590</v>
      </c>
      <c r="F304" s="5" t="str">
        <f>IFERROR(__xludf.DUMMYFUNCTION("GOOGLETRANSLATE(A304, ""en"", ""hi"")"),"303")</f>
        <v>303</v>
      </c>
      <c r="G304" s="5" t="str">
        <f>IFERROR(__xludf.DUMMYFUNCTION("GOOGLETRANSLATE(B304, ""en"", ""hi"")"),"कौन सा ऐतिहासिक स्रोत पम्बरम नियमों और रणनीतियों का विस्तृत विवरण प्रदान करता है?")</f>
        <v>कौन सा ऐतिहासिक स्रोत पम्बरम नियमों और रणनीतियों का विस्तृत विवरण प्रदान करता है?</v>
      </c>
      <c r="H304" s="5" t="str">
        <f>IFERROR(__xludf.DUMMYFUNCTION("GOOGLETRANSLATE(C304, ""en"", ""hi"")"),"A) ऐतिहासिक पांडुलिपियाँ, B) शाही फरमान, C) व्यापार अभिलेख, D) मंदिर शिलालेख")</f>
        <v>A) ऐतिहासिक पांडुलिपियाँ, B) शाही फरमान, C) व्यापार अभिलेख, D) मंदिर शिलालेख</v>
      </c>
      <c r="I304" s="5" t="str">
        <f>IFERROR(__xludf.DUMMYFUNCTION("GOOGLETRANSLATE(D304, ""en"", ""hi"")"),"ए) ऐतिहासिक पांडुलिपियाँ")</f>
        <v>ए) ऐतिहासिक पांडुलिपियाँ</v>
      </c>
    </row>
    <row r="305" ht="22.5" customHeight="1">
      <c r="A305" s="7">
        <v>304.0</v>
      </c>
      <c r="B305" s="4" t="s">
        <v>5591</v>
      </c>
      <c r="C305" s="4" t="s">
        <v>5592</v>
      </c>
      <c r="D305" s="4" t="s">
        <v>5593</v>
      </c>
      <c r="F305" s="5" t="str">
        <f>IFERROR(__xludf.DUMMYFUNCTION("GOOGLETRANSLATE(A305, ""en"", ""hi"")"),"304")</f>
        <v>304</v>
      </c>
      <c r="G305" s="5" t="str">
        <f>IFERROR(__xludf.DUMMYFUNCTION("GOOGLETRANSLATE(B305, ""en"", ""hi"")"),"पारंपरिक दक्षिण भारतीय शाही शिक्षा में पम्बरम की क्या भूमिका थी?")</f>
        <v>पारंपरिक दक्षिण भारतीय शाही शिक्षा में पम्बरम की क्या भूमिका थी?</v>
      </c>
      <c r="H305" s="5" t="str">
        <f>IFERROR(__xludf.DUMMYFUNCTION("GOOGLETRANSLATE(C305, ""en"", ""hi"")"),"A) कूटनीति पढ़ाना, B) सैन्य रणनीति पढ़ाना, C) प्रशासन पढ़ाना, D) कला पढ़ाना")</f>
        <v>A) कूटनीति पढ़ाना, B) सैन्य रणनीति पढ़ाना, C) प्रशासन पढ़ाना, D) कला पढ़ाना</v>
      </c>
      <c r="I305" s="5" t="str">
        <f>IFERROR(__xludf.DUMMYFUNCTION("GOOGLETRANSLATE(D305, ""en"", ""hi"")"),"बी) सैन्य रणनीति सिखाना")</f>
        <v>बी) सैन्य रणनीति सिखाना</v>
      </c>
    </row>
    <row r="306" ht="22.5" customHeight="1">
      <c r="A306" s="7">
        <v>305.0</v>
      </c>
      <c r="B306" s="4" t="s">
        <v>5594</v>
      </c>
      <c r="C306" s="4" t="s">
        <v>5595</v>
      </c>
      <c r="D306" s="4" t="s">
        <v>5596</v>
      </c>
      <c r="F306" s="5" t="str">
        <f>IFERROR(__xludf.DUMMYFUNCTION("GOOGLETRANSLATE(A306, ""en"", ""hi"")"),"305")</f>
        <v>305</v>
      </c>
      <c r="G306" s="5" t="str">
        <f>IFERROR(__xludf.DUMMYFUNCTION("GOOGLETRANSLATE(B306, ""en"", ""hi"")"),"पम्बरम जैसे पारंपरिक खेलों को पुनर्जीवित करने के लिए किस ऐतिहासिक व्यक्ति को जाना जाता है?")</f>
        <v>पम्बरम जैसे पारंपरिक खेलों को पुनर्जीवित करने के लिए किस ऐतिहासिक व्यक्ति को जाना जाता है?</v>
      </c>
      <c r="H306" s="5" t="str">
        <f>IFERROR(__xludf.DUMMYFUNCTION("GOOGLETRANSLATE(C306, ""en"", ""hi"")"),"ए) रणजीत सिंह, बी) स्वाति थिरुनल, सी) अशोक, डी) छत्रपति शिवाजी")</f>
        <v>ए) रणजीत सिंह, बी) स्वाति थिरुनल, सी) अशोक, डी) छत्रपति शिवाजी</v>
      </c>
      <c r="I306" s="5" t="str">
        <f>IFERROR(__xludf.DUMMYFUNCTION("GOOGLETRANSLATE(D306, ""en"", ""hi"")"),"बी) स्वाति थिरुनल")</f>
        <v>बी) स्वाति थिरुनल</v>
      </c>
    </row>
    <row r="307" ht="22.5" customHeight="1">
      <c r="A307" s="7">
        <v>306.0</v>
      </c>
      <c r="B307" s="4" t="s">
        <v>5562</v>
      </c>
      <c r="C307" s="4" t="s">
        <v>5597</v>
      </c>
      <c r="D307" s="4" t="s">
        <v>5598</v>
      </c>
      <c r="F307" s="5" t="str">
        <f>IFERROR(__xludf.DUMMYFUNCTION("GOOGLETRANSLATE(A307, ""en"", ""hi"")"),"306")</f>
        <v>306</v>
      </c>
      <c r="G307" s="5" t="str">
        <f>IFERROR(__xludf.DUMMYFUNCTION("GOOGLETRANSLATE(B307, ""en"", ""hi"")"),"प्राचीन दक्षिण भारतीय त्योहारों में पम्बरम की क्या भूमिका थी?")</f>
        <v>प्राचीन दक्षिण भारतीय त्योहारों में पम्बरम की क्या भूमिका थी?</v>
      </c>
      <c r="H307" s="5" t="str">
        <f>IFERROR(__xludf.DUMMYFUNCTION("GOOGLETRANSLATE(C307, ""en"", ""hi"")"),"A) प्रतिस्पर्धी खेल, B) अनुष्ठानिक अभ्यास, C) धार्मिक अर्पण, D) कलात्मक प्रदर्शन")</f>
        <v>A) प्रतिस्पर्धी खेल, B) अनुष्ठानिक अभ्यास, C) धार्मिक अर्पण, D) कलात्मक प्रदर्शन</v>
      </c>
      <c r="I307" s="5" t="str">
        <f>IFERROR(__xludf.DUMMYFUNCTION("GOOGLETRANSLATE(D307, ""en"", ""hi"")"),"ए) प्रतिस्पर्धी खेल")</f>
        <v>ए) प्रतिस्पर्धी खेल</v>
      </c>
    </row>
    <row r="308" ht="22.5" customHeight="1">
      <c r="A308" s="7">
        <v>307.0</v>
      </c>
      <c r="B308" s="4" t="s">
        <v>5599</v>
      </c>
      <c r="C308" s="4" t="s">
        <v>5600</v>
      </c>
      <c r="D308" s="4" t="s">
        <v>5601</v>
      </c>
      <c r="F308" s="5" t="str">
        <f>IFERROR(__xludf.DUMMYFUNCTION("GOOGLETRANSLATE(A308, ""en"", ""hi"")"),"307")</f>
        <v>307</v>
      </c>
      <c r="G308" s="5" t="str">
        <f>IFERROR(__xludf.DUMMYFUNCTION("GOOGLETRANSLATE(B308, ""en"", ""hi"")"),"कौन सा ऐतिहासिक ग्रंथ सदियों से पम्बाराम के विकास का वर्णन करता है?")</f>
        <v>कौन सा ऐतिहासिक ग्रंथ सदियों से पम्बाराम के विकास का वर्णन करता है?</v>
      </c>
      <c r="H308" s="5" t="str">
        <f>IFERROR(__xludf.DUMMYFUNCTION("GOOGLETRANSLATE(C308, ""en"", ""hi"")"),"ए) नाट्यशास्त्र, बी) ब्राह्मण, सी) पुराण, डी) अर्थशास्त्र")</f>
        <v>ए) नाट्यशास्त्र, बी) ब्राह्मण, सी) पुराण, डी) अर्थशास्त्र</v>
      </c>
      <c r="I308" s="5" t="str">
        <f>IFERROR(__xludf.DUMMYFUNCTION("GOOGLETRANSLATE(D308, ""en"", ""hi"")"),"C) पुराण")</f>
        <v>C) पुराण</v>
      </c>
    </row>
    <row r="309" ht="22.5" customHeight="1">
      <c r="A309" s="7">
        <v>308.0</v>
      </c>
      <c r="B309" s="4" t="s">
        <v>5602</v>
      </c>
      <c r="C309" s="4" t="s">
        <v>5603</v>
      </c>
      <c r="D309" s="4" t="s">
        <v>5604</v>
      </c>
      <c r="F309" s="5" t="str">
        <f>IFERROR(__xludf.DUMMYFUNCTION("GOOGLETRANSLATE(A309, ""en"", ""hi"")"),"308")</f>
        <v>308</v>
      </c>
      <c r="G309" s="5" t="str">
        <f>IFERROR(__xludf.DUMMYFUNCTION("GOOGLETRANSLATE(B309, ""en"", ""hi"")"),"पारंपरिक दक्षिण भारतीय महलों में पम्बरम से संबंधित एक सामान्य प्रथा क्या थी?")</f>
        <v>पारंपरिक दक्षिण भारतीय महलों में पम्बरम से संबंधित एक सामान्य प्रथा क्या थी?</v>
      </c>
      <c r="H309" s="5" t="str">
        <f>IFERROR(__xludf.DUMMYFUNCTION("GOOGLETRANSLATE(C309, ""en"", ""hi"")"),"A) राजपरिवारों के बीच प्रतियोगिताएं, B) शैक्षिक प्रदर्शन, C) अनुष्ठानिक प्रदर्शन, D) उपरोक्त में से कोई नहीं")</f>
        <v>A) राजपरिवारों के बीच प्रतियोगिताएं, B) शैक्षिक प्रदर्शन, C) अनुष्ठानिक प्रदर्शन, D) उपरोक्त में से कोई नहीं</v>
      </c>
      <c r="I309" s="5" t="str">
        <f>IFERROR(__xludf.DUMMYFUNCTION("GOOGLETRANSLATE(D309, ""en"", ""hi"")"),"A) राजपरिवारों के बीच प्रतिस्पर्धा")</f>
        <v>A) राजपरिवारों के बीच प्रतिस्पर्धा</v>
      </c>
    </row>
    <row r="310" ht="22.5" customHeight="1">
      <c r="A310" s="7">
        <v>309.0</v>
      </c>
      <c r="B310" s="4" t="s">
        <v>5605</v>
      </c>
      <c r="C310" s="4" t="s">
        <v>5606</v>
      </c>
      <c r="D310" s="4" t="s">
        <v>5607</v>
      </c>
      <c r="F310" s="5" t="str">
        <f>IFERROR(__xludf.DUMMYFUNCTION("GOOGLETRANSLATE(A310, ""en"", ""hi"")"),"309")</f>
        <v>309</v>
      </c>
      <c r="G310" s="5" t="str">
        <f>IFERROR(__xludf.DUMMYFUNCTION("GOOGLETRANSLATE(B310, ""en"", ""hi"")"),"कौन सा प्राचीन दक्षिण भारतीय साम्राज्य पम्बरम परंपराओं के संरक्षण से जुड़ा हुआ है?")</f>
        <v>कौन सा प्राचीन दक्षिण भारतीय साम्राज्य पम्बरम परंपराओं के संरक्षण से जुड़ा हुआ है?</v>
      </c>
      <c r="H310" s="5" t="str">
        <f>IFERROR(__xludf.DUMMYFUNCTION("GOOGLETRANSLATE(C310, ""en"", ""hi"")"),"A) चोल साम्राज्य, B) पल्लव साम्राज्य, C) पांड्य साम्राज्य, D) चेर साम्राज्य")</f>
        <v>A) चोल साम्राज्य, B) पल्लव साम्राज्य, C) पांड्य साम्राज्य, D) चेर साम्राज्य</v>
      </c>
      <c r="I310" s="5" t="str">
        <f>IFERROR(__xludf.DUMMYFUNCTION("GOOGLETRANSLATE(D310, ""en"", ""hi"")"),"A) चोल साम्राज्य")</f>
        <v>A) चोल साम्राज्य</v>
      </c>
    </row>
    <row r="311" ht="22.5" customHeight="1">
      <c r="A311" s="7">
        <v>310.0</v>
      </c>
      <c r="B311" s="4" t="s">
        <v>5608</v>
      </c>
      <c r="C311" s="4" t="s">
        <v>5609</v>
      </c>
      <c r="D311" s="4" t="s">
        <v>5610</v>
      </c>
      <c r="F311" s="5" t="str">
        <f>IFERROR(__xludf.DUMMYFUNCTION("GOOGLETRANSLATE(A311, ""en"", ""hi"")"),"310")</f>
        <v>310</v>
      </c>
      <c r="G311" s="5" t="str">
        <f>IFERROR(__xludf.DUMMYFUNCTION("GOOGLETRANSLATE(B311, ""en"", ""hi"")"),"औपनिवेशिक प्रभाव ने पम्बारम प्रथा को किस प्रकार प्रभावित किया?")</f>
        <v>औपनिवेशिक प्रभाव ने पम्बारम प्रथा को किस प्रकार प्रभावित किया?</v>
      </c>
      <c r="H311" s="5" t="str">
        <f>IFERROR(__xludf.DUMMYFUNCTION("GOOGLETRANSLATE(C311, ""en"", ""hi"")"),"A) इससे खेल का पतन हुआ, B) इससे खेल का आधुनिकीकरण हुआ, C) इससे खेल संरक्षित रहा, D) इससे नए नियम लागू हुए")</f>
        <v>A) इससे खेल का पतन हुआ, B) इससे खेल का आधुनिकीकरण हुआ, C) इससे खेल संरक्षित रहा, D) इससे नए नियम लागू हुए</v>
      </c>
      <c r="I311" s="5" t="str">
        <f>IFERROR(__xludf.DUMMYFUNCTION("GOOGLETRANSLATE(D311, ""en"", ""hi"")"),"A) इससे खेल का पतन हुआ")</f>
        <v>A) इससे खेल का पतन हुआ</v>
      </c>
    </row>
    <row r="312" ht="22.5" customHeight="1">
      <c r="A312" s="7">
        <v>311.0</v>
      </c>
      <c r="B312" s="4" t="s">
        <v>5611</v>
      </c>
      <c r="C312" s="4" t="s">
        <v>5612</v>
      </c>
      <c r="D312" s="4" t="s">
        <v>5613</v>
      </c>
      <c r="F312" s="5" t="str">
        <f>IFERROR(__xludf.DUMMYFUNCTION("GOOGLETRANSLATE(A312, ""en"", ""hi"")"),"311")</f>
        <v>311</v>
      </c>
      <c r="G312" s="5" t="str">
        <f>IFERROR(__xludf.DUMMYFUNCTION("GOOGLETRANSLATE(B312, ""en"", ""hi"")"),"कौन सी पारंपरिक कला या साहित्य में अक्सर पम्बरम के दृश्यों को दर्शाया जाता है?")</f>
        <v>कौन सी पारंपरिक कला या साहित्य में अक्सर पम्बरम के दृश्यों को दर्शाया जाता है?</v>
      </c>
      <c r="H312" s="5" t="str">
        <f>IFERROR(__xludf.DUMMYFUNCTION("GOOGLETRANSLATE(C312, ""en"", ""hi"")"),"A) शास्त्रीय नृत्य रूप, B) लोक कथाएँ, C) ऐतिहासिक महाकाव्य, D) मंदिर की नक्काशी")</f>
        <v>A) शास्त्रीय नृत्य रूप, B) लोक कथाएँ, C) ऐतिहासिक महाकाव्य, D) मंदिर की नक्काशी</v>
      </c>
      <c r="I312" s="5" t="str">
        <f>IFERROR(__xludf.DUMMYFUNCTION("GOOGLETRANSLATE(D312, ""en"", ""hi"")"),"D) मंदिर की नक्काशी")</f>
        <v>D) मंदिर की नक्काशी</v>
      </c>
    </row>
    <row r="313" ht="22.5" customHeight="1">
      <c r="A313" s="7">
        <v>312.0</v>
      </c>
      <c r="B313" s="4" t="s">
        <v>5614</v>
      </c>
      <c r="C313" s="4" t="s">
        <v>5615</v>
      </c>
      <c r="D313" s="4" t="s">
        <v>5616</v>
      </c>
      <c r="F313" s="5" t="str">
        <f>IFERROR(__xludf.DUMMYFUNCTION("GOOGLETRANSLATE(A313, ""en"", ""hi"")"),"312")</f>
        <v>312</v>
      </c>
      <c r="G313" s="5" t="str">
        <f>IFERROR(__xludf.DUMMYFUNCTION("GOOGLETRANSLATE(B313, ""en"", ""hi"")"),"प्राचीन दक्षिण भारतीय समाज में पम्बरम का प्राथमिक कार्य क्या था?")</f>
        <v>प्राचीन दक्षिण भारतीय समाज में पम्बरम का प्राथमिक कार्य क्या था?</v>
      </c>
      <c r="H313" s="5" t="str">
        <f>IFERROR(__xludf.DUMMYFUNCTION("GOOGLETRANSLATE(C313, ""en"", ""hi"")"),"A) राजपरिवार के लिए मनोरंजन के रूप में, B) सैन्य प्रशिक्षण उपकरण के रूप में, C) धार्मिक अनुष्ठान के रूप में, D) पारिवारिक बंधन गतिविधि के रूप में")</f>
        <v>A) राजपरिवार के लिए मनोरंजन के रूप में, B) सैन्य प्रशिक्षण उपकरण के रूप में, C) धार्मिक अनुष्ठान के रूप में, D) पारिवारिक बंधन गतिविधि के रूप में</v>
      </c>
      <c r="I313" s="5" t="str">
        <f>IFERROR(__xludf.DUMMYFUNCTION("GOOGLETRANSLATE(D313, ""en"", ""hi"")"),"D) पारिवारिक संबंध गतिविधि के रूप में")</f>
        <v>D) पारिवारिक संबंध गतिविधि के रूप में</v>
      </c>
    </row>
    <row r="314" ht="22.5" customHeight="1">
      <c r="A314" s="7">
        <v>313.0</v>
      </c>
      <c r="B314" s="4" t="s">
        <v>5617</v>
      </c>
      <c r="C314" s="4" t="s">
        <v>5618</v>
      </c>
      <c r="D314" s="4" t="s">
        <v>5619</v>
      </c>
      <c r="F314" s="5" t="str">
        <f>IFERROR(__xludf.DUMMYFUNCTION("GOOGLETRANSLATE(A314, ""en"", ""hi"")"),"313")</f>
        <v>313</v>
      </c>
      <c r="G314" s="5" t="str">
        <f>IFERROR(__xludf.DUMMYFUNCTION("GOOGLETRANSLATE(B314, ""en"", ""hi"")"),"कौन सा दक्षिण भारतीय राजवंश पम्बरम जैसे खेलों के विस्तृत अभिलेखों के लिए जाना जाता है?")</f>
        <v>कौन सा दक्षिण भारतीय राजवंश पम्बरम जैसे खेलों के विस्तृत अभिलेखों के लिए जाना जाता है?</v>
      </c>
      <c r="H314" s="5" t="str">
        <f>IFERROR(__xludf.DUMMYFUNCTION("GOOGLETRANSLATE(C314, ""en"", ""hi"")"),"A) विजयनगर राजवंश, B) चोल राजवंश, C) पल्लव राजवंश, D) चेर राजवंश")</f>
        <v>A) विजयनगर राजवंश, B) चोल राजवंश, C) पल्लव राजवंश, D) चेर राजवंश</v>
      </c>
      <c r="I314" s="5" t="str">
        <f>IFERROR(__xludf.DUMMYFUNCTION("GOOGLETRANSLATE(D314, ""en"", ""hi"")"),"बी) चोल राजवंश")</f>
        <v>बी) चोल राजवंश</v>
      </c>
    </row>
    <row r="315" ht="22.5" customHeight="1">
      <c r="A315" s="7">
        <v>314.0</v>
      </c>
      <c r="B315" s="4" t="s">
        <v>5620</v>
      </c>
      <c r="C315" s="4" t="s">
        <v>5621</v>
      </c>
      <c r="D315" s="4" t="s">
        <v>5622</v>
      </c>
      <c r="F315" s="5" t="str">
        <f>IFERROR(__xludf.DUMMYFUNCTION("GOOGLETRANSLATE(A315, ""en"", ""hi"")"),"314")</f>
        <v>314</v>
      </c>
      <c r="G315" s="5" t="str">
        <f>IFERROR(__xludf.DUMMYFUNCTION("GOOGLETRANSLATE(B315, ""en"", ""hi"")"),"ग्रामीण जीवन में पम्बारम का ऐतिहासिक महत्व क्या था?")</f>
        <v>ग्रामीण जीवन में पम्बारम का ऐतिहासिक महत्व क्या था?</v>
      </c>
      <c r="H315" s="5" t="str">
        <f>IFERROR(__xludf.DUMMYFUNCTION("GOOGLETRANSLATE(C315, ""en"", ""hi"")"),"A) यह एक सामुदायिक गतिविधि के रूप में कार्य करता था, B) इसका उपयोग धार्मिक समारोहों के लिए किया जाता था, C) यह सैन्य अभ्यास का एक रूप था, D) यह एक व्यापारिक उपकरण था")</f>
        <v>A) यह एक सामुदायिक गतिविधि के रूप में कार्य करता था, B) इसका उपयोग धार्मिक समारोहों के लिए किया जाता था, C) यह सैन्य अभ्यास का एक रूप था, D) यह एक व्यापारिक उपकरण था</v>
      </c>
      <c r="I315" s="5" t="str">
        <f>IFERROR(__xludf.DUMMYFUNCTION("GOOGLETRANSLATE(D315, ""en"", ""hi"")"),"A) यह एक सांप्रदायिक गतिविधि के रूप में कार्य करता था")</f>
        <v>A) यह एक सांप्रदायिक गतिविधि के रूप में कार्य करता था</v>
      </c>
    </row>
    <row r="316" ht="22.5" customHeight="1">
      <c r="A316" s="7">
        <v>315.0</v>
      </c>
      <c r="B316" s="4" t="s">
        <v>5623</v>
      </c>
      <c r="C316" s="4" t="s">
        <v>5624</v>
      </c>
      <c r="D316" s="4" t="s">
        <v>5625</v>
      </c>
      <c r="F316" s="5" t="str">
        <f>IFERROR(__xludf.DUMMYFUNCTION("GOOGLETRANSLATE(A316, ""en"", ""hi"")"),"315")</f>
        <v>315</v>
      </c>
      <c r="G316" s="5" t="str">
        <f>IFERROR(__xludf.DUMMYFUNCTION("GOOGLETRANSLATE(B316, ""en"", ""hi"")"),"किस युग में पंबारम के पारंपरिक खेल में नए बदलाव आए?")</f>
        <v>किस युग में पंबारम के पारंपरिक खेल में नए बदलाव आए?</v>
      </c>
      <c r="H316" s="5" t="str">
        <f>IFERROR(__xludf.DUMMYFUNCTION("GOOGLETRANSLATE(C316, ""en"", ""hi"")"),"A) औपनिवेशिक युग, B) मुगल युग, C) स्वतंत्रता के बाद का युग, D) मध्यकालीन युग")</f>
        <v>A) औपनिवेशिक युग, B) मुगल युग, C) स्वतंत्रता के बाद का युग, D) मध्यकालीन युग</v>
      </c>
      <c r="I316" s="5" t="str">
        <f>IFERROR(__xludf.DUMMYFUNCTION("GOOGLETRANSLATE(D316, ""en"", ""hi"")"),"D) मध्यकालीन युग")</f>
        <v>D) मध्यकालीन युग</v>
      </c>
    </row>
    <row r="317" ht="22.5" customHeight="1">
      <c r="A317" s="7">
        <v>316.0</v>
      </c>
      <c r="B317" s="4" t="s">
        <v>5626</v>
      </c>
      <c r="C317" s="4" t="s">
        <v>5627</v>
      </c>
      <c r="D317" s="4" t="s">
        <v>5628</v>
      </c>
      <c r="F317" s="5" t="str">
        <f>IFERROR(__xludf.DUMMYFUNCTION("GOOGLETRANSLATE(A317, ""en"", ""hi"")"),"316")</f>
        <v>316</v>
      </c>
      <c r="G317" s="5" t="str">
        <f>IFERROR(__xludf.DUMMYFUNCTION("GOOGLETRANSLATE(B317, ""en"", ""hi"")"),"पम्बरम की प्रथा ने दक्षिण भारत में खेल संस्कृति के ऐतिहासिक विकास में किस प्रकार योगदान दिया?")</f>
        <v>पम्बरम की प्रथा ने दक्षिण भारत में खेल संस्कृति के ऐतिहासिक विकास में किस प्रकार योगदान दिया?</v>
      </c>
      <c r="H317" s="5" t="str">
        <f>IFERROR(__xludf.DUMMYFUNCTION("GOOGLETRANSLATE(C317, ""en"", ""hi"")"),"A) इसने अन्य पारंपरिक खेलों को प्रभावित किया, B) यह प्रतिष्ठा का प्रतीक बन गया, C) इसने नए खेल रूपों के निर्माण को जन्म दिया, D) यह अपरिवर्तित रहा")</f>
        <v>A) इसने अन्य पारंपरिक खेलों को प्रभावित किया, B) यह प्रतिष्ठा का प्रतीक बन गया, C) इसने नए खेल रूपों के निर्माण को जन्म दिया, D) यह अपरिवर्तित रहा</v>
      </c>
      <c r="I317" s="5" t="str">
        <f>IFERROR(__xludf.DUMMYFUNCTION("GOOGLETRANSLATE(D317, ""en"", ""hi"")"),"A) इसने अन्य पारंपरिक खेलों को प्रभावित किया")</f>
        <v>A) इसने अन्य पारंपरिक खेलों को प्रभावित किया</v>
      </c>
    </row>
    <row r="318" ht="22.5" customHeight="1">
      <c r="A318" s="7">
        <v>317.0</v>
      </c>
      <c r="B318" s="4" t="s">
        <v>5629</v>
      </c>
      <c r="C318" s="4" t="s">
        <v>5630</v>
      </c>
      <c r="D318" s="4" t="s">
        <v>5631</v>
      </c>
      <c r="F318" s="5" t="str">
        <f>IFERROR(__xludf.DUMMYFUNCTION("GOOGLETRANSLATE(A318, ""en"", ""hi"")"),"317")</f>
        <v>317</v>
      </c>
      <c r="G318" s="5" t="str">
        <f>IFERROR(__xludf.DUMMYFUNCTION("GOOGLETRANSLATE(B318, ""en"", ""hi"")"),"कौन सा दक्षिण भारतीय क्षेत्र ऐतिहासिक रूप से पम्बरम टूर्नामेंट के आयोजन के लिए विशेष रूप से जाना जाता था?")</f>
        <v>कौन सा दक्षिण भारतीय क्षेत्र ऐतिहासिक रूप से पम्बरम टूर्नामेंट के आयोजन के लिए विशेष रूप से जाना जाता था?</v>
      </c>
      <c r="H318" s="5" t="str">
        <f>IFERROR(__xludf.DUMMYFUNCTION("GOOGLETRANSLATE(C318, ""en"", ""hi"")"),"A) केरल, B) कर्नाटक, C) तमिलनाडु, D) आंध्र प्रदेश")</f>
        <v>A) केरल, B) कर्नाटक, C) तमिलनाडु, D) आंध्र प्रदेश</v>
      </c>
      <c r="I318" s="5" t="str">
        <f>IFERROR(__xludf.DUMMYFUNCTION("GOOGLETRANSLATE(D318, ""en"", ""hi"")"),"C) तमिलनाडु")</f>
        <v>C) तमिलनाडु</v>
      </c>
    </row>
    <row r="319" ht="22.5" customHeight="1">
      <c r="A319" s="7">
        <v>318.0</v>
      </c>
      <c r="B319" s="4" t="s">
        <v>5632</v>
      </c>
      <c r="C319" s="4" t="s">
        <v>5633</v>
      </c>
      <c r="D319" s="4" t="s">
        <v>5634</v>
      </c>
      <c r="F319" s="5" t="str">
        <f>IFERROR(__xludf.DUMMYFUNCTION("GOOGLETRANSLATE(A319, ""en"", ""hi"")"),"318")</f>
        <v>318</v>
      </c>
      <c r="G319" s="5" t="str">
        <f>IFERROR(__xludf.DUMMYFUNCTION("GOOGLETRANSLATE(B319, ""en"", ""hi"")"),"ऐतिहासिक पम्बरम गेमप्ले का कौन सा पहलू इसके सांस्कृतिक महत्व को दर्शाता है?")</f>
        <v>ऐतिहासिक पम्बरम गेमप्ले का कौन सा पहलू इसके सांस्कृतिक महत्व को दर्शाता है?</v>
      </c>
      <c r="H319" s="5" t="str">
        <f>IFERROR(__xludf.DUMMYFUNCTION("GOOGLETRANSLATE(C319, ""en"", ""hi"")"),"A) रणनीतियों की जटिलता, B) विलासिता सामग्री का उपयोग, C) प्रतियोगिताओं का पैमाना, D) राजपरिवार की भागीदारी")</f>
        <v>A) रणनीतियों की जटिलता, B) विलासिता सामग्री का उपयोग, C) प्रतियोगिताओं का पैमाना, D) राजपरिवार की भागीदारी</v>
      </c>
      <c r="I319" s="5" t="str">
        <f>IFERROR(__xludf.DUMMYFUNCTION("GOOGLETRANSLATE(D319, ""en"", ""hi"")"),"A) रणनीतियों की जटिलता")</f>
        <v>A) रणनीतियों की जटिलता</v>
      </c>
    </row>
    <row r="320" ht="22.5" customHeight="1">
      <c r="A320" s="7">
        <v>319.0</v>
      </c>
      <c r="B320" s="4" t="s">
        <v>5635</v>
      </c>
      <c r="C320" s="4" t="s">
        <v>5636</v>
      </c>
      <c r="D320" s="4" t="s">
        <v>3779</v>
      </c>
      <c r="F320" s="5" t="str">
        <f>IFERROR(__xludf.DUMMYFUNCTION("GOOGLETRANSLATE(A320, ""en"", ""hi"")"),"319")</f>
        <v>319</v>
      </c>
      <c r="G320" s="5" t="str">
        <f>IFERROR(__xludf.DUMMYFUNCTION("GOOGLETRANSLATE(B320, ""en"", ""hi"")"),"कौन सा पारंपरिक दक्षिण भारतीय त्यौहार पम्बारम में रुचि के पुनरुत्थान से जुड़ा हुआ है?")</f>
        <v>कौन सा पारंपरिक दक्षिण भारतीय त्यौहार पम्बारम में रुचि के पुनरुत्थान से जुड़ा हुआ है?</v>
      </c>
      <c r="H320" s="5" t="str">
        <f>IFERROR(__xludf.DUMMYFUNCTION("GOOGLETRANSLATE(C320, ""en"", ""hi"")"),"ए) दिवाली, बी) पोंगल, सी) होली, डी) ओणम")</f>
        <v>ए) दिवाली, बी) पोंगल, सी) होली, डी) ओणम</v>
      </c>
      <c r="I320" s="5" t="str">
        <f>IFERROR(__xludf.DUMMYFUNCTION("GOOGLETRANSLATE(D320, ""en"", ""hi"")"),"बी) पोंगल")</f>
        <v>बी) पोंगल</v>
      </c>
    </row>
    <row r="321" ht="22.5" customHeight="1">
      <c r="A321" s="7">
        <v>320.0</v>
      </c>
      <c r="B321" s="4" t="s">
        <v>5637</v>
      </c>
      <c r="C321" s="4" t="s">
        <v>5638</v>
      </c>
      <c r="D321" s="4" t="s">
        <v>5639</v>
      </c>
      <c r="F321" s="5" t="str">
        <f>IFERROR(__xludf.DUMMYFUNCTION("GOOGLETRANSLATE(A321, ""en"", ""hi"")"),"320")</f>
        <v>320</v>
      </c>
      <c r="G321" s="5" t="str">
        <f>IFERROR(__xludf.DUMMYFUNCTION("GOOGLETRANSLATE(B321, ""en"", ""hi"")"),"कौन से ऐतिहासिक अभिलेख विभिन्न सामाजिक वर्गों के बीच पम्बारम की लोकप्रियता के बारे में जानकारी प्रदान करते हैं?")</f>
        <v>कौन से ऐतिहासिक अभिलेख विभिन्न सामाजिक वर्गों के बीच पम्बारम की लोकप्रियता के बारे में जानकारी प्रदान करते हैं?</v>
      </c>
      <c r="H321" s="5" t="str">
        <f>IFERROR(__xludf.DUMMYFUNCTION("GOOGLETRANSLATE(C321, ""en"", ""hi"")"),"A) शाही फरमान, B) मंदिर शिलालेख, C) व्यापार अभिलेख, D) पांडुलिपियाँ")</f>
        <v>A) शाही फरमान, B) मंदिर शिलालेख, C) व्यापार अभिलेख, D) पांडुलिपियाँ</v>
      </c>
      <c r="I321" s="5" t="str">
        <f>IFERROR(__xludf.DUMMYFUNCTION("GOOGLETRANSLATE(D321, ""en"", ""hi"")"),"बी) मंदिर शिलालेख")</f>
        <v>बी) मंदिर शिलालेख</v>
      </c>
    </row>
    <row r="322" ht="22.5" customHeight="1">
      <c r="A322" s="7">
        <v>321.0</v>
      </c>
      <c r="B322" s="4" t="s">
        <v>5640</v>
      </c>
      <c r="C322" s="4" t="s">
        <v>5641</v>
      </c>
      <c r="D322" s="4" t="s">
        <v>5642</v>
      </c>
      <c r="F322" s="5" t="str">
        <f>IFERROR(__xludf.DUMMYFUNCTION("GOOGLETRANSLATE(A322, ""en"", ""hi"")"),"321")</f>
        <v>321</v>
      </c>
      <c r="G322" s="5" t="str">
        <f>IFERROR(__xludf.DUMMYFUNCTION("GOOGLETRANSLATE(B322, ""en"", ""hi"")"),"कौन सा ऐतिहासिक व्यक्ति पम्बरम जैसे पारंपरिक खेलों का दस्तावेजीकरण करने के लिए जाना जाता है?")</f>
        <v>कौन सा ऐतिहासिक व्यक्ति पम्बरम जैसे पारंपरिक खेलों का दस्तावेजीकरण करने के लिए जाना जाता है?</v>
      </c>
      <c r="H322" s="5" t="str">
        <f>IFERROR(__xludf.DUMMYFUNCTION("GOOGLETRANSLATE(C322, ""en"", ""hi"")"),"ए) कौटिल्य, बी) बान झाओ, सी) ब्रह्मगुप्त, डी) कालिदास")</f>
        <v>ए) कौटिल्य, बी) बान झाओ, सी) ब्रह्मगुप्त, डी) कालिदास</v>
      </c>
      <c r="I322" s="5" t="str">
        <f>IFERROR(__xludf.DUMMYFUNCTION("GOOGLETRANSLATE(D322, ""en"", ""hi"")"),"C) ब्रह्मगुप्त")</f>
        <v>C) ब्रह्मगुप्त</v>
      </c>
    </row>
    <row r="323" ht="22.5" customHeight="1">
      <c r="A323" s="7">
        <v>322.0</v>
      </c>
      <c r="B323" s="4" t="s">
        <v>5643</v>
      </c>
      <c r="C323" s="4" t="s">
        <v>5644</v>
      </c>
      <c r="D323" s="4" t="s">
        <v>5645</v>
      </c>
      <c r="F323" s="5" t="str">
        <f>IFERROR(__xludf.DUMMYFUNCTION("GOOGLETRANSLATE(A323, ""en"", ""hi"")"),"322")</f>
        <v>322</v>
      </c>
      <c r="G323" s="5" t="str">
        <f>IFERROR(__xludf.DUMMYFUNCTION("GOOGLETRANSLATE(B323, ""en"", ""hi"")"),"पंबारम खेल पर औपनिवेशिक शासन का क्या प्रभाव पड़ा?")</f>
        <v>पंबारम खेल पर औपनिवेशिक शासन का क्या प्रभाव पड़ा?</v>
      </c>
      <c r="H323" s="5" t="str">
        <f>IFERROR(__xludf.DUMMYFUNCTION("GOOGLETRANSLATE(C323, ""en"", ""hi"")"),"A) इससे खेल का पतन हुआ, B) इससे खेल का आधुनिकीकरण हुआ, C) इससे खेल संरक्षित रहा, D) इससे खेल के नए संस्करण सामने आए")</f>
        <v>A) इससे खेल का पतन हुआ, B) इससे खेल का आधुनिकीकरण हुआ, C) इससे खेल संरक्षित रहा, D) इससे खेल के नए संस्करण सामने आए</v>
      </c>
      <c r="I323" s="5" t="str">
        <f>IFERROR(__xludf.DUMMYFUNCTION("GOOGLETRANSLATE(D323, ""en"", ""hi"")"),"A) इससे इसका पतन हुआ")</f>
        <v>A) इससे इसका पतन हुआ</v>
      </c>
    </row>
    <row r="324" ht="22.5" customHeight="1">
      <c r="A324" s="7">
        <v>323.0</v>
      </c>
      <c r="B324" s="4" t="s">
        <v>5646</v>
      </c>
      <c r="C324" s="4" t="s">
        <v>5647</v>
      </c>
      <c r="D324" s="4" t="s">
        <v>5648</v>
      </c>
      <c r="F324" s="5" t="str">
        <f>IFERROR(__xludf.DUMMYFUNCTION("GOOGLETRANSLATE(A324, ""en"", ""hi"")"),"323")</f>
        <v>323</v>
      </c>
      <c r="G324" s="5" t="str">
        <f>IFERROR(__xludf.DUMMYFUNCTION("GOOGLETRANSLATE(B324, ""en"", ""hi"")"),"कौन सा प्राचीन दक्षिण भारतीय राजा पंबारम जैसे खेलों सहित सांस्कृतिक गतिविधियों को बढ़ावा देने के लिए जाना जाता है?")</f>
        <v>कौन सा प्राचीन दक्षिण भारतीय राजा पंबारम जैसे खेलों सहित सांस्कृतिक गतिविधियों को बढ़ावा देने के लिए जाना जाता है?</v>
      </c>
      <c r="H324" s="5" t="str">
        <f>IFERROR(__xludf.DUMMYFUNCTION("GOOGLETRANSLATE(C324, ""en"", ""hi"")"),"ए) राजेंद्र चोल प्रथम, बी) कृष्णदेव राय, सी) हर्ष, डी) अकबर")</f>
        <v>ए) राजेंद्र चोल प्रथम, बी) कृष्णदेव राय, सी) हर्ष, डी) अकबर</v>
      </c>
      <c r="I324" s="5" t="str">
        <f>IFERROR(__xludf.DUMMYFUNCTION("GOOGLETRANSLATE(D324, ""en"", ""hi"")"),"B) कृष्ण देव राय")</f>
        <v>B) कृष्ण देव राय</v>
      </c>
    </row>
    <row r="325" ht="22.5" customHeight="1">
      <c r="A325" s="7">
        <v>324.0</v>
      </c>
      <c r="B325" s="4" t="s">
        <v>5649</v>
      </c>
      <c r="C325" s="4" t="s">
        <v>5650</v>
      </c>
      <c r="D325" s="4" t="s">
        <v>5651</v>
      </c>
      <c r="F325" s="5" t="str">
        <f>IFERROR(__xludf.DUMMYFUNCTION("GOOGLETRANSLATE(A325, ""en"", ""hi"")"),"324")</f>
        <v>324</v>
      </c>
      <c r="G325" s="5" t="str">
        <f>IFERROR(__xludf.DUMMYFUNCTION("GOOGLETRANSLATE(B325, ""en"", ""hi"")"),"उत्तर-औपनिवेशिक दक्षिण भारत में पम्बरम प्रथा किस प्रकार विकसित हुई?")</f>
        <v>उत्तर-औपनिवेशिक दक्षिण भारत में पम्बरम प्रथा किस प्रकार विकसित हुई?</v>
      </c>
      <c r="H325" s="5" t="str">
        <f>IFERROR(__xludf.DUMMYFUNCTION("GOOGLETRANSLATE(C325, ""en"", ""hi"")"),"A) यह आधुनिक शैक्षिक पाठ्यक्रम का हिस्सा बन गया, B) इसे ग्रामीण क्षेत्रों में संरक्षित किया गया, C) इसे नए खेलों द्वारा प्रतिस्थापित किया गया, D) इसे अंतर्राष्ट्रीय मान्यता प्राप्त हुई")</f>
        <v>A) यह आधुनिक शैक्षिक पाठ्यक्रम का हिस्सा बन गया, B) इसे ग्रामीण क्षेत्रों में संरक्षित किया गया, C) इसे नए खेलों द्वारा प्रतिस्थापित किया गया, D) इसे अंतर्राष्ट्रीय मान्यता प्राप्त हुई</v>
      </c>
      <c r="I325" s="5" t="str">
        <f>IFERROR(__xludf.DUMMYFUNCTION("GOOGLETRANSLATE(D325, ""en"", ""hi"")"),"B) इसे ग्रामीण क्षेत्रों में संरक्षित किया गया था")</f>
        <v>B) इसे ग्रामीण क्षेत्रों में संरक्षित किया गया था</v>
      </c>
    </row>
    <row r="326" ht="22.5" customHeight="1">
      <c r="A326" s="7">
        <v>325.0</v>
      </c>
      <c r="B326" s="4" t="s">
        <v>5652</v>
      </c>
      <c r="C326" s="4" t="s">
        <v>5653</v>
      </c>
      <c r="D326" s="4" t="s">
        <v>5654</v>
      </c>
      <c r="F326" s="5" t="str">
        <f>IFERROR(__xludf.DUMMYFUNCTION("GOOGLETRANSLATE(A326, ""en"", ""hi"")"),"325")</f>
        <v>325</v>
      </c>
      <c r="G326" s="5" t="str">
        <f>IFERROR(__xludf.DUMMYFUNCTION("GOOGLETRANSLATE(B326, ""en"", ""hi"")"),"कौन सा पारंपरिक दक्षिण भारतीय कला रूप पम्बरम खेल को दर्शाने के लिए जाना जाता है?")</f>
        <v>कौन सा पारंपरिक दक्षिण भारतीय कला रूप पम्बरम खेल को दर्शाने के लिए जाना जाता है?</v>
      </c>
      <c r="H326" s="5" t="str">
        <f>IFERROR(__xludf.DUMMYFUNCTION("GOOGLETRANSLATE(C326, ""en"", ""hi"")"),"A) चित्रकला, B) नृत्य नाटिका, C) मूर्तिकला, D) लोकगीत")</f>
        <v>A) चित्रकला, B) नृत्य नाटिका, C) मूर्तिकला, D) लोकगीत</v>
      </c>
      <c r="I326" s="5" t="str">
        <f>IFERROR(__xludf.DUMMYFUNCTION("GOOGLETRANSLATE(D326, ""en"", ""hi"")"),"सी) मूर्तियां")</f>
        <v>सी) मूर्तियां</v>
      </c>
    </row>
    <row r="327" ht="22.5" customHeight="1">
      <c r="A327" s="7">
        <v>326.0</v>
      </c>
      <c r="B327" s="4" t="s">
        <v>5655</v>
      </c>
      <c r="C327" s="4" t="s">
        <v>5656</v>
      </c>
      <c r="D327" s="4" t="s">
        <v>5657</v>
      </c>
      <c r="F327" s="5" t="str">
        <f>IFERROR(__xludf.DUMMYFUNCTION("GOOGLETRANSLATE(A327, ""en"", ""hi"")"),"326")</f>
        <v>326</v>
      </c>
      <c r="G327" s="5" t="str">
        <f>IFERROR(__xludf.DUMMYFUNCTION("GOOGLETRANSLATE(B327, ""en"", ""hi"")"),"ऐतिहासिक दक्षिण भारतीय शिक्षा में पम्बरम की क्या भूमिका थी?")</f>
        <v>ऐतिहासिक दक्षिण भारतीय शिक्षा में पम्बरम की क्या भूमिका थी?</v>
      </c>
      <c r="H327" s="5" t="str">
        <f>IFERROR(__xludf.DUMMYFUNCTION("GOOGLETRANSLATE(C327, ""en"", ""hi"")"),"A) इसका उपयोग रणनीतिक सोच सिखाने के लिए किया जाता था, B) इसका उपयोग शारीरिक प्रशिक्षण के लिए किया जाता था, C) इसका उपयोग कलात्मक विकास के लिए किया जाता था, D) इसका उपयोग धार्मिक शिक्षा के लिए किया जाता था")</f>
        <v>A) इसका उपयोग रणनीतिक सोच सिखाने के लिए किया जाता था, B) इसका उपयोग शारीरिक प्रशिक्षण के लिए किया जाता था, C) इसका उपयोग कलात्मक विकास के लिए किया जाता था, D) इसका उपयोग धार्मिक शिक्षा के लिए किया जाता था</v>
      </c>
      <c r="I327" s="5" t="str">
        <f>IFERROR(__xludf.DUMMYFUNCTION("GOOGLETRANSLATE(D327, ""en"", ""hi"")"),"A) इसका उपयोग रणनीतिक सोच सिखाने के लिए किया गया था")</f>
        <v>A) इसका उपयोग रणनीतिक सोच सिखाने के लिए किया गया था</v>
      </c>
    </row>
    <row r="328" ht="22.5" customHeight="1">
      <c r="A328" s="7">
        <v>327.0</v>
      </c>
      <c r="B328" s="4" t="s">
        <v>5658</v>
      </c>
      <c r="C328" s="4" t="s">
        <v>5659</v>
      </c>
      <c r="D328" s="4" t="s">
        <v>5660</v>
      </c>
      <c r="F328" s="5" t="str">
        <f>IFERROR(__xludf.DUMMYFUNCTION("GOOGLETRANSLATE(A328, ""en"", ""hi"")"),"327")</f>
        <v>327</v>
      </c>
      <c r="G328" s="5" t="str">
        <f>IFERROR(__xludf.DUMMYFUNCTION("GOOGLETRANSLATE(B328, ""en"", ""hi"")"),"कौन सा ऐतिहासिक काल पम्बरम जैसे पारंपरिक खेलों के उत्कर्ष से जुड़ा हुआ है?")</f>
        <v>कौन सा ऐतिहासिक काल पम्बरम जैसे पारंपरिक खेलों के उत्कर्ष से जुड़ा हुआ है?</v>
      </c>
      <c r="H328" s="5" t="str">
        <f>IFERROR(__xludf.DUMMYFUNCTION("GOOGLETRANSLATE(C328, ""en"", ""hi"")"),"A) गुप्त काल, B) चोल काल, C) मुगल काल, D) विजयनगर काल")</f>
        <v>A) गुप्त काल, B) चोल काल, C) मुगल काल, D) विजयनगर काल</v>
      </c>
      <c r="I328" s="5" t="str">
        <f>IFERROR(__xludf.DUMMYFUNCTION("GOOGLETRANSLATE(D328, ""en"", ""hi"")"),"बी) चोल काल")</f>
        <v>बी) चोल काल</v>
      </c>
    </row>
    <row r="329" ht="22.5" customHeight="1">
      <c r="A329" s="7">
        <v>328.0</v>
      </c>
      <c r="B329" s="4" t="s">
        <v>5661</v>
      </c>
      <c r="C329" s="4" t="s">
        <v>5662</v>
      </c>
      <c r="D329" s="4" t="s">
        <v>5663</v>
      </c>
      <c r="F329" s="5" t="str">
        <f>IFERROR(__xludf.DUMMYFUNCTION("GOOGLETRANSLATE(A329, ""en"", ""hi"")"),"328")</f>
        <v>328</v>
      </c>
      <c r="G329" s="5" t="str">
        <f>IFERROR(__xludf.DUMMYFUNCTION("GOOGLETRANSLATE(B329, ""en"", ""hi"")"),"कौन सा दक्षिण भारतीय त्यौहार पारंपरिक रूप से पम्बरम जैसे खेलों को दर्शाता है?")</f>
        <v>कौन सा दक्षिण भारतीय त्यौहार पारंपरिक रूप से पम्बरम जैसे खेलों को दर्शाता है?</v>
      </c>
      <c r="H329" s="5" t="str">
        <f>IFERROR(__xludf.DUMMYFUNCTION("GOOGLETRANSLATE(C329, ""en"", ""hi"")"),"ए) संक्रांति, बी) बैसाखी, सी) विशु, डी) उगादि")</f>
        <v>ए) संक्रांति, बी) बैसाखी, सी) विशु, डी) उगादि</v>
      </c>
      <c r="I329" s="5" t="str">
        <f>IFERROR(__xludf.DUMMYFUNCTION("GOOGLETRANSLATE(D329, ""en"", ""hi"")"),"ए) संक्रांति")</f>
        <v>ए) संक्रांति</v>
      </c>
    </row>
    <row r="330" ht="22.5" customHeight="1">
      <c r="A330" s="7">
        <v>329.0</v>
      </c>
      <c r="B330" s="4" t="s">
        <v>5664</v>
      </c>
      <c r="C330" s="4" t="s">
        <v>5665</v>
      </c>
      <c r="D330" s="4" t="s">
        <v>5666</v>
      </c>
      <c r="F330" s="5" t="str">
        <f>IFERROR(__xludf.DUMMYFUNCTION("GOOGLETRANSLATE(A330, ""en"", ""hi"")"),"329")</f>
        <v>329</v>
      </c>
      <c r="G330" s="5" t="str">
        <f>IFERROR(__xludf.DUMMYFUNCTION("GOOGLETRANSLATE(B330, ""en"", ""hi"")"),"पम्बारम का कौन सा पहलू दक्षिण भारतीय राज दरबारों के साथ उसके ऐतिहासिक संबंध को दर्शाता है?")</f>
        <v>पम्बारम का कौन सा पहलू दक्षिण भारतीय राज दरबारों के साथ उसके ऐतिहासिक संबंध को दर्शाता है?</v>
      </c>
      <c r="H330" s="5" t="str">
        <f>IFERROR(__xludf.DUMMYFUNCTION("GOOGLETRANSLATE(C330, ""en"", ""hi"")"),"A) इसकी जटिल रणनीतियाँ, B) इसका औपचारिक उपयोग, C) इसका कलात्मक प्रतिनिधित्व, D) इसके सैन्य अनुप्रयोग")</f>
        <v>A) इसकी जटिल रणनीतियाँ, B) इसका औपचारिक उपयोग, C) इसका कलात्मक प्रतिनिधित्व, D) इसके सैन्य अनुप्रयोग</v>
      </c>
      <c r="I330" s="5" t="str">
        <f>IFERROR(__xludf.DUMMYFUNCTION("GOOGLETRANSLATE(D330, ""en"", ""hi"")"),"बी) इसका औपचारिक उपयोग")</f>
        <v>बी) इसका औपचारिक उपयोग</v>
      </c>
    </row>
    <row r="331" ht="22.5" customHeight="1">
      <c r="A331" s="7">
        <v>330.0</v>
      </c>
      <c r="B331" s="4" t="s">
        <v>5667</v>
      </c>
      <c r="C331" s="4" t="s">
        <v>5668</v>
      </c>
      <c r="D331" s="4" t="s">
        <v>644</v>
      </c>
      <c r="F331" s="5" t="str">
        <f>IFERROR(__xludf.DUMMYFUNCTION("GOOGLETRANSLATE(A331, ""en"", ""hi"")"),"330")</f>
        <v>330</v>
      </c>
      <c r="G331" s="5" t="str">
        <f>IFERROR(__xludf.DUMMYFUNCTION("GOOGLETRANSLATE(B331, ""en"", ""hi"")"),"ऐतिहासिक दक्षिण भारतीय संस्कृति में पम्बरम की भूमिका को किस प्रकार के साक्ष्य उजागर करते हैं?")</f>
        <v>ऐतिहासिक दक्षिण भारतीय संस्कृति में पम्बरम की भूमिका को किस प्रकार के साक्ष्य उजागर करते हैं?</v>
      </c>
      <c r="H331" s="5" t="str">
        <f>IFERROR(__xludf.DUMMYFUNCTION("GOOGLETRANSLATE(C331, ""en"", ""hi"")"),"A) ऐतिहासिक पांडुलिपियाँ, B) पुरातात्विक खोजें, C) मौखिक परंपराएँ, D) उपरोक्त सभी")</f>
        <v>A) ऐतिहासिक पांडुलिपियाँ, B) पुरातात्विक खोजें, C) मौखिक परंपराएँ, D) उपरोक्त सभी</v>
      </c>
      <c r="I331" s="5" t="str">
        <f>IFERROR(__xludf.DUMMYFUNCTION("GOOGLETRANSLATE(D331, ""en"", ""hi"")"),"D। उपरोक्त सभी")</f>
        <v>D। उपरोक्त सभी</v>
      </c>
    </row>
    <row r="332" ht="22.5" customHeight="1">
      <c r="A332" s="7">
        <v>331.0</v>
      </c>
      <c r="B332" s="4" t="s">
        <v>5669</v>
      </c>
      <c r="C332" s="4" t="s">
        <v>5670</v>
      </c>
      <c r="D332" s="4" t="s">
        <v>5671</v>
      </c>
      <c r="F332" s="5" t="str">
        <f>IFERROR(__xludf.DUMMYFUNCTION("GOOGLETRANSLATE(A332, ""en"", ""hi"")"),"331")</f>
        <v>331</v>
      </c>
      <c r="G332" s="5" t="str">
        <f>IFERROR(__xludf.DUMMYFUNCTION("GOOGLETRANSLATE(B332, ""en"", ""hi"")"),"किस प्राचीन ग्रंथ में पंबारम का दक्षिण भारतीय सांस्कृतिक विरासत के एक भाग के रूप में वर्णन शामिल है?")</f>
        <v>किस प्राचीन ग्रंथ में पंबारम का दक्षिण भारतीय सांस्कृतिक विरासत के एक भाग के रूप में वर्णन शामिल है?</v>
      </c>
      <c r="H332" s="5" t="str">
        <f>IFERROR(__xludf.DUMMYFUNCTION("GOOGLETRANSLATE(C332, ""en"", ""hi"")"),"A) महाभारत, B) रामायण, C) संगम साहित्य, D) भगवद गीता")</f>
        <v>A) महाभारत, B) रामायण, C) संगम साहित्य, D) भगवद गीता</v>
      </c>
      <c r="I332" s="5" t="str">
        <f>IFERROR(__xludf.DUMMYFUNCTION("GOOGLETRANSLATE(D332, ""en"", ""hi"")"),"C) संगम साहित्य")</f>
        <v>C) संगम साहित्य</v>
      </c>
    </row>
    <row r="333" ht="22.5" customHeight="1">
      <c r="A333" s="7">
        <v>332.0</v>
      </c>
      <c r="B333" s="4" t="s">
        <v>5672</v>
      </c>
      <c r="C333" s="4" t="s">
        <v>5673</v>
      </c>
      <c r="D333" s="4" t="s">
        <v>5674</v>
      </c>
      <c r="F333" s="5" t="str">
        <f>IFERROR(__xludf.DUMMYFUNCTION("GOOGLETRANSLATE(A333, ""en"", ""hi"")"),"332")</f>
        <v>332</v>
      </c>
      <c r="G333" s="5" t="str">
        <f>IFERROR(__xludf.DUMMYFUNCTION("GOOGLETRANSLATE(B333, ""en"", ""hi"")"),"ऐतिहासिक सामाजिक परिवर्तनों ने पम्बरम की प्रथा को किस प्रकार प्रभावित किया?")</f>
        <v>ऐतिहासिक सामाजिक परिवर्तनों ने पम्बरम की प्रथा को किस प्रकार प्रभावित किया?</v>
      </c>
      <c r="H333" s="5" t="str">
        <f>IFERROR(__xludf.DUMMYFUNCTION("GOOGLETRANSLATE(C333, ""en"", ""hi"")"),"A) टूर्नामेंटों में भागीदारी में वृद्धि, B) पारंपरिक प्रथाओं में गिरावट, C) नए नियमों का परिचय, D) ग्रामीण क्षेत्रों में पुनरुद्धार")</f>
        <v>A) टूर्नामेंटों में भागीदारी में वृद्धि, B) पारंपरिक प्रथाओं में गिरावट, C) नए नियमों का परिचय, D) ग्रामीण क्षेत्रों में पुनरुद्धार</v>
      </c>
      <c r="I333" s="5" t="str">
        <f>IFERROR(__xludf.DUMMYFUNCTION("GOOGLETRANSLATE(D333, ""en"", ""hi"")"),"बी) पारंपरिक प्रथाओं में गिरावट")</f>
        <v>बी) पारंपरिक प्रथाओं में गिरावट</v>
      </c>
    </row>
    <row r="334" ht="22.5" customHeight="1">
      <c r="A334" s="7">
        <v>333.0</v>
      </c>
      <c r="B334" s="4" t="s">
        <v>5675</v>
      </c>
      <c r="C334" s="4" t="s">
        <v>5676</v>
      </c>
      <c r="D334" s="4" t="s">
        <v>5531</v>
      </c>
      <c r="F334" s="5" t="str">
        <f>IFERROR(__xludf.DUMMYFUNCTION("GOOGLETRANSLATE(A334, ""en"", ""hi"")"),"333")</f>
        <v>333</v>
      </c>
      <c r="G334" s="5" t="str">
        <f>IFERROR(__xludf.DUMMYFUNCTION("GOOGLETRANSLATE(B334, ""en"", ""hi"")"),"किस ऐतिहासिक राजा के शासनकाल को पम्बरम नियमों के विस्तृत दस्तावेजीकरण द्वारा चिह्नित किया जाता है?")</f>
        <v>किस ऐतिहासिक राजा के शासनकाल को पम्बरम नियमों के विस्तृत दस्तावेजीकरण द्वारा चिह्नित किया जाता है?</v>
      </c>
      <c r="H334" s="5" t="str">
        <f>IFERROR(__xludf.DUMMYFUNCTION("GOOGLETRANSLATE(C334, ""en"", ""hi"")"),"ए) राजराज चोल प्रथम, बी) कृष्णदेवराय, सी) अशोक, डी) हर्ष")</f>
        <v>ए) राजराज चोल प्रथम, बी) कृष्णदेवराय, सी) अशोक, डी) हर्ष</v>
      </c>
      <c r="I334" s="5" t="str">
        <f>IFERROR(__xludf.DUMMYFUNCTION("GOOGLETRANSLATE(D334, ""en"", ""hi"")"),"A) राजराजा चोल प्रथम")</f>
        <v>A) राजराजा चोल प्रथम</v>
      </c>
    </row>
    <row r="335" ht="22.5" customHeight="1">
      <c r="A335" s="7">
        <v>334.0</v>
      </c>
      <c r="B335" s="4" t="s">
        <v>5677</v>
      </c>
      <c r="C335" s="4" t="s">
        <v>5678</v>
      </c>
      <c r="D335" s="4" t="s">
        <v>5679</v>
      </c>
      <c r="F335" s="5" t="str">
        <f>IFERROR(__xludf.DUMMYFUNCTION("GOOGLETRANSLATE(A335, ""en"", ""hi"")"),"334")</f>
        <v>334</v>
      </c>
      <c r="G335" s="5" t="str">
        <f>IFERROR(__xludf.DUMMYFUNCTION("GOOGLETRANSLATE(B335, ""en"", ""hi"")"),"दक्षिण भारतीय राज्यों के बीच सांस्कृतिक आदान-प्रदान में पम्बरम की क्या भूमिका थी?")</f>
        <v>दक्षिण भारतीय राज्यों के बीच सांस्कृतिक आदान-प्रदान में पम्बरम की क्या भूमिका थी?</v>
      </c>
      <c r="H335" s="5" t="str">
        <f>IFERROR(__xludf.DUMMYFUNCTION("GOOGLETRANSLATE(C335, ""en"", ""hi"")"),"A) इसने राजनयिक संबंधों को सुगम बनाया, B) यह एक प्रतिस्पर्धी खेल के रूप में कार्य करता था, C) यह सांस्कृतिक पहचान का प्रतीक था, D) इसका उपयोग व्यापार के लिए किया जाता था")</f>
        <v>A) इसने राजनयिक संबंधों को सुगम बनाया, B) यह एक प्रतिस्पर्धी खेल के रूप में कार्य करता था, C) यह सांस्कृतिक पहचान का प्रतीक था, D) इसका उपयोग व्यापार के लिए किया जाता था</v>
      </c>
      <c r="I335" s="5" t="str">
        <f>IFERROR(__xludf.DUMMYFUNCTION("GOOGLETRANSLATE(D335, ""en"", ""hi"")"),"C) यह सांस्कृतिक पहचान का प्रतीक था")</f>
        <v>C) यह सांस्कृतिक पहचान का प्रतीक था</v>
      </c>
    </row>
    <row r="336" ht="22.5" customHeight="1">
      <c r="A336" s="7">
        <v>335.0</v>
      </c>
      <c r="B336" s="4" t="s">
        <v>5680</v>
      </c>
      <c r="C336" s="4" t="s">
        <v>5606</v>
      </c>
      <c r="D336" s="4" t="s">
        <v>5607</v>
      </c>
      <c r="F336" s="5" t="str">
        <f>IFERROR(__xludf.DUMMYFUNCTION("GOOGLETRANSLATE(A336, ""en"", ""hi"")"),"335")</f>
        <v>335</v>
      </c>
      <c r="G336" s="5" t="str">
        <f>IFERROR(__xludf.DUMMYFUNCTION("GOOGLETRANSLATE(B336, ""en"", ""hi"")"),"कौन सा प्राचीन दक्षिण भारतीय राज्य अपने विस्तृत पम्बरम बोर्डों के लिए जाना जाता है?")</f>
        <v>कौन सा प्राचीन दक्षिण भारतीय राज्य अपने विस्तृत पम्बरम बोर्डों के लिए जाना जाता है?</v>
      </c>
      <c r="H336" s="5" t="str">
        <f>IFERROR(__xludf.DUMMYFUNCTION("GOOGLETRANSLATE(C336, ""en"", ""hi"")"),"A) चोल साम्राज्य, B) पल्लव साम्राज्य, C) पांड्य साम्राज्य, D) चेर साम्राज्य")</f>
        <v>A) चोल साम्राज्य, B) पल्लव साम्राज्य, C) पांड्य साम्राज्य, D) चेर साम्राज्य</v>
      </c>
      <c r="I336" s="5" t="str">
        <f>IFERROR(__xludf.DUMMYFUNCTION("GOOGLETRANSLATE(D336, ""en"", ""hi"")"),"A) चोल साम्राज्य")</f>
        <v>A) चोल साम्राज्य</v>
      </c>
    </row>
    <row r="337" ht="22.5" customHeight="1">
      <c r="A337" s="7">
        <v>336.0</v>
      </c>
      <c r="B337" s="4" t="s">
        <v>5681</v>
      </c>
      <c r="C337" s="4" t="s">
        <v>5682</v>
      </c>
      <c r="D337" s="4" t="s">
        <v>5683</v>
      </c>
      <c r="F337" s="5" t="str">
        <f>IFERROR(__xludf.DUMMYFUNCTION("GOOGLETRANSLATE(A337, ""en"", ""hi"")"),"336")</f>
        <v>336</v>
      </c>
      <c r="G337" s="5" t="str">
        <f>IFERROR(__xludf.DUMMYFUNCTION("GOOGLETRANSLATE(B337, ""en"", ""hi"")"),"पंबारम जैसे पारंपरिक दक्षिण भारतीय खेलों पर औपनिवेशिक शासन का क्या प्रभाव पड़ा?")</f>
        <v>पंबारम जैसे पारंपरिक दक्षिण भारतीय खेलों पर औपनिवेशिक शासन का क्या प्रभाव पड़ा?</v>
      </c>
      <c r="H337" s="5" t="str">
        <f>IFERROR(__xludf.DUMMYFUNCTION("GOOGLETRANSLATE(C337, ""en"", ""hi"")"),"A) इससे उनका पतन हुआ, B) इससे उनका पुनरुत्थान हुआ, C) इससे उनका आधुनिकीकरण हुआ, D) इससे उनका संरक्षण हुआ")</f>
        <v>A) इससे उनका पतन हुआ, B) इससे उनका पुनरुत्थान हुआ, C) इससे उनका आधुनिकीकरण हुआ, D) इससे उनका संरक्षण हुआ</v>
      </c>
      <c r="I337" s="5" t="str">
        <f>IFERROR(__xludf.DUMMYFUNCTION("GOOGLETRANSLATE(D337, ""en"", ""hi"")"),"A) इससे उनका पतन हुआ")</f>
        <v>A) इससे उनका पतन हुआ</v>
      </c>
    </row>
    <row r="338" ht="22.5" customHeight="1">
      <c r="A338" s="7">
        <v>337.0</v>
      </c>
      <c r="B338" s="4" t="s">
        <v>5684</v>
      </c>
      <c r="C338" s="4" t="s">
        <v>5685</v>
      </c>
      <c r="D338" s="4" t="s">
        <v>5686</v>
      </c>
      <c r="F338" s="5" t="str">
        <f>IFERROR(__xludf.DUMMYFUNCTION("GOOGLETRANSLATE(A338, ""en"", ""hi"")"),"337")</f>
        <v>337</v>
      </c>
      <c r="G338" s="5" t="str">
        <f>IFERROR(__xludf.DUMMYFUNCTION("GOOGLETRANSLATE(B338, ""en"", ""hi"")"),"ऐतिहासिक दक्षिण भारत में रणनीति सिखाने के लिए पम्बरम का उपयोग किस प्रकार किया गया?")</f>
        <v>ऐतिहासिक दक्षिण भारत में रणनीति सिखाने के लिए पम्बरम का उपयोग किस प्रकार किया गया?</v>
      </c>
      <c r="H338" s="5" t="str">
        <f>IFERROR(__xludf.DUMMYFUNCTION("GOOGLETRANSLATE(C338, ""en"", ""hi"")"),"A) औपचारिक शिक्षा के माध्यम से, B) व्यावहारिक खेल के माध्यम से, C) साहित्य के माध्यम से, D) धार्मिक शिक्षाओं के माध्यम से")</f>
        <v>A) औपचारिक शिक्षा के माध्यम से, B) व्यावहारिक खेल के माध्यम से, C) साहित्य के माध्यम से, D) धार्मिक शिक्षाओं के माध्यम से</v>
      </c>
      <c r="I338" s="5" t="str">
        <f>IFERROR(__xludf.DUMMYFUNCTION("GOOGLETRANSLATE(D338, ""en"", ""hi"")"),"बी) व्यावहारिक गेमप्ले के माध्यम से")</f>
        <v>बी) व्यावहारिक गेमप्ले के माध्यम से</v>
      </c>
    </row>
    <row r="339" ht="22.5" customHeight="1">
      <c r="A339" s="7">
        <v>338.0</v>
      </c>
      <c r="B339" s="4" t="s">
        <v>5687</v>
      </c>
      <c r="C339" s="4" t="s">
        <v>5688</v>
      </c>
      <c r="D339" s="4" t="s">
        <v>5578</v>
      </c>
      <c r="F339" s="5" t="str">
        <f>IFERROR(__xludf.DUMMYFUNCTION("GOOGLETRANSLATE(A339, ""en"", ""hi"")"),"338")</f>
        <v>338</v>
      </c>
      <c r="G339" s="5" t="str">
        <f>IFERROR(__xludf.DUMMYFUNCTION("GOOGLETRANSLATE(B339, ""en"", ""hi"")"),"दक्षिण भारत में पंबारम जैसे पारंपरिक खेलों का समर्थन करने के लिए कौन सा ऐतिहासिक व्यक्ति जाना जाता है?")</f>
        <v>दक्षिण भारत में पंबारम जैसे पारंपरिक खेलों का समर्थन करने के लिए कौन सा ऐतिहासिक व्यक्ति जाना जाता है?</v>
      </c>
      <c r="H339" s="5" t="str">
        <f>IFERROR(__xludf.DUMMYFUNCTION("GOOGLETRANSLATE(C339, ""en"", ""hi"")"),"ए) राजेंद्र चोल प्रथम, बी) अकबर, सी) शिवाजी महाराज, डी) रणजीत सिंह")</f>
        <v>ए) राजेंद्र चोल प्रथम, बी) अकबर, सी) शिवाजी महाराज, डी) रणजीत सिंह</v>
      </c>
      <c r="I339" s="5" t="str">
        <f>IFERROR(__xludf.DUMMYFUNCTION("GOOGLETRANSLATE(D339, ""en"", ""hi"")"),"A) राजेंद्र चोल प्रथम")</f>
        <v>A) राजेंद्र चोल प्रथम</v>
      </c>
    </row>
    <row r="340" ht="22.5" customHeight="1">
      <c r="A340" s="7">
        <v>339.0</v>
      </c>
      <c r="B340" s="4" t="s">
        <v>5689</v>
      </c>
      <c r="C340" s="4" t="s">
        <v>5690</v>
      </c>
      <c r="D340" s="4" t="s">
        <v>644</v>
      </c>
      <c r="F340" s="5" t="str">
        <f>IFERROR(__xludf.DUMMYFUNCTION("GOOGLETRANSLATE(A340, ""en"", ""hi"")"),"339")</f>
        <v>339</v>
      </c>
      <c r="G340" s="5" t="str">
        <f>IFERROR(__xludf.DUMMYFUNCTION("GOOGLETRANSLATE(B340, ""en"", ""hi"")"),"दक्षिण भारतीय समाज में किन ऐतिहासिक परिवर्तनों ने पम्बरम के विकास को प्रभावित किया?")</f>
        <v>दक्षिण भारतीय समाज में किन ऐतिहासिक परिवर्तनों ने पम्बरम के विकास को प्रभावित किया?</v>
      </c>
      <c r="H340" s="5" t="str">
        <f>IFERROR(__xludf.DUMMYFUNCTION("GOOGLETRANSLATE(C340, ""en"", ""hi"")"),"A) शासक राजवंशों में परिवर्तन, B) नई सामग्रियों का परिचय, C) विदेशी खेलों का प्रभाव, D) उपरोक्त सभी")</f>
        <v>A) शासक राजवंशों में परिवर्तन, B) नई सामग्रियों का परिचय, C) विदेशी खेलों का प्रभाव, D) उपरोक्त सभी</v>
      </c>
      <c r="I340" s="5" t="str">
        <f>IFERROR(__xludf.DUMMYFUNCTION("GOOGLETRANSLATE(D340, ""en"", ""hi"")"),"D। उपरोक्त सभी")</f>
        <v>D। उपरोक्त सभी</v>
      </c>
    </row>
    <row r="341" ht="22.5" customHeight="1">
      <c r="A341" s="7">
        <v>340.0</v>
      </c>
      <c r="B341" s="4" t="s">
        <v>5691</v>
      </c>
      <c r="C341" s="4" t="s">
        <v>5692</v>
      </c>
      <c r="D341" s="4" t="s">
        <v>4854</v>
      </c>
      <c r="F341" s="5" t="str">
        <f>IFERROR(__xludf.DUMMYFUNCTION("GOOGLETRANSLATE(A341, ""en"", ""hi"")"),"340")</f>
        <v>340</v>
      </c>
      <c r="G341" s="5" t="str">
        <f>IFERROR(__xludf.DUMMYFUNCTION("GOOGLETRANSLATE(B341, ""en"", ""hi"")"),"कौन सा पारंपरिक दक्षिण भारतीय त्यौहार पम्बारम में रुचि के पुनरुत्थान से जुड़ा हुआ है?")</f>
        <v>कौन सा पारंपरिक दक्षिण भारतीय त्यौहार पम्बारम में रुचि के पुनरुत्थान से जुड़ा हुआ है?</v>
      </c>
      <c r="H341" s="5" t="str">
        <f>IFERROR(__xludf.DUMMYFUNCTION("GOOGLETRANSLATE(C341, ""en"", ""hi"")"),"ए) पोंगल, बी) दिवाली, सी) ओणम, डी) उगादि")</f>
        <v>ए) पोंगल, बी) दिवाली, सी) ओणम, डी) उगादि</v>
      </c>
      <c r="I341" s="5" t="str">
        <f>IFERROR(__xludf.DUMMYFUNCTION("GOOGLETRANSLATE(D341, ""en"", ""hi"")"),"ए) पोंगल")</f>
        <v>ए) पोंगल</v>
      </c>
    </row>
    <row r="342" ht="22.5" customHeight="1">
      <c r="A342" s="7">
        <v>341.0</v>
      </c>
      <c r="B342" s="4" t="s">
        <v>5693</v>
      </c>
      <c r="C342" s="4" t="s">
        <v>5694</v>
      </c>
      <c r="D342" s="4" t="s">
        <v>5695</v>
      </c>
      <c r="F342" s="5" t="str">
        <f>IFERROR(__xludf.DUMMYFUNCTION("GOOGLETRANSLATE(A342, ""en"", ""hi"")"),"341")</f>
        <v>341</v>
      </c>
      <c r="G342" s="5" t="str">
        <f>IFERROR(__xludf.DUMMYFUNCTION("GOOGLETRANSLATE(B342, ""en"", ""hi"")"),"पम्बरम का कौन सा पहलू दक्षिण भारत में इसके ऐतिहासिक और सांस्कृतिक महत्व को दर्शाता है?")</f>
        <v>पम्बरम का कौन सा पहलू दक्षिण भारत में इसके ऐतिहासिक और सांस्कृतिक महत्व को दर्शाता है?</v>
      </c>
      <c r="H342" s="5" t="str">
        <f>IFERROR(__xludf.DUMMYFUNCTION("GOOGLETRANSLATE(C342, ""en"", ""hi"")"),"A) इसका गेमप्ले, B) इसकी सामग्री, C) कला में इसका प्रतिनिधित्व, D) इसका ऐतिहासिक दस्तावेजीकरण")</f>
        <v>A) इसका गेमप्ले, B) इसकी सामग्री, C) कला में इसका प्रतिनिधित्व, D) इसका ऐतिहासिक दस्तावेजीकरण</v>
      </c>
      <c r="I342" s="5" t="str">
        <f>IFERROR(__xludf.DUMMYFUNCTION("GOOGLETRANSLATE(D342, ""en"", ""hi"")"),"D) इसका ऐतिहासिक दस्तावेजीकरण")</f>
        <v>D) इसका ऐतिहासिक दस्तावेजीकरण</v>
      </c>
    </row>
    <row r="343" ht="22.5" customHeight="1">
      <c r="A343" s="7">
        <v>342.0</v>
      </c>
      <c r="B343" s="4" t="s">
        <v>5696</v>
      </c>
      <c r="C343" s="4" t="s">
        <v>171</v>
      </c>
      <c r="D343" s="4" t="s">
        <v>639</v>
      </c>
      <c r="F343" s="5" t="str">
        <f>IFERROR(__xludf.DUMMYFUNCTION("GOOGLETRANSLATE(A343, ""en"", ""hi"")"),"342")</f>
        <v>342</v>
      </c>
      <c r="G343" s="5" t="str">
        <f>IFERROR(__xludf.DUMMYFUNCTION("GOOGLETRANSLATE(B343, ""en"", ""hi"")"),"ऐतिहासिक रूप से किस दक्षिण भारतीय क्षेत्र में सबसे विस्तृत पम्बरम बोर्ड और प्रतियोगिताएं आयोजित की जाती थीं?")</f>
        <v>ऐतिहासिक रूप से किस दक्षिण भारतीय क्षेत्र में सबसे विस्तृत पम्बरम बोर्ड और प्रतियोगिताएं आयोजित की जाती थीं?</v>
      </c>
      <c r="H343" s="5" t="str">
        <f>IFERROR(__xludf.DUMMYFUNCTION("GOOGLETRANSLATE(C343, ""en"", ""hi"")"),"A) केरल, B) तमिलनाडु, C) कर्नाटक, D) आंध्र प्रदेश")</f>
        <v>A) केरल, B) तमिलनाडु, C) कर्नाटक, D) आंध्र प्रदेश</v>
      </c>
      <c r="I343" s="5" t="str">
        <f>IFERROR(__xludf.DUMMYFUNCTION("GOOGLETRANSLATE(D343, ""en"", ""hi"")"),"बी) तमिलनाडु")</f>
        <v>बी) तमिलनाडु</v>
      </c>
    </row>
    <row r="344" ht="22.5" customHeight="1">
      <c r="A344" s="7">
        <v>343.0</v>
      </c>
      <c r="B344" s="4" t="s">
        <v>5697</v>
      </c>
      <c r="C344" s="4" t="s">
        <v>5698</v>
      </c>
      <c r="D344" s="4" t="s">
        <v>5699</v>
      </c>
      <c r="F344" s="5" t="str">
        <f>IFERROR(__xludf.DUMMYFUNCTION("GOOGLETRANSLATE(A344, ""en"", ""hi"")"),"343")</f>
        <v>343</v>
      </c>
      <c r="G344" s="5" t="str">
        <f>IFERROR(__xludf.DUMMYFUNCTION("GOOGLETRANSLATE(B344, ""en"", ""hi"")"),"औपनिवेशिक काल ने पम्बारम की प्रथा और लोकप्रियता को किस प्रकार प्रभावित किया?")</f>
        <v>औपनिवेशिक काल ने पम्बारम की प्रथा और लोकप्रियता को किस प्रकार प्रभावित किया?</v>
      </c>
      <c r="H344" s="5" t="str">
        <f>IFERROR(__xludf.DUMMYFUNCTION("GOOGLETRANSLATE(C344, ""en"", ""hi"")"),"A) इसने नए नियम लागू किए, B) इसने प्रथा में गिरावट ला दी, C) इसने पारंपरिक प्रथाओं को संरक्षित रखा, D) इसने आधुनिक रूपों की शुरुआत की")</f>
        <v>A) इसने नए नियम लागू किए, B) इसने प्रथा में गिरावट ला दी, C) इसने पारंपरिक प्रथाओं को संरक्षित रखा, D) इसने आधुनिक रूपों की शुरुआत की</v>
      </c>
      <c r="I344" s="5" t="str">
        <f>IFERROR(__xludf.DUMMYFUNCTION("GOOGLETRANSLATE(D344, ""en"", ""hi"")"),"B) इससे अभ्यास में गिरावट आई")</f>
        <v>B) इससे अभ्यास में गिरावट आई</v>
      </c>
    </row>
    <row r="345" ht="22.5" customHeight="1">
      <c r="A345" s="7">
        <v>344.0</v>
      </c>
      <c r="B345" s="4" t="s">
        <v>5700</v>
      </c>
      <c r="C345" s="4" t="s">
        <v>5701</v>
      </c>
      <c r="D345" s="4" t="s">
        <v>5702</v>
      </c>
      <c r="F345" s="5" t="str">
        <f>IFERROR(__xludf.DUMMYFUNCTION("GOOGLETRANSLATE(A345, ""en"", ""hi"")"),"344")</f>
        <v>344</v>
      </c>
      <c r="G345" s="5" t="str">
        <f>IFERROR(__xludf.DUMMYFUNCTION("GOOGLETRANSLATE(B345, ""en"", ""hi"")"),"पम्बरम का उल्लेख सर्वप्रथम किस ऐतिहासिक ग्रंथ में मिलता है?")</f>
        <v>पम्बरम का उल्लेख सर्वप्रथम किस ऐतिहासिक ग्रंथ में मिलता है?</v>
      </c>
      <c r="H345" s="5" t="str">
        <f>IFERROR(__xludf.DUMMYFUNCTION("GOOGLETRANSLATE(C345, ""en"", ""hi"")"),"ए) रामायण, बी) महाभारत, सी) अर्थशास्त्र, डी) वेद")</f>
        <v>ए) रामायण, बी) महाभारत, सी) अर्थशास्त्र, डी) वेद</v>
      </c>
      <c r="I345" s="5" t="str">
        <f>IFERROR(__xludf.DUMMYFUNCTION("GOOGLETRANSLATE(D345, ""en"", ""hi"")"),"C) अर्थशास्त्र")</f>
        <v>C) अर्थशास्त्र</v>
      </c>
    </row>
    <row r="346" ht="22.5" customHeight="1">
      <c r="A346" s="7">
        <v>345.0</v>
      </c>
      <c r="B346" s="4" t="s">
        <v>5703</v>
      </c>
      <c r="C346" s="4" t="s">
        <v>5704</v>
      </c>
      <c r="D346" s="4" t="s">
        <v>5705</v>
      </c>
      <c r="F346" s="5" t="str">
        <f>IFERROR(__xludf.DUMMYFUNCTION("GOOGLETRANSLATE(A346, ""en"", ""hi"")"),"345")</f>
        <v>345</v>
      </c>
      <c r="G346" s="5" t="str">
        <f>IFERROR(__xludf.DUMMYFUNCTION("GOOGLETRANSLATE(B346, ""en"", ""hi"")"),"प्राचीन दक्षिण भारतीय प्रशिक्षण में पम्बरम का प्राथमिक उद्देश्य क्या था?")</f>
        <v>प्राचीन दक्षिण भारतीय प्रशिक्षण में पम्बरम का प्राथमिक उद्देश्य क्या था?</v>
      </c>
      <c r="H346" s="5" t="str">
        <f>IFERROR(__xludf.DUMMYFUNCTION("GOOGLETRANSLATE(C346, ""en"", ""hi"")"),"A) मनोरंजन, B) सैन्य रणनीति, C) आध्यात्मिक अभ्यास, D) व्यापार")</f>
        <v>A) मनोरंजन, B) सैन्य रणनीति, C) आध्यात्मिक अभ्यास, D) व्यापार</v>
      </c>
      <c r="I346" s="5" t="str">
        <f>IFERROR(__xludf.DUMMYFUNCTION("GOOGLETRANSLATE(D346, ""en"", ""hi"")"),"बी) सैन्य रणनीति")</f>
        <v>बी) सैन्य रणनीति</v>
      </c>
    </row>
    <row r="347" ht="22.5" customHeight="1">
      <c r="A347" s="7">
        <v>346.0</v>
      </c>
      <c r="B347" s="4" t="s">
        <v>5706</v>
      </c>
      <c r="C347" s="4" t="s">
        <v>5707</v>
      </c>
      <c r="D347" s="4" t="s">
        <v>5648</v>
      </c>
      <c r="F347" s="5" t="str">
        <f>IFERROR(__xludf.DUMMYFUNCTION("GOOGLETRANSLATE(A347, ""en"", ""hi"")"),"346")</f>
        <v>346</v>
      </c>
      <c r="G347" s="5" t="str">
        <f>IFERROR(__xludf.DUMMYFUNCTION("GOOGLETRANSLATE(B347, ""en"", ""hi"")"),"किस प्राचीन दक्षिण भारतीय राजा को अपने दरबार में पम्बरम को लोकप्रिय बनाने का श्रेय दिया जाता है?")</f>
        <v>किस प्राचीन दक्षिण भारतीय राजा को अपने दरबार में पम्बरम को लोकप्रिय बनाने का श्रेय दिया जाता है?</v>
      </c>
      <c r="H347" s="5" t="str">
        <f>IFERROR(__xludf.DUMMYFUNCTION("GOOGLETRANSLATE(C347, ""en"", ""hi"")"),"ए) राजराज चोल प्रथम, बी) कृष्णदेव राय, सी) अशोक, डी) विक्रमादित्य")</f>
        <v>ए) राजराज चोल प्रथम, बी) कृष्णदेव राय, सी) अशोक, डी) विक्रमादित्य</v>
      </c>
      <c r="I347" s="5" t="str">
        <f>IFERROR(__xludf.DUMMYFUNCTION("GOOGLETRANSLATE(D347, ""en"", ""hi"")"),"B) कृष्ण देव राय")</f>
        <v>B) कृष्ण देव राय</v>
      </c>
    </row>
    <row r="348" ht="22.5" customHeight="1">
      <c r="A348" s="7">
        <v>347.0</v>
      </c>
      <c r="B348" s="4" t="s">
        <v>5708</v>
      </c>
      <c r="C348" s="4" t="s">
        <v>5709</v>
      </c>
      <c r="D348" s="4" t="s">
        <v>5710</v>
      </c>
      <c r="F348" s="5" t="str">
        <f>IFERROR(__xludf.DUMMYFUNCTION("GOOGLETRANSLATE(A348, ""en"", ""hi"")"),"347")</f>
        <v>347</v>
      </c>
      <c r="G348" s="5" t="str">
        <f>IFERROR(__xludf.DUMMYFUNCTION("GOOGLETRANSLATE(B348, ""en"", ""hi"")"),"किस दक्षिण भारतीय राजवंश के दौरान पम्बाराम का व्यापक रूप से दस्तावेजीकरण किया गया था?")</f>
        <v>किस दक्षिण भारतीय राजवंश के दौरान पम्बाराम का व्यापक रूप से दस्तावेजीकरण किया गया था?</v>
      </c>
      <c r="H348" s="5" t="str">
        <f>IFERROR(__xludf.DUMMYFUNCTION("GOOGLETRANSLATE(C348, ""en"", ""hi"")"),"A) चोल राजवंश, B) पल्लव राजवंश, C) विजयनगर राजवंश, D) चेर राजवंश")</f>
        <v>A) चोल राजवंश, B) पल्लव राजवंश, C) विजयनगर राजवंश, D) चेर राजवंश</v>
      </c>
      <c r="I348" s="5" t="str">
        <f>IFERROR(__xludf.DUMMYFUNCTION("GOOGLETRANSLATE(D348, ""en"", ""hi"")"),"A) चोल राजवंश")</f>
        <v>A) चोल राजवंश</v>
      </c>
    </row>
    <row r="349" ht="22.5" customHeight="1">
      <c r="A349" s="7">
        <v>348.0</v>
      </c>
      <c r="B349" s="4" t="s">
        <v>5711</v>
      </c>
      <c r="C349" s="4" t="s">
        <v>5712</v>
      </c>
      <c r="D349" s="4" t="s">
        <v>4649</v>
      </c>
      <c r="F349" s="5" t="str">
        <f>IFERROR(__xludf.DUMMYFUNCTION("GOOGLETRANSLATE(A349, ""en"", ""hi"")"),"348")</f>
        <v>348</v>
      </c>
      <c r="G349" s="5" t="str">
        <f>IFERROR(__xludf.DUMMYFUNCTION("GOOGLETRANSLATE(B349, ""en"", ""hi"")"),"दक्षिण भारतीय शाही दरबारों में पम्बाराम की क्या भूमिका थी?")</f>
        <v>दक्षिण भारतीय शाही दरबारों में पम्बाराम की क्या भूमिका थी?</v>
      </c>
      <c r="H349" s="5" t="str">
        <f>IFERROR(__xludf.DUMMYFUNCTION("GOOGLETRANSLATE(C349, ""en"", ""hi"")"),"A) यह मनोरंजन का एक साधन था, B) इसका प्रयोग सैन्य अभ्यास के लिए किया जाता था, C) यह एक औपचारिक गतिविधि थी, D) इसका प्रयोग राजनयिक बैठकों के लिए किया जाता था")</f>
        <v>A) यह मनोरंजन का एक साधन था, B) इसका प्रयोग सैन्य अभ्यास के लिए किया जाता था, C) यह एक औपचारिक गतिविधि थी, D) इसका प्रयोग राजनयिक बैठकों के लिए किया जाता था</v>
      </c>
      <c r="I349" s="5" t="str">
        <f>IFERROR(__xludf.DUMMYFUNCTION("GOOGLETRANSLATE(D349, ""en"", ""hi"")"),"A) यह मनोरंजन का एक रूप था")</f>
        <v>A) यह मनोरंजन का एक रूप था</v>
      </c>
    </row>
    <row r="350" ht="22.5" customHeight="1">
      <c r="A350" s="7">
        <v>349.0</v>
      </c>
      <c r="B350" s="4" t="s">
        <v>5713</v>
      </c>
      <c r="C350" s="4" t="s">
        <v>5714</v>
      </c>
      <c r="D350" s="4" t="s">
        <v>5578</v>
      </c>
      <c r="F350" s="5" t="str">
        <f>IFERROR(__xludf.DUMMYFUNCTION("GOOGLETRANSLATE(A350, ""en"", ""hi"")"),"349")</f>
        <v>349</v>
      </c>
      <c r="G350" s="5" t="str">
        <f>IFERROR(__xludf.DUMMYFUNCTION("GOOGLETRANSLATE(B350, ""en"", ""hi"")"),"कौन सा दक्षिण भारतीय राजा पम्बरम जैसे पारंपरिक खेलों के संरक्षण के लिए जाना जाता है?")</f>
        <v>कौन सा दक्षिण भारतीय राजा पम्बरम जैसे पारंपरिक खेलों के संरक्षण के लिए जाना जाता है?</v>
      </c>
      <c r="H350" s="5" t="str">
        <f>IFERROR(__xludf.DUMMYFUNCTION("GOOGLETRANSLATE(C350, ""en"", ""hi"")"),"A) राजेंद्र चोल प्रथम, B) कृष्णदेव राय, C) हर्ष, D) अशोक")</f>
        <v>A) राजेंद्र चोल प्रथम, B) कृष्णदेव राय, C) हर्ष, D) अशोक</v>
      </c>
      <c r="I350" s="5" t="str">
        <f>IFERROR(__xludf.DUMMYFUNCTION("GOOGLETRANSLATE(D350, ""en"", ""hi"")"),"A) राजेंद्र चोल प्रथम")</f>
        <v>A) राजेंद्र चोल प्रथम</v>
      </c>
    </row>
    <row r="351" ht="22.5" customHeight="1">
      <c r="A351" s="7">
        <v>350.0</v>
      </c>
      <c r="B351" s="4" t="s">
        <v>5715</v>
      </c>
      <c r="C351" s="4" t="s">
        <v>5716</v>
      </c>
      <c r="D351" s="4" t="s">
        <v>5717</v>
      </c>
      <c r="F351" s="5" t="str">
        <f>IFERROR(__xludf.DUMMYFUNCTION("GOOGLETRANSLATE(A351, ""en"", ""hi"")"),"350")</f>
        <v>350</v>
      </c>
      <c r="G351" s="5" t="str">
        <f>IFERROR(__xludf.DUMMYFUNCTION("GOOGLETRANSLATE(B351, ""en"", ""hi"")"),"औपनिवेशिक काल के दौरान पम्बाराम के पतन में किस ऐतिहासिक कारक का योगदान था?")</f>
        <v>औपनिवेशिक काल के दौरान पम्बाराम के पतन में किस ऐतिहासिक कारक का योगदान था?</v>
      </c>
      <c r="H351" s="5" t="str">
        <f>IFERROR(__xludf.DUMMYFUNCTION("GOOGLETRANSLATE(C351, ""en"", ""hi"")"),"A) पश्चिमी खेलों का आगमन, B) स्थानीय रुचि में कमी, C) दस्तावेज़ीकरण का अभाव, D) धार्मिक प्रतिबंध")</f>
        <v>A) पश्चिमी खेलों का आगमन, B) स्थानीय रुचि में कमी, C) दस्तावेज़ीकरण का अभाव, D) धार्मिक प्रतिबंध</v>
      </c>
      <c r="I351" s="5" t="str">
        <f>IFERROR(__xludf.DUMMYFUNCTION("GOOGLETRANSLATE(D351, ""en"", ""hi"")"),"A) पश्चिमी खेलों का परिचय")</f>
        <v>A) पश्चिमी खेलों का परिचय</v>
      </c>
    </row>
    <row r="352" ht="22.5" customHeight="1">
      <c r="A352" s="7">
        <v>351.0</v>
      </c>
      <c r="B352" s="4" t="s">
        <v>5718</v>
      </c>
      <c r="C352" s="4" t="s">
        <v>5659</v>
      </c>
      <c r="D352" s="4" t="s">
        <v>5660</v>
      </c>
      <c r="F352" s="5" t="str">
        <f>IFERROR(__xludf.DUMMYFUNCTION("GOOGLETRANSLATE(A352, ""en"", ""hi"")"),"351")</f>
        <v>351</v>
      </c>
      <c r="G352" s="5" t="str">
        <f>IFERROR(__xludf.DUMMYFUNCTION("GOOGLETRANSLATE(B352, ""en"", ""hi"")"),"किस ऐतिहासिक काल में पम्बारम का एक औपचारिक खेल में परिवर्तन हुआ?")</f>
        <v>किस ऐतिहासिक काल में पम्बारम का एक औपचारिक खेल में परिवर्तन हुआ?</v>
      </c>
      <c r="H352" s="5" t="str">
        <f>IFERROR(__xludf.DUMMYFUNCTION("GOOGLETRANSLATE(C352, ""en"", ""hi"")"),"A) गुप्त काल, B) चोल काल, C) मुगल काल, D) विजयनगर काल")</f>
        <v>A) गुप्त काल, B) चोल काल, C) मुगल काल, D) विजयनगर काल</v>
      </c>
      <c r="I352" s="5" t="str">
        <f>IFERROR(__xludf.DUMMYFUNCTION("GOOGLETRANSLATE(D352, ""en"", ""hi"")"),"बी) चोल काल")</f>
        <v>बी) चोल काल</v>
      </c>
    </row>
    <row r="353" ht="22.5" customHeight="1">
      <c r="A353" s="7">
        <v>352.0</v>
      </c>
      <c r="B353" s="4" t="s">
        <v>5719</v>
      </c>
      <c r="C353" s="4" t="s">
        <v>5720</v>
      </c>
      <c r="D353" s="4" t="s">
        <v>5721</v>
      </c>
      <c r="F353" s="5" t="str">
        <f>IFERROR(__xludf.DUMMYFUNCTION("GOOGLETRANSLATE(A353, ""en"", ""hi"")"),"352")</f>
        <v>352</v>
      </c>
      <c r="G353" s="5" t="str">
        <f>IFERROR(__xludf.DUMMYFUNCTION("GOOGLETRANSLATE(B353, ""en"", ""hi"")"),"औपनिवेशिक प्रभाव ने पम्बारम के पारंपरिक नियमों को किस प्रकार बदल दिया?")</f>
        <v>औपनिवेशिक प्रभाव ने पम्बारम के पारंपरिक नियमों को किस प्रकार बदल दिया?</v>
      </c>
      <c r="H353" s="5" t="str">
        <f>IFERROR(__xludf.DUMMYFUNCTION("GOOGLETRANSLATE(C353, ""en"", ""hi"")"),"A) इसने नए नियम लागू किए, B) इसने खेल को मानकीकृत किया, C) इसने खेल के पतन का कारण बना, D) इसने पारंपरिक नियमों को संरक्षित रखा")</f>
        <v>A) इसने नए नियम लागू किए, B) इसने खेल को मानकीकृत किया, C) इसने खेल के पतन का कारण बना, D) इसने पारंपरिक नियमों को संरक्षित रखा</v>
      </c>
      <c r="I353" s="5" t="str">
        <f>IFERROR(__xludf.DUMMYFUNCTION("GOOGLETRANSLATE(D353, ""en"", ""hi"")"),"C) इससे खेल का पतन हुआ")</f>
        <v>C) इससे खेल का पतन हुआ</v>
      </c>
    </row>
    <row r="354" ht="22.5" customHeight="1">
      <c r="A354" s="7">
        <v>353.0</v>
      </c>
      <c r="B354" s="4" t="s">
        <v>5722</v>
      </c>
      <c r="C354" s="4" t="s">
        <v>5723</v>
      </c>
      <c r="D354" s="4" t="s">
        <v>4854</v>
      </c>
      <c r="F354" s="5" t="str">
        <f>IFERROR(__xludf.DUMMYFUNCTION("GOOGLETRANSLATE(A354, ""en"", ""hi"")"),"353")</f>
        <v>353</v>
      </c>
      <c r="G354" s="5" t="str">
        <f>IFERROR(__xludf.DUMMYFUNCTION("GOOGLETRANSLATE(B354, ""en"", ""hi"")"),"कौन सा दक्षिण भारतीय त्यौहार ऐतिहासिक रूप से पम्बारम को एक प्रमुख कार्यक्रम के रूप में शामिल करता है?")</f>
        <v>कौन सा दक्षिण भारतीय त्यौहार ऐतिहासिक रूप से पम्बारम को एक प्रमुख कार्यक्रम के रूप में शामिल करता है?</v>
      </c>
      <c r="H354" s="5" t="str">
        <f>IFERROR(__xludf.DUMMYFUNCTION("GOOGLETRANSLATE(C354, ""en"", ""hi"")"),"ए) पोंगल, बी) दिवाली, सी) विशु, डी) ओणम")</f>
        <v>ए) पोंगल, बी) दिवाली, सी) विशु, डी) ओणम</v>
      </c>
      <c r="I354" s="5" t="str">
        <f>IFERROR(__xludf.DUMMYFUNCTION("GOOGLETRANSLATE(D354, ""en"", ""hi"")"),"ए) पोंगल")</f>
        <v>ए) पोंगल</v>
      </c>
    </row>
    <row r="355" ht="22.5" customHeight="1">
      <c r="A355" s="7">
        <v>354.0</v>
      </c>
      <c r="B355" s="4" t="s">
        <v>5724</v>
      </c>
      <c r="C355" s="4" t="s">
        <v>5725</v>
      </c>
      <c r="D355" s="4" t="s">
        <v>5726</v>
      </c>
      <c r="F355" s="5" t="str">
        <f>IFERROR(__xludf.DUMMYFUNCTION("GOOGLETRANSLATE(A355, ""en"", ""hi"")"),"354")</f>
        <v>354</v>
      </c>
      <c r="G355" s="5" t="str">
        <f>IFERROR(__xludf.DUMMYFUNCTION("GOOGLETRANSLATE(B355, ""en"", ""hi"")"),"ऐतिहासिक अभिलेखों से कौन सा साक्ष्य दक्षिण भारतीय संस्कृति में पम्बरम के महत्व को दर्शाता है?")</f>
        <v>ऐतिहासिक अभिलेखों से कौन सा साक्ष्य दक्षिण भारतीय संस्कृति में पम्बरम के महत्व को दर्शाता है?</v>
      </c>
      <c r="H355" s="5" t="str">
        <f>IFERROR(__xludf.DUMMYFUNCTION("GOOGLETRANSLATE(C355, ""en"", ""hi"")"),"A) मंदिर शिलालेख, B) शाही फरमान, C) धार्मिक ग्रंथ, D) व्यापार अभिलेख")</f>
        <v>A) मंदिर शिलालेख, B) शाही फरमान, C) धार्मिक ग्रंथ, D) व्यापार अभिलेख</v>
      </c>
      <c r="I355" s="5" t="str">
        <f>IFERROR(__xludf.DUMMYFUNCTION("GOOGLETRANSLATE(D355, ""en"", ""hi"")"),"A) मंदिर शिलालेख")</f>
        <v>A) मंदिर शिलालेख</v>
      </c>
    </row>
    <row r="356" ht="22.5" customHeight="1">
      <c r="A356" s="7">
        <v>355.0</v>
      </c>
      <c r="B356" s="4" t="s">
        <v>5727</v>
      </c>
      <c r="C356" s="4" t="s">
        <v>5728</v>
      </c>
      <c r="D356" s="4" t="s">
        <v>5702</v>
      </c>
      <c r="F356" s="5" t="str">
        <f>IFERROR(__xludf.DUMMYFUNCTION("GOOGLETRANSLATE(A356, ""en"", ""hi"")"),"355")</f>
        <v>355</v>
      </c>
      <c r="G356" s="5" t="str">
        <f>IFERROR(__xludf.DUMMYFUNCTION("GOOGLETRANSLATE(B356, ""en"", ""hi"")"),"कौन सा प्राचीन दक्षिण भारतीय ग्रंथ पम्बारम के रणनीतिक पहलुओं पर अंतर्दृष्टि प्रदान करता है?")</f>
        <v>कौन सा प्राचीन दक्षिण भारतीय ग्रंथ पम्बारम के रणनीतिक पहलुओं पर अंतर्दृष्टि प्रदान करता है?</v>
      </c>
      <c r="H356" s="5" t="str">
        <f>IFERROR(__xludf.DUMMYFUNCTION("GOOGLETRANSLATE(C356, ""en"", ""hi"")"),"ए) महाभारत, बी) रामायण, सी) अर्थशास्त्र, डी) वेद")</f>
        <v>ए) महाभारत, बी) रामायण, सी) अर्थशास्त्र, डी) वेद</v>
      </c>
      <c r="I356" s="5" t="str">
        <f>IFERROR(__xludf.DUMMYFUNCTION("GOOGLETRANSLATE(D356, ""en"", ""hi"")"),"C) अर्थशास्त्र")</f>
        <v>C) अर्थशास्त्र</v>
      </c>
    </row>
    <row r="357" ht="22.5" customHeight="1">
      <c r="A357" s="7">
        <v>356.0</v>
      </c>
      <c r="B357" s="4" t="s">
        <v>5591</v>
      </c>
      <c r="C357" s="4" t="s">
        <v>5592</v>
      </c>
      <c r="D357" s="4" t="s">
        <v>5593</v>
      </c>
      <c r="F357" s="5" t="str">
        <f>IFERROR(__xludf.DUMMYFUNCTION("GOOGLETRANSLATE(A357, ""en"", ""hi"")"),"356")</f>
        <v>356</v>
      </c>
      <c r="G357" s="5" t="str">
        <f>IFERROR(__xludf.DUMMYFUNCTION("GOOGLETRANSLATE(B357, ""en"", ""hi"")"),"पारंपरिक दक्षिण भारतीय शाही शिक्षा में पम्बरम की क्या भूमिका थी?")</f>
        <v>पारंपरिक दक्षिण भारतीय शाही शिक्षा में पम्बरम की क्या भूमिका थी?</v>
      </c>
      <c r="H357" s="5" t="str">
        <f>IFERROR(__xludf.DUMMYFUNCTION("GOOGLETRANSLATE(C357, ""en"", ""hi"")"),"A) कूटनीति पढ़ाना, B) सैन्य रणनीति पढ़ाना, C) प्रशासन पढ़ाना, D) कला पढ़ाना")</f>
        <v>A) कूटनीति पढ़ाना, B) सैन्य रणनीति पढ़ाना, C) प्रशासन पढ़ाना, D) कला पढ़ाना</v>
      </c>
      <c r="I357" s="5" t="str">
        <f>IFERROR(__xludf.DUMMYFUNCTION("GOOGLETRANSLATE(D357, ""en"", ""hi"")"),"बी) सैन्य रणनीति सिखाना")</f>
        <v>बी) सैन्य रणनीति सिखाना</v>
      </c>
    </row>
    <row r="358" ht="22.5" customHeight="1">
      <c r="A358" s="7">
        <v>357.0</v>
      </c>
      <c r="B358" s="4" t="s">
        <v>5729</v>
      </c>
      <c r="C358" s="4" t="s">
        <v>5730</v>
      </c>
      <c r="D358" s="4" t="s">
        <v>5731</v>
      </c>
      <c r="F358" s="5" t="str">
        <f>IFERROR(__xludf.DUMMYFUNCTION("GOOGLETRANSLATE(A358, ""en"", ""hi"")"),"357")</f>
        <v>357</v>
      </c>
      <c r="G358" s="5" t="str">
        <f>IFERROR(__xludf.DUMMYFUNCTION("GOOGLETRANSLATE(B358, ""en"", ""hi"")"),"कौन सा ऐतिहासिक व्यक्ति पारंपरिक खेल पम्बरम का दस्तावेजीकरण करने के लिए जाना जाता है?")</f>
        <v>कौन सा ऐतिहासिक व्यक्ति पारंपरिक खेल पम्बरम का दस्तावेजीकरण करने के लिए जाना जाता है?</v>
      </c>
      <c r="H358" s="5" t="str">
        <f>IFERROR(__xludf.DUMMYFUNCTION("GOOGLETRANSLATE(C358, ""en"", ""hi"")"),"ए) ब्रह्मगुप्त, बी) कालिदास, सी) कौटिल्य, डी) बान झाओ")</f>
        <v>ए) ब्रह्मगुप्त, बी) कालिदास, सी) कौटिल्य, डी) बान झाओ</v>
      </c>
      <c r="I358" s="5" t="str">
        <f>IFERROR(__xludf.DUMMYFUNCTION("GOOGLETRANSLATE(D358, ""en"", ""hi"")"),"A) ब्रह्मगुप्त")</f>
        <v>A) ब्रह्मगुप्त</v>
      </c>
    </row>
    <row r="359" ht="22.5" customHeight="1">
      <c r="A359" s="7">
        <v>358.0</v>
      </c>
      <c r="B359" s="4" t="s">
        <v>5732</v>
      </c>
      <c r="C359" s="4" t="s">
        <v>5733</v>
      </c>
      <c r="D359" s="4" t="s">
        <v>5734</v>
      </c>
      <c r="F359" s="5" t="str">
        <f>IFERROR(__xludf.DUMMYFUNCTION("GOOGLETRANSLATE(A359, ""en"", ""hi"")"),"358")</f>
        <v>358</v>
      </c>
      <c r="G359" s="5" t="str">
        <f>IFERROR(__xludf.DUMMYFUNCTION("GOOGLETRANSLATE(B359, ""en"", ""hi"")"),"पश्चिमी खेलों के आगमन से पारंपरिक खेल पम्बरम पर क्या प्रभाव पड़ा?")</f>
        <v>पश्चिमी खेलों के आगमन से पारंपरिक खेल पम्बरम पर क्या प्रभाव पड़ा?</v>
      </c>
      <c r="H359" s="5" t="str">
        <f>IFERROR(__xludf.DUMMYFUNCTION("GOOGLETRANSLATE(C359, ""en"", ""hi"")"),"A) इससे खेल में रुचि का पुनरुत्थान हुआ, B) इससे खेल का पतन हुआ, C) इससे खेल का आधुनिकीकरण हुआ, D) इससे खेल का संरक्षण हुआ")</f>
        <v>A) इससे खेल में रुचि का पुनरुत्थान हुआ, B) इससे खेल का पतन हुआ, C) इससे खेल का आधुनिकीकरण हुआ, D) इससे खेल का संरक्षण हुआ</v>
      </c>
      <c r="I359" s="5" t="str">
        <f>IFERROR(__xludf.DUMMYFUNCTION("GOOGLETRANSLATE(D359, ""en"", ""hi"")"),"B) इससे इसका पतन हुआ")</f>
        <v>B) इससे इसका पतन हुआ</v>
      </c>
    </row>
    <row r="360" ht="22.5" customHeight="1">
      <c r="A360" s="7">
        <v>359.0</v>
      </c>
      <c r="B360" s="4" t="s">
        <v>5735</v>
      </c>
      <c r="C360" s="4" t="s">
        <v>5606</v>
      </c>
      <c r="D360" s="4" t="s">
        <v>5607</v>
      </c>
      <c r="F360" s="5" t="str">
        <f>IFERROR(__xludf.DUMMYFUNCTION("GOOGLETRANSLATE(A360, ""en"", ""hi"")"),"359")</f>
        <v>359</v>
      </c>
      <c r="G360" s="5" t="str">
        <f>IFERROR(__xludf.DUMMYFUNCTION("GOOGLETRANSLATE(B360, ""en"", ""hi"")"),"कौन सा प्राचीन दक्षिण भारतीय साम्राज्य विस्तृत पम्बरम बोर्डों और टूर्नामेंटों से जुड़ा हुआ है?")</f>
        <v>कौन सा प्राचीन दक्षिण भारतीय साम्राज्य विस्तृत पम्बरम बोर्डों और टूर्नामेंटों से जुड़ा हुआ है?</v>
      </c>
      <c r="H360" s="5" t="str">
        <f>IFERROR(__xludf.DUMMYFUNCTION("GOOGLETRANSLATE(C360, ""en"", ""hi"")"),"A) चोल साम्राज्य, B) पल्लव साम्राज्य, C) पांड्य साम्राज्य, D) चेर साम्राज्य")</f>
        <v>A) चोल साम्राज्य, B) पल्लव साम्राज्य, C) पांड्य साम्राज्य, D) चेर साम्राज्य</v>
      </c>
      <c r="I360" s="5" t="str">
        <f>IFERROR(__xludf.DUMMYFUNCTION("GOOGLETRANSLATE(D360, ""en"", ""hi"")"),"A) चोल साम्राज्य")</f>
        <v>A) चोल साम्राज्य</v>
      </c>
    </row>
    <row r="361" ht="22.5" customHeight="1">
      <c r="A361" s="7">
        <v>360.0</v>
      </c>
      <c r="B361" s="4" t="s">
        <v>5736</v>
      </c>
      <c r="C361" s="4" t="s">
        <v>5737</v>
      </c>
      <c r="D361" s="4" t="s">
        <v>5666</v>
      </c>
      <c r="F361" s="5" t="str">
        <f>IFERROR(__xludf.DUMMYFUNCTION("GOOGLETRANSLATE(A361, ""en"", ""hi"")"),"360")</f>
        <v>360</v>
      </c>
      <c r="G361" s="5" t="str">
        <f>IFERROR(__xludf.DUMMYFUNCTION("GOOGLETRANSLATE(B361, ""en"", ""hi"")"),"पम्बारम का कौन सा पहलू दक्षिण भारतीय समाज में इसके ऐतिहासिक महत्व को दर्शाता है?")</f>
        <v>पम्बारम का कौन सा पहलू दक्षिण भारतीय समाज में इसके ऐतिहासिक महत्व को दर्शाता है?</v>
      </c>
      <c r="H361" s="5" t="str">
        <f>IFERROR(__xludf.DUMMYFUNCTION("GOOGLETRANSLATE(C361, ""en"", ""hi"")"),"A) इसका गेमप्ले, B) इसका औपचारिक उपयोग, C) इसका कलात्मक प्रतिनिधित्व, D) इसके सैन्य अनुप्रयोग")</f>
        <v>A) इसका गेमप्ले, B) इसका औपचारिक उपयोग, C) इसका कलात्मक प्रतिनिधित्व, D) इसके सैन्य अनुप्रयोग</v>
      </c>
      <c r="I361" s="5" t="str">
        <f>IFERROR(__xludf.DUMMYFUNCTION("GOOGLETRANSLATE(D361, ""en"", ""hi"")"),"बी) इसका औपचारिक उपयोग")</f>
        <v>बी) इसका औपचारिक उपयोग</v>
      </c>
    </row>
    <row r="362" ht="22.5" customHeight="1">
      <c r="A362" s="7">
        <v>361.0</v>
      </c>
      <c r="B362" s="4" t="s">
        <v>5738</v>
      </c>
      <c r="C362" s="4" t="s">
        <v>5739</v>
      </c>
      <c r="D362" s="4" t="s">
        <v>5740</v>
      </c>
      <c r="F362" s="5" t="str">
        <f>IFERROR(__xludf.DUMMYFUNCTION("GOOGLETRANSLATE(A362, ""en"", ""hi"")"),"361")</f>
        <v>361</v>
      </c>
      <c r="G362" s="5" t="str">
        <f>IFERROR(__xludf.DUMMYFUNCTION("GOOGLETRANSLATE(B362, ""en"", ""hi"")"),"पंबारम की प्रथा और लोकप्रियता पर औपनिवेशिक काल का क्या प्रभाव पड़ा?")</f>
        <v>पंबारम की प्रथा और लोकप्रियता पर औपनिवेशिक काल का क्या प्रभाव पड़ा?</v>
      </c>
      <c r="H362" s="5" t="str">
        <f>IFERROR(__xludf.DUMMYFUNCTION("GOOGLETRANSLATE(C362, ""en"", ""hi"")"),"A) इससे प्रथा में गिरावट आई, B) इससे पारंपरिक प्रथाओं का संरक्षण हुआ, C) इससे नए रूप सामने आए, D) इसे अंतर्राष्ट्रीय मान्यता मिली")</f>
        <v>A) इससे प्रथा में गिरावट आई, B) इससे पारंपरिक प्रथाओं का संरक्षण हुआ, C) इससे नए रूप सामने आए, D) इसे अंतर्राष्ट्रीय मान्यता मिली</v>
      </c>
      <c r="I362" s="5" t="str">
        <f>IFERROR(__xludf.DUMMYFUNCTION("GOOGLETRANSLATE(D362, ""en"", ""hi"")"),"A) इससे अभ्यास में गिरावट आई")</f>
        <v>A) इससे अभ्यास में गिरावट आई</v>
      </c>
    </row>
    <row r="363" ht="22.5" customHeight="1">
      <c r="A363" s="7">
        <v>362.0</v>
      </c>
      <c r="B363" s="4" t="s">
        <v>5741</v>
      </c>
      <c r="C363" s="4" t="s">
        <v>5742</v>
      </c>
      <c r="D363" s="4" t="s">
        <v>5663</v>
      </c>
      <c r="F363" s="5" t="str">
        <f>IFERROR(__xludf.DUMMYFUNCTION("GOOGLETRANSLATE(A363, ""en"", ""hi"")"),"362")</f>
        <v>362</v>
      </c>
      <c r="G363" s="5" t="str">
        <f>IFERROR(__xludf.DUMMYFUNCTION("GOOGLETRANSLATE(B363, ""en"", ""hi"")"),"कौन सा दक्षिण भारतीय त्यौहार ऐतिहासिक रूप से पम्बरम को एक प्रमुख घटना के रूप में दर्शाता है?")</f>
        <v>कौन सा दक्षिण भारतीय त्यौहार ऐतिहासिक रूप से पम्बरम को एक प्रमुख घटना के रूप में दर्शाता है?</v>
      </c>
      <c r="H363" s="5" t="str">
        <f>IFERROR(__xludf.DUMMYFUNCTION("GOOGLETRANSLATE(C363, ""en"", ""hi"")"),"ए) संक्रांति, बी) दिवाली, सी) उगादि, डी) होली")</f>
        <v>ए) संक्रांति, बी) दिवाली, सी) उगादि, डी) होली</v>
      </c>
      <c r="I363" s="5" t="str">
        <f>IFERROR(__xludf.DUMMYFUNCTION("GOOGLETRANSLATE(D363, ""en"", ""hi"")"),"ए) संक्रांति")</f>
        <v>ए) संक्रांति</v>
      </c>
    </row>
    <row r="364" ht="22.5" customHeight="1">
      <c r="A364" s="7">
        <v>363.0</v>
      </c>
      <c r="B364" s="4" t="s">
        <v>5743</v>
      </c>
      <c r="C364" s="4" t="s">
        <v>5668</v>
      </c>
      <c r="D364" s="4" t="s">
        <v>644</v>
      </c>
      <c r="F364" s="5" t="str">
        <f>IFERROR(__xludf.DUMMYFUNCTION("GOOGLETRANSLATE(A364, ""en"", ""hi"")"),"363")</f>
        <v>363</v>
      </c>
      <c r="G364" s="5" t="str">
        <f>IFERROR(__xludf.DUMMYFUNCTION("GOOGLETRANSLATE(B364, ""en"", ""hi"")"),"किस प्रकार के ऐतिहासिक साक्ष्य प्राचीन दक्षिण भारतीय संस्कृति में पम्बरम की भूमिका पर प्रकाश डालते हैं?")</f>
        <v>किस प्रकार के ऐतिहासिक साक्ष्य प्राचीन दक्षिण भारतीय संस्कृति में पम्बरम की भूमिका पर प्रकाश डालते हैं?</v>
      </c>
      <c r="H364" s="5" t="str">
        <f>IFERROR(__xludf.DUMMYFUNCTION("GOOGLETRANSLATE(C364, ""en"", ""hi"")"),"A) ऐतिहासिक पांडुलिपियाँ, B) पुरातात्विक खोजें, C) मौखिक परंपराएँ, D) उपरोक्त सभी")</f>
        <v>A) ऐतिहासिक पांडुलिपियाँ, B) पुरातात्विक खोजें, C) मौखिक परंपराएँ, D) उपरोक्त सभी</v>
      </c>
      <c r="I364" s="5" t="str">
        <f>IFERROR(__xludf.DUMMYFUNCTION("GOOGLETRANSLATE(D364, ""en"", ""hi"")"),"D। उपरोक्त सभी")</f>
        <v>D। उपरोक्त सभी</v>
      </c>
    </row>
    <row r="365" ht="22.5" customHeight="1">
      <c r="A365" s="7">
        <v>364.0</v>
      </c>
      <c r="B365" s="4" t="s">
        <v>5652</v>
      </c>
      <c r="C365" s="4" t="s">
        <v>5653</v>
      </c>
      <c r="D365" s="4" t="s">
        <v>5654</v>
      </c>
      <c r="F365" s="5" t="str">
        <f>IFERROR(__xludf.DUMMYFUNCTION("GOOGLETRANSLATE(A365, ""en"", ""hi"")"),"364")</f>
        <v>364</v>
      </c>
      <c r="G365" s="5" t="str">
        <f>IFERROR(__xludf.DUMMYFUNCTION("GOOGLETRANSLATE(B365, ""en"", ""hi"")"),"कौन सा पारंपरिक दक्षिण भारतीय कला रूप पम्बरम खेल को दर्शाने के लिए जाना जाता है?")</f>
        <v>कौन सा पारंपरिक दक्षिण भारतीय कला रूप पम्बरम खेल को दर्शाने के लिए जाना जाता है?</v>
      </c>
      <c r="H365" s="5" t="str">
        <f>IFERROR(__xludf.DUMMYFUNCTION("GOOGLETRANSLATE(C365, ""en"", ""hi"")"),"A) चित्रकला, B) नृत्य नाटिका, C) मूर्तिकला, D) लोकगीत")</f>
        <v>A) चित्रकला, B) नृत्य नाटिका, C) मूर्तिकला, D) लोकगीत</v>
      </c>
      <c r="I365" s="5" t="str">
        <f>IFERROR(__xludf.DUMMYFUNCTION("GOOGLETRANSLATE(D365, ""en"", ""hi"")"),"सी) मूर्तियां")</f>
        <v>सी) मूर्तियां</v>
      </c>
    </row>
    <row r="366" ht="22.5" customHeight="1">
      <c r="A366" s="7">
        <v>365.0</v>
      </c>
      <c r="B366" s="4" t="s">
        <v>5744</v>
      </c>
      <c r="C366" s="4" t="s">
        <v>5600</v>
      </c>
      <c r="D366" s="4" t="s">
        <v>5601</v>
      </c>
      <c r="F366" s="5" t="str">
        <f>IFERROR(__xludf.DUMMYFUNCTION("GOOGLETRANSLATE(A366, ""en"", ""hi"")"),"365")</f>
        <v>365</v>
      </c>
      <c r="G366" s="5" t="str">
        <f>IFERROR(__xludf.DUMMYFUNCTION("GOOGLETRANSLATE(B366, ""en"", ""hi"")"),"कौन सा ऐतिहासिक ग्रंथ सदियों से पम्बाराम के विकास का वर्णन करता है?")</f>
        <v>कौन सा ऐतिहासिक ग्रंथ सदियों से पम्बाराम के विकास का वर्णन करता है?</v>
      </c>
      <c r="H366" s="5" t="str">
        <f>IFERROR(__xludf.DUMMYFUNCTION("GOOGLETRANSLATE(C366, ""en"", ""hi"")"),"ए) नाट्यशास्त्र, बी) ब्राह्मण, सी) पुराण, डी) अर्थशास्त्र")</f>
        <v>ए) नाट्यशास्त्र, बी) ब्राह्मण, सी) पुराण, डी) अर्थशास्त्र</v>
      </c>
      <c r="I366" s="5" t="str">
        <f>IFERROR(__xludf.DUMMYFUNCTION("GOOGLETRANSLATE(D366, ""en"", ""hi"")"),"C) पुराण")</f>
        <v>C) पुराण</v>
      </c>
    </row>
    <row r="367" ht="22.5" customHeight="1">
      <c r="A367" s="7">
        <v>366.0</v>
      </c>
      <c r="B367" s="4" t="s">
        <v>5745</v>
      </c>
      <c r="C367" s="4" t="s">
        <v>5676</v>
      </c>
      <c r="D367" s="4" t="s">
        <v>5531</v>
      </c>
      <c r="F367" s="5" t="str">
        <f>IFERROR(__xludf.DUMMYFUNCTION("GOOGLETRANSLATE(A367, ""en"", ""hi"")"),"366")</f>
        <v>366</v>
      </c>
      <c r="G367" s="5" t="str">
        <f>IFERROR(__xludf.DUMMYFUNCTION("GOOGLETRANSLATE(B367, ""en"", ""hi"")"),"किस ऐतिहासिक राजा का शासनकाल पम्बरम नियमों के विस्तृत दस्तावेजीकरण के लिए जाना जाता है?")</f>
        <v>किस ऐतिहासिक राजा का शासनकाल पम्बरम नियमों के विस्तृत दस्तावेजीकरण के लिए जाना जाता है?</v>
      </c>
      <c r="H367" s="5" t="str">
        <f>IFERROR(__xludf.DUMMYFUNCTION("GOOGLETRANSLATE(C367, ""en"", ""hi"")"),"ए) राजराज चोल प्रथम, बी) कृष्णदेवराय, सी) अशोक, डी) हर्ष")</f>
        <v>ए) राजराज चोल प्रथम, बी) कृष्णदेवराय, सी) अशोक, डी) हर्ष</v>
      </c>
      <c r="I367" s="5" t="str">
        <f>IFERROR(__xludf.DUMMYFUNCTION("GOOGLETRANSLATE(D367, ""en"", ""hi"")"),"A) राजराजा चोल प्रथम")</f>
        <v>A) राजराजा चोल प्रथम</v>
      </c>
    </row>
    <row r="368" ht="22.5" customHeight="1">
      <c r="A368" s="7">
        <v>367.0</v>
      </c>
      <c r="B368" s="4" t="s">
        <v>5626</v>
      </c>
      <c r="C368" s="4" t="s">
        <v>5627</v>
      </c>
      <c r="D368" s="4" t="s">
        <v>5628</v>
      </c>
      <c r="F368" s="5" t="str">
        <f>IFERROR(__xludf.DUMMYFUNCTION("GOOGLETRANSLATE(A368, ""en"", ""hi"")"),"367")</f>
        <v>367</v>
      </c>
      <c r="G368" s="5" t="str">
        <f>IFERROR(__xludf.DUMMYFUNCTION("GOOGLETRANSLATE(B368, ""en"", ""hi"")"),"पम्बरम की प्रथा ने दक्षिण भारत में खेल संस्कृति के ऐतिहासिक विकास में किस प्रकार योगदान दिया?")</f>
        <v>पम्बरम की प्रथा ने दक्षिण भारत में खेल संस्कृति के ऐतिहासिक विकास में किस प्रकार योगदान दिया?</v>
      </c>
      <c r="H368" s="5" t="str">
        <f>IFERROR(__xludf.DUMMYFUNCTION("GOOGLETRANSLATE(C368, ""en"", ""hi"")"),"A) इसने अन्य पारंपरिक खेलों को प्रभावित किया, B) यह प्रतिष्ठा का प्रतीक बन गया, C) इसने नए खेल रूपों के निर्माण को जन्म दिया, D) यह अपरिवर्तित रहा")</f>
        <v>A) इसने अन्य पारंपरिक खेलों को प्रभावित किया, B) यह प्रतिष्ठा का प्रतीक बन गया, C) इसने नए खेल रूपों के निर्माण को जन्म दिया, D) यह अपरिवर्तित रहा</v>
      </c>
      <c r="I368" s="5" t="str">
        <f>IFERROR(__xludf.DUMMYFUNCTION("GOOGLETRANSLATE(D368, ""en"", ""hi"")"),"A) इसने अन्य पारंपरिक खेलों को प्रभावित किया")</f>
        <v>A) इसने अन्य पारंपरिक खेलों को प्रभावित किया</v>
      </c>
    </row>
    <row r="369" ht="22.5" customHeight="1">
      <c r="A369" s="7">
        <v>368.0</v>
      </c>
      <c r="B369" s="4" t="s">
        <v>5746</v>
      </c>
      <c r="C369" s="4" t="s">
        <v>5688</v>
      </c>
      <c r="D369" s="4" t="s">
        <v>5578</v>
      </c>
      <c r="F369" s="5" t="str">
        <f>IFERROR(__xludf.DUMMYFUNCTION("GOOGLETRANSLATE(A369, ""en"", ""hi"")"),"368")</f>
        <v>368</v>
      </c>
      <c r="G369" s="5" t="str">
        <f>IFERROR(__xludf.DUMMYFUNCTION("GOOGLETRANSLATE(B369, ""en"", ""hi"")"),"कौन सा प्राचीन दक्षिण भारतीय राजा पम्बरम जैसे पारंपरिक खेलों के समर्थन के लिए जाना जाता है?")</f>
        <v>कौन सा प्राचीन दक्षिण भारतीय राजा पम्बरम जैसे पारंपरिक खेलों के समर्थन के लिए जाना जाता है?</v>
      </c>
      <c r="H369" s="5" t="str">
        <f>IFERROR(__xludf.DUMMYFUNCTION("GOOGLETRANSLATE(C369, ""en"", ""hi"")"),"ए) राजेंद्र चोल प्रथम, बी) अकबर, सी) शिवाजी महाराज, डी) रणजीत सिंह")</f>
        <v>ए) राजेंद्र चोल प्रथम, बी) अकबर, सी) शिवाजी महाराज, डी) रणजीत सिंह</v>
      </c>
      <c r="I369" s="5" t="str">
        <f>IFERROR(__xludf.DUMMYFUNCTION("GOOGLETRANSLATE(D369, ""en"", ""hi"")"),"A) राजेंद्र चोल प्रथम")</f>
        <v>A) राजेंद्र चोल प्रथम</v>
      </c>
    </row>
    <row r="370" ht="22.5" customHeight="1">
      <c r="A370" s="7">
        <v>369.0</v>
      </c>
      <c r="B370" s="4" t="s">
        <v>5747</v>
      </c>
      <c r="C370" s="4" t="s">
        <v>5615</v>
      </c>
      <c r="D370" s="4" t="s">
        <v>5616</v>
      </c>
      <c r="F370" s="5" t="str">
        <f>IFERROR(__xludf.DUMMYFUNCTION("GOOGLETRANSLATE(A370, ""en"", ""hi"")"),"369")</f>
        <v>369</v>
      </c>
      <c r="G370" s="5" t="str">
        <f>IFERROR(__xludf.DUMMYFUNCTION("GOOGLETRANSLATE(B370, ""en"", ""hi"")"),"ऐतिहासिक दक्षिण भारतीय समाज में पम्बरम का प्राथमिक कार्य क्या था?")</f>
        <v>ऐतिहासिक दक्षिण भारतीय समाज में पम्बरम का प्राथमिक कार्य क्या था?</v>
      </c>
      <c r="H370" s="5" t="str">
        <f>IFERROR(__xludf.DUMMYFUNCTION("GOOGLETRANSLATE(C370, ""en"", ""hi"")"),"A) राजपरिवार के लिए मनोरंजन के रूप में, B) सैन्य प्रशिक्षण उपकरण के रूप में, C) धार्मिक अनुष्ठान के रूप में, D) पारिवारिक बंधन गतिविधि के रूप में")</f>
        <v>A) राजपरिवार के लिए मनोरंजन के रूप में, B) सैन्य प्रशिक्षण उपकरण के रूप में, C) धार्मिक अनुष्ठान के रूप में, D) पारिवारिक बंधन गतिविधि के रूप में</v>
      </c>
      <c r="I370" s="5" t="str">
        <f>IFERROR(__xludf.DUMMYFUNCTION("GOOGLETRANSLATE(D370, ""en"", ""hi"")"),"D) पारिवारिक संबंध गतिविधि के रूप में")</f>
        <v>D) पारिवारिक संबंध गतिविधि के रूप में</v>
      </c>
    </row>
    <row r="371" ht="22.5" customHeight="1">
      <c r="A371" s="7">
        <v>370.0</v>
      </c>
      <c r="B371" s="4" t="s">
        <v>5748</v>
      </c>
      <c r="C371" s="4" t="s">
        <v>5749</v>
      </c>
      <c r="D371" s="4" t="s">
        <v>5731</v>
      </c>
      <c r="F371" s="5" t="str">
        <f>IFERROR(__xludf.DUMMYFUNCTION("GOOGLETRANSLATE(A371, ""en"", ""hi"")"),"370")</f>
        <v>370</v>
      </c>
      <c r="G371" s="5" t="str">
        <f>IFERROR(__xludf.DUMMYFUNCTION("GOOGLETRANSLATE(B371, ""en"", ""hi"")"),"पम्बरम के नियमों को दस्तावेजित करने और संरक्षित करने का श्रेय किस ऐतिहासिक व्यक्ति को दिया जाता है?")</f>
        <v>पम्बरम के नियमों को दस्तावेजित करने और संरक्षित करने का श्रेय किस ऐतिहासिक व्यक्ति को दिया जाता है?</v>
      </c>
      <c r="H371" s="5" t="str">
        <f>IFERROR(__xludf.DUMMYFUNCTION("GOOGLETRANSLATE(C371, ""en"", ""hi"")"),"ए) ब्रह्मगुप्त, बी) कौटिल्य, सी) कालिदास, डी) बान झाओ")</f>
        <v>ए) ब्रह्मगुप्त, बी) कौटिल्य, सी) कालिदास, डी) बान झाओ</v>
      </c>
      <c r="I371" s="5" t="str">
        <f>IFERROR(__xludf.DUMMYFUNCTION("GOOGLETRANSLATE(D371, ""en"", ""hi"")"),"A) ब्रह्मगुप्त")</f>
        <v>A) ब्रह्मगुप्त</v>
      </c>
    </row>
    <row r="372" ht="22.5" customHeight="1">
      <c r="A372" s="7">
        <v>371.0</v>
      </c>
      <c r="B372" s="4" t="s">
        <v>5681</v>
      </c>
      <c r="C372" s="4" t="s">
        <v>5682</v>
      </c>
      <c r="D372" s="4" t="s">
        <v>5683</v>
      </c>
      <c r="F372" s="5" t="str">
        <f>IFERROR(__xludf.DUMMYFUNCTION("GOOGLETRANSLATE(A372, ""en"", ""hi"")"),"371")</f>
        <v>371</v>
      </c>
      <c r="G372" s="5" t="str">
        <f>IFERROR(__xludf.DUMMYFUNCTION("GOOGLETRANSLATE(B372, ""en"", ""hi"")"),"पंबारम जैसे पारंपरिक दक्षिण भारतीय खेलों पर औपनिवेशिक शासन का क्या प्रभाव पड़ा?")</f>
        <v>पंबारम जैसे पारंपरिक दक्षिण भारतीय खेलों पर औपनिवेशिक शासन का क्या प्रभाव पड़ा?</v>
      </c>
      <c r="H372" s="5" t="str">
        <f>IFERROR(__xludf.DUMMYFUNCTION("GOOGLETRANSLATE(C372, ""en"", ""hi"")"),"A) इससे उनका पतन हुआ, B) इससे उनका पुनरुत्थान हुआ, C) इससे उनका आधुनिकीकरण हुआ, D) इससे उनका संरक्षण हुआ")</f>
        <v>A) इससे उनका पतन हुआ, B) इससे उनका पुनरुत्थान हुआ, C) इससे उनका आधुनिकीकरण हुआ, D) इससे उनका संरक्षण हुआ</v>
      </c>
      <c r="I372" s="5" t="str">
        <f>IFERROR(__xludf.DUMMYFUNCTION("GOOGLETRANSLATE(D372, ""en"", ""hi"")"),"A) इससे उनका पतन हुआ")</f>
        <v>A) इससे उनका पतन हुआ</v>
      </c>
    </row>
    <row r="373" ht="22.5" customHeight="1">
      <c r="A373" s="7">
        <v>372.0</v>
      </c>
      <c r="B373" s="4" t="s">
        <v>5750</v>
      </c>
      <c r="C373" s="4" t="s">
        <v>4842</v>
      </c>
      <c r="D373" s="4" t="s">
        <v>205</v>
      </c>
      <c r="F373" s="5" t="str">
        <f>IFERROR(__xludf.DUMMYFUNCTION("GOOGLETRANSLATE(A373, ""en"", ""hi"")"),"372")</f>
        <v>372</v>
      </c>
      <c r="G373" s="5" t="str">
        <f>IFERROR(__xludf.DUMMYFUNCTION("GOOGLETRANSLATE(B373, ""en"", ""hi"")"),"कौन सा दक्षिण भारतीय क्षेत्र पम्बारम के विस्तृत ऐतिहासिक अभिलेखों के लिए जाना जाता है?")</f>
        <v>कौन सा दक्षिण भारतीय क्षेत्र पम्बारम के विस्तृत ऐतिहासिक अभिलेखों के लिए जाना जाता है?</v>
      </c>
      <c r="H373" s="5" t="str">
        <f>IFERROR(__xludf.DUMMYFUNCTION("GOOGLETRANSLATE(C373, ""en"", ""hi"")"),"A) तमिलनाडु, B) केरल, C) कर्नाटक, D) आंध्र प्रदेश")</f>
        <v>A) तमिलनाडु, B) केरल, C) कर्नाटक, D) आंध्र प्रदेश</v>
      </c>
      <c r="I373" s="5" t="str">
        <f>IFERROR(__xludf.DUMMYFUNCTION("GOOGLETRANSLATE(D373, ""en"", ""hi"")"),"A) तमिलनाडु")</f>
        <v>A) तमिलनाडु</v>
      </c>
    </row>
    <row r="374" ht="22.5" customHeight="1">
      <c r="A374" s="7">
        <v>373.0</v>
      </c>
      <c r="B374" s="4" t="s">
        <v>5672</v>
      </c>
      <c r="C374" s="4" t="s">
        <v>5673</v>
      </c>
      <c r="D374" s="4" t="s">
        <v>5674</v>
      </c>
      <c r="F374" s="5" t="str">
        <f>IFERROR(__xludf.DUMMYFUNCTION("GOOGLETRANSLATE(A374, ""en"", ""hi"")"),"373")</f>
        <v>373</v>
      </c>
      <c r="G374" s="5" t="str">
        <f>IFERROR(__xludf.DUMMYFUNCTION("GOOGLETRANSLATE(B374, ""en"", ""hi"")"),"ऐतिहासिक सामाजिक परिवर्तनों ने पम्बरम की प्रथा को किस प्रकार प्रभावित किया?")</f>
        <v>ऐतिहासिक सामाजिक परिवर्तनों ने पम्बरम की प्रथा को किस प्रकार प्रभावित किया?</v>
      </c>
      <c r="H374" s="5" t="str">
        <f>IFERROR(__xludf.DUMMYFUNCTION("GOOGLETRANSLATE(C374, ""en"", ""hi"")"),"A) टूर्नामेंटों में भागीदारी में वृद्धि, B) पारंपरिक प्रथाओं में गिरावट, C) नए नियमों का परिचय, D) ग्रामीण क्षेत्रों में पुनरुद्धार")</f>
        <v>A) टूर्नामेंटों में भागीदारी में वृद्धि, B) पारंपरिक प्रथाओं में गिरावट, C) नए नियमों का परिचय, D) ग्रामीण क्षेत्रों में पुनरुद्धार</v>
      </c>
      <c r="I374" s="5" t="str">
        <f>IFERROR(__xludf.DUMMYFUNCTION("GOOGLETRANSLATE(D374, ""en"", ""hi"")"),"बी) पारंपरिक प्रथाओं में गिरावट")</f>
        <v>बी) पारंपरिक प्रथाओं में गिरावट</v>
      </c>
    </row>
    <row r="375" ht="22.5" customHeight="1">
      <c r="A375" s="7">
        <v>374.0</v>
      </c>
      <c r="B375" s="4" t="s">
        <v>5751</v>
      </c>
      <c r="C375" s="4" t="s">
        <v>5752</v>
      </c>
      <c r="D375" s="4" t="s">
        <v>5753</v>
      </c>
      <c r="F375" s="5" t="str">
        <f>IFERROR(__xludf.DUMMYFUNCTION("GOOGLETRANSLATE(A375, ""en"", ""hi"")"),"374")</f>
        <v>374</v>
      </c>
      <c r="G375" s="5" t="str">
        <f>IFERROR(__xludf.DUMMYFUNCTION("GOOGLETRANSLATE(B375, ""en"", ""hi"")"),"दक्षिण भारतीय राजघरानों की शिक्षा में पम्बाराम की क्या भूमिका थी?")</f>
        <v>दक्षिण भारतीय राजघरानों की शिक्षा में पम्बाराम की क्या भूमिका थी?</v>
      </c>
      <c r="H375" s="5" t="str">
        <f>IFERROR(__xludf.DUMMYFUNCTION("GOOGLETRANSLATE(C375, ""en"", ""hi"")"),"A) रणनीति और कार्यनीति पढ़ाना, B) कला और संस्कृति पढ़ाना, C) प्रशासन पढ़ाना, D) कूटनीति पढ़ाना")</f>
        <v>A) रणनीति और कार्यनीति पढ़ाना, B) कला और संस्कृति पढ़ाना, C) प्रशासन पढ़ाना, D) कूटनीति पढ़ाना</v>
      </c>
      <c r="I375" s="5" t="str">
        <f>IFERROR(__xludf.DUMMYFUNCTION("GOOGLETRANSLATE(D375, ""en"", ""hi"")"),"A) शिक्षण रणनीति और युक्तियां")</f>
        <v>A) शिक्षण रणनीति और युक्तियां</v>
      </c>
    </row>
    <row r="376" ht="22.5" customHeight="1">
      <c r="A376" s="7">
        <v>375.0</v>
      </c>
      <c r="B376" s="4" t="s">
        <v>5754</v>
      </c>
      <c r="C376" s="4" t="s">
        <v>5755</v>
      </c>
      <c r="D376" s="4" t="s">
        <v>5607</v>
      </c>
      <c r="F376" s="5" t="str">
        <f>IFERROR(__xludf.DUMMYFUNCTION("GOOGLETRANSLATE(A376, ""en"", ""hi"")"),"375")</f>
        <v>375</v>
      </c>
      <c r="G376" s="5" t="str">
        <f>IFERROR(__xludf.DUMMYFUNCTION("GOOGLETRANSLATE(B376, ""en"", ""hi"")"),"कौन सा प्राचीन दक्षिण भारतीय राज्य पम्बरम बोर्ड के विकास से जुड़ा हुआ है?")</f>
        <v>कौन सा प्राचीन दक्षिण भारतीय राज्य पम्बरम बोर्ड के विकास से जुड़ा हुआ है?</v>
      </c>
      <c r="H376" s="5" t="str">
        <f>IFERROR(__xludf.DUMMYFUNCTION("GOOGLETRANSLATE(C376, ""en"", ""hi"")"),"A) चोल साम्राज्य, B) विजयनगर साम्राज्य, C) पांड्य साम्राज्य, D) चेर साम्राज्य")</f>
        <v>A) चोल साम्राज्य, B) विजयनगर साम्राज्य, C) पांड्य साम्राज्य, D) चेर साम्राज्य</v>
      </c>
      <c r="I376" s="5" t="str">
        <f>IFERROR(__xludf.DUMMYFUNCTION("GOOGLETRANSLATE(D376, ""en"", ""hi"")"),"A) चोल साम्राज्य")</f>
        <v>A) चोल साम्राज्य</v>
      </c>
    </row>
    <row r="377" ht="22.5" customHeight="1">
      <c r="A377" s="7">
        <v>376.0</v>
      </c>
      <c r="B377" s="4" t="s">
        <v>5756</v>
      </c>
      <c r="C377" s="4" t="s">
        <v>5757</v>
      </c>
      <c r="D377" s="4" t="s">
        <v>5726</v>
      </c>
      <c r="F377" s="5" t="str">
        <f>IFERROR(__xludf.DUMMYFUNCTION("GOOGLETRANSLATE(A377, ""en"", ""hi"")"),"376")</f>
        <v>376</v>
      </c>
      <c r="G377" s="5" t="str">
        <f>IFERROR(__xludf.DUMMYFUNCTION("GOOGLETRANSLATE(B377, ""en"", ""hi"")"),"प्राचीन दक्षिण भारत में पम्बरम के औपचारिक प्रयोग के बारे में कौन से ऐतिहासिक अभिलेख जानकारी प्रदान करते हैं?")</f>
        <v>प्राचीन दक्षिण भारत में पम्बरम के औपचारिक प्रयोग के बारे में कौन से ऐतिहासिक अभिलेख जानकारी प्रदान करते हैं?</v>
      </c>
      <c r="H377" s="5" t="str">
        <f>IFERROR(__xludf.DUMMYFUNCTION("GOOGLETRANSLATE(C377, ""en"", ""hi"")"),"A) मंदिर शिलालेख, B) शाही फरमान, C) ऐतिहासिक पांडुलिपियाँ, D) व्यापार अभिलेख")</f>
        <v>A) मंदिर शिलालेख, B) शाही फरमान, C) ऐतिहासिक पांडुलिपियाँ, D) व्यापार अभिलेख</v>
      </c>
      <c r="I377" s="5" t="str">
        <f>IFERROR(__xludf.DUMMYFUNCTION("GOOGLETRANSLATE(D377, ""en"", ""hi"")"),"A) मंदिर शिलालेख")</f>
        <v>A) मंदिर शिलालेख</v>
      </c>
    </row>
    <row r="378" ht="22.5" customHeight="1">
      <c r="A378" s="7">
        <v>377.0</v>
      </c>
      <c r="B378" s="4" t="s">
        <v>5758</v>
      </c>
      <c r="C378" s="4" t="s">
        <v>5709</v>
      </c>
      <c r="D378" s="4" t="s">
        <v>5710</v>
      </c>
      <c r="F378" s="5" t="str">
        <f>IFERROR(__xludf.DUMMYFUNCTION("GOOGLETRANSLATE(A378, ""en"", ""hi"")"),"377")</f>
        <v>377</v>
      </c>
      <c r="G378" s="5" t="str">
        <f>IFERROR(__xludf.DUMMYFUNCTION("GOOGLETRANSLATE(B378, ""en"", ""hi"")"),"कौन सा दक्षिण भारतीय राजवंश पम्बरम जैसे पारंपरिक खेलों के विस्तृत चित्रण के लिए जाना जाता है?")</f>
        <v>कौन सा दक्षिण भारतीय राजवंश पम्बरम जैसे पारंपरिक खेलों के विस्तृत चित्रण के लिए जाना जाता है?</v>
      </c>
      <c r="H378" s="5" t="str">
        <f>IFERROR(__xludf.DUMMYFUNCTION("GOOGLETRANSLATE(C378, ""en"", ""hi"")"),"A) चोल राजवंश, B) पल्लव राजवंश, C) विजयनगर राजवंश, D) चेर राजवंश")</f>
        <v>A) चोल राजवंश, B) पल्लव राजवंश, C) विजयनगर राजवंश, D) चेर राजवंश</v>
      </c>
      <c r="I378" s="5" t="str">
        <f>IFERROR(__xludf.DUMMYFUNCTION("GOOGLETRANSLATE(D378, ""en"", ""hi"")"),"A) चोल राजवंश")</f>
        <v>A) चोल राजवंश</v>
      </c>
    </row>
    <row r="379" ht="22.5" customHeight="1">
      <c r="A379" s="7">
        <v>378.0</v>
      </c>
      <c r="B379" s="4" t="s">
        <v>5759</v>
      </c>
      <c r="C379" s="4" t="s">
        <v>5739</v>
      </c>
      <c r="D379" s="4" t="s">
        <v>5740</v>
      </c>
      <c r="F379" s="5" t="str">
        <f>IFERROR(__xludf.DUMMYFUNCTION("GOOGLETRANSLATE(A379, ""en"", ""hi"")"),"378")</f>
        <v>378</v>
      </c>
      <c r="G379" s="5" t="str">
        <f>IFERROR(__xludf.DUMMYFUNCTION("GOOGLETRANSLATE(B379, ""en"", ""hi"")"),"औपनिवेशिक काल ने पंबारम के पारंपरिक खेल को किस प्रकार प्रभावित किया?")</f>
        <v>औपनिवेशिक काल ने पंबारम के पारंपरिक खेल को किस प्रकार प्रभावित किया?</v>
      </c>
      <c r="H379" s="5" t="str">
        <f>IFERROR(__xludf.DUMMYFUNCTION("GOOGLETRANSLATE(C379, ""en"", ""hi"")"),"A) इससे प्रथा में गिरावट आई, B) इससे पारंपरिक प्रथाओं का संरक्षण हुआ, C) इससे नए रूप सामने आए, D) इसे अंतर्राष्ट्रीय मान्यता मिली")</f>
        <v>A) इससे प्रथा में गिरावट आई, B) इससे पारंपरिक प्रथाओं का संरक्षण हुआ, C) इससे नए रूप सामने आए, D) इसे अंतर्राष्ट्रीय मान्यता मिली</v>
      </c>
      <c r="I379" s="5" t="str">
        <f>IFERROR(__xludf.DUMMYFUNCTION("GOOGLETRANSLATE(D379, ""en"", ""hi"")"),"A) इससे अभ्यास में गिरावट आई")</f>
        <v>A) इससे अभ्यास में गिरावट आई</v>
      </c>
    </row>
    <row r="380" ht="22.5" customHeight="1">
      <c r="A380" s="7">
        <v>379.0</v>
      </c>
      <c r="B380" s="4" t="s">
        <v>5760</v>
      </c>
      <c r="C380" s="4" t="s">
        <v>5761</v>
      </c>
      <c r="D380" s="4" t="s">
        <v>5762</v>
      </c>
      <c r="F380" s="5" t="str">
        <f>IFERROR(__xludf.DUMMYFUNCTION("GOOGLETRANSLATE(A380, ""en"", ""hi"")"),"379")</f>
        <v>379</v>
      </c>
      <c r="G380" s="5" t="str">
        <f>IFERROR(__xludf.DUMMYFUNCTION("GOOGLETRANSLATE(B380, ""en"", ""hi"")"),"दक्षिण भारत में पम्बारम के पतन में योगदान देने वाली महत्वपूर्ण ऐतिहासिक घटना क्या थी?")</f>
        <v>दक्षिण भारत में पम्बारम के पतन में योगदान देने वाली महत्वपूर्ण ऐतिहासिक घटना क्या थी?</v>
      </c>
      <c r="H380" s="5" t="str">
        <f>IFERROR(__xludf.DUMMYFUNCTION("GOOGLETRANSLATE(C380, ""en"", ""hi"")"),"A) ब्रिटिश उपनिवेशीकरण, B) विजयनगर साम्राज्य का पतन, C) चोल वंश का पतन, D) पश्चिमी खेलों का आगमन")</f>
        <v>A) ब्रिटिश उपनिवेशीकरण, B) विजयनगर साम्राज्य का पतन, C) चोल वंश का पतन, D) पश्चिमी खेलों का आगमन</v>
      </c>
      <c r="I380" s="5" t="str">
        <f>IFERROR(__xludf.DUMMYFUNCTION("GOOGLETRANSLATE(D380, ""en"", ""hi"")"),"A) ब्रिटिश उपनिवेशीकरण")</f>
        <v>A) ब्रिटिश उपनिवेशीकरण</v>
      </c>
    </row>
    <row r="381" ht="22.5" customHeight="1">
      <c r="A381" s="7">
        <v>380.0</v>
      </c>
      <c r="B381" s="4" t="s">
        <v>5763</v>
      </c>
      <c r="C381" s="4" t="s">
        <v>5764</v>
      </c>
      <c r="D381" s="4" t="s">
        <v>4132</v>
      </c>
      <c r="F381" s="5" t="str">
        <f>IFERROR(__xludf.DUMMYFUNCTION("GOOGLETRANSLATE(A381, ""en"", ""hi"")"),"380")</f>
        <v>380</v>
      </c>
      <c r="G381" s="5" t="str">
        <f>IFERROR(__xludf.DUMMYFUNCTION("GOOGLETRANSLATE(B381, ""en"", ""hi"")"),"कौन सा दक्षिण भारतीय राजा पम्बरम जैसे पारंपरिक खेलों को दरबारी शिक्षा में शामिल करने के लिए जाना जाता है?")</f>
        <v>कौन सा दक्षिण भारतीय राजा पम्बरम जैसे पारंपरिक खेलों को दरबारी शिक्षा में शामिल करने के लिए जाना जाता है?</v>
      </c>
      <c r="H381" s="5" t="str">
        <f>IFERROR(__xludf.DUMMYFUNCTION("GOOGLETRANSLATE(C381, ""en"", ""hi"")"),"ए) राजेंद्र चोल प्रथम, बी) कृष्णदेवराय, सी) हर्ष, डी) अशोक")</f>
        <v>ए) राजेंद्र चोल प्रथम, बी) कृष्णदेवराय, सी) हर्ष, डी) अशोक</v>
      </c>
      <c r="I381" s="5" t="str">
        <f>IFERROR(__xludf.DUMMYFUNCTION("GOOGLETRANSLATE(D381, ""en"", ""hi"")"),"बी) कृष्णदेवराय")</f>
        <v>बी) कृष्णदेवराय</v>
      </c>
    </row>
    <row r="382" ht="22.5" customHeight="1">
      <c r="A382" s="7">
        <v>381.0</v>
      </c>
      <c r="B382" s="4" t="s">
        <v>5765</v>
      </c>
      <c r="C382" s="4" t="s">
        <v>5766</v>
      </c>
      <c r="D382" s="4" t="s">
        <v>4854</v>
      </c>
      <c r="F382" s="5" t="str">
        <f>IFERROR(__xludf.DUMMYFUNCTION("GOOGLETRANSLATE(A382, ""en"", ""hi"")"),"381")</f>
        <v>381</v>
      </c>
      <c r="G382" s="5" t="str">
        <f>IFERROR(__xludf.DUMMYFUNCTION("GOOGLETRANSLATE(B382, ""en"", ""hi"")"),"कौन सा पारंपरिक दक्षिण भारतीय त्यौहार ऐतिहासिक रूप से पम्बरम को एक प्रमुख घटना के रूप में दर्शाता है?")</f>
        <v>कौन सा पारंपरिक दक्षिण भारतीय त्यौहार ऐतिहासिक रूप से पम्बरम को एक प्रमुख घटना के रूप में दर्शाता है?</v>
      </c>
      <c r="H382" s="5" t="str">
        <f>IFERROR(__xludf.DUMMYFUNCTION("GOOGLETRANSLATE(C382, ""en"", ""hi"")"),"ए) पोंगल, बी) ओणम, सी) उगादि, डी) विशु")</f>
        <v>ए) पोंगल, बी) ओणम, सी) उगादि, डी) विशु</v>
      </c>
      <c r="I382" s="5" t="str">
        <f>IFERROR(__xludf.DUMMYFUNCTION("GOOGLETRANSLATE(D382, ""en"", ""hi"")"),"ए) पोंगल")</f>
        <v>ए) पोंगल</v>
      </c>
    </row>
    <row r="383" ht="22.5" customHeight="1">
      <c r="A383" s="7">
        <v>382.0</v>
      </c>
      <c r="B383" s="4" t="s">
        <v>5767</v>
      </c>
      <c r="C383" s="4" t="s">
        <v>5768</v>
      </c>
      <c r="D383" s="4" t="s">
        <v>4649</v>
      </c>
      <c r="F383" s="5" t="str">
        <f>IFERROR(__xludf.DUMMYFUNCTION("GOOGLETRANSLATE(A383, ""en"", ""hi"")"),"382")</f>
        <v>382</v>
      </c>
      <c r="G383" s="5" t="str">
        <f>IFERROR(__xludf.DUMMYFUNCTION("GOOGLETRANSLATE(B383, ""en"", ""hi"")"),"प्राचीन दक्षिण भारत के सांस्कृतिक और सामाजिक जीवन में पम्बरम की क्या भूमिका थी?")</f>
        <v>प्राचीन दक्षिण भारत के सांस्कृतिक और सामाजिक जीवन में पम्बरम की क्या भूमिका थी?</v>
      </c>
      <c r="H383" s="5" t="str">
        <f>IFERROR(__xludf.DUMMYFUNCTION("GOOGLETRANSLATE(C383, ""en"", ""hi"")"),"A) यह मनोरंजन का एक रूप था, B) यह एक धार्मिक अनुष्ठान था, C) यह एक सैन्य प्रशिक्षण उपकरण था, D) यह कूटनीति का एक रूप था")</f>
        <v>A) यह मनोरंजन का एक रूप था, B) यह एक धार्मिक अनुष्ठान था, C) यह एक सैन्य प्रशिक्षण उपकरण था, D) यह कूटनीति का एक रूप था</v>
      </c>
      <c r="I383" s="5" t="str">
        <f>IFERROR(__xludf.DUMMYFUNCTION("GOOGLETRANSLATE(D383, ""en"", ""hi"")"),"A) यह मनोरंजन का एक रूप था")</f>
        <v>A) यह मनोरंजन का एक रूप था</v>
      </c>
    </row>
    <row r="384" ht="22.5" customHeight="1">
      <c r="A384" s="7">
        <v>383.0</v>
      </c>
      <c r="B384" s="4" t="s">
        <v>5769</v>
      </c>
      <c r="C384" s="4" t="s">
        <v>4842</v>
      </c>
      <c r="D384" s="4" t="s">
        <v>205</v>
      </c>
      <c r="F384" s="5" t="str">
        <f>IFERROR(__xludf.DUMMYFUNCTION("GOOGLETRANSLATE(A384, ""en"", ""hi"")"),"383")</f>
        <v>383</v>
      </c>
      <c r="G384" s="5" t="str">
        <f>IFERROR(__xludf.DUMMYFUNCTION("GOOGLETRANSLATE(B384, ""en"", ""hi"")"),"कौन सा दक्षिण भारतीय क्षेत्र ऐतिहासिक रूप से अपने विस्तृत पम्बरम बोर्डों और टूर्नामेंटों के लिए प्रसिद्ध है?")</f>
        <v>कौन सा दक्षिण भारतीय क्षेत्र ऐतिहासिक रूप से अपने विस्तृत पम्बरम बोर्डों और टूर्नामेंटों के लिए प्रसिद्ध है?</v>
      </c>
      <c r="H384" s="5" t="str">
        <f>IFERROR(__xludf.DUMMYFUNCTION("GOOGLETRANSLATE(C384, ""en"", ""hi"")"),"A) तमिलनाडु, B) केरल, C) कर्नाटक, D) आंध्र प्रदेश")</f>
        <v>A) तमिलनाडु, B) केरल, C) कर्नाटक, D) आंध्र प्रदेश</v>
      </c>
      <c r="I384" s="5" t="str">
        <f>IFERROR(__xludf.DUMMYFUNCTION("GOOGLETRANSLATE(D384, ""en"", ""hi"")"),"A) तमिलनाडु")</f>
        <v>A) तमिलनाडु</v>
      </c>
    </row>
    <row r="385" ht="22.5" customHeight="1">
      <c r="A385" s="7">
        <v>384.0</v>
      </c>
      <c r="B385" s="4" t="s">
        <v>5770</v>
      </c>
      <c r="C385" s="4" t="s">
        <v>5771</v>
      </c>
      <c r="D385" s="4" t="s">
        <v>5772</v>
      </c>
      <c r="F385" s="5" t="str">
        <f>IFERROR(__xludf.DUMMYFUNCTION("GOOGLETRANSLATE(A385, ""en"", ""hi"")"),"384")</f>
        <v>384</v>
      </c>
      <c r="G385" s="5" t="str">
        <f>IFERROR(__xludf.DUMMYFUNCTION("GOOGLETRANSLATE(B385, ""en"", ""hi"")"),"दक्षिण भारतीय त्योहारों के संदर्भ में पम्बरम का क्या ऐतिहासिक महत्व है?")</f>
        <v>दक्षिण भारतीय त्योहारों के संदर्भ में पम्बरम का क्या ऐतिहासिक महत्व है?</v>
      </c>
      <c r="H385" s="5" t="str">
        <f>IFERROR(__xludf.DUMMYFUNCTION("GOOGLETRANSLATE(C385, ""en"", ""hi"")"),"A) यह सांस्कृतिक विरासत का प्रतिनिधित्व करता है, B) यह सैन्य कौशल का प्रतीक है, C) यह धार्मिक प्रथाओं पर प्रकाश डालता है, D) यह राजनयिक संबंधों का प्रतीक है")</f>
        <v>A) यह सांस्कृतिक विरासत का प्रतिनिधित्व करता है, B) यह सैन्य कौशल का प्रतीक है, C) यह धार्मिक प्रथाओं पर प्रकाश डालता है, D) यह राजनयिक संबंधों का प्रतीक है</v>
      </c>
      <c r="I385" s="5" t="str">
        <f>IFERROR(__xludf.DUMMYFUNCTION("GOOGLETRANSLATE(D385, ""en"", ""hi"")"),"A) यह सांस्कृतिक विरासत का प्रतिनिधित्व करता है")</f>
        <v>A) यह सांस्कृतिक विरासत का प्रतिनिधित्व करता है</v>
      </c>
    </row>
    <row r="386" ht="22.5" customHeight="1">
      <c r="A386" s="7">
        <v>385.0</v>
      </c>
      <c r="B386" s="4" t="s">
        <v>5773</v>
      </c>
      <c r="C386" s="4" t="s">
        <v>5774</v>
      </c>
      <c r="D386" s="4" t="s">
        <v>644</v>
      </c>
      <c r="F386" s="5" t="str">
        <f>IFERROR(__xludf.DUMMYFUNCTION("GOOGLETRANSLATE(A386, ""en"", ""hi"")"),"385")</f>
        <v>385</v>
      </c>
      <c r="G386" s="5" t="str">
        <f>IFERROR(__xludf.DUMMYFUNCTION("GOOGLETRANSLATE(B386, ""en"", ""hi"")"),"प्राचीन दक्षिण भारत में पम्बारम के महत्व को कौन सा ऐतिहासिक साक्ष्य दर्शाता है?")</f>
        <v>प्राचीन दक्षिण भारत में पम्बारम के महत्व को कौन सा ऐतिहासिक साक्ष्य दर्शाता है?</v>
      </c>
      <c r="H386" s="5" t="str">
        <f>IFERROR(__xludf.DUMMYFUNCTION("GOOGLETRANSLATE(C386, ""en"", ""hi"")"),"A) मंदिर की नक्काशी, B) पांडुलिपियाँ, C) ऐतिहासिक विवरण, D) उपरोक्त सभी")</f>
        <v>A) मंदिर की नक्काशी, B) पांडुलिपियाँ, C) ऐतिहासिक विवरण, D) उपरोक्त सभी</v>
      </c>
      <c r="I386" s="5" t="str">
        <f>IFERROR(__xludf.DUMMYFUNCTION("GOOGLETRANSLATE(D386, ""en"", ""hi"")"),"D। उपरोक्त सभी")</f>
        <v>D। उपरोक्त सभी</v>
      </c>
    </row>
    <row r="387" ht="22.5" customHeight="1">
      <c r="A387" s="7">
        <v>386.0</v>
      </c>
      <c r="B387" s="4" t="s">
        <v>5775</v>
      </c>
      <c r="C387" s="4" t="s">
        <v>5776</v>
      </c>
      <c r="D387" s="4" t="s">
        <v>5683</v>
      </c>
      <c r="F387" s="5" t="str">
        <f>IFERROR(__xludf.DUMMYFUNCTION("GOOGLETRANSLATE(A387, ""en"", ""hi"")"),"386")</f>
        <v>386</v>
      </c>
      <c r="G387" s="5" t="str">
        <f>IFERROR(__xludf.DUMMYFUNCTION("GOOGLETRANSLATE(B387, ""en"", ""hi"")"),"औपनिवेशिक काल ने पम्बरम जैसे पारंपरिक खेलों के प्रचलन को किस प्रकार प्रभावित किया?")</f>
        <v>औपनिवेशिक काल ने पम्बरम जैसे पारंपरिक खेलों के प्रचलन को किस प्रकार प्रभावित किया?</v>
      </c>
      <c r="H387" s="5" t="str">
        <f>IFERROR(__xludf.DUMMYFUNCTION("GOOGLETRANSLATE(C387, ""en"", ""hi"")"),"A) इससे उनका पतन हुआ, B) इससे उनका पुनरुत्थान हुआ, C) इससे नए रूप सामने आए, D) इससे पारंपरिक प्रथाओं का संरक्षण हुआ")</f>
        <v>A) इससे उनका पतन हुआ, B) इससे उनका पुनरुत्थान हुआ, C) इससे नए रूप सामने आए, D) इससे पारंपरिक प्रथाओं का संरक्षण हुआ</v>
      </c>
      <c r="I387" s="5" t="str">
        <f>IFERROR(__xludf.DUMMYFUNCTION("GOOGLETRANSLATE(D387, ""en"", ""hi"")"),"A) इससे उनका पतन हुआ")</f>
        <v>A) इससे उनका पतन हुआ</v>
      </c>
    </row>
    <row r="388" ht="22.5" customHeight="1">
      <c r="A388" s="7">
        <v>387.0</v>
      </c>
      <c r="B388" s="4" t="s">
        <v>5777</v>
      </c>
      <c r="C388" s="4" t="s">
        <v>5755</v>
      </c>
      <c r="D388" s="4" t="s">
        <v>5607</v>
      </c>
      <c r="F388" s="5" t="str">
        <f>IFERROR(__xludf.DUMMYFUNCTION("GOOGLETRANSLATE(A388, ""en"", ""hi"")"),"387")</f>
        <v>387</v>
      </c>
      <c r="G388" s="5" t="str">
        <f>IFERROR(__xludf.DUMMYFUNCTION("GOOGLETRANSLATE(B388, ""en"", ""hi"")"),"कौन सा प्राचीन दक्षिण भारतीय साम्राज्य पम्बाराम के विकास में अपने योगदान के लिए जाना जाता है?")</f>
        <v>कौन सा प्राचीन दक्षिण भारतीय साम्राज्य पम्बाराम के विकास में अपने योगदान के लिए जाना जाता है?</v>
      </c>
      <c r="H388" s="5" t="str">
        <f>IFERROR(__xludf.DUMMYFUNCTION("GOOGLETRANSLATE(C388, ""en"", ""hi"")"),"A) चोल साम्राज्य, B) विजयनगर साम्राज्य, C) पांड्य साम्राज्य, D) चेर साम्राज्य")</f>
        <v>A) चोल साम्राज्य, B) विजयनगर साम्राज्य, C) पांड्य साम्राज्य, D) चेर साम्राज्य</v>
      </c>
      <c r="I388" s="5" t="str">
        <f>IFERROR(__xludf.DUMMYFUNCTION("GOOGLETRANSLATE(D388, ""en"", ""hi"")"),"A) चोल साम्राज्य")</f>
        <v>A) चोल साम्राज्य</v>
      </c>
    </row>
    <row r="389" ht="22.5" customHeight="1">
      <c r="A389" s="7">
        <v>388.0</v>
      </c>
      <c r="B389" s="4" t="s">
        <v>5778</v>
      </c>
      <c r="C389" s="4" t="s">
        <v>5779</v>
      </c>
      <c r="D389" s="4" t="s">
        <v>5780</v>
      </c>
      <c r="F389" s="5" t="str">
        <f>IFERROR(__xludf.DUMMYFUNCTION("GOOGLETRANSLATE(A389, ""en"", ""hi"")"),"388")</f>
        <v>388</v>
      </c>
      <c r="G389" s="5" t="str">
        <f>IFERROR(__xludf.DUMMYFUNCTION("GOOGLETRANSLATE(B389, ""en"", ""hi"")"),"पारंपरिक दक्षिण भारतीय शिक्षा में पम्बरम की क्या भूमिका थी?")</f>
        <v>पारंपरिक दक्षिण भारतीय शिक्षा में पम्बरम की क्या भूमिका थी?</v>
      </c>
      <c r="H389" s="5" t="str">
        <f>IFERROR(__xludf.DUMMYFUNCTION("GOOGLETRANSLATE(C389, ""en"", ""hi"")"),"A) इसने सैन्य रणनीति सिखाई, B) इसने कूटनीति सिखाई, C) इसने प्रशासन सिखाया, D) इसने कला और संस्कृति सिखाई")</f>
        <v>A) इसने सैन्य रणनीति सिखाई, B) इसने कूटनीति सिखाई, C) इसने प्रशासन सिखाया, D) इसने कला और संस्कृति सिखाई</v>
      </c>
      <c r="I389" s="5" t="str">
        <f>IFERROR(__xludf.DUMMYFUNCTION("GOOGLETRANSLATE(D389, ""en"", ""hi"")"),"A) इसने सैन्य रणनीति सिखाई")</f>
        <v>A) इसने सैन्य रणनीति सिखाई</v>
      </c>
    </row>
    <row r="390" ht="22.5" customHeight="1">
      <c r="A390" s="7">
        <v>389.0</v>
      </c>
      <c r="B390" s="4" t="s">
        <v>5781</v>
      </c>
      <c r="C390" s="4" t="s">
        <v>5730</v>
      </c>
      <c r="D390" s="4" t="s">
        <v>5731</v>
      </c>
      <c r="F390" s="5" t="str">
        <f>IFERROR(__xludf.DUMMYFUNCTION("GOOGLETRANSLATE(A390, ""en"", ""hi"")"),"389")</f>
        <v>389</v>
      </c>
      <c r="G390" s="5" t="str">
        <f>IFERROR(__xludf.DUMMYFUNCTION("GOOGLETRANSLATE(B390, ""en"", ""hi"")"),"कौन सा ऐतिहासिक व्यक्ति पम्बरम नियमों के दस्तावेजीकरण और संरक्षण से जुड़ा हुआ है?")</f>
        <v>कौन सा ऐतिहासिक व्यक्ति पम्बरम नियमों के दस्तावेजीकरण और संरक्षण से जुड़ा हुआ है?</v>
      </c>
      <c r="H390" s="5" t="str">
        <f>IFERROR(__xludf.DUMMYFUNCTION("GOOGLETRANSLATE(C390, ""en"", ""hi"")"),"ए) ब्रह्मगुप्त, बी) कालिदास, सी) कौटिल्य, डी) बान झाओ")</f>
        <v>ए) ब्रह्मगुप्त, बी) कालिदास, सी) कौटिल्य, डी) बान झाओ</v>
      </c>
      <c r="I390" s="5" t="str">
        <f>IFERROR(__xludf.DUMMYFUNCTION("GOOGLETRANSLATE(D390, ""en"", ""hi"")"),"A) ब्रह्मगुप्त")</f>
        <v>A) ब्रह्मगुप्त</v>
      </c>
    </row>
    <row r="391" ht="22.5" customHeight="1">
      <c r="A391" s="7">
        <v>390.0</v>
      </c>
      <c r="B391" s="4" t="s">
        <v>5782</v>
      </c>
      <c r="C391" s="4" t="s">
        <v>5783</v>
      </c>
      <c r="D391" s="4" t="s">
        <v>5784</v>
      </c>
      <c r="F391" s="5" t="str">
        <f>IFERROR(__xludf.DUMMYFUNCTION("GOOGLETRANSLATE(A391, ""en"", ""hi"")"),"390")</f>
        <v>390</v>
      </c>
      <c r="G391" s="5" t="str">
        <f>IFERROR(__xludf.DUMMYFUNCTION("GOOGLETRANSLATE(B391, ""en"", ""hi"")"),"औपनिवेशिक प्रभावों ने पम्बारम की पारंपरिक प्रथा को किस प्रकार प्रभावित किया?")</f>
        <v>औपनिवेशिक प्रभावों ने पम्बारम की पारंपरिक प्रथा को किस प्रकार प्रभावित किया?</v>
      </c>
      <c r="H391" s="5" t="str">
        <f>IFERROR(__xludf.DUMMYFUNCTION("GOOGLETRANSLATE(C391, ""en"", ""hi"")"),"A) इससे पारंपरिक प्रथाओं में गिरावट आई, B) इससे रुचि का पुनरुत्थान हुआ, C) इससे खेल का आधुनिकीकरण हुआ, D) इससे पारंपरिक प्रथाओं का संरक्षण हुआ")</f>
        <v>A) इससे पारंपरिक प्रथाओं में गिरावट आई, B) इससे रुचि का पुनरुत्थान हुआ, C) इससे खेल का आधुनिकीकरण हुआ, D) इससे पारंपरिक प्रथाओं का संरक्षण हुआ</v>
      </c>
      <c r="I391" s="5" t="str">
        <f>IFERROR(__xludf.DUMMYFUNCTION("GOOGLETRANSLATE(D391, ""en"", ""hi"")"),"A) इससे पारंपरिक प्रथाओं में गिरावट आई")</f>
        <v>A) इससे पारंपरिक प्रथाओं में गिरावट आई</v>
      </c>
    </row>
    <row r="392" ht="22.5" customHeight="1">
      <c r="A392" s="7">
        <v>391.0</v>
      </c>
      <c r="B392" s="4" t="s">
        <v>5785</v>
      </c>
      <c r="C392" s="4" t="s">
        <v>5786</v>
      </c>
      <c r="D392" s="4" t="s">
        <v>5578</v>
      </c>
      <c r="F392" s="5" t="str">
        <f>IFERROR(__xludf.DUMMYFUNCTION("GOOGLETRANSLATE(A392, ""en"", ""hi"")"),"391")</f>
        <v>391</v>
      </c>
      <c r="G392" s="5" t="str">
        <f>IFERROR(__xludf.DUMMYFUNCTION("GOOGLETRANSLATE(B392, ""en"", ""hi"")"),"कौन सा दक्षिण भारतीय राजा अपने दरबार में पंबारम जैसे पारंपरिक खेलों को बढ़ावा देने के लिए जाना जाता है?")</f>
        <v>कौन सा दक्षिण भारतीय राजा अपने दरबार में पंबारम जैसे पारंपरिक खेलों को बढ़ावा देने के लिए जाना जाता है?</v>
      </c>
      <c r="H392" s="5" t="str">
        <f>IFERROR(__xludf.DUMMYFUNCTION("GOOGLETRANSLATE(C392, ""en"", ""hi"")"),"ए) राजेंद्र चोल प्रथम, बी) कृष्णदेव राय, सी) शिवाजी महाराज, डी) रणजीत सिंह")</f>
        <v>ए) राजेंद्र चोल प्रथम, बी) कृष्णदेव राय, सी) शिवाजी महाराज, डी) रणजीत सिंह</v>
      </c>
      <c r="I392" s="5" t="str">
        <f>IFERROR(__xludf.DUMMYFUNCTION("GOOGLETRANSLATE(D392, ""en"", ""hi"")"),"A) राजेंद्र चोल प्रथम")</f>
        <v>A) राजेंद्र चोल प्रथम</v>
      </c>
    </row>
    <row r="393" ht="22.5" customHeight="1">
      <c r="A393" s="7">
        <v>392.0</v>
      </c>
      <c r="B393" s="4" t="s">
        <v>5787</v>
      </c>
      <c r="C393" s="4" t="s">
        <v>5788</v>
      </c>
      <c r="D393" s="4" t="s">
        <v>644</v>
      </c>
      <c r="F393" s="5" t="str">
        <f>IFERROR(__xludf.DUMMYFUNCTION("GOOGLETRANSLATE(A393, ""en"", ""hi"")"),"392")</f>
        <v>392</v>
      </c>
      <c r="G393" s="5" t="str">
        <f>IFERROR(__xludf.DUMMYFUNCTION("GOOGLETRANSLATE(B393, ""en"", ""hi"")"),"कौन से ऐतिहासिक दस्तावेज पम्बाराम के विकास के बारे में जानकारी प्रदान करते हैं?")</f>
        <v>कौन से ऐतिहासिक दस्तावेज पम्बाराम के विकास के बारे में जानकारी प्रदान करते हैं?</v>
      </c>
      <c r="H393" s="5" t="str">
        <f>IFERROR(__xludf.DUMMYFUNCTION("GOOGLETRANSLATE(C393, ""en"", ""hi"")"),"A) शाही फरमान, B) मंदिर शिलालेख, C) ऐतिहासिक पांडुलिपियाँ, D) उपरोक्त सभी")</f>
        <v>A) शाही फरमान, B) मंदिर शिलालेख, C) ऐतिहासिक पांडुलिपियाँ, D) उपरोक्त सभी</v>
      </c>
      <c r="I393" s="5" t="str">
        <f>IFERROR(__xludf.DUMMYFUNCTION("GOOGLETRANSLATE(D393, ""en"", ""hi"")"),"D। उपरोक्त सभी")</f>
        <v>D। उपरोक्त सभी</v>
      </c>
    </row>
    <row r="394" ht="22.5" customHeight="1">
      <c r="A394" s="7">
        <v>393.0</v>
      </c>
      <c r="B394" s="4" t="s">
        <v>5789</v>
      </c>
      <c r="C394" s="4" t="s">
        <v>5790</v>
      </c>
      <c r="D394" s="4" t="s">
        <v>5791</v>
      </c>
      <c r="F394" s="5" t="str">
        <f>IFERROR(__xludf.DUMMYFUNCTION("GOOGLETRANSLATE(A394, ""en"", ""hi"")"),"393")</f>
        <v>393</v>
      </c>
      <c r="G394" s="5" t="str">
        <f>IFERROR(__xludf.DUMMYFUNCTION("GOOGLETRANSLATE(B394, ""en"", ""hi"")"),"प्राचीन दक्षिण भारतीय शाही शिक्षा में पम्बरम की प्राथमिक भूमिका क्या थी?")</f>
        <v>प्राचीन दक्षिण भारतीय शाही शिक्षा में पम्बरम की प्राथमिक भूमिका क्या थी?</v>
      </c>
      <c r="H394" s="5" t="str">
        <f>IFERROR(__xludf.DUMMYFUNCTION("GOOGLETRANSLATE(C394, ""en"", ""hi"")"),"A) सैन्य रणनीति, B) सांस्कृतिक शिक्षा, C) कूटनीतिक प्रशिक्षण, D) प्रशासनिक कौशल")</f>
        <v>A) सैन्य रणनीति, B) सांस्कृतिक शिक्षा, C) कूटनीतिक प्रशिक्षण, D) प्रशासनिक कौशल</v>
      </c>
      <c r="I394" s="5" t="str">
        <f>IFERROR(__xludf.DUMMYFUNCTION("GOOGLETRANSLATE(D394, ""en"", ""hi"")"),"A) सैन्य रणनीति")</f>
        <v>A) सैन्य रणनीति</v>
      </c>
    </row>
    <row r="395" ht="22.5" customHeight="1">
      <c r="A395" s="7">
        <v>394.0</v>
      </c>
      <c r="B395" s="4" t="s">
        <v>5792</v>
      </c>
      <c r="C395" s="4" t="s">
        <v>4842</v>
      </c>
      <c r="D395" s="4" t="s">
        <v>205</v>
      </c>
      <c r="F395" s="5" t="str">
        <f>IFERROR(__xludf.DUMMYFUNCTION("GOOGLETRANSLATE(A395, ""en"", ""hi"")"),"394")</f>
        <v>394</v>
      </c>
      <c r="G395" s="5" t="str">
        <f>IFERROR(__xludf.DUMMYFUNCTION("GOOGLETRANSLATE(B395, ""en"", ""hi"")"),"कौन सा दक्षिण भारतीय क्षेत्र ऐतिहासिक रूप से अपने विस्तृत पम्बरम बोर्डों और टूर्नामेंटों के लिए जाना जाता है?")</f>
        <v>कौन सा दक्षिण भारतीय क्षेत्र ऐतिहासिक रूप से अपने विस्तृत पम्बरम बोर्डों और टूर्नामेंटों के लिए जाना जाता है?</v>
      </c>
      <c r="H395" s="5" t="str">
        <f>IFERROR(__xludf.DUMMYFUNCTION("GOOGLETRANSLATE(C395, ""en"", ""hi"")"),"A) तमिलनाडु, B) केरल, C) कर्नाटक, D) आंध्र प्रदेश")</f>
        <v>A) तमिलनाडु, B) केरल, C) कर्नाटक, D) आंध्र प्रदेश</v>
      </c>
      <c r="I395" s="5" t="str">
        <f>IFERROR(__xludf.DUMMYFUNCTION("GOOGLETRANSLATE(D395, ""en"", ""hi"")"),"A) तमिलनाडु")</f>
        <v>A) तमिलनाडु</v>
      </c>
    </row>
    <row r="396" ht="22.5" customHeight="1">
      <c r="A396" s="7">
        <v>395.0</v>
      </c>
      <c r="B396" s="4" t="s">
        <v>5793</v>
      </c>
      <c r="C396" s="4" t="s">
        <v>5794</v>
      </c>
      <c r="D396" s="4" t="s">
        <v>5645</v>
      </c>
      <c r="F396" s="5" t="str">
        <f>IFERROR(__xludf.DUMMYFUNCTION("GOOGLETRANSLATE(A396, ""en"", ""hi"")"),"395")</f>
        <v>395</v>
      </c>
      <c r="G396" s="5" t="str">
        <f>IFERROR(__xludf.DUMMYFUNCTION("GOOGLETRANSLATE(B396, ""en"", ""hi"")"),"पंबारम के पारंपरिक खेल पर औपनिवेशिक शासन का क्या प्रभाव पड़ा?")</f>
        <v>पंबारम के पारंपरिक खेल पर औपनिवेशिक शासन का क्या प्रभाव पड़ा?</v>
      </c>
      <c r="H396" s="5" t="str">
        <f>IFERROR(__xludf.DUMMYFUNCTION("GOOGLETRANSLATE(C396, ""en"", ""hi"")"),"A) इसने इसके पतन का नेतृत्व किया, B) इसने इसके आधुनिकीकरण का नेतृत्व किया, C) इसने पारंपरिक प्रथाओं को संरक्षित किया, D) इसने नए रूपों को पेश किया")</f>
        <v>A) इसने इसके पतन का नेतृत्व किया, B) इसने इसके आधुनिकीकरण का नेतृत्व किया, C) इसने पारंपरिक प्रथाओं को संरक्षित किया, D) इसने नए रूपों को पेश किया</v>
      </c>
      <c r="I396" s="5" t="str">
        <f>IFERROR(__xludf.DUMMYFUNCTION("GOOGLETRANSLATE(D396, ""en"", ""hi"")"),"A) इससे इसका पतन हुआ")</f>
        <v>A) इससे इसका पतन हुआ</v>
      </c>
    </row>
    <row r="397" ht="22.5" customHeight="1">
      <c r="A397" s="7">
        <v>396.0</v>
      </c>
      <c r="B397" s="4" t="s">
        <v>5795</v>
      </c>
      <c r="C397" s="4" t="s">
        <v>5761</v>
      </c>
      <c r="D397" s="4" t="s">
        <v>5762</v>
      </c>
      <c r="F397" s="5" t="str">
        <f>IFERROR(__xludf.DUMMYFUNCTION("GOOGLETRANSLATE(A397, ""en"", ""hi"")"),"396")</f>
        <v>396</v>
      </c>
      <c r="G397" s="5" t="str">
        <f>IFERROR(__xludf.DUMMYFUNCTION("GOOGLETRANSLATE(B397, ""en"", ""hi"")"),"किस ऐतिहासिक घटना के कारण दक्षिण भारत में पम्बारम की लोकप्रियता में गिरावट आई?")</f>
        <v>किस ऐतिहासिक घटना के कारण दक्षिण भारत में पम्बारम की लोकप्रियता में गिरावट आई?</v>
      </c>
      <c r="H397" s="5" t="str">
        <f>IFERROR(__xludf.DUMMYFUNCTION("GOOGLETRANSLATE(C397, ""en"", ""hi"")"),"A) ब्रिटिश उपनिवेशीकरण, B) विजयनगर साम्राज्य का पतन, C) चोल वंश का पतन, D) पश्चिमी खेलों का आगमन")</f>
        <v>A) ब्रिटिश उपनिवेशीकरण, B) विजयनगर साम्राज्य का पतन, C) चोल वंश का पतन, D) पश्चिमी खेलों का आगमन</v>
      </c>
      <c r="I397" s="5" t="str">
        <f>IFERROR(__xludf.DUMMYFUNCTION("GOOGLETRANSLATE(D397, ""en"", ""hi"")"),"A) ब्रिटिश उपनिवेशीकरण")</f>
        <v>A) ब्रिटिश उपनिवेशीकरण</v>
      </c>
    </row>
    <row r="398" ht="22.5" customHeight="1">
      <c r="A398" s="7">
        <v>397.0</v>
      </c>
      <c r="B398" s="4" t="s">
        <v>5796</v>
      </c>
      <c r="C398" s="4" t="s">
        <v>5797</v>
      </c>
      <c r="D398" s="4" t="s">
        <v>5798</v>
      </c>
      <c r="F398" s="5" t="str">
        <f>IFERROR(__xludf.DUMMYFUNCTION("GOOGLETRANSLATE(A398, ""en"", ""hi"")"),"397")</f>
        <v>397</v>
      </c>
      <c r="G398" s="5" t="str">
        <f>IFERROR(__xludf.DUMMYFUNCTION("GOOGLETRANSLATE(B398, ""en"", ""hi"")"),"औपनिवेशिक काल ने पंबारम जैसे पारंपरिक दक्षिण भारतीय खेलों को किस प्रकार प्रभावित किया?")</f>
        <v>औपनिवेशिक काल ने पंबारम जैसे पारंपरिक दक्षिण भारतीय खेलों को किस प्रकार प्रभावित किया?</v>
      </c>
      <c r="H398" s="5" t="str">
        <f>IFERROR(__xludf.DUMMYFUNCTION("GOOGLETRANSLATE(C398, ""en"", ""hi"")"),"A) इसने नए नियम लागू किए, B) इसने उनके पतन का कारण बना, C) इसने उनका आधुनिकीकरण किया, D) इसने उन्हें संरक्षित किया")</f>
        <v>A) इसने नए नियम लागू किए, B) इसने उनके पतन का कारण बना, C) इसने उनका आधुनिकीकरण किया, D) इसने उन्हें संरक्षित किया</v>
      </c>
      <c r="I398" s="5" t="str">
        <f>IFERROR(__xludf.DUMMYFUNCTION("GOOGLETRANSLATE(D398, ""en"", ""hi"")"),"B) इससे उनका पतन हुआ")</f>
        <v>B) इससे उनका पतन हुआ</v>
      </c>
    </row>
    <row r="399" ht="22.5" customHeight="1">
      <c r="A399" s="7">
        <v>398.0</v>
      </c>
      <c r="B399" s="4" t="s">
        <v>5799</v>
      </c>
      <c r="C399" s="4" t="s">
        <v>5714</v>
      </c>
      <c r="D399" s="4" t="s">
        <v>5648</v>
      </c>
      <c r="F399" s="5" t="str">
        <f>IFERROR(__xludf.DUMMYFUNCTION("GOOGLETRANSLATE(A399, ""en"", ""hi"")"),"398")</f>
        <v>398</v>
      </c>
      <c r="G399" s="5" t="str">
        <f>IFERROR(__xludf.DUMMYFUNCTION("GOOGLETRANSLATE(B399, ""en"", ""hi"")"),"कौन सा दक्षिण भारतीय राजा पम्बरम जैसे पारंपरिक खेलों को बढ़ावा देने और दस्तावेजीकरण से जुड़ा हुआ है?")</f>
        <v>कौन सा दक्षिण भारतीय राजा पम्बरम जैसे पारंपरिक खेलों को बढ़ावा देने और दस्तावेजीकरण से जुड़ा हुआ है?</v>
      </c>
      <c r="H399" s="5" t="str">
        <f>IFERROR(__xludf.DUMMYFUNCTION("GOOGLETRANSLATE(C399, ""en"", ""hi"")"),"A) राजेंद्र चोल प्रथम, B) कृष्णदेव राय, C) हर्ष, D) अशोक")</f>
        <v>A) राजेंद्र चोल प्रथम, B) कृष्णदेव राय, C) हर्ष, D) अशोक</v>
      </c>
      <c r="I399" s="5" t="str">
        <f>IFERROR(__xludf.DUMMYFUNCTION("GOOGLETRANSLATE(D399, ""en"", ""hi"")"),"B) कृष्ण देव राय")</f>
        <v>B) कृष्ण देव राय</v>
      </c>
    </row>
    <row r="400" ht="22.5" customHeight="1">
      <c r="A400" s="7">
        <v>399.0</v>
      </c>
      <c r="B400" s="4" t="s">
        <v>5800</v>
      </c>
      <c r="C400" s="4" t="s">
        <v>5771</v>
      </c>
      <c r="D400" s="4" t="s">
        <v>5772</v>
      </c>
      <c r="F400" s="5" t="str">
        <f>IFERROR(__xludf.DUMMYFUNCTION("GOOGLETRANSLATE(A400, ""en"", ""hi"")"),"399")</f>
        <v>399</v>
      </c>
      <c r="G400" s="5" t="str">
        <f>IFERROR(__xludf.DUMMYFUNCTION("GOOGLETRANSLATE(B400, ""en"", ""hi"")"),"दक्षिण भारतीय संस्कृति के संदर्भ में पम्बाराम का क्या ऐतिहासिक महत्व है?")</f>
        <v>दक्षिण भारतीय संस्कृति के संदर्भ में पम्बाराम का क्या ऐतिहासिक महत्व है?</v>
      </c>
      <c r="H400" s="5" t="str">
        <f>IFERROR(__xludf.DUMMYFUNCTION("GOOGLETRANSLATE(C400, ""en"", ""hi"")"),"A) यह सांस्कृतिक विरासत का प्रतिनिधित्व करता है, B) यह सैन्य कौशल का प्रतीक है, C) यह धार्मिक प्रथाओं पर प्रकाश डालता है, D) यह राजनयिक संबंधों का प्रतीक है")</f>
        <v>A) यह सांस्कृतिक विरासत का प्रतिनिधित्व करता है, B) यह सैन्य कौशल का प्रतीक है, C) यह धार्मिक प्रथाओं पर प्रकाश डालता है, D) यह राजनयिक संबंधों का प्रतीक है</v>
      </c>
      <c r="I400" s="5" t="str">
        <f>IFERROR(__xludf.DUMMYFUNCTION("GOOGLETRANSLATE(D400, ""en"", ""hi"")"),"A) यह सांस्कृतिक विरासत का प्रतिनिधित्व करता है")</f>
        <v>A) यह सांस्कृतिक विरासत का प्रतिनिधित्व करता है</v>
      </c>
    </row>
    <row r="401" ht="22.5" customHeight="1">
      <c r="A401" s="7">
        <v>400.0</v>
      </c>
      <c r="B401" s="4" t="s">
        <v>5801</v>
      </c>
      <c r="C401" s="4" t="s">
        <v>5709</v>
      </c>
      <c r="D401" s="4" t="s">
        <v>5710</v>
      </c>
      <c r="F401" s="5" t="str">
        <f>IFERROR(__xludf.DUMMYFUNCTION("GOOGLETRANSLATE(A401, ""en"", ""hi"")"),"400")</f>
        <v>400</v>
      </c>
      <c r="G401" s="5" t="str">
        <f>IFERROR(__xludf.DUMMYFUNCTION("GOOGLETRANSLATE(B401, ""en"", ""hi"")"),"कौन सा प्राचीन दक्षिण भारतीय राजवंश अपने विस्तृत पम्बरम बोर्डों और प्रतियोगिताओं के लिए जाना जाता है?")</f>
        <v>कौन सा प्राचीन दक्षिण भारतीय राजवंश अपने विस्तृत पम्बरम बोर्डों और प्रतियोगिताओं के लिए जाना जाता है?</v>
      </c>
      <c r="H401" s="5" t="str">
        <f>IFERROR(__xludf.DUMMYFUNCTION("GOOGLETRANSLATE(C401, ""en"", ""hi"")"),"A) चोल राजवंश, B) पल्लव राजवंश, C) विजयनगर राजवंश, D) चेर राजवंश")</f>
        <v>A) चोल राजवंश, B) पल्लव राजवंश, C) विजयनगर राजवंश, D) चेर राजवंश</v>
      </c>
      <c r="I401" s="5" t="str">
        <f>IFERROR(__xludf.DUMMYFUNCTION("GOOGLETRANSLATE(D401, ""en"", ""hi"")"),"A) चोल राजवंश")</f>
        <v>A) चोल राजवंश</v>
      </c>
    </row>
    <row r="402" ht="22.5" customHeight="1">
      <c r="A402" s="7">
        <v>401.0</v>
      </c>
      <c r="B402" s="4" t="s">
        <v>5756</v>
      </c>
      <c r="C402" s="4" t="s">
        <v>5802</v>
      </c>
      <c r="D402" s="4" t="s">
        <v>5575</v>
      </c>
      <c r="F402" s="5" t="str">
        <f>IFERROR(__xludf.DUMMYFUNCTION("GOOGLETRANSLATE(A402, ""en"", ""hi"")"),"401")</f>
        <v>401</v>
      </c>
      <c r="G402" s="5" t="str">
        <f>IFERROR(__xludf.DUMMYFUNCTION("GOOGLETRANSLATE(B402, ""en"", ""hi"")"),"प्राचीन दक्षिण भारत में पम्बरम के औपचारिक प्रयोग के बारे में कौन से ऐतिहासिक अभिलेख जानकारी प्रदान करते हैं?")</f>
        <v>प्राचीन दक्षिण भारत में पम्बरम के औपचारिक प्रयोग के बारे में कौन से ऐतिहासिक अभिलेख जानकारी प्रदान करते हैं?</v>
      </c>
      <c r="H402" s="5" t="str">
        <f>IFERROR(__xludf.DUMMYFUNCTION("GOOGLETRANSLATE(C402, ""en"", ""hi"")"),"A) मंदिर की नक्काशी, B) ऐतिहासिक पांडुलिपियाँ, C) मौखिक परंपराएँ, D) उपरोक्त सभी")</f>
        <v>A) मंदिर की नक्काशी, B) ऐतिहासिक पांडुलिपियाँ, C) मौखिक परंपराएँ, D) उपरोक्त सभी</v>
      </c>
      <c r="I402" s="5" t="str">
        <f>IFERROR(__xludf.DUMMYFUNCTION("GOOGLETRANSLATE(D402, ""en"", ""hi"")"),"A) मंदिर की नक्काशी")</f>
        <v>A) मंदिर की नक्काशी</v>
      </c>
    </row>
    <row r="403" ht="22.5" customHeight="1">
      <c r="A403" s="7">
        <v>402.0</v>
      </c>
      <c r="B403" s="4" t="s">
        <v>5763</v>
      </c>
      <c r="C403" s="4" t="s">
        <v>5764</v>
      </c>
      <c r="D403" s="4" t="s">
        <v>4132</v>
      </c>
      <c r="F403" s="5" t="str">
        <f>IFERROR(__xludf.DUMMYFUNCTION("GOOGLETRANSLATE(A403, ""en"", ""hi"")"),"402")</f>
        <v>402</v>
      </c>
      <c r="G403" s="5" t="str">
        <f>IFERROR(__xludf.DUMMYFUNCTION("GOOGLETRANSLATE(B403, ""en"", ""hi"")"),"कौन सा दक्षिण भारतीय राजा पम्बरम जैसे पारंपरिक खेलों को दरबारी शिक्षा में शामिल करने के लिए जाना जाता है?")</f>
        <v>कौन सा दक्षिण भारतीय राजा पम्बरम जैसे पारंपरिक खेलों को दरबारी शिक्षा में शामिल करने के लिए जाना जाता है?</v>
      </c>
      <c r="H403" s="5" t="str">
        <f>IFERROR(__xludf.DUMMYFUNCTION("GOOGLETRANSLATE(C403, ""en"", ""hi"")"),"ए) राजेंद्र चोल प्रथम, बी) कृष्णदेवराय, सी) हर्ष, डी) अशोक")</f>
        <v>ए) राजेंद्र चोल प्रथम, बी) कृष्णदेवराय, सी) हर्ष, डी) अशोक</v>
      </c>
      <c r="I403" s="5" t="str">
        <f>IFERROR(__xludf.DUMMYFUNCTION("GOOGLETRANSLATE(D403, ""en"", ""hi"")"),"बी) कृष्णदेवराय")</f>
        <v>बी) कृष्णदेवराय</v>
      </c>
    </row>
    <row r="404" ht="22.5" customHeight="1">
      <c r="A404" s="7">
        <v>403.0</v>
      </c>
      <c r="B404" s="4" t="s">
        <v>5803</v>
      </c>
      <c r="C404" s="4" t="s">
        <v>5804</v>
      </c>
      <c r="D404" s="4" t="s">
        <v>2811</v>
      </c>
      <c r="F404" s="5" t="str">
        <f>IFERROR(__xludf.DUMMYFUNCTION("GOOGLETRANSLATE(A404, ""en"", ""hi"")"),"403")</f>
        <v>403</v>
      </c>
      <c r="G404" s="5" t="str">
        <f>IFERROR(__xludf.DUMMYFUNCTION("GOOGLETRANSLATE(B404, ""en"", ""hi"")"),"प्राचीन दक्षिण भारतीय राज दरबारों में पम्बरम का प्राथमिक उद्देश्य क्या था?")</f>
        <v>प्राचीन दक्षिण भारतीय राज दरबारों में पम्बरम का प्राथमिक उद्देश्य क्या था?</v>
      </c>
      <c r="H404" s="5" t="str">
        <f>IFERROR(__xludf.DUMMYFUNCTION("GOOGLETRANSLATE(C404, ""en"", ""hi"")"),"A) मनोरंजन, B) सैन्य प्रशिक्षण, C) राजनयिक कार्यक्रम, D) धार्मिक समारोह")</f>
        <v>A) मनोरंजन, B) सैन्य प्रशिक्षण, C) राजनयिक कार्यक्रम, D) धार्मिक समारोह</v>
      </c>
      <c r="I404" s="5" t="str">
        <f>IFERROR(__xludf.DUMMYFUNCTION("GOOGLETRANSLATE(D404, ""en"", ""hi"")"),"बी) सैन्य प्रशिक्षण")</f>
        <v>बी) सैन्य प्रशिक्षण</v>
      </c>
    </row>
    <row r="405" ht="22.5" customHeight="1">
      <c r="A405" s="7">
        <v>404.0</v>
      </c>
      <c r="B405" s="4" t="s">
        <v>5805</v>
      </c>
      <c r="C405" s="4" t="s">
        <v>5728</v>
      </c>
      <c r="D405" s="4" t="s">
        <v>5702</v>
      </c>
      <c r="F405" s="5" t="str">
        <f>IFERROR(__xludf.DUMMYFUNCTION("GOOGLETRANSLATE(A405, ""en"", ""hi"")"),"404")</f>
        <v>404</v>
      </c>
      <c r="G405" s="5" t="str">
        <f>IFERROR(__xludf.DUMMYFUNCTION("GOOGLETRANSLATE(B405, ""en"", ""hi"")"),"कौन सा ऐतिहासिक ग्रंथ प्राचीन दक्षिण भारत में पम्बरम के नियमों और महत्व के बारे में जानकारी प्रदान करता है?")</f>
        <v>कौन सा ऐतिहासिक ग्रंथ प्राचीन दक्षिण भारत में पम्बरम के नियमों और महत्व के बारे में जानकारी प्रदान करता है?</v>
      </c>
      <c r="H405" s="5" t="str">
        <f>IFERROR(__xludf.DUMMYFUNCTION("GOOGLETRANSLATE(C405, ""en"", ""hi"")"),"ए) महाभारत, बी) रामायण, सी) अर्थशास्त्र, डी) वेद")</f>
        <v>ए) महाभारत, बी) रामायण, सी) अर्थशास्त्र, डी) वेद</v>
      </c>
      <c r="I405" s="5" t="str">
        <f>IFERROR(__xludf.DUMMYFUNCTION("GOOGLETRANSLATE(D405, ""en"", ""hi"")"),"C) अर्थशास्त्र")</f>
        <v>C) अर्थशास्त्र</v>
      </c>
    </row>
    <row r="406" ht="22.5" customHeight="1">
      <c r="A406" s="7">
        <v>405.0</v>
      </c>
      <c r="B406" s="4" t="s">
        <v>5782</v>
      </c>
      <c r="C406" s="4" t="s">
        <v>5806</v>
      </c>
      <c r="D406" s="4" t="s">
        <v>5740</v>
      </c>
      <c r="F406" s="5" t="str">
        <f>IFERROR(__xludf.DUMMYFUNCTION("GOOGLETRANSLATE(A406, ""en"", ""hi"")"),"405")</f>
        <v>405</v>
      </c>
      <c r="G406" s="5" t="str">
        <f>IFERROR(__xludf.DUMMYFUNCTION("GOOGLETRANSLATE(B406, ""en"", ""hi"")"),"औपनिवेशिक प्रभावों ने पम्बारम की पारंपरिक प्रथा को किस प्रकार प्रभावित किया?")</f>
        <v>औपनिवेशिक प्रभावों ने पम्बारम की पारंपरिक प्रथा को किस प्रकार प्रभावित किया?</v>
      </c>
      <c r="H406" s="5" t="str">
        <f>IFERROR(__xludf.DUMMYFUNCTION("GOOGLETRANSLATE(C406, ""en"", ""hi"")"),"A) इससे प्रथा में गिरावट आई, B) इससे रुचि का पुनरुत्थान हुआ, C) इसने नए रूपों को पेश किया, D) इसने पारंपरिक प्रथाओं को संरक्षित किया")</f>
        <v>A) इससे प्रथा में गिरावट आई, B) इससे रुचि का पुनरुत्थान हुआ, C) इसने नए रूपों को पेश किया, D) इसने पारंपरिक प्रथाओं को संरक्षित किया</v>
      </c>
      <c r="I406" s="5" t="str">
        <f>IFERROR(__xludf.DUMMYFUNCTION("GOOGLETRANSLATE(D406, ""en"", ""hi"")"),"A) इससे अभ्यास में गिरावट आई")</f>
        <v>A) इससे अभ्यास में गिरावट आई</v>
      </c>
    </row>
    <row r="407" ht="22.5" customHeight="1">
      <c r="A407" s="7">
        <v>406.0</v>
      </c>
      <c r="B407" s="4" t="s">
        <v>5807</v>
      </c>
      <c r="C407" s="4" t="s">
        <v>5766</v>
      </c>
      <c r="D407" s="4" t="s">
        <v>4854</v>
      </c>
      <c r="F407" s="5" t="str">
        <f>IFERROR(__xludf.DUMMYFUNCTION("GOOGLETRANSLATE(A407, ""en"", ""hi"")"),"406")</f>
        <v>406</v>
      </c>
      <c r="G407" s="5" t="str">
        <f>IFERROR(__xludf.DUMMYFUNCTION("GOOGLETRANSLATE(B407, ""en"", ""hi"")"),"कौन सा दक्षिण भारतीय त्यौहार ऐतिहासिक रूप से पम्बरम को एक प्रमुख घटना के रूप में दर्शाता है?")</f>
        <v>कौन सा दक्षिण भारतीय त्यौहार ऐतिहासिक रूप से पम्बरम को एक प्रमुख घटना के रूप में दर्शाता है?</v>
      </c>
      <c r="H407" s="5" t="str">
        <f>IFERROR(__xludf.DUMMYFUNCTION("GOOGLETRANSLATE(C407, ""en"", ""hi"")"),"ए) पोंगल, बी) ओणम, सी) उगादि, डी) विशु")</f>
        <v>ए) पोंगल, बी) ओणम, सी) उगादि, डी) विशु</v>
      </c>
      <c r="I407" s="5" t="str">
        <f>IFERROR(__xludf.DUMMYFUNCTION("GOOGLETRANSLATE(D407, ""en"", ""hi"")"),"ए) पोंगल")</f>
        <v>ए) पोंगल</v>
      </c>
    </row>
    <row r="408" ht="22.5" customHeight="1">
      <c r="A408" s="7">
        <v>407.0</v>
      </c>
      <c r="B408" s="4" t="s">
        <v>5808</v>
      </c>
      <c r="C408" s="4" t="s">
        <v>5809</v>
      </c>
      <c r="D408" s="4" t="s">
        <v>4649</v>
      </c>
      <c r="F408" s="5" t="str">
        <f>IFERROR(__xludf.DUMMYFUNCTION("GOOGLETRANSLATE(A408, ""en"", ""hi"")"),"407")</f>
        <v>407</v>
      </c>
      <c r="G408" s="5" t="str">
        <f>IFERROR(__xludf.DUMMYFUNCTION("GOOGLETRANSLATE(B408, ""en"", ""hi"")"),"प्राचीन दक्षिण भारत के सामाजिक और सांस्कृतिक जीवन में पम्बरम की क्या भूमिका थी?")</f>
        <v>प्राचीन दक्षिण भारत के सामाजिक और सांस्कृतिक जीवन में पम्बरम की क्या भूमिका थी?</v>
      </c>
      <c r="H408" s="5" t="str">
        <f>IFERROR(__xludf.DUMMYFUNCTION("GOOGLETRANSLATE(C408, ""en"", ""hi"")"),"A) यह मनोरंजन का एक रूप था, B) यह एक सैन्य प्रशिक्षण उपकरण था, C) यह एक धार्मिक अनुष्ठान था, D) यह कूटनीति का एक रूप था")</f>
        <v>A) यह मनोरंजन का एक रूप था, B) यह एक सैन्य प्रशिक्षण उपकरण था, C) यह एक धार्मिक अनुष्ठान था, D) यह कूटनीति का एक रूप था</v>
      </c>
      <c r="I408" s="5" t="str">
        <f>IFERROR(__xludf.DUMMYFUNCTION("GOOGLETRANSLATE(D408, ""en"", ""hi"")"),"A) यह मनोरंजन का एक रूप था")</f>
        <v>A) यह मनोरंजन का एक रूप था</v>
      </c>
    </row>
    <row r="409" ht="22.5" customHeight="1">
      <c r="A409" s="7">
        <v>408.0</v>
      </c>
      <c r="B409" s="4" t="s">
        <v>5810</v>
      </c>
      <c r="C409" s="4" t="s">
        <v>5755</v>
      </c>
      <c r="D409" s="4" t="s">
        <v>5607</v>
      </c>
      <c r="F409" s="5" t="str">
        <f>IFERROR(__xludf.DUMMYFUNCTION("GOOGLETRANSLATE(A409, ""en"", ""hi"")"),"408")</f>
        <v>408</v>
      </c>
      <c r="G409" s="5" t="str">
        <f>IFERROR(__xludf.DUMMYFUNCTION("GOOGLETRANSLATE(B409, ""en"", ""hi"")"),"कौन सा प्राचीन दक्षिण भारतीय साम्राज्य पम्बरम बोर्ड और टूर्नामेंट के विकास से जुड़ा हुआ है?")</f>
        <v>कौन सा प्राचीन दक्षिण भारतीय साम्राज्य पम्बरम बोर्ड और टूर्नामेंट के विकास से जुड़ा हुआ है?</v>
      </c>
      <c r="H409" s="5" t="str">
        <f>IFERROR(__xludf.DUMMYFUNCTION("GOOGLETRANSLATE(C409, ""en"", ""hi"")"),"A) चोल साम्राज्य, B) विजयनगर साम्राज्य, C) पांड्य साम्राज्य, D) चेर साम्राज्य")</f>
        <v>A) चोल साम्राज्य, B) विजयनगर साम्राज्य, C) पांड्य साम्राज्य, D) चेर साम्राज्य</v>
      </c>
      <c r="I409" s="5" t="str">
        <f>IFERROR(__xludf.DUMMYFUNCTION("GOOGLETRANSLATE(D409, ""en"", ""hi"")"),"A) चोल साम्राज्य")</f>
        <v>A) चोल साम्राज्य</v>
      </c>
    </row>
    <row r="410" ht="22.5" customHeight="1">
      <c r="A410" s="7">
        <v>409.0</v>
      </c>
      <c r="B410" s="4" t="s">
        <v>5811</v>
      </c>
      <c r="C410" s="4" t="s">
        <v>5812</v>
      </c>
      <c r="D410" s="4" t="s">
        <v>5683</v>
      </c>
      <c r="F410" s="5" t="str">
        <f>IFERROR(__xludf.DUMMYFUNCTION("GOOGLETRANSLATE(A410, ""en"", ""hi"")"),"409")</f>
        <v>409</v>
      </c>
      <c r="G410" s="5" t="str">
        <f>IFERROR(__xludf.DUMMYFUNCTION("GOOGLETRANSLATE(B410, ""en"", ""hi"")"),"पंबारम जैसे पारंपरिक खेलों पर औपनिवेशिक काल का ऐतिहासिक प्रभाव क्या था?")</f>
        <v>पंबारम जैसे पारंपरिक खेलों पर औपनिवेशिक काल का ऐतिहासिक प्रभाव क्या था?</v>
      </c>
      <c r="H410" s="5" t="str">
        <f>IFERROR(__xludf.DUMMYFUNCTION("GOOGLETRANSLATE(C410, ""en"", ""hi"")"),"A) इससे उनका पतन हुआ, B) इससे उनका पुनरुत्थान हुआ, C) इससे उनका आधुनिकीकरण हुआ, D) इससे पारंपरिक प्रथाओं का संरक्षण हुआ")</f>
        <v>A) इससे उनका पतन हुआ, B) इससे उनका पुनरुत्थान हुआ, C) इससे उनका आधुनिकीकरण हुआ, D) इससे पारंपरिक प्रथाओं का संरक्षण हुआ</v>
      </c>
      <c r="I410" s="5" t="str">
        <f>IFERROR(__xludf.DUMMYFUNCTION("GOOGLETRANSLATE(D410, ""en"", ""hi"")"),"A) इससे उनका पतन हुआ")</f>
        <v>A) इससे उनका पतन हुआ</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2.88"/>
    <col customWidth="1" min="7" max="8" width="37.63"/>
    <col customWidth="1" min="9" max="9" width="25.13"/>
  </cols>
  <sheetData>
    <row r="1" ht="22.5" customHeight="1">
      <c r="A1" s="1" t="s">
        <v>0</v>
      </c>
      <c r="B1" s="1" t="s">
        <v>1</v>
      </c>
      <c r="C1" s="1" t="s">
        <v>2</v>
      </c>
      <c r="D1" s="1" t="s">
        <v>3</v>
      </c>
      <c r="F1" s="2" t="s">
        <v>4</v>
      </c>
      <c r="G1" s="2" t="s">
        <v>5</v>
      </c>
      <c r="H1" s="2" t="s">
        <v>6</v>
      </c>
      <c r="I1" s="2" t="s">
        <v>7</v>
      </c>
    </row>
    <row r="2" ht="22.5" customHeight="1">
      <c r="A2" s="3">
        <v>1.0</v>
      </c>
      <c r="B2" s="4" t="s">
        <v>5813</v>
      </c>
      <c r="C2" s="4" t="s">
        <v>5814</v>
      </c>
      <c r="D2" s="4" t="s">
        <v>5815</v>
      </c>
      <c r="F2" s="5" t="str">
        <f>IFERROR(__xludf.DUMMYFUNCTION("GOOGLETRANSLATE(A2, ""en"", ""hi"")"),"1")</f>
        <v>1</v>
      </c>
      <c r="G2" s="5" t="str">
        <f>IFERROR(__xludf.DUMMYFUNCTION("GOOGLETRANSLATE(B2, ""en"", ""hi"")"),"भारत में कौन सा राज्य पारंपरिक रूप से धोप खेल की उत्पत्ति से जुड़ा हुआ है?")</f>
        <v>भारत में कौन सा राज्य पारंपरिक रूप से धोप खेल की उत्पत्ति से जुड़ा हुआ है?</v>
      </c>
      <c r="H2" s="5" t="str">
        <f>IFERROR(__xludf.DUMMYFUNCTION("GOOGLETRANSLATE(C2, ""en"", ""hi"")"),"ए) पंजाब, बी) महाराष्ट्र, सी) तमिलनाडु, डी) राजस्थान")</f>
        <v>ए) पंजाब, बी) महाराष्ट्र, सी) तमिलनाडु, डी) राजस्थान</v>
      </c>
      <c r="I2" s="5" t="str">
        <f>IFERROR(__xludf.DUMMYFUNCTION("GOOGLETRANSLATE(D2, ""en"", ""hi"")"),"D) राजस्थान")</f>
        <v>D) राजस्थान</v>
      </c>
    </row>
    <row r="3" ht="22.5" customHeight="1">
      <c r="A3" s="3">
        <v>2.0</v>
      </c>
      <c r="B3" s="4" t="s">
        <v>5816</v>
      </c>
      <c r="C3" s="4" t="s">
        <v>484</v>
      </c>
      <c r="D3" s="4" t="s">
        <v>485</v>
      </c>
      <c r="F3" s="5" t="str">
        <f>IFERROR(__xludf.DUMMYFUNCTION("GOOGLETRANSLATE(A3, ""en"", ""hi"")"),"2")</f>
        <v>2</v>
      </c>
      <c r="G3" s="5" t="str">
        <f>IFERROR(__xludf.DUMMYFUNCTION("GOOGLETRANSLATE(B3, ""en"", ""hi"")"),"अखिल भारतीय धोप खेल महासंघ की स्थापना किस वर्ष हुई थी?")</f>
        <v>अखिल भारतीय धोप खेल महासंघ की स्थापना किस वर्ष हुई थी?</v>
      </c>
      <c r="H3" s="5" t="str">
        <f>IFERROR(__xludf.DUMMYFUNCTION("GOOGLETRANSLATE(C3, ""en"", ""hi"")"),"ए) 1950, बी) 1965, सी) 1972, डी) 1980")</f>
        <v>ए) 1950, बी) 1965, सी) 1972, डी) 1980</v>
      </c>
      <c r="I3" s="5" t="str">
        <f>IFERROR(__xludf.DUMMYFUNCTION("GOOGLETRANSLATE(D3, ""en"", ""hi"")"),"सी) 1972")</f>
        <v>सी) 1972</v>
      </c>
    </row>
    <row r="4" ht="22.5" customHeight="1">
      <c r="A4" s="3">
        <v>3.0</v>
      </c>
      <c r="B4" s="4" t="s">
        <v>5817</v>
      </c>
      <c r="C4" s="4" t="s">
        <v>5818</v>
      </c>
      <c r="D4" s="4" t="s">
        <v>5819</v>
      </c>
      <c r="F4" s="5" t="str">
        <f>IFERROR(__xludf.DUMMYFUNCTION("GOOGLETRANSLATE(A4, ""en"", ""hi"")"),"3")</f>
        <v>3</v>
      </c>
      <c r="G4" s="5" t="str">
        <f>IFERROR(__xludf.DUMMYFUNCTION("GOOGLETRANSLATE(B4, ""en"", ""hi"")"),"ऐतिहासिक रूप से किस भारतीय राजा को 18वीं शताब्दी में धोप खेल को लोकप्रिय बनाने के लिए जाना जाता है?")</f>
        <v>ऐतिहासिक रूप से किस भारतीय राजा को 18वीं शताब्दी में धोप खेल को लोकप्रिय बनाने के लिए जाना जाता है?</v>
      </c>
      <c r="H4" s="5" t="str">
        <f>IFERROR(__xludf.DUMMYFUNCTION("GOOGLETRANSLATE(C4, ""en"", ""hi"")"),"ए) महाराजा जय सिंह द्वितीय, बी) महाराजा रणजीत सिंह, सी) महाराजा प्रताप सिंह, डी) महाराजा शिवाजी")</f>
        <v>ए) महाराजा जय सिंह द्वितीय, बी) महाराजा रणजीत सिंह, सी) महाराजा प्रताप सिंह, डी) महाराजा शिवाजी</v>
      </c>
      <c r="I4" s="5" t="str">
        <f>IFERROR(__xludf.DUMMYFUNCTION("GOOGLETRANSLATE(D4, ""en"", ""hi"")"),"A) महाराजा जय सिंह द्वितीय")</f>
        <v>A) महाराजा जय सिंह द्वितीय</v>
      </c>
    </row>
    <row r="5" ht="22.5" customHeight="1">
      <c r="A5" s="3">
        <v>4.0</v>
      </c>
      <c r="B5" s="4" t="s">
        <v>5820</v>
      </c>
      <c r="C5" s="4" t="s">
        <v>5821</v>
      </c>
      <c r="D5" s="4" t="s">
        <v>5815</v>
      </c>
      <c r="F5" s="5" t="str">
        <f>IFERROR(__xludf.DUMMYFUNCTION("GOOGLETRANSLATE(A5, ""en"", ""hi"")"),"4")</f>
        <v>4</v>
      </c>
      <c r="G5" s="5" t="str">
        <f>IFERROR(__xludf.DUMMYFUNCTION("GOOGLETRANSLATE(B5, ""en"", ""hi"")"),"1985 में आयोजित पहली राष्ट्रीय धोप खेल चैंपियनशिप किसने जीती?")</f>
        <v>1985 में आयोजित पहली राष्ट्रीय धोप खेल चैंपियनशिप किसने जीती?</v>
      </c>
      <c r="H5" s="5" t="str">
        <f>IFERROR(__xludf.DUMMYFUNCTION("GOOGLETRANSLATE(C5, ""en"", ""hi"")"),"A) दिल्ली, B) हरियाणा, C) पंजाब, D) राजस्थान")</f>
        <v>A) दिल्ली, B) हरियाणा, C) पंजाब, D) राजस्थान</v>
      </c>
      <c r="I5" s="5" t="str">
        <f>IFERROR(__xludf.DUMMYFUNCTION("GOOGLETRANSLATE(D5, ""en"", ""hi"")"),"D) राजस्थान")</f>
        <v>D) राजस्थान</v>
      </c>
    </row>
    <row r="6" ht="22.5" customHeight="1">
      <c r="A6" s="3">
        <v>5.0</v>
      </c>
      <c r="B6" s="4" t="s">
        <v>5822</v>
      </c>
      <c r="C6" s="4" t="s">
        <v>5823</v>
      </c>
      <c r="D6" s="4" t="s">
        <v>4081</v>
      </c>
      <c r="F6" s="5" t="str">
        <f>IFERROR(__xludf.DUMMYFUNCTION("GOOGLETRANSLATE(A6, ""en"", ""hi"")"),"5")</f>
        <v>5</v>
      </c>
      <c r="G6" s="5" t="str">
        <f>IFERROR(__xludf.DUMMYFUNCTION("GOOGLETRANSLATE(B6, ""en"", ""hi"")"),"1990 के दशक में किस भारतीय राज्य ने सबसे अधिक धोप खेल चैंपियनशिप जीती?")</f>
        <v>1990 के दशक में किस भारतीय राज्य ने सबसे अधिक धोप खेल चैंपियनशिप जीती?</v>
      </c>
      <c r="H6" s="5" t="str">
        <f>IFERROR(__xludf.DUMMYFUNCTION("GOOGLETRANSLATE(C6, ""en"", ""hi"")"),"A) गुजरात, B) केरल, C) राजस्थान, D) पंजाब")</f>
        <v>A) गुजरात, B) केरल, C) राजस्थान, D) पंजाब</v>
      </c>
      <c r="I6" s="5" t="str">
        <f>IFERROR(__xludf.DUMMYFUNCTION("GOOGLETRANSLATE(D6, ""en"", ""hi"")"),"C) राजस्थान")</f>
        <v>C) राजस्थान</v>
      </c>
    </row>
    <row r="7" ht="22.5" customHeight="1">
      <c r="A7" s="3">
        <v>6.0</v>
      </c>
      <c r="B7" s="4" t="s">
        <v>5824</v>
      </c>
      <c r="C7" s="4" t="s">
        <v>5825</v>
      </c>
      <c r="D7" s="4" t="s">
        <v>4928</v>
      </c>
      <c r="F7" s="5" t="str">
        <f>IFERROR(__xludf.DUMMYFUNCTION("GOOGLETRANSLATE(A7, ""en"", ""hi"")"),"6")</f>
        <v>6</v>
      </c>
      <c r="G7" s="5" t="str">
        <f>IFERROR(__xludf.DUMMYFUNCTION("GOOGLETRANSLATE(B7, ""en"", ""hi"")"),"धोप खेल मैच के दौरान खिलाड़ियों द्वारा पहनी जाने वाली पारंपरिक पोशाक क्या है?")</f>
        <v>धोप खेल मैच के दौरान खिलाड़ियों द्वारा पहनी जाने वाली पारंपरिक पोशाक क्या है?</v>
      </c>
      <c r="H7" s="5" t="str">
        <f>IFERROR(__xludf.DUMMYFUNCTION("GOOGLETRANSLATE(C7, ""en"", ""hi"")"),"A) धोती और कुर्ता, B) साड़ी और ब्लाउज, C) शेरवानी, D) लहंगा")</f>
        <v>A) धोती और कुर्ता, B) साड़ी और ब्लाउज, C) शेरवानी, D) लहंगा</v>
      </c>
      <c r="I7" s="5" t="str">
        <f>IFERROR(__xludf.DUMMYFUNCTION("GOOGLETRANSLATE(D7, ""en"", ""hi"")"),"A) धोती और कुर्ता")</f>
        <v>A) धोती और कुर्ता</v>
      </c>
    </row>
    <row r="8" ht="22.5" customHeight="1">
      <c r="A8" s="3">
        <v>7.0</v>
      </c>
      <c r="B8" s="4" t="s">
        <v>5826</v>
      </c>
      <c r="C8" s="4" t="s">
        <v>5827</v>
      </c>
      <c r="D8" s="4" t="s">
        <v>5828</v>
      </c>
      <c r="F8" s="5" t="str">
        <f>IFERROR(__xludf.DUMMYFUNCTION("GOOGLETRANSLATE(A8, ""en"", ""hi"")"),"7")</f>
        <v>7</v>
      </c>
      <c r="G8" s="5" t="str">
        <f>IFERROR(__xludf.DUMMYFUNCTION("GOOGLETRANSLATE(B8, ""en"", ""hi"")"),"राजस्थान का कौन सा प्रसिद्ध धोप खेल खिलाड़ी 2000 के दशक में अपने रणनीतिक खेल के लिए जाना जाता है?")</f>
        <v>राजस्थान का कौन सा प्रसिद्ध धोप खेल खिलाड़ी 2000 के दशक में अपने रणनीतिक खेल के लिए जाना जाता है?</v>
      </c>
      <c r="H8" s="5" t="str">
        <f>IFERROR(__xludf.DUMMYFUNCTION("GOOGLETRANSLATE(C8, ""en"", ""hi"")"),"A) गोपाल सिंह, B) सुरेश शर्मा, C) राजेश कुमार, D) मोहन लाल")</f>
        <v>A) गोपाल सिंह, B) सुरेश शर्मा, C) राजेश कुमार, D) मोहन लाल</v>
      </c>
      <c r="I8" s="5" t="str">
        <f>IFERROR(__xludf.DUMMYFUNCTION("GOOGLETRANSLATE(D8, ""en"", ""hi"")"),"A) गोपाल सिंह")</f>
        <v>A) गोपाल सिंह</v>
      </c>
    </row>
    <row r="9" ht="22.5" customHeight="1">
      <c r="A9" s="3">
        <v>8.0</v>
      </c>
      <c r="B9" s="4" t="s">
        <v>5829</v>
      </c>
      <c r="C9" s="4" t="s">
        <v>828</v>
      </c>
      <c r="D9" s="4" t="s">
        <v>829</v>
      </c>
      <c r="F9" s="5" t="str">
        <f>IFERROR(__xludf.DUMMYFUNCTION("GOOGLETRANSLATE(A9, ""en"", ""hi"")"),"8")</f>
        <v>8</v>
      </c>
      <c r="G9" s="5" t="str">
        <f>IFERROR(__xludf.DUMMYFUNCTION("GOOGLETRANSLATE(B9, ""en"", ""hi"")"),"धोप खेल को पहली बार किस वर्ष अंतर्राष्ट्रीय मान्यता मिली?")</f>
        <v>धोप खेल को पहली बार किस वर्ष अंतर्राष्ट्रीय मान्यता मिली?</v>
      </c>
      <c r="H9" s="5" t="str">
        <f>IFERROR(__xludf.DUMMYFUNCTION("GOOGLETRANSLATE(C9, ""en"", ""hi"")"),"ए) 1995, बी) 2000, सी) 2005, डी) 2010")</f>
        <v>ए) 1995, बी) 2000, सी) 2005, डी) 2010</v>
      </c>
      <c r="I9" s="5" t="str">
        <f>IFERROR(__xludf.DUMMYFUNCTION("GOOGLETRANSLATE(D9, ""en"", ""hi"")"),"बी) 2000")</f>
        <v>बी) 2000</v>
      </c>
    </row>
    <row r="10" ht="22.5" customHeight="1">
      <c r="A10" s="3">
        <v>9.0</v>
      </c>
      <c r="B10" s="4" t="s">
        <v>5830</v>
      </c>
      <c r="C10" s="4" t="s">
        <v>5831</v>
      </c>
      <c r="D10" s="4" t="s">
        <v>5832</v>
      </c>
      <c r="F10" s="5" t="str">
        <f>IFERROR(__xludf.DUMMYFUNCTION("GOOGLETRANSLATE(A10, ""en"", ""hi"")"),"9")</f>
        <v>9</v>
      </c>
      <c r="G10" s="5" t="str">
        <f>IFERROR(__xludf.DUMMYFUNCTION("GOOGLETRANSLATE(B10, ""en"", ""hi"")"),"धोप खेल के खिलाड़ी आमतौर पर अपने प्रतिद्वंद्वियों पर बढ़त हासिल करने के लिए किस तकनीक का उपयोग करते हैं?")</f>
        <v>धोप खेल के खिलाड़ी आमतौर पर अपने प्रतिद्वंद्वियों पर बढ़त हासिल करने के लिए किस तकनीक का उपयोग करते हैं?</v>
      </c>
      <c r="H10" s="5" t="str">
        <f>IFERROR(__xludf.DUMMYFUNCTION("GOOGLETRANSLATE(C10, ""en"", ""hi"")"),"ए) साइडस्टेप, बी) ओवरहेड थ्रो, सी) क्विक टर्न, डी) लो डाइव")</f>
        <v>ए) साइडस्टेप, बी) ओवरहेड थ्रो, सी) क्विक टर्न, डी) लो डाइव</v>
      </c>
      <c r="I10" s="5" t="str">
        <f>IFERROR(__xludf.DUMMYFUNCTION("GOOGLETRANSLATE(D10, ""en"", ""hi"")"),"सी) त्वरित मोड़")</f>
        <v>सी) त्वरित मोड़</v>
      </c>
    </row>
    <row r="11" ht="22.5" customHeight="1">
      <c r="A11" s="3">
        <v>10.0</v>
      </c>
      <c r="B11" s="4" t="s">
        <v>5833</v>
      </c>
      <c r="C11" s="4" t="s">
        <v>5834</v>
      </c>
      <c r="D11" s="4" t="s">
        <v>5835</v>
      </c>
      <c r="F11" s="5" t="str">
        <f>IFERROR(__xludf.DUMMYFUNCTION("GOOGLETRANSLATE(A11, ""en"", ""hi"")"),"10")</f>
        <v>10</v>
      </c>
      <c r="G11" s="5" t="str">
        <f>IFERROR(__xludf.DUMMYFUNCTION("GOOGLETRANSLATE(B11, ""en"", ""hi"")"),"धोप खेल मैच की मानक अवधि क्या है?")</f>
        <v>धोप खेल मैच की मानक अवधि क्या है?</v>
      </c>
      <c r="H11" s="5" t="str">
        <f>IFERROR(__xludf.DUMMYFUNCTION("GOOGLETRANSLATE(C11, ""en"", ""hi"")"),"A) 30 मिनट, B) 45 मिनट, C) 60 मिनट, D) 90 मिनट")</f>
        <v>A) 30 मिनट, B) 45 मिनट, C) 60 मिनट, D) 90 मिनट</v>
      </c>
      <c r="I11" s="5" t="str">
        <f>IFERROR(__xludf.DUMMYFUNCTION("GOOGLETRANSLATE(D11, ""en"", ""hi"")"),"बी) 45 मिनट")</f>
        <v>बी) 45 मिनट</v>
      </c>
    </row>
    <row r="12" ht="22.5" customHeight="1">
      <c r="A12" s="3">
        <v>11.0</v>
      </c>
      <c r="B12" s="4" t="s">
        <v>5836</v>
      </c>
      <c r="C12" s="4" t="s">
        <v>5837</v>
      </c>
      <c r="D12" s="4" t="s">
        <v>3875</v>
      </c>
      <c r="F12" s="5" t="str">
        <f>IFERROR(__xludf.DUMMYFUNCTION("GOOGLETRANSLATE(A12, ""en"", ""hi"")"),"11")</f>
        <v>11</v>
      </c>
      <c r="G12" s="5" t="str">
        <f>IFERROR(__xludf.DUMMYFUNCTION("GOOGLETRANSLATE(B12, ""en"", ""hi"")"),"किस भारतीय राज्य ने 2008 में धोप खेल खेल को अपने स्कूल खेल पाठ्यक्रम के अनिवार्य भाग के रूप में शुरू किया?")</f>
        <v>किस भारतीय राज्य ने 2008 में धोप खेल खेल को अपने स्कूल खेल पाठ्यक्रम के अनिवार्य भाग के रूप में शुरू किया?</v>
      </c>
      <c r="H12" s="5" t="str">
        <f>IFERROR(__xludf.DUMMYFUNCTION("GOOGLETRANSLATE(C12, ""en"", ""hi"")"),"ए) उत्तर प्रदेश, बी) महाराष्ट्र, सी) कर्नाटक, डी) बिहार")</f>
        <v>ए) उत्तर प्रदेश, बी) महाराष्ट्र, सी) कर्नाटक, डी) बिहार</v>
      </c>
      <c r="I12" s="5" t="str">
        <f>IFERROR(__xludf.DUMMYFUNCTION("GOOGLETRANSLATE(D12, ""en"", ""hi"")"),"C) कर्नाटक")</f>
        <v>C) कर्नाटक</v>
      </c>
    </row>
    <row r="13" ht="22.5" customHeight="1">
      <c r="A13" s="3">
        <v>12.0</v>
      </c>
      <c r="B13" s="4" t="s">
        <v>5838</v>
      </c>
      <c r="C13" s="4" t="s">
        <v>5839</v>
      </c>
      <c r="D13" s="4" t="s">
        <v>5840</v>
      </c>
      <c r="F13" s="5" t="str">
        <f>IFERROR(__xludf.DUMMYFUNCTION("GOOGLETRANSLATE(A13, ""en"", ""hi"")"),"12")</f>
        <v>12</v>
      </c>
      <c r="G13" s="5" t="str">
        <f>IFERROR(__xludf.DUMMYFUNCTION("GOOGLETRANSLATE(B13, ""en"", ""hi"")"),"किस प्रसिद्ध धोप खेल खिलाड़ी ने 2010 के दशक में लगातार सबसे अधिक जीत का रिकॉर्ड बनाया?")</f>
        <v>किस प्रसिद्ध धोप खेल खिलाड़ी ने 2010 के दशक में लगातार सबसे अधिक जीत का रिकॉर्ड बनाया?</v>
      </c>
      <c r="H13" s="5" t="str">
        <f>IFERROR(__xludf.DUMMYFUNCTION("GOOGLETRANSLATE(C13, ""en"", ""hi"")"),"A) अजय पटेल, B) अनिल शर्मा, C) विजय सिंह, D) राज कुमार")</f>
        <v>A) अजय पटेल, B) अनिल शर्मा, C) विजय सिंह, D) राज कुमार</v>
      </c>
      <c r="I13" s="5" t="str">
        <f>IFERROR(__xludf.DUMMYFUNCTION("GOOGLETRANSLATE(D13, ""en"", ""hi"")"),"बी) अनिल शर्मा")</f>
        <v>बी) अनिल शर्मा</v>
      </c>
    </row>
    <row r="14" ht="22.5" customHeight="1">
      <c r="A14" s="3">
        <v>13.0</v>
      </c>
      <c r="B14" s="4" t="s">
        <v>5841</v>
      </c>
      <c r="C14" s="4" t="s">
        <v>5842</v>
      </c>
      <c r="D14" s="4" t="s">
        <v>5843</v>
      </c>
      <c r="F14" s="5" t="str">
        <f>IFERROR(__xludf.DUMMYFUNCTION("GOOGLETRANSLATE(A14, ""en"", ""hi"")"),"13")</f>
        <v>13</v>
      </c>
      <c r="G14" s="5" t="str">
        <f>IFERROR(__xludf.DUMMYFUNCTION("GOOGLETRANSLATE(B14, ""en"", ""hi"")"),"वर्ष 2015 में पहली बार धोप खेल के लिए कौन सा अंतर्राष्ट्रीय टूर्नामेंट आयोजित किया गया था?")</f>
        <v>वर्ष 2015 में पहली बार धोप खेल के लिए कौन सा अंतर्राष्ट्रीय टूर्नामेंट आयोजित किया गया था?</v>
      </c>
      <c r="H14" s="5" t="str">
        <f>IFERROR(__xludf.DUMMYFUNCTION("GOOGLETRANSLATE(C14, ""en"", ""hi"")"),"ए) वर्ल्ड धोप खेल कप, बी) इंटरनेशनल धोप खेल चैंपियनशिप, सी) धोप खेल वर्ल्ड सीरीज, डी) ग्लोबल धोप खेल टूर्नामेंट")</f>
        <v>ए) वर्ल्ड धोप खेल कप, बी) इंटरनेशनल धोप खेल चैंपियनशिप, सी) धोप खेल वर्ल्ड सीरीज, डी) ग्लोबल धोप खेल टूर्नामेंट</v>
      </c>
      <c r="I14" s="5" t="str">
        <f>IFERROR(__xludf.DUMMYFUNCTION("GOOGLETRANSLATE(D14, ""en"", ""hi"")"),"बी) अंतर्राष्ट्रीय ढोप खेल चैम्पियनशिप")</f>
        <v>बी) अंतर्राष्ट्रीय ढोप खेल चैम्पियनशिप</v>
      </c>
    </row>
    <row r="15" ht="22.5" customHeight="1">
      <c r="A15" s="3">
        <v>14.0</v>
      </c>
      <c r="B15" s="4" t="s">
        <v>5844</v>
      </c>
      <c r="C15" s="4" t="s">
        <v>5845</v>
      </c>
      <c r="D15" s="4" t="s">
        <v>37</v>
      </c>
      <c r="F15" s="5" t="str">
        <f>IFERROR(__xludf.DUMMYFUNCTION("GOOGLETRANSLATE(A15, ""en"", ""hi"")"),"14")</f>
        <v>14</v>
      </c>
      <c r="G15" s="5" t="str">
        <f>IFERROR(__xludf.DUMMYFUNCTION("GOOGLETRANSLATE(B15, ""en"", ""hi"")"),"2015 में पहली अंतर्राष्ट्रीय धोप खेल चैंपियनशिप का विजेता कौन था?")</f>
        <v>2015 में पहली अंतर्राष्ट्रीय धोप खेल चैंपियनशिप का विजेता कौन था?</v>
      </c>
      <c r="H15" s="5" t="str">
        <f>IFERROR(__xludf.DUMMYFUNCTION("GOOGLETRANSLATE(C15, ""en"", ""hi"")"),"ए) भारत, बी) पाकिस्तान, सी) नेपाल, डी) श्रीलंका")</f>
        <v>ए) भारत, बी) पाकिस्तान, सी) नेपाल, डी) श्रीलंका</v>
      </c>
      <c r="I15" s="5" t="str">
        <f>IFERROR(__xludf.DUMMYFUNCTION("GOOGLETRANSLATE(D15, ""en"", ""hi"")"),"ए) भारत")</f>
        <v>ए) भारत</v>
      </c>
    </row>
    <row r="16" ht="22.5" customHeight="1">
      <c r="A16" s="3">
        <v>15.0</v>
      </c>
      <c r="B16" s="4" t="s">
        <v>5846</v>
      </c>
      <c r="C16" s="4" t="s">
        <v>5847</v>
      </c>
      <c r="D16" s="4" t="s">
        <v>5848</v>
      </c>
      <c r="F16" s="5" t="str">
        <f>IFERROR(__xludf.DUMMYFUNCTION("GOOGLETRANSLATE(A16, ""en"", ""hi"")"),"15")</f>
        <v>15</v>
      </c>
      <c r="G16" s="5" t="str">
        <f>IFERROR(__xludf.DUMMYFUNCTION("GOOGLETRANSLATE(B16, ""en"", ""hi"")"),"धोप खेल का प्राथमिक उद्देश्य क्या है?")</f>
        <v>धोप खेल का प्राथमिक उद्देश्य क्या है?</v>
      </c>
      <c r="H16" s="5" t="str">
        <f>IFERROR(__xludf.DUMMYFUNCTION("GOOGLETRANSLATE(C16, ""en"", ""hi"")"),"A) अधिकतम अंक प्राप्त करने के लिए, B) ध्वज पर कब्जा करने के लिए, C) टैग होने से बचने के लिए, D) एक सर्किट पूरा करने के लिए")</f>
        <v>A) अधिकतम अंक प्राप्त करने के लिए, B) ध्वज पर कब्जा करने के लिए, C) टैग होने से बचने के लिए, D) एक सर्किट पूरा करने के लिए</v>
      </c>
      <c r="I16" s="5" t="str">
        <f>IFERROR(__xludf.DUMMYFUNCTION("GOOGLETRANSLATE(D16, ""en"", ""hi"")"),"C) टैग होने से बचने के लिए")</f>
        <v>C) टैग होने से बचने के लिए</v>
      </c>
    </row>
    <row r="17" ht="22.5" customHeight="1">
      <c r="A17" s="3">
        <v>16.0</v>
      </c>
      <c r="B17" s="4" t="s">
        <v>5849</v>
      </c>
      <c r="C17" s="4" t="s">
        <v>5850</v>
      </c>
      <c r="D17" s="4" t="s">
        <v>5851</v>
      </c>
      <c r="F17" s="5" t="str">
        <f>IFERROR(__xludf.DUMMYFUNCTION("GOOGLETRANSLATE(A17, ""en"", ""hi"")"),"16")</f>
        <v>16</v>
      </c>
      <c r="G17" s="5" t="str">
        <f>IFERROR(__xludf.DUMMYFUNCTION("GOOGLETRANSLATE(B17, ""en"", ""hi"")"),"किस प्रसिद्ध भारतीय धोप खेल खिलाड़ी को 2018 में खेल में उनके योगदान के लिए पद्म श्री से सम्मानित किया गया?")</f>
        <v>किस प्रसिद्ध भारतीय धोप खेल खिलाड़ी को 2018 में खेल में उनके योगदान के लिए पद्म श्री से सम्मानित किया गया?</v>
      </c>
      <c r="H17" s="5" t="str">
        <f>IFERROR(__xludf.DUMMYFUNCTION("GOOGLETRANSLATE(C17, ""en"", ""hi"")"),"ए) सुनील जोशी, बी) विजय कुमार, सी) राजेश यादव, डी) संजय पटेल")</f>
        <v>ए) सुनील जोशी, बी) विजय कुमार, सी) राजेश यादव, डी) संजय पटेल</v>
      </c>
      <c r="I17" s="5" t="str">
        <f>IFERROR(__xludf.DUMMYFUNCTION("GOOGLETRANSLATE(D17, ""en"", ""hi"")"),"D) संजय पटेल")</f>
        <v>D) संजय पटेल</v>
      </c>
    </row>
    <row r="18" ht="22.5" customHeight="1">
      <c r="A18" s="3">
        <v>17.0</v>
      </c>
      <c r="B18" s="4" t="s">
        <v>5852</v>
      </c>
      <c r="C18" s="4" t="s">
        <v>5853</v>
      </c>
      <c r="D18" s="4" t="s">
        <v>5854</v>
      </c>
      <c r="F18" s="5" t="str">
        <f>IFERROR(__xludf.DUMMYFUNCTION("GOOGLETRANSLATE(A18, ""en"", ""hi"")"),"17")</f>
        <v>17</v>
      </c>
      <c r="G18" s="5" t="str">
        <f>IFERROR(__xludf.DUMMYFUNCTION("GOOGLETRANSLATE(B18, ""en"", ""hi"")"),"2020 राष्ट्रीय धोप खेल चैंपियनशिप किस शहर में आयोजित की गई?")</f>
        <v>2020 राष्ट्रीय धोप खेल चैंपियनशिप किस शहर में आयोजित की गई?</v>
      </c>
      <c r="H18" s="5" t="str">
        <f>IFERROR(__xludf.DUMMYFUNCTION("GOOGLETRANSLATE(C18, ""en"", ""hi"")"),"A) जयपुर, B) दिल्ली, C) मुंबई, D) हैदराबाद")</f>
        <v>A) जयपुर, B) दिल्ली, C) मुंबई, D) हैदराबाद</v>
      </c>
      <c r="I18" s="5" t="str">
        <f>IFERROR(__xludf.DUMMYFUNCTION("GOOGLETRANSLATE(D18, ""en"", ""hi"")"),"A) जयपुर")</f>
        <v>A) जयपुर</v>
      </c>
    </row>
    <row r="19" ht="22.5" customHeight="1">
      <c r="A19" s="3">
        <v>18.0</v>
      </c>
      <c r="B19" s="4" t="s">
        <v>5855</v>
      </c>
      <c r="C19" s="4" t="s">
        <v>5856</v>
      </c>
      <c r="D19" s="4" t="s">
        <v>5857</v>
      </c>
      <c r="F19" s="5" t="str">
        <f>IFERROR(__xludf.DUMMYFUNCTION("GOOGLETRANSLATE(A19, ""en"", ""hi"")"),"18")</f>
        <v>18</v>
      </c>
      <c r="G19" s="5" t="str">
        <f>IFERROR(__xludf.DUMMYFUNCTION("GOOGLETRANSLATE(B19, ""en"", ""hi"")"),"धोप खेल खेलने के लिए पारंपरिक रूप से किस प्रकार के मैदान का उपयोग किया जाता है?")</f>
        <v>धोप खेल खेलने के लिए पारंपरिक रूप से किस प्रकार के मैदान का उपयोग किया जाता है?</v>
      </c>
      <c r="H19" s="5" t="str">
        <f>IFERROR(__xludf.DUMMYFUNCTION("GOOGLETRANSLATE(C19, ""en"", ""hi"")"),"A) घास का मैदान, B) मिट्टी का मैदान, C) रेत का मैदान, D) सिंथेटिक मैदान")</f>
        <v>A) घास का मैदान, B) मिट्टी का मैदान, C) रेत का मैदान, D) सिंथेटिक मैदान</v>
      </c>
      <c r="I19" s="5" t="str">
        <f>IFERROR(__xludf.DUMMYFUNCTION("GOOGLETRANSLATE(D19, ""en"", ""hi"")"),"बी) मिट्टी का मैदान")</f>
        <v>बी) मिट्टी का मैदान</v>
      </c>
    </row>
    <row r="20" ht="22.5" customHeight="1">
      <c r="A20" s="3">
        <v>19.0</v>
      </c>
      <c r="B20" s="4" t="s">
        <v>5858</v>
      </c>
      <c r="C20" s="4" t="s">
        <v>5859</v>
      </c>
      <c r="D20" s="4" t="s">
        <v>5860</v>
      </c>
      <c r="F20" s="5" t="str">
        <f>IFERROR(__xludf.DUMMYFUNCTION("GOOGLETRANSLATE(A20, ""en"", ""hi"")"),"19")</f>
        <v>19</v>
      </c>
      <c r="G20" s="5" t="str">
        <f>IFERROR(__xludf.DUMMYFUNCTION("GOOGLETRANSLATE(B20, ""en"", ""hi"")"),"कौन सा धोप खेल खिलाड़ी अपनी नवीन रणनीतियों के लिए जाना जाता है और उसने इस खेल पर एक पुस्तक भी लिखी है?")</f>
        <v>कौन सा धोप खेल खिलाड़ी अपनी नवीन रणनीतियों के लिए जाना जाता है और उसने इस खेल पर एक पुस्तक भी लिखी है?</v>
      </c>
      <c r="H20" s="5" t="str">
        <f>IFERROR(__xludf.DUMMYFUNCTION("GOOGLETRANSLATE(C20, ""en"", ""hi"")"),"A) अजीत सिंह, B) रवि कुमार, C) दीपक मेहता, D) विक्रम शर्मा")</f>
        <v>A) अजीत सिंह, B) रवि कुमार, C) दीपक मेहता, D) विक्रम शर्मा</v>
      </c>
      <c r="I20" s="5" t="str">
        <f>IFERROR(__xludf.DUMMYFUNCTION("GOOGLETRANSLATE(D20, ""en"", ""hi"")"),"C) दीपक मेहता")</f>
        <v>C) दीपक मेहता</v>
      </c>
    </row>
    <row r="21" ht="22.5" customHeight="1">
      <c r="A21" s="3">
        <v>20.0</v>
      </c>
      <c r="B21" s="4" t="s">
        <v>5861</v>
      </c>
      <c r="C21" s="4" t="s">
        <v>5862</v>
      </c>
      <c r="D21" s="4" t="s">
        <v>4081</v>
      </c>
      <c r="F21" s="5" t="str">
        <f>IFERROR(__xludf.DUMMYFUNCTION("GOOGLETRANSLATE(A21, ""en"", ""hi"")"),"20")</f>
        <v>20</v>
      </c>
      <c r="G21" s="5" t="str">
        <f>IFERROR(__xludf.DUMMYFUNCTION("GOOGLETRANSLATE(B21, ""en"", ""hi"")"),"कौन सा भारतीय राज्य सबसे अधिक संख्या में धोप खेल कोच और प्रशिक्षकों को तैयार करने के लिए जाना जाता है?")</f>
        <v>कौन सा भारतीय राज्य सबसे अधिक संख्या में धोप खेल कोच और प्रशिक्षकों को तैयार करने के लिए जाना जाता है?</v>
      </c>
      <c r="H21" s="5" t="str">
        <f>IFERROR(__xludf.DUMMYFUNCTION("GOOGLETRANSLATE(C21, ""en"", ""hi"")"),"A) पंजाब, B) गुजरात, C) राजस्थान, D) हरियाणा")</f>
        <v>A) पंजाब, B) गुजरात, C) राजस्थान, D) हरियाणा</v>
      </c>
      <c r="I21" s="5" t="str">
        <f>IFERROR(__xludf.DUMMYFUNCTION("GOOGLETRANSLATE(D21, ""en"", ""hi"")"),"C) राजस्थान")</f>
        <v>C) राजस्थान</v>
      </c>
    </row>
    <row r="22" ht="22.5" customHeight="1">
      <c r="A22" s="3">
        <v>21.0</v>
      </c>
      <c r="B22" s="4" t="s">
        <v>5863</v>
      </c>
      <c r="C22" s="4" t="s">
        <v>5864</v>
      </c>
      <c r="D22" s="4" t="s">
        <v>5865</v>
      </c>
      <c r="F22" s="5" t="str">
        <f>IFERROR(__xludf.DUMMYFUNCTION("GOOGLETRANSLATE(A22, ""en"", ""hi"")"),"21")</f>
        <v>21</v>
      </c>
      <c r="G22" s="5" t="str">
        <f>IFERROR(__xludf.DUMMYFUNCTION("GOOGLETRANSLATE(B22, ""en"", ""hi"")"),"धोप खेल में, उस चाल के लिए क्या शब्द प्रयोग किया जाता है जो सफलतापूर्वक टैग होने से बच जाती है?")</f>
        <v>धोप खेल में, उस चाल के लिए क्या शब्द प्रयोग किया जाता है जो सफलतापूर्वक टैग होने से बच जाती है?</v>
      </c>
      <c r="H22" s="5" t="str">
        <f>IFERROR(__xludf.DUMMYFUNCTION("GOOGLETRANSLATE(C22, ""en"", ""hi"")"),"A) चकमा, B) घूमना, C) बचना, D) फिसलना")</f>
        <v>A) चकमा, B) घूमना, C) बचना, D) फिसलना</v>
      </c>
      <c r="I22" s="5" t="str">
        <f>IFERROR(__xludf.DUMMYFUNCTION("GOOGLETRANSLATE(D22, ""en"", ""hi"")"),"ए) चकमा")</f>
        <v>ए) चकमा</v>
      </c>
    </row>
    <row r="23" ht="22.5" customHeight="1">
      <c r="A23" s="3">
        <v>22.0</v>
      </c>
      <c r="B23" s="4" t="s">
        <v>5866</v>
      </c>
      <c r="C23" s="4" t="s">
        <v>5867</v>
      </c>
      <c r="D23" s="4" t="s">
        <v>5868</v>
      </c>
      <c r="F23" s="5" t="str">
        <f>IFERROR(__xludf.DUMMYFUNCTION("GOOGLETRANSLATE(A23, ""en"", ""hi"")"),"22")</f>
        <v>22</v>
      </c>
      <c r="G23" s="5" t="str">
        <f>IFERROR(__xludf.DUMMYFUNCTION("GOOGLETRANSLATE(B23, ""en"", ""hi"")"),"उदयपुर शहर में प्रतिवर्ष कौन सा प्रसिद्ध धोप खेल टूर्नामेंट आयोजित किया जाता है?")</f>
        <v>उदयपुर शहर में प्रतिवर्ष कौन सा प्रसिद्ध धोप खेल टूर्नामेंट आयोजित किया जाता है?</v>
      </c>
      <c r="H23" s="5" t="str">
        <f>IFERROR(__xludf.DUMMYFUNCTION("GOOGLETRANSLATE(C23, ""en"", ""hi"")"),"ए) उदयपुर कप, बी) राजस्थान चैम्पियनशिप, सी) लेक सिटी टूर्नामेंट, डी) धोप खेल महोत्सव")</f>
        <v>ए) उदयपुर कप, बी) राजस्थान चैम्पियनशिप, सी) लेक सिटी टूर्नामेंट, डी) धोप खेल महोत्सव</v>
      </c>
      <c r="I23" s="5" t="str">
        <f>IFERROR(__xludf.DUMMYFUNCTION("GOOGLETRANSLATE(D23, ""en"", ""hi"")"),"C) लेक सिटी टूर्नामेंट")</f>
        <v>C) लेक सिटी टूर्नामेंट</v>
      </c>
    </row>
    <row r="24" ht="22.5" customHeight="1">
      <c r="A24" s="3">
        <v>23.0</v>
      </c>
      <c r="B24" s="4" t="s">
        <v>5869</v>
      </c>
      <c r="C24" s="4" t="s">
        <v>5870</v>
      </c>
      <c r="D24" s="4" t="s">
        <v>5871</v>
      </c>
      <c r="F24" s="5" t="str">
        <f>IFERROR(__xludf.DUMMYFUNCTION("GOOGLETRANSLATE(A24, ""en"", ""hi"")"),"23")</f>
        <v>23</v>
      </c>
      <c r="G24" s="5" t="str">
        <f>IFERROR(__xludf.DUMMYFUNCTION("GOOGLETRANSLATE(B24, ""en"", ""hi"")"),"भारत में किस ऐतिहासिक घटना ने 20वीं सदी के आरंभ में धोप खेल की लोकप्रियता बढ़ाने में योगदान दिया?")</f>
        <v>भारत में किस ऐतिहासिक घटना ने 20वीं सदी के आरंभ में धोप खेल की लोकप्रियता बढ़ाने में योगदान दिया?</v>
      </c>
      <c r="H24" s="5" t="str">
        <f>IFERROR(__xludf.DUMMYFUNCTION("GOOGLETRANSLATE(C24, ""en"", ""hi"")"),"A) भारतीय स्वतंत्रता आंदोलन, B) ब्रिटिश औपनिवेशिक युग, C) भारतीय राज्यों का गठन, D) स्वतंत्रता के बाद के सुधार")</f>
        <v>A) भारतीय स्वतंत्रता आंदोलन, B) ब्रिटिश औपनिवेशिक युग, C) भारतीय राज्यों का गठन, D) स्वतंत्रता के बाद के सुधार</v>
      </c>
      <c r="I24" s="5" t="str">
        <f>IFERROR(__xludf.DUMMYFUNCTION("GOOGLETRANSLATE(D24, ""en"", ""hi"")"),"A) भारतीय स्वतंत्रता आंदोलन")</f>
        <v>A) भारतीय स्वतंत्रता आंदोलन</v>
      </c>
    </row>
    <row r="25" ht="22.5" customHeight="1">
      <c r="A25" s="3">
        <v>24.0</v>
      </c>
      <c r="B25" s="4" t="s">
        <v>5872</v>
      </c>
      <c r="C25" s="4" t="s">
        <v>5873</v>
      </c>
      <c r="D25" s="4" t="s">
        <v>5874</v>
      </c>
      <c r="F25" s="5" t="str">
        <f>IFERROR(__xludf.DUMMYFUNCTION("GOOGLETRANSLATE(A25, ""en"", ""hi"")"),"24")</f>
        <v>24</v>
      </c>
      <c r="G25" s="5" t="str">
        <f>IFERROR(__xludf.DUMMYFUNCTION("GOOGLETRANSLATE(B25, ""en"", ""hi"")"),"2018 एशियाई खेलों के दौरान कौन सा प्रसिद्ध धोप खेल खिलाड़ी भारतीय टीम का कप्तान था?")</f>
        <v>2018 एशियाई खेलों के दौरान कौन सा प्रसिद्ध धोप खेल खिलाड़ी भारतीय टीम का कप्तान था?</v>
      </c>
      <c r="H25" s="5" t="str">
        <f>IFERROR(__xludf.DUMMYFUNCTION("GOOGLETRANSLATE(C25, ""en"", ""hi"")"),"A) मनोज सिंह, B) राजीव पटेल, C) अर्जुन शर्मा, D) राहुल मेहता")</f>
        <v>A) मनोज सिंह, B) राजीव पटेल, C) अर्जुन शर्मा, D) राहुल मेहता</v>
      </c>
      <c r="I25" s="5" t="str">
        <f>IFERROR(__xludf.DUMMYFUNCTION("GOOGLETRANSLATE(D25, ""en"", ""hi"")"),"बी) राजीव पटेल")</f>
        <v>बी) राजीव पटेल</v>
      </c>
    </row>
    <row r="26" ht="22.5" customHeight="1">
      <c r="A26" s="3">
        <v>25.0</v>
      </c>
      <c r="B26" s="4" t="s">
        <v>5875</v>
      </c>
      <c r="C26" s="4" t="s">
        <v>5876</v>
      </c>
      <c r="D26" s="4" t="s">
        <v>5877</v>
      </c>
      <c r="F26" s="5" t="str">
        <f>IFERROR(__xludf.DUMMYFUNCTION("GOOGLETRANSLATE(A26, ""en"", ""hi"")"),"25")</f>
        <v>25</v>
      </c>
      <c r="G26" s="5" t="str">
        <f>IFERROR(__xludf.DUMMYFUNCTION("GOOGLETRANSLATE(B26, ""en"", ""hi"")"),"2004 में धोप खेल में कौन सा महत्वपूर्ण नियम परिवर्तन किया गया?")</f>
        <v>2004 में धोप खेल में कौन सा महत्वपूर्ण नियम परिवर्तन किया गया?</v>
      </c>
      <c r="H26" s="5" t="str">
        <f>IFERROR(__xludf.DUMMYFUNCTION("GOOGLETRANSLATE(C26, ""en"", ""hi"")"),"ए) टीम के आकार में वृद्धि, बी) प्रत्येक खेल के लिए समय सीमा का जोड़, सी) स्कोरिंग प्रणाली में परिवर्तन, डी) नए उपकरणों का परिचय")</f>
        <v>ए) टीम के आकार में वृद्धि, बी) प्रत्येक खेल के लिए समय सीमा का जोड़, सी) स्कोरिंग प्रणाली में परिवर्तन, डी) नए उपकरणों का परिचय</v>
      </c>
      <c r="I26" s="5" t="str">
        <f>IFERROR(__xludf.DUMMYFUNCTION("GOOGLETRANSLATE(D26, ""en"", ""hi"")"),"C) स्कोरिंग प्रणाली में परिवर्तन")</f>
        <v>C) स्कोरिंग प्रणाली में परिवर्तन</v>
      </c>
    </row>
    <row r="27" ht="22.5" customHeight="1">
      <c r="A27" s="3">
        <v>26.0</v>
      </c>
      <c r="B27" s="4" t="s">
        <v>5878</v>
      </c>
      <c r="C27" s="4" t="s">
        <v>5879</v>
      </c>
      <c r="D27" s="4" t="s">
        <v>5880</v>
      </c>
      <c r="F27" s="5" t="str">
        <f>IFERROR(__xludf.DUMMYFUNCTION("GOOGLETRANSLATE(A27, ""en"", ""hi"")"),"26")</f>
        <v>26</v>
      </c>
      <c r="G27" s="5" t="str">
        <f>IFERROR(__xludf.DUMMYFUNCTION("GOOGLETRANSLATE(B27, ""en"", ""hi"")"),"आधुनिक धोप खेल का जनक किसे माना जाता है?")</f>
        <v>आधुनिक धोप खेल का जनक किसे माना जाता है?</v>
      </c>
      <c r="H27" s="5" t="str">
        <f>IFERROR(__xludf.DUMMYFUNCTION("GOOGLETRANSLATE(C27, ""en"", ""hi"")"),"ए) महेंद्र सिंह, बी) सूरज कुमार, सी) हरीश चंद्र, डी) विजय कुमार")</f>
        <v>ए) महेंद्र सिंह, बी) सूरज कुमार, सी) हरीश चंद्र, डी) विजय कुमार</v>
      </c>
      <c r="I27" s="5" t="str">
        <f>IFERROR(__xludf.DUMMYFUNCTION("GOOGLETRANSLATE(D27, ""en"", ""hi"")"),"D) विजय कुमार")</f>
        <v>D) विजय कुमार</v>
      </c>
    </row>
    <row r="28" ht="22.5" customHeight="1">
      <c r="A28" s="3">
        <v>27.0</v>
      </c>
      <c r="B28" s="4" t="s">
        <v>5881</v>
      </c>
      <c r="C28" s="4" t="s">
        <v>5882</v>
      </c>
      <c r="D28" s="4" t="s">
        <v>5883</v>
      </c>
      <c r="F28" s="5" t="str">
        <f>IFERROR(__xludf.DUMMYFUNCTION("GOOGLETRANSLATE(A28, ""en"", ""hi"")"),"27")</f>
        <v>27</v>
      </c>
      <c r="G28" s="5" t="str">
        <f>IFERROR(__xludf.DUMMYFUNCTION("GOOGLETRANSLATE(B28, ""en"", ""hi"")"),"धोप खेल पहली बार किस दशक में भारतीय खेल प्राधिकरण की आधिकारिक निर्देशिका में शामिल हुआ?")</f>
        <v>धोप खेल पहली बार किस दशक में भारतीय खेल प्राधिकरण की आधिकारिक निर्देशिका में शामिल हुआ?</v>
      </c>
      <c r="H28" s="5" t="str">
        <f>IFERROR(__xludf.DUMMYFUNCTION("GOOGLETRANSLATE(C28, ""en"", ""hi"")"),"ए) 1950 का दशक, बी) 1960 का दशक, सी) 1970 का दशक, डी) 1980 का दशक")</f>
        <v>ए) 1950 का दशक, बी) 1960 का दशक, सी) 1970 का दशक, डी) 1980 का दशक</v>
      </c>
      <c r="I28" s="5" t="str">
        <f>IFERROR(__xludf.DUMMYFUNCTION("GOOGLETRANSLATE(D28, ""en"", ""hi"")"),"सी) 1970 के दशक")</f>
        <v>सी) 1970 के दशक</v>
      </c>
    </row>
    <row r="29" ht="22.5" customHeight="1">
      <c r="A29" s="3">
        <v>28.0</v>
      </c>
      <c r="B29" s="4" t="s">
        <v>5884</v>
      </c>
      <c r="C29" s="4" t="s">
        <v>5885</v>
      </c>
      <c r="D29" s="4" t="s">
        <v>5886</v>
      </c>
      <c r="F29" s="5" t="str">
        <f>IFERROR(__xludf.DUMMYFUNCTION("GOOGLETRANSLATE(A29, ""en"", ""hi"")"),"28")</f>
        <v>28</v>
      </c>
      <c r="G29" s="5" t="str">
        <f>IFERROR(__xludf.DUMMYFUNCTION("GOOGLETRANSLATE(B29, ""en"", ""hi"")"),"धोप खेल की किस चाल में प्रतिद्वंद्वी को भ्रमित करने के लिए अचानक दिशा बदलनी पड़ती है?")</f>
        <v>धोप खेल की किस चाल में प्रतिद्वंद्वी को भ्रमित करने के लिए अचानक दिशा बदलनी पड़ती है?</v>
      </c>
      <c r="H29" s="5" t="str">
        <f>IFERROR(__xludf.DUMMYFUNCTION("GOOGLETRANSLATE(C29, ""en"", ""hi"")"),"ए) क्विक शिफ्ट, बी) साइड स्टेप, सी) पिवट टर्न, डी) फेक")</f>
        <v>ए) क्विक शिफ्ट, बी) साइड स्टेप, सी) पिवट टर्न, डी) फेक</v>
      </c>
      <c r="I29" s="5" t="str">
        <f>IFERROR(__xludf.DUMMYFUNCTION("GOOGLETRANSLATE(D29, ""en"", ""hi"")"),"सी) पिवट टर्न")</f>
        <v>सी) पिवट टर्न</v>
      </c>
    </row>
    <row r="30" ht="22.5" customHeight="1">
      <c r="A30" s="3">
        <v>29.0</v>
      </c>
      <c r="B30" s="4" t="s">
        <v>5887</v>
      </c>
      <c r="C30" s="4" t="s">
        <v>5888</v>
      </c>
      <c r="D30" s="4" t="s">
        <v>5889</v>
      </c>
      <c r="F30" s="5" t="str">
        <f>IFERROR(__xludf.DUMMYFUNCTION("GOOGLETRANSLATE(A30, ""en"", ""hi"")"),"29")</f>
        <v>29</v>
      </c>
      <c r="G30" s="5" t="str">
        <f>IFERROR(__xludf.DUMMYFUNCTION("GOOGLETRANSLATE(B30, ""en"", ""hi"")"),"2019 धोप खेल विश्व सीरीज का एमवीपी कौन था?")</f>
        <v>2019 धोप खेल विश्व सीरीज का एमवीपी कौन था?</v>
      </c>
      <c r="H30" s="5" t="str">
        <f>IFERROR(__xludf.DUMMYFUNCTION("GOOGLETRANSLATE(C30, ""en"", ""hi"")"),"A) देव राज, B) नितिन कुमार, C) मनीष शर्मा, D) राजीव सिंह")</f>
        <v>A) देव राज, B) नितिन कुमार, C) मनीष शर्मा, D) राजीव सिंह</v>
      </c>
      <c r="I30" s="5" t="str">
        <f>IFERROR(__xludf.DUMMYFUNCTION("GOOGLETRANSLATE(D30, ""en"", ""hi"")"),"A) देव राज")</f>
        <v>A) देव राज</v>
      </c>
    </row>
    <row r="31" ht="22.5" customHeight="1">
      <c r="A31" s="3">
        <v>30.0</v>
      </c>
      <c r="B31" s="4" t="s">
        <v>5890</v>
      </c>
      <c r="C31" s="4" t="s">
        <v>5891</v>
      </c>
      <c r="D31" s="4" t="s">
        <v>5892</v>
      </c>
      <c r="F31" s="5" t="str">
        <f>IFERROR(__xludf.DUMMYFUNCTION("GOOGLETRANSLATE(A31, ""en"", ""hi"")"),"30")</f>
        <v>30</v>
      </c>
      <c r="G31" s="5" t="str">
        <f>IFERROR(__xludf.DUMMYFUNCTION("GOOGLETRANSLATE(B31, ""en"", ""hi"")"),"कौन सा धोप खेल कोच खेल में प्रशिक्षण तकनीकों में क्रांति लाने के लिए जाना जाता है?")</f>
        <v>कौन सा धोप खेल कोच खेल में प्रशिक्षण तकनीकों में क्रांति लाने के लिए जाना जाता है?</v>
      </c>
      <c r="H31" s="5" t="str">
        <f>IFERROR(__xludf.DUMMYFUNCTION("GOOGLETRANSLATE(C31, ""en"", ""hi"")"),"A) सुनील राठी, B) अनिल शर्मा, C) दीपक जोशी, D) रवि पटेल")</f>
        <v>A) सुनील राठी, B) अनिल शर्मा, C) दीपक जोशी, D) रवि पटेल</v>
      </c>
      <c r="I31" s="5" t="str">
        <f>IFERROR(__xludf.DUMMYFUNCTION("GOOGLETRANSLATE(D31, ""en"", ""hi"")"),"C) दीपक जोशी")</f>
        <v>C) दीपक जोशी</v>
      </c>
    </row>
    <row r="32" ht="22.5" customHeight="1">
      <c r="A32" s="3">
        <v>31.0</v>
      </c>
      <c r="B32" s="4" t="s">
        <v>5893</v>
      </c>
      <c r="C32" s="4" t="s">
        <v>4933</v>
      </c>
      <c r="D32" s="4" t="s">
        <v>4934</v>
      </c>
      <c r="F32" s="5" t="str">
        <f>IFERROR(__xludf.DUMMYFUNCTION("GOOGLETRANSLATE(A32, ""en"", ""hi"")"),"31")</f>
        <v>31</v>
      </c>
      <c r="G32" s="5" t="str">
        <f>IFERROR(__xludf.DUMMYFUNCTION("GOOGLETRANSLATE(B32, ""en"", ""hi"")"),"अंतर्राष्ट्रीय धोप खेल महासंघ ने किस वर्ष खेल के आधिकारिक नियम स्थापित किए?")</f>
        <v>अंतर्राष्ट्रीय धोप खेल महासंघ ने किस वर्ष खेल के आधिकारिक नियम स्थापित किए?</v>
      </c>
      <c r="H32" s="5" t="str">
        <f>IFERROR(__xludf.DUMMYFUNCTION("GOOGLETRANSLATE(C32, ""en"", ""hi"")"),"ए) 1990, बी) 1995, सी) 2000, डी) 2005")</f>
        <v>ए) 1990, बी) 1995, सी) 2000, डी) 2005</v>
      </c>
      <c r="I32" s="5" t="str">
        <f>IFERROR(__xludf.DUMMYFUNCTION("GOOGLETRANSLATE(D32, ""en"", ""hi"")"),"बी) 1995")</f>
        <v>बी) 1995</v>
      </c>
    </row>
    <row r="33" ht="22.5" customHeight="1">
      <c r="A33" s="3">
        <v>32.0</v>
      </c>
      <c r="B33" s="4" t="s">
        <v>5894</v>
      </c>
      <c r="C33" s="4" t="s">
        <v>5895</v>
      </c>
      <c r="D33" s="4" t="s">
        <v>5896</v>
      </c>
      <c r="F33" s="5" t="str">
        <f>IFERROR(__xludf.DUMMYFUNCTION("GOOGLETRANSLATE(A33, ""en"", ""hi"")"),"32")</f>
        <v>32</v>
      </c>
      <c r="G33" s="5" t="str">
        <f>IFERROR(__xludf.DUMMYFUNCTION("GOOGLETRANSLATE(B33, ""en"", ""hi"")"),"किस भारतीय शहर ने 2019 में पहले एशियाई धोप खेल खेलों की मेजबानी की?")</f>
        <v>किस भारतीय शहर ने 2019 में पहले एशियाई धोप खेल खेलों की मेजबानी की?</v>
      </c>
      <c r="H33" s="5" t="str">
        <f>IFERROR(__xludf.DUMMYFUNCTION("GOOGLETRANSLATE(C33, ""en"", ""hi"")"),"A) बैंगलोर, B) चेन्नई, C) जयपुर, D) मुंबई")</f>
        <v>A) बैंगलोर, B) चेन्नई, C) जयपुर, D) मुंबई</v>
      </c>
      <c r="I33" s="5" t="str">
        <f>IFERROR(__xludf.DUMMYFUNCTION("GOOGLETRANSLATE(D33, ""en"", ""hi"")"),"C) जयपुर")</f>
        <v>C) जयपुर</v>
      </c>
    </row>
    <row r="34" ht="22.5" customHeight="1">
      <c r="A34" s="3">
        <v>33.0</v>
      </c>
      <c r="B34" s="4" t="s">
        <v>5897</v>
      </c>
      <c r="C34" s="4" t="s">
        <v>5898</v>
      </c>
      <c r="D34" s="4" t="s">
        <v>5899</v>
      </c>
      <c r="F34" s="5" t="str">
        <f>IFERROR(__xludf.DUMMYFUNCTION("GOOGLETRANSLATE(A34, ""en"", ""hi"")"),"33")</f>
        <v>33</v>
      </c>
      <c r="G34" s="5" t="str">
        <f>IFERROR(__xludf.DUMMYFUNCTION("GOOGLETRANSLATE(B34, ""en"", ""hi"")"),"कौन सा धोप खेल खिलाड़ी अपने विशिष्ट चाल 'हाई जंप डॉज' के लिए जाना जाता है?")</f>
        <v>कौन सा धोप खेल खिलाड़ी अपने विशिष्ट चाल 'हाई जंप डॉज' के लिए जाना जाता है?</v>
      </c>
      <c r="H34" s="5" t="str">
        <f>IFERROR(__xludf.DUMMYFUNCTION("GOOGLETRANSLATE(C34, ""en"", ""hi"")"),"A) अरुण शर्मा, B) प्रदीप यादव, C) राजेश कुमार, D) मोहित सिंह")</f>
        <v>A) अरुण शर्मा, B) प्रदीप यादव, C) राजेश कुमार, D) मोहित सिंह</v>
      </c>
      <c r="I34" s="5" t="str">
        <f>IFERROR(__xludf.DUMMYFUNCTION("GOOGLETRANSLATE(D34, ""en"", ""hi"")"),"बी) प्रदीप यादव")</f>
        <v>बी) प्रदीप यादव</v>
      </c>
    </row>
    <row r="35" ht="22.5" customHeight="1">
      <c r="A35" s="3">
        <v>34.0</v>
      </c>
      <c r="B35" s="4" t="s">
        <v>5900</v>
      </c>
      <c r="C35" s="4" t="s">
        <v>5901</v>
      </c>
      <c r="D35" s="4" t="s">
        <v>4081</v>
      </c>
      <c r="F35" s="5" t="str">
        <f>IFERROR(__xludf.DUMMYFUNCTION("GOOGLETRANSLATE(A35, ""en"", ""hi"")"),"34")</f>
        <v>34</v>
      </c>
      <c r="G35" s="5" t="str">
        <f>IFERROR(__xludf.DUMMYFUNCTION("GOOGLETRANSLATE(B35, ""en"", ""hi"")"),"किस भारतीय राज्य से राष्ट्रीय टीम का प्रतिनिधित्व करने वाले धोप खेल खिलाड़ियों की संख्या सबसे अधिक है?")</f>
        <v>किस भारतीय राज्य से राष्ट्रीय टीम का प्रतिनिधित्व करने वाले धोप खेल खिलाड़ियों की संख्या सबसे अधिक है?</v>
      </c>
      <c r="H35" s="5" t="str">
        <f>IFERROR(__xludf.DUMMYFUNCTION("GOOGLETRANSLATE(C35, ""en"", ""hi"")"),"ए) पंजाब, बी) हरियाणा, सी) राजस्थान, डी) उत्तर प्रदेश")</f>
        <v>ए) पंजाब, बी) हरियाणा, सी) राजस्थान, डी) उत्तर प्रदेश</v>
      </c>
      <c r="I35" s="5" t="str">
        <f>IFERROR(__xludf.DUMMYFUNCTION("GOOGLETRANSLATE(D35, ""en"", ""hi"")"),"C) राजस्थान")</f>
        <v>C) राजस्थान</v>
      </c>
    </row>
    <row r="36" ht="22.5" customHeight="1">
      <c r="A36" s="3">
        <v>35.0</v>
      </c>
      <c r="B36" s="4" t="s">
        <v>5902</v>
      </c>
      <c r="C36" s="4" t="s">
        <v>5903</v>
      </c>
      <c r="D36" s="4" t="s">
        <v>5904</v>
      </c>
      <c r="F36" s="5" t="str">
        <f>IFERROR(__xludf.DUMMYFUNCTION("GOOGLETRANSLATE(A36, ""en"", ""hi"")"),"35")</f>
        <v>35</v>
      </c>
      <c r="G36" s="5" t="str">
        <f>IFERROR(__xludf.DUMMYFUNCTION("GOOGLETRANSLATE(B36, ""en"", ""hi"")"),"किस प्रसिद्ध धोप खेल खिलाड़ी को खेल में उनके योगदान के लिए अर्जुन पुरस्कार से सम्मानित किया गया है?")</f>
        <v>किस प्रसिद्ध धोप खेल खिलाड़ी को खेल में उनके योगदान के लिए अर्जुन पुरस्कार से सम्मानित किया गया है?</v>
      </c>
      <c r="H36" s="5" t="str">
        <f>IFERROR(__xludf.DUMMYFUNCTION("GOOGLETRANSLATE(C36, ""en"", ""hi"")"),"A) अनिल पटेल, B) राजेश गुप्ता, C) संजय वर्मा, D) मनीष रावत")</f>
        <v>A) अनिल पटेल, B) राजेश गुप्ता, C) संजय वर्मा, D) मनीष रावत</v>
      </c>
      <c r="I36" s="5" t="str">
        <f>IFERROR(__xludf.DUMMYFUNCTION("GOOGLETRANSLATE(D36, ""en"", ""hi"")"),"C) संजय वर्मा")</f>
        <v>C) संजय वर्मा</v>
      </c>
    </row>
    <row r="37" ht="22.5" customHeight="1">
      <c r="A37" s="3">
        <v>36.0</v>
      </c>
      <c r="B37" s="4" t="s">
        <v>5905</v>
      </c>
      <c r="C37" s="4" t="s">
        <v>5906</v>
      </c>
      <c r="D37" s="4" t="s">
        <v>5907</v>
      </c>
      <c r="F37" s="5" t="str">
        <f>IFERROR(__xludf.DUMMYFUNCTION("GOOGLETRANSLATE(A37, ""en"", ""hi"")"),"36")</f>
        <v>36</v>
      </c>
      <c r="G37" s="5" t="str">
        <f>IFERROR(__xludf.DUMMYFUNCTION("GOOGLETRANSLATE(B37, ""en"", ""hi"")"),"धोप खेल टूर्नामेंट में इलेक्ट्रॉनिक स्कोरिंग सिस्टम की शुरुआत किस वर्ष हुई?")</f>
        <v>धोप खेल टूर्नामेंट में इलेक्ट्रॉनिक स्कोरिंग सिस्टम की शुरुआत किस वर्ष हुई?</v>
      </c>
      <c r="H37" s="5" t="str">
        <f>IFERROR(__xludf.DUMMYFUNCTION("GOOGLETRANSLATE(C37, ""en"", ""hi"")"),"ए) 2010, बी) 2012, सी) 2014, डी) 2016")</f>
        <v>ए) 2010, बी) 2012, सी) 2014, डी) 2016</v>
      </c>
      <c r="I37" s="5" t="str">
        <f>IFERROR(__xludf.DUMMYFUNCTION("GOOGLETRANSLATE(D37, ""en"", ""hi"")"),"बी) 2012")</f>
        <v>बी) 2012</v>
      </c>
    </row>
    <row r="38" ht="22.5" customHeight="1">
      <c r="A38" s="3">
        <v>37.0</v>
      </c>
      <c r="B38" s="4" t="s">
        <v>5908</v>
      </c>
      <c r="C38" s="4" t="s">
        <v>5909</v>
      </c>
      <c r="D38" s="4" t="s">
        <v>609</v>
      </c>
      <c r="F38" s="5" t="str">
        <f>IFERROR(__xludf.DUMMYFUNCTION("GOOGLETRANSLATE(A38, ""en"", ""hi"")"),"37")</f>
        <v>37</v>
      </c>
      <c r="G38" s="5" t="str">
        <f>IFERROR(__xludf.DUMMYFUNCTION("GOOGLETRANSLATE(B38, ""en"", ""hi"")"),"किस देश ने भारत को अंतर्राष्ट्रीय धोप खेल टूर्नामेंट में भाग लेने के लिए पहली बार आमंत्रित किया था?")</f>
        <v>किस देश ने भारत को अंतर्राष्ट्रीय धोप खेल टूर्नामेंट में भाग लेने के लिए पहली बार आमंत्रित किया था?</v>
      </c>
      <c r="H38" s="5" t="str">
        <f>IFERROR(__xludf.DUMMYFUNCTION("GOOGLETRANSLATE(C38, ""en"", ""hi"")"),"A) नेपाल, B) बांग्लादेश, C) श्रीलंका, D) पाकिस्तान")</f>
        <v>A) नेपाल, B) बांग्लादेश, C) श्रीलंका, D) पाकिस्तान</v>
      </c>
      <c r="I38" s="5" t="str">
        <f>IFERROR(__xludf.DUMMYFUNCTION("GOOGLETRANSLATE(D38, ""en"", ""hi"")"),"D) पाकिस्तान")</f>
        <v>D) पाकिस्तान</v>
      </c>
    </row>
    <row r="39" ht="22.5" customHeight="1">
      <c r="A39" s="3">
        <v>38.0</v>
      </c>
      <c r="B39" s="4" t="s">
        <v>5910</v>
      </c>
      <c r="C39" s="4" t="s">
        <v>5911</v>
      </c>
      <c r="D39" s="4" t="s">
        <v>5912</v>
      </c>
      <c r="F39" s="5" t="str">
        <f>IFERROR(__xludf.DUMMYFUNCTION("GOOGLETRANSLATE(A39, ""en"", ""hi"")"),"38")</f>
        <v>38</v>
      </c>
      <c r="G39" s="5" t="str">
        <f>IFERROR(__xludf.DUMMYFUNCTION("GOOGLETRANSLATE(B39, ""en"", ""hi"")"),"कौन सा धोप खेल खिलाड़ी अपनी रक्षात्मक तकनीकों के लिए प्रसिद्ध है और उसने कई रक्षात्मक खिलाड़ी पुरस्कार जीते हैं?")</f>
        <v>कौन सा धोप खेल खिलाड़ी अपनी रक्षात्मक तकनीकों के लिए प्रसिद्ध है और उसने कई रक्षात्मक खिलाड़ी पुरस्कार जीते हैं?</v>
      </c>
      <c r="H39" s="5" t="str">
        <f>IFERROR(__xludf.DUMMYFUNCTION("GOOGLETRANSLATE(C39, ""en"", ""hi"")"),"A) रवि कुमार, B) सुनील पटेल, C) विजय मेहता, D) अर्जुन शर्मा")</f>
        <v>A) रवि कुमार, B) सुनील पटेल, C) विजय मेहता, D) अर्जुन शर्मा</v>
      </c>
      <c r="I39" s="5" t="str">
        <f>IFERROR(__xludf.DUMMYFUNCTION("GOOGLETRANSLATE(D39, ""en"", ""hi"")"),"बी) सुनील पटेल")</f>
        <v>बी) सुनील पटेल</v>
      </c>
    </row>
    <row r="40" ht="22.5" customHeight="1">
      <c r="A40" s="3">
        <v>39.0</v>
      </c>
      <c r="B40" s="4" t="s">
        <v>5913</v>
      </c>
      <c r="C40" s="4" t="s">
        <v>5914</v>
      </c>
      <c r="D40" s="4" t="s">
        <v>5915</v>
      </c>
      <c r="F40" s="5" t="str">
        <f>IFERROR(__xludf.DUMMYFUNCTION("GOOGLETRANSLATE(A40, ""en"", ""hi"")"),"39")</f>
        <v>39</v>
      </c>
      <c r="G40" s="5" t="str">
        <f>IFERROR(__xludf.DUMMYFUNCTION("GOOGLETRANSLATE(B40, ""en"", ""hi"")"),"एक मानक धोप खेल मैच में प्रत्येक टीम में अधिकतम कितने खिलाड़ियों की अनुमति है?")</f>
        <v>एक मानक धोप खेल मैच में प्रत्येक टीम में अधिकतम कितने खिलाड़ियों की अनुमति है?</v>
      </c>
      <c r="H40" s="5" t="str">
        <f>IFERROR(__xludf.DUMMYFUNCTION("GOOGLETRANSLATE(C40, ""en"", ""hi"")"),"ए) 8, बी) 10, सी) 12, डी) 14")</f>
        <v>ए) 8, बी) 10, सी) 12, डी) 14</v>
      </c>
      <c r="I40" s="5" t="str">
        <f>IFERROR(__xludf.DUMMYFUNCTION("GOOGLETRANSLATE(D40, ""en"", ""hi"")"),"सी) 12")</f>
        <v>सी) 12</v>
      </c>
    </row>
    <row r="41" ht="22.5" customHeight="1">
      <c r="A41" s="3">
        <v>40.0</v>
      </c>
      <c r="B41" s="4" t="s">
        <v>5916</v>
      </c>
      <c r="C41" s="4" t="s">
        <v>420</v>
      </c>
      <c r="D41" s="4" t="s">
        <v>125</v>
      </c>
      <c r="F41" s="5" t="str">
        <f>IFERROR(__xludf.DUMMYFUNCTION("GOOGLETRANSLATE(A41, ""en"", ""hi"")"),"40")</f>
        <v>40</v>
      </c>
      <c r="G41" s="5" t="str">
        <f>IFERROR(__xludf.DUMMYFUNCTION("GOOGLETRANSLATE(B41, ""en"", ""hi"")"),"2000 के दशक के दौरान किस धोप खेल टीम ने राष्ट्रीय चैंपियनशिप में लगातार सबसे अधिक खिताब जीते?")</f>
        <v>2000 के दशक के दौरान किस धोप खेल टीम ने राष्ट्रीय चैंपियनशिप में लगातार सबसे अधिक खिताब जीते?</v>
      </c>
      <c r="H41" s="5" t="str">
        <f>IFERROR(__xludf.DUMMYFUNCTION("GOOGLETRANSLATE(C41, ""en"", ""hi"")"),"ए) राजस्थान, बी) पंजाब, सी) हरियाणा, डी) उत्तर प्रदेश")</f>
        <v>ए) राजस्थान, बी) पंजाब, सी) हरियाणा, डी) उत्तर प्रदेश</v>
      </c>
      <c r="I41" s="5" t="str">
        <f>IFERROR(__xludf.DUMMYFUNCTION("GOOGLETRANSLATE(D41, ""en"", ""hi"")"),"A) राजस्थान")</f>
        <v>A) राजस्थान</v>
      </c>
    </row>
    <row r="42" ht="22.5" customHeight="1">
      <c r="A42" s="3">
        <v>41.0</v>
      </c>
      <c r="B42" s="4" t="s">
        <v>5917</v>
      </c>
      <c r="C42" s="4" t="s">
        <v>5918</v>
      </c>
      <c r="D42" s="4" t="s">
        <v>612</v>
      </c>
      <c r="F42" s="5" t="str">
        <f>IFERROR(__xludf.DUMMYFUNCTION("GOOGLETRANSLATE(A42, ""en"", ""hi"")"),"41")</f>
        <v>41</v>
      </c>
      <c r="G42" s="5" t="str">
        <f>IFERROR(__xludf.DUMMYFUNCTION("GOOGLETRANSLATE(B42, ""en"", ""hi"")"),"किस वर्ष पहली बार कृत्रिम मैदान पर धोप खेल मैच खेला गया था?")</f>
        <v>किस वर्ष पहली बार कृत्रिम मैदान पर धोप खेल मैच खेला गया था?</v>
      </c>
      <c r="H42" s="5" t="str">
        <f>IFERROR(__xludf.DUMMYFUNCTION("GOOGLETRANSLATE(C42, ""en"", ""hi"")"),"ए) 2002, बी) 2005, सी) 2008, डी) 2010")</f>
        <v>ए) 2002, बी) 2005, सी) 2008, डी) 2010</v>
      </c>
      <c r="I42" s="5" t="str">
        <f>IFERROR(__xludf.DUMMYFUNCTION("GOOGLETRANSLATE(D42, ""en"", ""hi"")"),"बी) 2005")</f>
        <v>बी) 2005</v>
      </c>
    </row>
    <row r="43" ht="22.5" customHeight="1">
      <c r="A43" s="3">
        <v>42.0</v>
      </c>
      <c r="B43" s="4" t="s">
        <v>5919</v>
      </c>
      <c r="C43" s="4" t="s">
        <v>5920</v>
      </c>
      <c r="D43" s="4" t="s">
        <v>5921</v>
      </c>
      <c r="F43" s="5" t="str">
        <f>IFERROR(__xludf.DUMMYFUNCTION("GOOGLETRANSLATE(A43, ""en"", ""hi"")"),"42")</f>
        <v>42</v>
      </c>
      <c r="G43" s="5" t="str">
        <f>IFERROR(__xludf.DUMMYFUNCTION("GOOGLETRANSLATE(B43, ""en"", ""hi"")"),"कौन सा धोप खेल खिलाड़ी 'रिवर्स टैग' चाल के रणनीतिक उपयोग के लिए जाना जाता था?")</f>
        <v>कौन सा धोप खेल खिलाड़ी 'रिवर्स टैग' चाल के रणनीतिक उपयोग के लिए जाना जाता था?</v>
      </c>
      <c r="H43" s="5" t="str">
        <f>IFERROR(__xludf.DUMMYFUNCTION("GOOGLETRANSLATE(C43, ""en"", ""hi"")"),"A) दीपक वर्मा, B) राजेश सिंह, C) मनोज यादव, D) रमेश कुमार")</f>
        <v>A) दीपक वर्मा, B) राजेश सिंह, C) मनोज यादव, D) रमेश कुमार</v>
      </c>
      <c r="I43" s="5" t="str">
        <f>IFERROR(__xludf.DUMMYFUNCTION("GOOGLETRANSLATE(D43, ""en"", ""hi"")"),"A) दीपक वर्मा")</f>
        <v>A) दीपक वर्मा</v>
      </c>
    </row>
    <row r="44" ht="22.5" customHeight="1">
      <c r="A44" s="3">
        <v>43.0</v>
      </c>
      <c r="B44" s="4" t="s">
        <v>5922</v>
      </c>
      <c r="C44" s="4" t="s">
        <v>5923</v>
      </c>
      <c r="D44" s="4" t="s">
        <v>5924</v>
      </c>
      <c r="F44" s="5" t="str">
        <f>IFERROR(__xludf.DUMMYFUNCTION("GOOGLETRANSLATE(A44, ""en"", ""hi"")"),"43")</f>
        <v>43</v>
      </c>
      <c r="G44" s="5" t="str">
        <f>IFERROR(__xludf.DUMMYFUNCTION("GOOGLETRANSLATE(B44, ""en"", ""hi"")"),"2017 में किस धोप खेल टूर्नामेंट में अंपायरिंग के लिए वीडियो विश्लेषण का उपयोग शुरू किया गया?")</f>
        <v>2017 में किस धोप खेल टूर्नामेंट में अंपायरिंग के लिए वीडियो विश्लेषण का उपयोग शुरू किया गया?</v>
      </c>
      <c r="H44" s="5" t="str">
        <f>IFERROR(__xludf.DUMMYFUNCTION("GOOGLETRANSLATE(C44, ""en"", ""hi"")"),"A) राष्ट्रीय चैम्पियनशिप, B) राज्य चैम्पियनशिप, C) अंतर्राष्ट्रीय कप, D) विश्व सीरीज")</f>
        <v>A) राष्ट्रीय चैम्पियनशिप, B) राज्य चैम्पियनशिप, C) अंतर्राष्ट्रीय कप, D) विश्व सीरीज</v>
      </c>
      <c r="I44" s="5" t="str">
        <f>IFERROR(__xludf.DUMMYFUNCTION("GOOGLETRANSLATE(D44, ""en"", ""hi"")"),"सी) अंतर्राष्ट्रीय कप")</f>
        <v>सी) अंतर्राष्ट्रीय कप</v>
      </c>
    </row>
    <row r="45" ht="22.5" customHeight="1">
      <c r="A45" s="3">
        <v>44.0</v>
      </c>
      <c r="B45" s="4" t="s">
        <v>5925</v>
      </c>
      <c r="C45" s="4" t="s">
        <v>1946</v>
      </c>
      <c r="D45" s="4" t="s">
        <v>5926</v>
      </c>
      <c r="F45" s="5" t="str">
        <f>IFERROR(__xludf.DUMMYFUNCTION("GOOGLETRANSLATE(A45, ""en"", ""hi"")"),"44")</f>
        <v>44</v>
      </c>
      <c r="G45" s="5" t="str">
        <f>IFERROR(__xludf.DUMMYFUNCTION("GOOGLETRANSLATE(B45, ""en"", ""hi"")"),"धोप खेल मैदान की पारंपरिक लंबाई कितनी होती है?")</f>
        <v>धोप खेल मैदान की पारंपरिक लंबाई कितनी होती है?</v>
      </c>
      <c r="H45" s="5" t="str">
        <f>IFERROR(__xludf.DUMMYFUNCTION("GOOGLETRANSLATE(C45, ""en"", ""hi"")"),"A) 30 मीटर, B) 40 मीटर, C) 50 मीटर, D) 60 मीटर")</f>
        <v>A) 30 मीटर, B) 40 मीटर, C) 50 मीटर, D) 60 मीटर</v>
      </c>
      <c r="I45" s="5" t="str">
        <f>IFERROR(__xludf.DUMMYFUNCTION("GOOGLETRANSLATE(D45, ""en"", ""hi"")"),"बी) 40 मीटर")</f>
        <v>बी) 40 मीटर</v>
      </c>
    </row>
    <row r="46" ht="22.5" customHeight="1">
      <c r="A46" s="3">
        <v>45.0</v>
      </c>
      <c r="B46" s="4" t="s">
        <v>5927</v>
      </c>
      <c r="C46" s="4" t="s">
        <v>5928</v>
      </c>
      <c r="D46" s="4" t="s">
        <v>5929</v>
      </c>
      <c r="F46" s="5" t="str">
        <f>IFERROR(__xludf.DUMMYFUNCTION("GOOGLETRANSLATE(A46, ""en"", ""hi"")"),"45")</f>
        <v>45</v>
      </c>
      <c r="G46" s="5" t="str">
        <f>IFERROR(__xludf.DUMMYFUNCTION("GOOGLETRANSLATE(B46, ""en"", ""hi"")"),"किस धोप खेल खिलाड़ी के नाम एक खेल में सर्वाधिक अंक बनाने का रिकार्ड है?")</f>
        <v>किस धोप खेल खिलाड़ी के नाम एक खेल में सर्वाधिक अंक बनाने का रिकार्ड है?</v>
      </c>
      <c r="H46" s="5" t="str">
        <f>IFERROR(__xludf.DUMMYFUNCTION("GOOGLETRANSLATE(C46, ""en"", ""hi"")"),"A) विजय सिंह, B) अरुण पटेल, C) सुनील कुमार, D) राजीव मेहता")</f>
        <v>A) विजय सिंह, B) अरुण पटेल, C) सुनील कुमार, D) राजीव मेहता</v>
      </c>
      <c r="I46" s="5" t="str">
        <f>IFERROR(__xludf.DUMMYFUNCTION("GOOGLETRANSLATE(D46, ""en"", ""hi"")"),"D) राजीव मेहता")</f>
        <v>D) राजीव मेहता</v>
      </c>
    </row>
    <row r="47" ht="22.5" customHeight="1">
      <c r="A47" s="3">
        <v>46.0</v>
      </c>
      <c r="B47" s="4" t="s">
        <v>5930</v>
      </c>
      <c r="C47" s="4" t="s">
        <v>5931</v>
      </c>
      <c r="D47" s="4" t="s">
        <v>5932</v>
      </c>
      <c r="F47" s="5" t="str">
        <f>IFERROR(__xludf.DUMMYFUNCTION("GOOGLETRANSLATE(A47, ""en"", ""hi"")"),"46")</f>
        <v>46</v>
      </c>
      <c r="G47" s="5" t="str">
        <f>IFERROR(__xludf.DUMMYFUNCTION("GOOGLETRANSLATE(B47, ""en"", ""hi"")"),"1970 के दशक के प्रारंभ में किस ऐतिहासिक घटना के कारण धोप खेल के नियमों और विनियमों को औपचारिक रूप से संहिताबद्ध किया गया?")</f>
        <v>1970 के दशक के प्रारंभ में किस ऐतिहासिक घटना के कारण धोप खेल के नियमों और विनियमों को औपचारिक रूप से संहिताबद्ध किया गया?</v>
      </c>
      <c r="H47" s="5" t="str">
        <f>IFERROR(__xludf.DUMMYFUNCTION("GOOGLETRANSLATE(C47, ""en"", ""hi"")"),"A) प्रथम धोप खेल कांग्रेस, B) राष्ट्रीय खेल अधिनियम, C) भारतीय खेल प्राधिकरण की स्थापना, D) अखिल भारतीय धोप खेल महासंघ का गठन")</f>
        <v>A) प्रथम धोप खेल कांग्रेस, B) राष्ट्रीय खेल अधिनियम, C) भारतीय खेल प्राधिकरण की स्थापना, D) अखिल भारतीय धोप खेल महासंघ का गठन</v>
      </c>
      <c r="I47" s="5" t="str">
        <f>IFERROR(__xludf.DUMMYFUNCTION("GOOGLETRANSLATE(D47, ""en"", ""hi"")"),"D) अखिल भारतीय धोप खेल महासंघ का गठन")</f>
        <v>D) अखिल भारतीय धोप खेल महासंघ का गठन</v>
      </c>
    </row>
    <row r="48" ht="22.5" customHeight="1">
      <c r="A48" s="3">
        <v>47.0</v>
      </c>
      <c r="B48" s="4" t="s">
        <v>5933</v>
      </c>
      <c r="C48" s="4" t="s">
        <v>5934</v>
      </c>
      <c r="D48" s="4" t="s">
        <v>5935</v>
      </c>
      <c r="F48" s="5" t="str">
        <f>IFERROR(__xludf.DUMMYFUNCTION("GOOGLETRANSLATE(A48, ""en"", ""hi"")"),"47")</f>
        <v>47</v>
      </c>
      <c r="G48" s="5" t="str">
        <f>IFERROR(__xludf.DUMMYFUNCTION("GOOGLETRANSLATE(B48, ""en"", ""hi"")"),"किस प्रसिद्ध खिलाड़ी ने प्रतिस्पर्धी धोप खेल में 'लो डाइव' चाल शुरू की?")</f>
        <v>किस प्रसिद्ध खिलाड़ी ने प्रतिस्पर्धी धोप खेल में 'लो डाइव' चाल शुरू की?</v>
      </c>
      <c r="H48" s="5" t="str">
        <f>IFERROR(__xludf.DUMMYFUNCTION("GOOGLETRANSLATE(C48, ""en"", ""hi"")"),"A) रमेश यादव, B) सुनील शर्मा, C) विक्रम सिंह, D) अनिल पटेल")</f>
        <v>A) रमेश यादव, B) सुनील शर्मा, C) विक्रम सिंह, D) अनिल पटेल</v>
      </c>
      <c r="I48" s="5" t="str">
        <f>IFERROR(__xludf.DUMMYFUNCTION("GOOGLETRANSLATE(D48, ""en"", ""hi"")"),"C) विक्रम सिंह")</f>
        <v>C) विक्रम सिंह</v>
      </c>
    </row>
    <row r="49" ht="22.5" customHeight="1">
      <c r="A49" s="3">
        <v>48.0</v>
      </c>
      <c r="B49" s="4" t="s">
        <v>5936</v>
      </c>
      <c r="C49" s="4" t="s">
        <v>5937</v>
      </c>
      <c r="D49" s="4" t="s">
        <v>5938</v>
      </c>
      <c r="F49" s="5" t="str">
        <f>IFERROR(__xludf.DUMMYFUNCTION("GOOGLETRANSLATE(A49, ""en"", ""hi"")"),"48")</f>
        <v>48</v>
      </c>
      <c r="G49" s="5" t="str">
        <f>IFERROR(__xludf.DUMMYFUNCTION("GOOGLETRANSLATE(B49, ""en"", ""hi"")"),"सदियों पहले जब धोप खेल पहली बार खेला गया था तो इसका प्राथमिक उद्देश्य क्या था?")</f>
        <v>सदियों पहले जब धोप खेल पहली बार खेला गया था तो इसका प्राथमिक उद्देश्य क्या था?</v>
      </c>
      <c r="H49" s="5" t="str">
        <f>IFERROR(__xludf.DUMMYFUNCTION("GOOGLETRANSLATE(C49, ""en"", ""hi"")"),"A) मनोरंजन, B) युद्ध का प्रशिक्षण, C) धार्मिक समारोह, D) सामाजिक मेलजोल")</f>
        <v>A) मनोरंजन, B) युद्ध का प्रशिक्षण, C) धार्मिक समारोह, D) सामाजिक मेलजोल</v>
      </c>
      <c r="I49" s="5" t="str">
        <f>IFERROR(__xludf.DUMMYFUNCTION("GOOGLETRANSLATE(D49, ""en"", ""hi"")"),"बी) युद्ध के लिए प्रशिक्षण")</f>
        <v>बी) युद्ध के लिए प्रशिक्षण</v>
      </c>
    </row>
    <row r="50" ht="22.5" customHeight="1">
      <c r="A50" s="3">
        <v>49.0</v>
      </c>
      <c r="B50" s="4" t="s">
        <v>5939</v>
      </c>
      <c r="C50" s="4" t="s">
        <v>5940</v>
      </c>
      <c r="D50" s="4" t="s">
        <v>2646</v>
      </c>
      <c r="F50" s="5" t="str">
        <f>IFERROR(__xludf.DUMMYFUNCTION("GOOGLETRANSLATE(A50, ""en"", ""hi"")"),"49")</f>
        <v>49</v>
      </c>
      <c r="G50" s="5" t="str">
        <f>IFERROR(__xludf.DUMMYFUNCTION("GOOGLETRANSLATE(B50, ""en"", ""hi"")"),"कौन सा प्रमुख भारतीय त्यौहार अक्सर क्षेत्रीय धोप खेल टूर्नामेंट से जुड़ा हुआ है?")</f>
        <v>कौन सा प्रमुख भारतीय त्यौहार अक्सर क्षेत्रीय धोप खेल टूर्नामेंट से जुड़ा हुआ है?</v>
      </c>
      <c r="H50" s="5" t="str">
        <f>IFERROR(__xludf.DUMMYFUNCTION("GOOGLETRANSLATE(C50, ""en"", ""hi"")"),"ए) दिवाली, बी) होली, सी) मकर संक्रांति, डी) गणेश चतुर्थी")</f>
        <v>ए) दिवाली, बी) होली, सी) मकर संक्रांति, डी) गणेश चतुर्थी</v>
      </c>
      <c r="I50" s="5" t="str">
        <f>IFERROR(__xludf.DUMMYFUNCTION("GOOGLETRANSLATE(D50, ""en"", ""hi"")"),"C) मकर संक्रांति")</f>
        <v>C) मकर संक्रांति</v>
      </c>
    </row>
    <row r="51" ht="22.5" customHeight="1">
      <c r="A51" s="3">
        <v>50.0</v>
      </c>
      <c r="B51" s="4" t="s">
        <v>5941</v>
      </c>
      <c r="C51" s="4" t="s">
        <v>5942</v>
      </c>
      <c r="D51" s="4" t="s">
        <v>5943</v>
      </c>
      <c r="F51" s="5" t="str">
        <f>IFERROR(__xludf.DUMMYFUNCTION("GOOGLETRANSLATE(A51, ""en"", ""hi"")"),"50")</f>
        <v>50</v>
      </c>
      <c r="G51" s="5" t="str">
        <f>IFERROR(__xludf.DUMMYFUNCTION("GOOGLETRANSLATE(B51, ""en"", ""hi"")"),"किस प्रसिद्ध धोप खेल खिलाड़ी को 2019 में राजीव गांधी खेल रत्न से सम्मानित किया गया?")</f>
        <v>किस प्रसिद्ध धोप खेल खिलाड़ी को 2019 में राजीव गांधी खेल रत्न से सम्मानित किया गया?</v>
      </c>
      <c r="H51" s="5" t="str">
        <f>IFERROR(__xludf.DUMMYFUNCTION("GOOGLETRANSLATE(C51, ""en"", ""hi"")"),"A) अरविंद कुमार, B) प्रदीप पटेल, C) अनिल वर्मा, D) राजीव शर्मा")</f>
        <v>A) अरविंद कुमार, B) प्रदीप पटेल, C) अनिल वर्मा, D) राजीव शर्मा</v>
      </c>
      <c r="I51" s="5" t="str">
        <f>IFERROR(__xludf.DUMMYFUNCTION("GOOGLETRANSLATE(D51, ""en"", ""hi"")"),"बी) प्रदीप पटेल")</f>
        <v>बी) प्रदीप पटेल</v>
      </c>
    </row>
    <row r="52" ht="22.5" customHeight="1">
      <c r="A52" s="3">
        <v>51.0</v>
      </c>
      <c r="B52" s="4" t="s">
        <v>5944</v>
      </c>
      <c r="C52" s="4" t="s">
        <v>5945</v>
      </c>
      <c r="D52" s="4" t="s">
        <v>5946</v>
      </c>
      <c r="F52" s="5" t="str">
        <f>IFERROR(__xludf.DUMMYFUNCTION("GOOGLETRANSLATE(A52, ""en"", ""hi"")"),"51")</f>
        <v>51</v>
      </c>
      <c r="G52" s="5" t="str">
        <f>IFERROR(__xludf.DUMMYFUNCTION("GOOGLETRANSLATE(B52, ""en"", ""hi"")"),"धोप खेल मैच में प्रत्येक क्वार्टर की अधिकतम अवधि क्या है?")</f>
        <v>धोप खेल मैच में प्रत्येक क्वार्टर की अधिकतम अवधि क्या है?</v>
      </c>
      <c r="H52" s="5" t="str">
        <f>IFERROR(__xludf.DUMMYFUNCTION("GOOGLETRANSLATE(C52, ""en"", ""hi"")"),"A) 10 मिनट, B) 15 मिनट, C) 20 मिनट, D) 25 मिनट")</f>
        <v>A) 10 मिनट, B) 15 मिनट, C) 20 मिनट, D) 25 मिनट</v>
      </c>
      <c r="I52" s="5" t="str">
        <f>IFERROR(__xludf.DUMMYFUNCTION("GOOGLETRANSLATE(D52, ""en"", ""hi"")"),"बी) 15 मिनट")</f>
        <v>बी) 15 मिनट</v>
      </c>
    </row>
    <row r="53" ht="22.5" customHeight="1">
      <c r="A53" s="3">
        <v>52.0</v>
      </c>
      <c r="B53" s="4" t="s">
        <v>5947</v>
      </c>
      <c r="C53" s="4" t="s">
        <v>5948</v>
      </c>
      <c r="D53" s="4" t="s">
        <v>5949</v>
      </c>
      <c r="F53" s="5" t="str">
        <f>IFERROR(__xludf.DUMMYFUNCTION("GOOGLETRANSLATE(A53, ""en"", ""hi"")"),"52")</f>
        <v>52</v>
      </c>
      <c r="G53" s="5" t="str">
        <f>IFERROR(__xludf.DUMMYFUNCTION("GOOGLETRANSLATE(B53, ""en"", ""hi"")"),"भारत में कौन सा क्षेत्र अपनी पारंपरिक धोप खेल प्रशिक्षण अकादमियों के लिए जाना जाता है?")</f>
        <v>भारत में कौन सा क्षेत्र अपनी पारंपरिक धोप खेल प्रशिक्षण अकादमियों के लिए जाना जाता है?</v>
      </c>
      <c r="H53" s="5" t="str">
        <f>IFERROR(__xludf.DUMMYFUNCTION("GOOGLETRANSLATE(C53, ""en"", ""hi"")"),"A) उत्तरी भारत, B) पूर्वी भारत, C) पश्चिमी भारत, D) दक्षिणी भारत")</f>
        <v>A) उत्तरी भारत, B) पूर्वी भारत, C) पश्चिमी भारत, D) दक्षिणी भारत</v>
      </c>
      <c r="I53" s="5" t="str">
        <f>IFERROR(__xludf.DUMMYFUNCTION("GOOGLETRANSLATE(D53, ""en"", ""hi"")"),"C) पश्चिमी भारत")</f>
        <v>C) पश्चिमी भारत</v>
      </c>
    </row>
    <row r="54" ht="22.5" customHeight="1">
      <c r="A54" s="3">
        <v>53.0</v>
      </c>
      <c r="B54" s="4" t="s">
        <v>5950</v>
      </c>
      <c r="C54" s="4" t="s">
        <v>5951</v>
      </c>
      <c r="D54" s="4" t="s">
        <v>5952</v>
      </c>
      <c r="F54" s="5" t="str">
        <f>IFERROR(__xludf.DUMMYFUNCTION("GOOGLETRANSLATE(A54, ""en"", ""hi"")"),"53")</f>
        <v>53</v>
      </c>
      <c r="G54" s="5" t="str">
        <f>IFERROR(__xludf.DUMMYFUNCTION("GOOGLETRANSLATE(B54, ""en"", ""hi"")"),"2015 में आयोजित प्रथम अंतर्राष्ट्रीय धोप खेल टूर्नामेंट के मुख्य आयोजक कौन थे?")</f>
        <v>2015 में आयोजित प्रथम अंतर्राष्ट्रीय धोप खेल टूर्नामेंट के मुख्य आयोजक कौन थे?</v>
      </c>
      <c r="H54" s="5" t="str">
        <f>IFERROR(__xludf.DUMMYFUNCTION("GOOGLETRANSLATE(C54, ""en"", ""hi"")"),"A) राजीव कुमार, B) विक्रम जोशी, C) मनोज पटेल, D) अनिल शर्मा")</f>
        <v>A) राजीव कुमार, B) विक्रम जोशी, C) मनोज पटेल, D) अनिल शर्मा</v>
      </c>
      <c r="I54" s="5" t="str">
        <f>IFERROR(__xludf.DUMMYFUNCTION("GOOGLETRANSLATE(D54, ""en"", ""hi"")"),"बी) विक्रम जोशी")</f>
        <v>बी) विक्रम जोशी</v>
      </c>
    </row>
    <row r="55" ht="22.5" customHeight="1">
      <c r="A55" s="3">
        <v>54.0</v>
      </c>
      <c r="B55" s="4" t="s">
        <v>5953</v>
      </c>
      <c r="C55" s="4" t="s">
        <v>5954</v>
      </c>
      <c r="D55" s="4" t="s">
        <v>5955</v>
      </c>
      <c r="F55" s="5" t="str">
        <f>IFERROR(__xludf.DUMMYFUNCTION("GOOGLETRANSLATE(A55, ""en"", ""hi"")"),"54")</f>
        <v>54</v>
      </c>
      <c r="G55" s="5" t="str">
        <f>IFERROR(__xludf.DUMMYFUNCTION("GOOGLETRANSLATE(B55, ""en"", ""hi"")"),"1990 के दशक के दौरान कौन सा धोप खेल खिलाड़ी अपनी असाधारण सहनशक्ति और गति के लिए जाना जाता था?")</f>
        <v>1990 के दशक के दौरान कौन सा धोप खेल खिलाड़ी अपनी असाधारण सहनशक्ति और गति के लिए जाना जाता था?</v>
      </c>
      <c r="H55" s="5" t="str">
        <f>IFERROR(__xludf.DUMMYFUNCTION("GOOGLETRANSLATE(C55, ""en"", ""hi"")"),"A) रमेश सिंह, B) रवि कुमार, C) विजय पटेल, D) मोहन शर्मा")</f>
        <v>A) रमेश सिंह, B) रवि कुमार, C) विजय पटेल, D) मोहन शर्मा</v>
      </c>
      <c r="I55" s="5" t="str">
        <f>IFERROR(__xludf.DUMMYFUNCTION("GOOGLETRANSLATE(D55, ""en"", ""hi"")"),"A) रमेश सिंह")</f>
        <v>A) रमेश सिंह</v>
      </c>
    </row>
    <row r="56" ht="22.5" customHeight="1">
      <c r="A56" s="3">
        <v>55.0</v>
      </c>
      <c r="B56" s="4" t="s">
        <v>5956</v>
      </c>
      <c r="C56" s="4" t="s">
        <v>5957</v>
      </c>
      <c r="D56" s="4" t="s">
        <v>5958</v>
      </c>
      <c r="F56" s="5" t="str">
        <f>IFERROR(__xludf.DUMMYFUNCTION("GOOGLETRANSLATE(A56, ""en"", ""hi"")"),"55")</f>
        <v>55</v>
      </c>
      <c r="G56" s="5" t="str">
        <f>IFERROR(__xludf.DUMMYFUNCTION("GOOGLETRANSLATE(B56, ""en"", ""hi"")"),"1980 के दशक में धोप खेल में क्या महत्वपूर्ण विकास हुआ?")</f>
        <v>1980 के दशक में धोप खेल में क्या महत्वपूर्ण विकास हुआ?</v>
      </c>
      <c r="H56" s="5" t="str">
        <f>IFERROR(__xludf.DUMMYFUNCTION("GOOGLETRANSLATE(C56, ""en"", ""hi"")"),"A) मानक नियमों का परिचय, B) राष्ट्रीय चैंपियनशिप की स्थापना, C) पेशेवर लीग की शुरूआत, D) स्कूल खेल पाठ्यक्रम में समावेश")</f>
        <v>A) मानक नियमों का परिचय, B) राष्ट्रीय चैंपियनशिप की स्थापना, C) पेशेवर लीग की शुरूआत, D) स्कूल खेल पाठ्यक्रम में समावेश</v>
      </c>
      <c r="I56" s="5" t="str">
        <f>IFERROR(__xludf.DUMMYFUNCTION("GOOGLETRANSLATE(D56, ""en"", ""hi"")"),"बी) राष्ट्रीय चैंपियनशिप की स्थापना")</f>
        <v>बी) राष्ट्रीय चैंपियनशिप की स्थापना</v>
      </c>
    </row>
    <row r="57" ht="22.5" customHeight="1">
      <c r="A57" s="3">
        <v>56.0</v>
      </c>
      <c r="B57" s="4" t="s">
        <v>5959</v>
      </c>
      <c r="C57" s="4" t="s">
        <v>5960</v>
      </c>
      <c r="D57" s="4" t="s">
        <v>5961</v>
      </c>
      <c r="F57" s="5" t="str">
        <f>IFERROR(__xludf.DUMMYFUNCTION("GOOGLETRANSLATE(A57, ""en"", ""hi"")"),"56")</f>
        <v>56</v>
      </c>
      <c r="G57" s="5" t="str">
        <f>IFERROR(__xludf.DUMMYFUNCTION("GOOGLETRANSLATE(B57, ""en"", ""hi"")"),"कौन सी प्रसिद्ध ऐतिहासिक हस्ती अपनी युवावस्था में धोप खेल खेलने के लिए जानी जाती थी?")</f>
        <v>कौन सी प्रसिद्ध ऐतिहासिक हस्ती अपनी युवावस्था में धोप खेल खेलने के लिए जानी जाती थी?</v>
      </c>
      <c r="H57" s="5" t="str">
        <f>IFERROR(__xludf.DUMMYFUNCTION("GOOGLETRANSLATE(C57, ""en"", ""hi"")"),"ए) महाराजा जय सिंह द्वितीय, बी) महाराजा रणजीत सिंह, सी) राजपूत राजा पृथ्वीराज चौहान, डी) सम्राट अशोक")</f>
        <v>ए) महाराजा जय सिंह द्वितीय, बी) महाराजा रणजीत सिंह, सी) राजपूत राजा पृथ्वीराज चौहान, डी) सम्राट अशोक</v>
      </c>
      <c r="I57" s="5" t="str">
        <f>IFERROR(__xludf.DUMMYFUNCTION("GOOGLETRANSLATE(D57, ""en"", ""hi"")"),"C) राजपूत राजा पृथ्वीराज चौहान")</f>
        <v>C) राजपूत राजा पृथ्वीराज चौहान</v>
      </c>
    </row>
    <row r="58" ht="22.5" customHeight="1">
      <c r="A58" s="3">
        <v>57.0</v>
      </c>
      <c r="B58" s="4" t="s">
        <v>5962</v>
      </c>
      <c r="C58" s="4" t="s">
        <v>5963</v>
      </c>
      <c r="D58" s="4" t="s">
        <v>4112</v>
      </c>
      <c r="F58" s="5" t="str">
        <f>IFERROR(__xludf.DUMMYFUNCTION("GOOGLETRANSLATE(A58, ""en"", ""hi"")"),"57")</f>
        <v>57</v>
      </c>
      <c r="G58" s="5" t="str">
        <f>IFERROR(__xludf.DUMMYFUNCTION("GOOGLETRANSLATE(B58, ""en"", ""hi"")"),"1990 के दशक में धोप खेल को पेशेवर खेल के रूप में शुरू करने वाला पहला भारतीय राज्य कौन सा था?")</f>
        <v>1990 के दशक में धोप खेल को पेशेवर खेल के रूप में शुरू करने वाला पहला भारतीय राज्य कौन सा था?</v>
      </c>
      <c r="H58" s="5" t="str">
        <f>IFERROR(__xludf.DUMMYFUNCTION("GOOGLETRANSLATE(C58, ""en"", ""hi"")"),"A) पंजाब, B) राजस्थान, C) हरियाणा, D) गुजरात")</f>
        <v>A) पंजाब, B) राजस्थान, C) हरियाणा, D) गुजरात</v>
      </c>
      <c r="I58" s="5" t="str">
        <f>IFERROR(__xludf.DUMMYFUNCTION("GOOGLETRANSLATE(D58, ""en"", ""hi"")"),"बी) राजस्थान")</f>
        <v>बी) राजस्थान</v>
      </c>
    </row>
    <row r="59" ht="22.5" customHeight="1">
      <c r="A59" s="3">
        <v>58.0</v>
      </c>
      <c r="B59" s="4" t="s">
        <v>5964</v>
      </c>
      <c r="C59" s="4" t="s">
        <v>5965</v>
      </c>
      <c r="D59" s="4" t="s">
        <v>5966</v>
      </c>
      <c r="F59" s="5" t="str">
        <f>IFERROR(__xludf.DUMMYFUNCTION("GOOGLETRANSLATE(A59, ""en"", ""hi"")"),"58")</f>
        <v>58</v>
      </c>
      <c r="G59" s="5" t="str">
        <f>IFERROR(__xludf.DUMMYFUNCTION("GOOGLETRANSLATE(B59, ""en"", ""hi"")"),"कौन सा धोप खेल खिलाड़ी 'साइड स्टेप' तकनीक के अपने अभिनव उपयोग के लिए जाना जाता था?")</f>
        <v>कौन सा धोप खेल खिलाड़ी 'साइड स्टेप' तकनीक के अपने अभिनव उपयोग के लिए जाना जाता था?</v>
      </c>
      <c r="H59" s="5" t="str">
        <f>IFERROR(__xludf.DUMMYFUNCTION("GOOGLETRANSLATE(C59, ""en"", ""hi"")"),"ए) अरुण कुमार, बी) राजेश पटेल, सी) अनिल यादव, डी) मनोज मेहता")</f>
        <v>ए) अरुण कुमार, बी) राजेश पटेल, सी) अनिल यादव, डी) मनोज मेहता</v>
      </c>
      <c r="I59" s="5" t="str">
        <f>IFERROR(__xludf.DUMMYFUNCTION("GOOGLETRANSLATE(D59, ""en"", ""hi"")"),"A) अरुण कुमार")</f>
        <v>A) अरुण कुमार</v>
      </c>
    </row>
    <row r="60" ht="22.5" customHeight="1">
      <c r="A60" s="3">
        <v>59.0</v>
      </c>
      <c r="B60" s="4" t="s">
        <v>5967</v>
      </c>
      <c r="C60" s="4" t="s">
        <v>70</v>
      </c>
      <c r="D60" s="4" t="s">
        <v>5968</v>
      </c>
      <c r="F60" s="5" t="str">
        <f>IFERROR(__xludf.DUMMYFUNCTION("GOOGLETRANSLATE(A60, ""en"", ""hi"")"),"59")</f>
        <v>59</v>
      </c>
      <c r="G60" s="5" t="str">
        <f>IFERROR(__xludf.DUMMYFUNCTION("GOOGLETRANSLATE(B60, ""en"", ""hi"")"),"धोप खेल विश्व सीरीज की शुरुआत किस वर्ष हुई?")</f>
        <v>धोप खेल विश्व सीरीज की शुरुआत किस वर्ष हुई?</v>
      </c>
      <c r="H60" s="5" t="str">
        <f>IFERROR(__xludf.DUMMYFUNCTION("GOOGLETRANSLATE(C60, ""en"", ""hi"")"),"ए) 2008, बी) 2010, सी) 2012, डी) 2014")</f>
        <v>ए) 2008, बी) 2010, सी) 2012, डी) 2014</v>
      </c>
      <c r="I60" s="5" t="str">
        <f>IFERROR(__xludf.DUMMYFUNCTION("GOOGLETRANSLATE(D60, ""en"", ""hi"")"),"सी) 2012")</f>
        <v>सी) 2012</v>
      </c>
    </row>
    <row r="61" ht="22.5" customHeight="1">
      <c r="A61" s="3">
        <v>60.0</v>
      </c>
      <c r="B61" s="4" t="s">
        <v>5969</v>
      </c>
      <c r="C61" s="4" t="s">
        <v>5970</v>
      </c>
      <c r="D61" s="4" t="s">
        <v>5971</v>
      </c>
      <c r="F61" s="5" t="str">
        <f>IFERROR(__xludf.DUMMYFUNCTION("GOOGLETRANSLATE(A61, ""en"", ""hi"")"),"60")</f>
        <v>60</v>
      </c>
      <c r="G61" s="5" t="str">
        <f>IFERROR(__xludf.DUMMYFUNCTION("GOOGLETRANSLATE(B61, ""en"", ""hi"")"),"धोप खेल के किस खिलाड़ी को 2016 में वर्ष का सर्वश्रेष्ठ रक्षात्मक खिलाड़ी का पुरस्कार दिया गया?")</f>
        <v>धोप खेल के किस खिलाड़ी को 2016 में वर्ष का सर्वश्रेष्ठ रक्षात्मक खिलाड़ी का पुरस्कार दिया गया?</v>
      </c>
      <c r="H61" s="5" t="str">
        <f>IFERROR(__xludf.DUMMYFUNCTION("GOOGLETRANSLATE(C61, ""en"", ""hi"")"),"A) रवि पटेल, B) मोहन शर्मा, C) राजीव सिंह, D) अर्जुन मेहता")</f>
        <v>A) रवि पटेल, B) मोहन शर्मा, C) राजीव सिंह, D) अर्जुन मेहता</v>
      </c>
      <c r="I61" s="5" t="str">
        <f>IFERROR(__xludf.DUMMYFUNCTION("GOOGLETRANSLATE(D61, ""en"", ""hi"")"),"C) राजीव सिंह")</f>
        <v>C) राजीव सिंह</v>
      </c>
    </row>
    <row r="62" ht="22.5" customHeight="1">
      <c r="A62" s="3">
        <v>61.0</v>
      </c>
      <c r="B62" s="4" t="s">
        <v>5972</v>
      </c>
      <c r="C62" s="4" t="s">
        <v>5901</v>
      </c>
      <c r="D62" s="4" t="s">
        <v>4081</v>
      </c>
      <c r="F62" s="5" t="str">
        <f>IFERROR(__xludf.DUMMYFUNCTION("GOOGLETRANSLATE(A62, ""en"", ""hi"")"),"61")</f>
        <v>61</v>
      </c>
      <c r="G62" s="5" t="str">
        <f>IFERROR(__xludf.DUMMYFUNCTION("GOOGLETRANSLATE(B62, ""en"", ""hi"")"),"भारत के किस राज्य में धोप खेल खेलने की सबसे पुरानी परंपरा है?")</f>
        <v>भारत के किस राज्य में धोप खेल खेलने की सबसे पुरानी परंपरा है?</v>
      </c>
      <c r="H62" s="5" t="str">
        <f>IFERROR(__xludf.DUMMYFUNCTION("GOOGLETRANSLATE(C62, ""en"", ""hi"")"),"ए) पंजाब, बी) हरियाणा, सी) राजस्थान, डी) उत्तर प्रदेश")</f>
        <v>ए) पंजाब, बी) हरियाणा, सी) राजस्थान, डी) उत्तर प्रदेश</v>
      </c>
      <c r="I62" s="5" t="str">
        <f>IFERROR(__xludf.DUMMYFUNCTION("GOOGLETRANSLATE(D62, ""en"", ""hi"")"),"C) राजस्थान")</f>
        <v>C) राजस्थान</v>
      </c>
    </row>
    <row r="63" ht="22.5" customHeight="1">
      <c r="A63" s="3">
        <v>62.0</v>
      </c>
      <c r="B63" s="4" t="s">
        <v>5973</v>
      </c>
      <c r="C63" s="4" t="s">
        <v>5974</v>
      </c>
      <c r="D63" s="4" t="s">
        <v>5975</v>
      </c>
      <c r="F63" s="5" t="str">
        <f>IFERROR(__xludf.DUMMYFUNCTION("GOOGLETRANSLATE(A63, ""en"", ""hi"")"),"62")</f>
        <v>62</v>
      </c>
      <c r="G63" s="5" t="str">
        <f>IFERROR(__xludf.DUMMYFUNCTION("GOOGLETRANSLATE(B63, ""en"", ""hi"")"),"1998 में धोप खेल में कौन सा प्रमुख नियम परिवर्तन लागू किया गया था?")</f>
        <v>1998 में धोप खेल में कौन सा प्रमुख नियम परिवर्तन लागू किया गया था?</v>
      </c>
      <c r="H63" s="5" t="str">
        <f>IFERROR(__xludf.DUMMYFUNCTION("GOOGLETRANSLATE(C63, ""en"", ""hi"")"),"ए) मैदान के आयामों में परिवर्तन, बी) नए स्कोरिंग नियमों का परिचय, सी) नए खिलाड़ी पदों को जोड़ना, डी) खेल की अवधि में संशोधन")</f>
        <v>ए) मैदान के आयामों में परिवर्तन, बी) नए स्कोरिंग नियमों का परिचय, सी) नए खिलाड़ी पदों को जोड़ना, डी) खेल की अवधि में संशोधन</v>
      </c>
      <c r="I63" s="5" t="str">
        <f>IFERROR(__xludf.DUMMYFUNCTION("GOOGLETRANSLATE(D63, ""en"", ""hi"")"),"बी) नए स्कोरिंग नियमों का परिचय")</f>
        <v>बी) नए स्कोरिंग नियमों का परिचय</v>
      </c>
    </row>
    <row r="64" ht="22.5" customHeight="1">
      <c r="A64" s="3">
        <v>63.0</v>
      </c>
      <c r="B64" s="4" t="s">
        <v>5976</v>
      </c>
      <c r="C64" s="4" t="s">
        <v>5977</v>
      </c>
      <c r="D64" s="4" t="s">
        <v>5978</v>
      </c>
      <c r="F64" s="5" t="str">
        <f>IFERROR(__xludf.DUMMYFUNCTION("GOOGLETRANSLATE(A64, ""en"", ""hi"")"),"63")</f>
        <v>63</v>
      </c>
      <c r="G64" s="5" t="str">
        <f>IFERROR(__xludf.DUMMYFUNCTION("GOOGLETRANSLATE(B64, ""en"", ""hi"")"),"धोप खेल में 'परफेक्ट गेम' हासिल करने वाला पहला खिलाड़ी कौन था?")</f>
        <v>धोप खेल में 'परफेक्ट गेम' हासिल करने वाला पहला खिलाड़ी कौन था?</v>
      </c>
      <c r="H64" s="5" t="str">
        <f>IFERROR(__xludf.DUMMYFUNCTION("GOOGLETRANSLATE(C64, ""en"", ""hi"")"),"ए) विजय सिंह, बी) अर्जुन कुमार, सी) राजेश यादव, डी) दीपक पटेल")</f>
        <v>ए) विजय सिंह, बी) अर्जुन कुमार, सी) राजेश यादव, डी) दीपक पटेल</v>
      </c>
      <c r="I64" s="5" t="str">
        <f>IFERROR(__xludf.DUMMYFUNCTION("GOOGLETRANSLATE(D64, ""en"", ""hi"")"),"D) दीपक पटेल")</f>
        <v>D) दीपक पटेल</v>
      </c>
    </row>
    <row r="65" ht="22.5" customHeight="1">
      <c r="A65" s="3">
        <v>64.0</v>
      </c>
      <c r="B65" s="4" t="s">
        <v>5979</v>
      </c>
      <c r="C65" s="4" t="s">
        <v>5980</v>
      </c>
      <c r="D65" s="4" t="s">
        <v>5981</v>
      </c>
      <c r="F65" s="5" t="str">
        <f>IFERROR(__xludf.DUMMYFUNCTION("GOOGLETRANSLATE(A65, ""en"", ""hi"")"),"64")</f>
        <v>64</v>
      </c>
      <c r="G65" s="5" t="str">
        <f>IFERROR(__xludf.DUMMYFUNCTION("GOOGLETRANSLATE(B65, ""en"", ""hi"")"),"कौन सा धोप खेल खिलाड़ी 'टैग और रन' रणनीति में अपने असाधारण कौशल के लिए प्रसिद्ध है?")</f>
        <v>कौन सा धोप खेल खिलाड़ी 'टैग और रन' रणनीति में अपने असाधारण कौशल के लिए प्रसिद्ध है?</v>
      </c>
      <c r="H65" s="5" t="str">
        <f>IFERROR(__xludf.DUMMYFUNCTION("GOOGLETRANSLATE(C65, ""en"", ""hi"")"),"A) सुनील पटेल, B) मोहन कुमार, C) राजेश शर्मा, D) रमेश सिंह")</f>
        <v>A) सुनील पटेल, B) मोहन कुमार, C) राजेश शर्मा, D) रमेश सिंह</v>
      </c>
      <c r="I65" s="5" t="str">
        <f>IFERROR(__xludf.DUMMYFUNCTION("GOOGLETRANSLATE(D65, ""en"", ""hi"")"),"बी) मोहन कुमार")</f>
        <v>बी) मोहन कुमार</v>
      </c>
    </row>
    <row r="66" ht="22.5" customHeight="1">
      <c r="A66" s="3">
        <v>65.0</v>
      </c>
      <c r="B66" s="4" t="s">
        <v>5982</v>
      </c>
      <c r="C66" s="4" t="s">
        <v>5983</v>
      </c>
      <c r="D66" s="4" t="s">
        <v>225</v>
      </c>
      <c r="F66" s="5" t="str">
        <f>IFERROR(__xludf.DUMMYFUNCTION("GOOGLETRANSLATE(A66, ""en"", ""hi"")"),"65")</f>
        <v>65</v>
      </c>
      <c r="G66" s="5" t="str">
        <f>IFERROR(__xludf.DUMMYFUNCTION("GOOGLETRANSLATE(B66, ""en"", ""hi"")"),"धोप खेल खेल की पहली अंतर्राष्ट्रीय प्रतियोगिता भारत के बाहर किस वर्ष आयोजित की गई थी?")</f>
        <v>धोप खेल खेल की पहली अंतर्राष्ट्रीय प्रतियोगिता भारत के बाहर किस वर्ष आयोजित की गई थी?</v>
      </c>
      <c r="H66" s="5" t="str">
        <f>IFERROR(__xludf.DUMMYFUNCTION("GOOGLETRANSLATE(C66, ""en"", ""hi"")"),"ए) 2005, बी) 2007, सी) 2009, डी) 2011")</f>
        <v>ए) 2005, बी) 2007, सी) 2009, डी) 2011</v>
      </c>
      <c r="I66" s="5" t="str">
        <f>IFERROR(__xludf.DUMMYFUNCTION("GOOGLETRANSLATE(D66, ""en"", ""hi"")"),"बी) 2007")</f>
        <v>बी) 2007</v>
      </c>
    </row>
    <row r="67" ht="22.5" customHeight="1">
      <c r="A67" s="3">
        <v>66.0</v>
      </c>
      <c r="B67" s="4" t="s">
        <v>5984</v>
      </c>
      <c r="C67" s="4" t="s">
        <v>5985</v>
      </c>
      <c r="D67" s="4" t="s">
        <v>5986</v>
      </c>
      <c r="F67" s="5" t="str">
        <f>IFERROR(__xludf.DUMMYFUNCTION("GOOGLETRANSLATE(A67, ""en"", ""hi"")"),"66")</f>
        <v>66</v>
      </c>
      <c r="G67" s="5" t="str">
        <f>IFERROR(__xludf.DUMMYFUNCTION("GOOGLETRANSLATE(B67, ""en"", ""hi"")"),"2020 में धोप खेल खेल ने क्या महत्वपूर्ण उपलब्धि हासिल की?")</f>
        <v>2020 में धोप खेल खेल ने क्या महत्वपूर्ण उपलब्धि हासिल की?</v>
      </c>
      <c r="H67" s="5" t="str">
        <f>IFERROR(__xludf.DUMMYFUNCTION("GOOGLETRANSLATE(C67, ""en"", ""hi"")"),"A) एशियाई खेलों में शामिल करना, B) विश्व धोप खेल महासंघ का गठन, C) एक पेशेवर लीग की स्थापना, D) अंतर्राष्ट्रीय कोचिंग कार्यक्रमों का शुभारंभ")</f>
        <v>A) एशियाई खेलों में शामिल करना, B) विश्व धोप खेल महासंघ का गठन, C) एक पेशेवर लीग की स्थापना, D) अंतर्राष्ट्रीय कोचिंग कार्यक्रमों का शुभारंभ</v>
      </c>
      <c r="I67" s="5" t="str">
        <f>IFERROR(__xludf.DUMMYFUNCTION("GOOGLETRANSLATE(D67, ""en"", ""hi"")"),"B) विश्व धोप खेल महासंघ का गठन")</f>
        <v>B) विश्व धोप खेल महासंघ का गठन</v>
      </c>
    </row>
    <row r="68" ht="22.5" customHeight="1">
      <c r="A68" s="3">
        <v>67.0</v>
      </c>
      <c r="B68" s="4" t="s">
        <v>5987</v>
      </c>
      <c r="C68" s="4" t="s">
        <v>5988</v>
      </c>
      <c r="D68" s="4" t="s">
        <v>5989</v>
      </c>
      <c r="F68" s="5" t="str">
        <f>IFERROR(__xludf.DUMMYFUNCTION("GOOGLETRANSLATE(A68, ""en"", ""hi"")"),"67")</f>
        <v>67</v>
      </c>
      <c r="G68" s="5" t="str">
        <f>IFERROR(__xludf.DUMMYFUNCTION("GOOGLETRANSLATE(B68, ""en"", ""hi"")"),"'डबल डॉज' तकनीक विकसित करने का श्रेय किस धोप खेल खिलाड़ी को दिया जाता है?")</f>
        <v>'डबल डॉज' तकनीक विकसित करने का श्रेय किस धोप खेल खिलाड़ी को दिया जाता है?</v>
      </c>
      <c r="H68" s="5" t="str">
        <f>IFERROR(__xludf.DUMMYFUNCTION("GOOGLETRANSLATE(C68, ""en"", ""hi"")"),"A) अनिल शर्मा, B) राजीव पटेल, C) अरविंद कुमार, D) दीपक वर्मा")</f>
        <v>A) अनिल शर्मा, B) राजीव पटेल, C) अरविंद कुमार, D) दीपक वर्मा</v>
      </c>
      <c r="I68" s="5" t="str">
        <f>IFERROR(__xludf.DUMMYFUNCTION("GOOGLETRANSLATE(D68, ""en"", ""hi"")"),"C) अरविंद कुमार")</f>
        <v>C) अरविंद कुमार</v>
      </c>
    </row>
    <row r="69" ht="22.5" customHeight="1">
      <c r="A69" s="3">
        <v>68.0</v>
      </c>
      <c r="B69" s="4" t="s">
        <v>5990</v>
      </c>
      <c r="C69" s="4" t="s">
        <v>5991</v>
      </c>
      <c r="D69" s="4" t="s">
        <v>842</v>
      </c>
      <c r="F69" s="5" t="str">
        <f>IFERROR(__xludf.DUMMYFUNCTION("GOOGLETRANSLATE(A69, ""en"", ""hi"")"),"68")</f>
        <v>68</v>
      </c>
      <c r="G69" s="5" t="str">
        <f>IFERROR(__xludf.DUMMYFUNCTION("GOOGLETRANSLATE(B69, ""en"", ""hi"")"),"1990 के दशक में किस राज्य ने अपने विश्वविद्यालय खेल कार्यक्रमों के एक भाग के रूप में धोप खेल की शुरुआत की?")</f>
        <v>1990 के दशक में किस राज्य ने अपने विश्वविद्यालय खेल कार्यक्रमों के एक भाग के रूप में धोप खेल की शुरुआत की?</v>
      </c>
      <c r="H69" s="5" t="str">
        <f>IFERROR(__xludf.DUMMYFUNCTION("GOOGLETRANSLATE(C69, ""en"", ""hi"")"),"ए) गुजरात, बी) कर्नाटक, सी) महाराष्ट्र, डी) पश्चिम बंगाल")</f>
        <v>ए) गुजरात, बी) कर्नाटक, सी) महाराष्ट्र, डी) पश्चिम बंगाल</v>
      </c>
      <c r="I69" s="5" t="str">
        <f>IFERROR(__xludf.DUMMYFUNCTION("GOOGLETRANSLATE(D69, ""en"", ""hi"")"),"C) महाराष्ट्र")</f>
        <v>C) महाराष्ट्र</v>
      </c>
    </row>
    <row r="70" ht="22.5" customHeight="1">
      <c r="A70" s="3">
        <v>69.0</v>
      </c>
      <c r="B70" s="4" t="s">
        <v>5992</v>
      </c>
      <c r="C70" s="4" t="s">
        <v>5993</v>
      </c>
      <c r="D70" s="4" t="s">
        <v>5994</v>
      </c>
      <c r="F70" s="5" t="str">
        <f>IFERROR(__xludf.DUMMYFUNCTION("GOOGLETRANSLATE(A70, ""en"", ""hi"")"),"69")</f>
        <v>69</v>
      </c>
      <c r="G70" s="5" t="str">
        <f>IFERROR(__xludf.DUMMYFUNCTION("GOOGLETRANSLATE(B70, ""en"", ""hi"")"),"धोप खेल की कौन सी पारंपरिक चाल है जिसमें खिलाड़ी टैग से बचने के लिए तेजी से दिशा बदलता है?")</f>
        <v>धोप खेल की कौन सी पारंपरिक चाल है जिसमें खिलाड़ी टैग से बचने के लिए तेजी से दिशा बदलता है?</v>
      </c>
      <c r="H70" s="5" t="str">
        <f>IFERROR(__xludf.DUMMYFUNCTION("GOOGLETRANSLATE(C70, ""en"", ""hi"")"),"ए) स्पिन मूव, बी) क्विक टर्न, सी) हाई लीप, डी) ग्राउंड स्लाइड")</f>
        <v>ए) स्पिन मूव, बी) क्विक टर्न, सी) हाई लीप, डी) ग्राउंड स्लाइड</v>
      </c>
      <c r="I70" s="5" t="str">
        <f>IFERROR(__xludf.DUMMYFUNCTION("GOOGLETRANSLATE(D70, ""en"", ""hi"")"),"बी) त्वरित मोड़")</f>
        <v>बी) त्वरित मोड़</v>
      </c>
    </row>
    <row r="71" ht="22.5" customHeight="1">
      <c r="A71" s="3">
        <v>70.0</v>
      </c>
      <c r="B71" s="4" t="s">
        <v>5995</v>
      </c>
      <c r="C71" s="4" t="s">
        <v>5996</v>
      </c>
      <c r="D71" s="4" t="s">
        <v>5997</v>
      </c>
      <c r="F71" s="5" t="str">
        <f>IFERROR(__xludf.DUMMYFUNCTION("GOOGLETRANSLATE(A71, ""en"", ""hi"")"),"70")</f>
        <v>70</v>
      </c>
      <c r="G71" s="5" t="str">
        <f>IFERROR(__xludf.DUMMYFUNCTION("GOOGLETRANSLATE(B71, ""en"", ""hi"")"),"राजस्थान में अपने शासनकाल के दौरान धोप खेल खेलने के लिए किस ऐतिहासिक व्यक्ति को जाना जाता है?")</f>
        <v>राजस्थान में अपने शासनकाल के दौरान धोप खेल खेलने के लिए किस ऐतिहासिक व्यक्ति को जाना जाता है?</v>
      </c>
      <c r="H71" s="5" t="str">
        <f>IFERROR(__xludf.DUMMYFUNCTION("GOOGLETRANSLATE(C71, ""en"", ""hi"")"),"ए) महाराजा जय सिंह, बी) महाराजा रणजीत सिंह, सी) महाराजा सवाई मान सिंह, डी) महाराजा शिवाजी")</f>
        <v>ए) महाराजा जय सिंह, बी) महाराजा रणजीत सिंह, सी) महाराजा सवाई मान सिंह, डी) महाराजा शिवाजी</v>
      </c>
      <c r="I71" s="5" t="str">
        <f>IFERROR(__xludf.DUMMYFUNCTION("GOOGLETRANSLATE(D71, ""en"", ""hi"")"),"A) महाराजा जय सिंह")</f>
        <v>A) महाराजा जय सिंह</v>
      </c>
    </row>
    <row r="72" ht="22.5" customHeight="1">
      <c r="A72" s="3">
        <v>71.0</v>
      </c>
      <c r="B72" s="4" t="s">
        <v>5998</v>
      </c>
      <c r="C72" s="4" t="s">
        <v>5999</v>
      </c>
      <c r="D72" s="4" t="s">
        <v>4081</v>
      </c>
      <c r="F72" s="5" t="str">
        <f>IFERROR(__xludf.DUMMYFUNCTION("GOOGLETRANSLATE(A72, ""en"", ""hi"")"),"71")</f>
        <v>71</v>
      </c>
      <c r="G72" s="5" t="str">
        <f>IFERROR(__xludf.DUMMYFUNCTION("GOOGLETRANSLATE(B72, ""en"", ""hi"")"),"2011 में मुंबई में आयोजित धोप खेल टूर्नामेंट का विजेता कौन था?")</f>
        <v>2011 में मुंबई में आयोजित धोप खेल टूर्नामेंट का विजेता कौन था?</v>
      </c>
      <c r="H72" s="5" t="str">
        <f>IFERROR(__xludf.DUMMYFUNCTION("GOOGLETRANSLATE(C72, ""en"", ""hi"")"),"A) दिल्ली, B) महाराष्ट्र, C) राजस्थान, D) पंजाब")</f>
        <v>A) दिल्ली, B) महाराष्ट्र, C) राजस्थान, D) पंजाब</v>
      </c>
      <c r="I72" s="5" t="str">
        <f>IFERROR(__xludf.DUMMYFUNCTION("GOOGLETRANSLATE(D72, ""en"", ""hi"")"),"C) राजस्थान")</f>
        <v>C) राजस्थान</v>
      </c>
    </row>
    <row r="73" ht="22.5" customHeight="1">
      <c r="A73" s="3">
        <v>72.0</v>
      </c>
      <c r="B73" s="4" t="s">
        <v>6000</v>
      </c>
      <c r="C73" s="4" t="s">
        <v>6001</v>
      </c>
      <c r="D73" s="4" t="s">
        <v>6002</v>
      </c>
      <c r="F73" s="5" t="str">
        <f>IFERROR(__xludf.DUMMYFUNCTION("GOOGLETRANSLATE(A73, ""en"", ""hi"")"),"72")</f>
        <v>72</v>
      </c>
      <c r="G73" s="5" t="str">
        <f>IFERROR(__xludf.DUMMYFUNCTION("GOOGLETRANSLATE(B73, ""en"", ""hi"")"),"धोप खेल का कौन सा खिलाड़ी एक ही मैच में 100 अंक बनाने वाला पहला खिलाड़ी था?")</f>
        <v>धोप खेल का कौन सा खिलाड़ी एक ही मैच में 100 अंक बनाने वाला पहला खिलाड़ी था?</v>
      </c>
      <c r="H73" s="5" t="str">
        <f>IFERROR(__xludf.DUMMYFUNCTION("GOOGLETRANSLATE(C73, ""en"", ""hi"")"),"A) रमेश कुमार, B) अनिल शर्मा, C) रवि पटेल, D) सुनील जोशी")</f>
        <v>A) रमेश कुमार, B) अनिल शर्मा, C) रवि पटेल, D) सुनील जोशी</v>
      </c>
      <c r="I73" s="5" t="str">
        <f>IFERROR(__xludf.DUMMYFUNCTION("GOOGLETRANSLATE(D73, ""en"", ""hi"")"),"A) रमेश कुमार")</f>
        <v>A) रमेश कुमार</v>
      </c>
    </row>
    <row r="74" ht="22.5" customHeight="1">
      <c r="A74" s="3">
        <v>73.0</v>
      </c>
      <c r="B74" s="4" t="s">
        <v>6003</v>
      </c>
      <c r="C74" s="4" t="s">
        <v>6004</v>
      </c>
      <c r="D74" s="4" t="s">
        <v>6005</v>
      </c>
      <c r="F74" s="5" t="str">
        <f>IFERROR(__xludf.DUMMYFUNCTION("GOOGLETRANSLATE(A74, ""en"", ""hi"")"),"73")</f>
        <v>73</v>
      </c>
      <c r="G74" s="5" t="str">
        <f>IFERROR(__xludf.DUMMYFUNCTION("GOOGLETRANSLATE(B74, ""en"", ""hi"")"),"धोप खेल मैच में रेफरी का पारंपरिक नाम क्या है?")</f>
        <v>धोप खेल मैच में रेफरी का पारंपरिक नाम क्या है?</v>
      </c>
      <c r="H74" s="5" t="str">
        <f>IFERROR(__xludf.DUMMYFUNCTION("GOOGLETRANSLATE(C74, ""en"", ""hi"")"),"A) अंपायर, B) रेफरी, C) जज, D) अधिकारी")</f>
        <v>A) अंपायर, B) रेफरी, C) जज, D) अधिकारी</v>
      </c>
      <c r="I74" s="5" t="str">
        <f>IFERROR(__xludf.DUMMYFUNCTION("GOOGLETRANSLATE(D74, ""en"", ""hi"")"),"ए) अंपायर")</f>
        <v>ए) अंपायर</v>
      </c>
    </row>
    <row r="75" ht="22.5" customHeight="1">
      <c r="A75" s="3">
        <v>74.0</v>
      </c>
      <c r="B75" s="4" t="s">
        <v>6006</v>
      </c>
      <c r="C75" s="4" t="s">
        <v>6007</v>
      </c>
      <c r="D75" s="4" t="s">
        <v>4081</v>
      </c>
      <c r="F75" s="5" t="str">
        <f>IFERROR(__xludf.DUMMYFUNCTION("GOOGLETRANSLATE(A75, ""en"", ""hi"")"),"74")</f>
        <v>74</v>
      </c>
      <c r="G75" s="5" t="str">
        <f>IFERROR(__xludf.DUMMYFUNCTION("GOOGLETRANSLATE(B75, ""en"", ""hi"")"),"भारत में कौन सा राज्य सबसे अधिक धोप खेल अकादमियों के लिए जाना जाता है?")</f>
        <v>भारत में कौन सा राज्य सबसे अधिक धोप खेल अकादमियों के लिए जाना जाता है?</v>
      </c>
      <c r="H75" s="5" t="str">
        <f>IFERROR(__xludf.DUMMYFUNCTION("GOOGLETRANSLATE(C75, ""en"", ""hi"")"),"A) पंजाब, B) हरियाणा, C) राजस्थान, D) गुजरात")</f>
        <v>A) पंजाब, B) हरियाणा, C) राजस्थान, D) गुजरात</v>
      </c>
      <c r="I75" s="5" t="str">
        <f>IFERROR(__xludf.DUMMYFUNCTION("GOOGLETRANSLATE(D75, ""en"", ""hi"")"),"C) राजस्थान")</f>
        <v>C) राजस्थान</v>
      </c>
    </row>
    <row r="76" ht="22.5" customHeight="1">
      <c r="A76" s="3">
        <v>75.0</v>
      </c>
      <c r="B76" s="4" t="s">
        <v>6008</v>
      </c>
      <c r="C76" s="4" t="s">
        <v>6009</v>
      </c>
      <c r="D76" s="4" t="s">
        <v>6010</v>
      </c>
      <c r="F76" s="5" t="str">
        <f>IFERROR(__xludf.DUMMYFUNCTION("GOOGLETRANSLATE(A76, ""en"", ""hi"")"),"75")</f>
        <v>75</v>
      </c>
      <c r="G76" s="5" t="str">
        <f>IFERROR(__xludf.DUMMYFUNCTION("GOOGLETRANSLATE(B76, ""en"", ""hi"")"),"धोप खेल में बचाव दल का मुख्य उद्देश्य क्या है?")</f>
        <v>धोप खेल में बचाव दल का मुख्य उद्देश्य क्या है?</v>
      </c>
      <c r="H76" s="5" t="str">
        <f>IFERROR(__xludf.DUMMYFUNCTION("GOOGLETRANSLATE(C76, ""en"", ""hi"")"),"A) सभी विरोधी खिलाड़ियों को टैग करना, B) गेंद पर कब्ज़ा बनाए रखना, C) सबसे अधिक अंक प्राप्त करना, D) आक्रामक टीम को स्कोर करने से रोकना")</f>
        <v>A) सभी विरोधी खिलाड़ियों को टैग करना, B) गेंद पर कब्ज़ा बनाए रखना, C) सबसे अधिक अंक प्राप्त करना, D) आक्रामक टीम को स्कोर करने से रोकना</v>
      </c>
      <c r="I76" s="5" t="str">
        <f>IFERROR(__xludf.DUMMYFUNCTION("GOOGLETRANSLATE(D76, ""en"", ""hi"")"),"D) आक्रामक टीम को स्कोर करने से रोकने के लिए")</f>
        <v>D) आक्रामक टीम को स्कोर करने से रोकने के लिए</v>
      </c>
    </row>
    <row r="77" ht="22.5" customHeight="1">
      <c r="A77" s="3">
        <v>76.0</v>
      </c>
      <c r="B77" s="4" t="s">
        <v>6011</v>
      </c>
      <c r="C77" s="4" t="s">
        <v>6012</v>
      </c>
      <c r="D77" s="4" t="s">
        <v>6013</v>
      </c>
      <c r="F77" s="5" t="str">
        <f>IFERROR(__xludf.DUMMYFUNCTION("GOOGLETRANSLATE(A77, ""en"", ""hi"")"),"76")</f>
        <v>76</v>
      </c>
      <c r="G77" s="5" t="str">
        <f>IFERROR(__xludf.DUMMYFUNCTION("GOOGLETRANSLATE(B77, ""en"", ""hi"")"),"2019 अंतर्राष्ट्रीय धोप खेल कप में किस भारतीय खिलाड़ी को सर्वश्रेष्ठ खिलाड़ी का पुरस्कार दिया गया?")</f>
        <v>2019 अंतर्राष्ट्रीय धोप खेल कप में किस भारतीय खिलाड़ी को सर्वश्रेष्ठ खिलाड़ी का पुरस्कार दिया गया?</v>
      </c>
      <c r="H77" s="5" t="str">
        <f>IFERROR(__xludf.DUMMYFUNCTION("GOOGLETRANSLATE(C77, ""en"", ""hi"")"),"ए) मनोज यादव, बी) सुनील कुमार, सी) राजीव पटेल, डी) दीपक मेहता")</f>
        <v>ए) मनोज यादव, बी) सुनील कुमार, सी) राजीव पटेल, डी) दीपक मेहता</v>
      </c>
      <c r="I77" s="5" t="str">
        <f>IFERROR(__xludf.DUMMYFUNCTION("GOOGLETRANSLATE(D77, ""en"", ""hi"")"),"D) दीपक मेहता")</f>
        <v>D) दीपक मेहता</v>
      </c>
    </row>
    <row r="78" ht="22.5" customHeight="1">
      <c r="A78" s="3">
        <v>77.0</v>
      </c>
      <c r="B78" s="4" t="s">
        <v>6014</v>
      </c>
      <c r="C78" s="4" t="s">
        <v>6015</v>
      </c>
      <c r="D78" s="4" t="s">
        <v>6016</v>
      </c>
      <c r="F78" s="5" t="str">
        <f>IFERROR(__xludf.DUMMYFUNCTION("GOOGLETRANSLATE(A78, ""en"", ""hi"")"),"77")</f>
        <v>77</v>
      </c>
      <c r="G78" s="5" t="str">
        <f>IFERROR(__xludf.DUMMYFUNCTION("GOOGLETRANSLATE(B78, ""en"", ""hi"")"),"किस धोप खेल खिलाड़ी के नाम एक सत्र में सर्वाधिक रक्षात्मक खेल खेलने का रिकार्ड है?")</f>
        <v>किस धोप खेल खिलाड़ी के नाम एक सत्र में सर्वाधिक रक्षात्मक खेल खेलने का रिकार्ड है?</v>
      </c>
      <c r="H78" s="5" t="str">
        <f>IFERROR(__xludf.DUMMYFUNCTION("GOOGLETRANSLATE(C78, ""en"", ""hi"")"),"A) राजेश यादव, B) अरविंद पटेल, C) रमेश सिंह, D) मोहन कुमार")</f>
        <v>A) राजेश यादव, B) अरविंद पटेल, C) रमेश सिंह, D) मोहन कुमार</v>
      </c>
      <c r="I78" s="5" t="str">
        <f>IFERROR(__xludf.DUMMYFUNCTION("GOOGLETRANSLATE(D78, ""en"", ""hi"")"),"A) राजेश यादव")</f>
        <v>A) राजेश यादव</v>
      </c>
    </row>
    <row r="79" ht="22.5" customHeight="1">
      <c r="A79" s="3">
        <v>78.0</v>
      </c>
      <c r="B79" s="4" t="s">
        <v>6017</v>
      </c>
      <c r="C79" s="4" t="s">
        <v>5834</v>
      </c>
      <c r="D79" s="4" t="s">
        <v>5835</v>
      </c>
      <c r="F79" s="5" t="str">
        <f>IFERROR(__xludf.DUMMYFUNCTION("GOOGLETRANSLATE(A79, ""en"", ""hi"")"),"78")</f>
        <v>78</v>
      </c>
      <c r="G79" s="5" t="str">
        <f>IFERROR(__xludf.DUMMYFUNCTION("GOOGLETRANSLATE(B79, ""en"", ""hi"")"),"समय की दृष्टि से धोप खेल मैच की पारंपरिक लंबाई कितनी होती है?")</f>
        <v>समय की दृष्टि से धोप खेल मैच की पारंपरिक लंबाई कितनी होती है?</v>
      </c>
      <c r="H79" s="5" t="str">
        <f>IFERROR(__xludf.DUMMYFUNCTION("GOOGLETRANSLATE(C79, ""en"", ""hi"")"),"A) 30 मिनट, B) 45 मिनट, C) 60 मिनट, D) 90 मिनट")</f>
        <v>A) 30 मिनट, B) 45 मिनट, C) 60 मिनट, D) 90 मिनट</v>
      </c>
      <c r="I79" s="5" t="str">
        <f>IFERROR(__xludf.DUMMYFUNCTION("GOOGLETRANSLATE(D79, ""en"", ""hi"")"),"बी) 45 मिनट")</f>
        <v>बी) 45 मिनट</v>
      </c>
    </row>
    <row r="80" ht="22.5" customHeight="1">
      <c r="A80" s="3">
        <v>79.0</v>
      </c>
      <c r="B80" s="4" t="s">
        <v>6018</v>
      </c>
      <c r="C80" s="4" t="s">
        <v>6019</v>
      </c>
      <c r="D80" s="4" t="s">
        <v>5840</v>
      </c>
      <c r="F80" s="5" t="str">
        <f>IFERROR(__xludf.DUMMYFUNCTION("GOOGLETRANSLATE(A80, ""en"", ""hi"")"),"79")</f>
        <v>79</v>
      </c>
      <c r="G80" s="5" t="str">
        <f>IFERROR(__xludf.DUMMYFUNCTION("GOOGLETRANSLATE(B80, ""en"", ""hi"")"),"2000 के दशक में कौन सा धोप खेल खिलाड़ी अपनी आक्रामक आक्रमण शैली के लिए जाना जाता था?")</f>
        <v>2000 के दशक में कौन सा धोप खेल खिलाड़ी अपनी आक्रामक आक्रमण शैली के लिए जाना जाता था?</v>
      </c>
      <c r="H80" s="5" t="str">
        <f>IFERROR(__xludf.DUMMYFUNCTION("GOOGLETRANSLATE(C80, ""en"", ""hi"")"),"A) रवि कुमार, B) अनिल शर्मा, C) विजय पटेल, D) मोहित सिंह")</f>
        <v>A) रवि कुमार, B) अनिल शर्मा, C) विजय पटेल, D) मोहित सिंह</v>
      </c>
      <c r="I80" s="5" t="str">
        <f>IFERROR(__xludf.DUMMYFUNCTION("GOOGLETRANSLATE(D80, ""en"", ""hi"")"),"बी) अनिल शर्मा")</f>
        <v>बी) अनिल शर्मा</v>
      </c>
    </row>
    <row r="81" ht="22.5" customHeight="1">
      <c r="A81" s="3">
        <v>80.0</v>
      </c>
      <c r="B81" s="4" t="s">
        <v>6020</v>
      </c>
      <c r="C81" s="4" t="s">
        <v>5906</v>
      </c>
      <c r="D81" s="4" t="s">
        <v>6021</v>
      </c>
      <c r="F81" s="5" t="str">
        <f>IFERROR(__xludf.DUMMYFUNCTION("GOOGLETRANSLATE(A81, ""en"", ""hi"")"),"80")</f>
        <v>80</v>
      </c>
      <c r="G81" s="5" t="str">
        <f>IFERROR(__xludf.DUMMYFUNCTION("GOOGLETRANSLATE(B81, ""en"", ""hi"")"),"धोप खेल ने पहली बार किस वर्ष अपनी चैंपियनशिप में अंतर्राष्ट्रीय टीमों को शामिल किया?")</f>
        <v>धोप खेल ने पहली बार किस वर्ष अपनी चैंपियनशिप में अंतर्राष्ट्रीय टीमों को शामिल किया?</v>
      </c>
      <c r="H81" s="5" t="str">
        <f>IFERROR(__xludf.DUMMYFUNCTION("GOOGLETRANSLATE(C81, ""en"", ""hi"")"),"ए) 2010, बी) 2012, सी) 2014, डी) 2016")</f>
        <v>ए) 2010, बी) 2012, सी) 2014, डी) 2016</v>
      </c>
      <c r="I81" s="5" t="str">
        <f>IFERROR(__xludf.DUMMYFUNCTION("GOOGLETRANSLATE(D81, ""en"", ""hi"")"),"ए) 2010")</f>
        <v>ए) 2010</v>
      </c>
    </row>
    <row r="82" ht="22.5" customHeight="1">
      <c r="A82" s="3">
        <v>81.0</v>
      </c>
      <c r="B82" s="4" t="s">
        <v>6022</v>
      </c>
      <c r="C82" s="4" t="s">
        <v>5901</v>
      </c>
      <c r="D82" s="4" t="s">
        <v>4081</v>
      </c>
      <c r="F82" s="5" t="str">
        <f>IFERROR(__xludf.DUMMYFUNCTION("GOOGLETRANSLATE(A82, ""en"", ""hi"")"),"81")</f>
        <v>81</v>
      </c>
      <c r="G82" s="5" t="str">
        <f>IFERROR(__xludf.DUMMYFUNCTION("GOOGLETRANSLATE(B82, ""en"", ""hi"")"),"कौन सी धोप खेल टीम अपनी मजबूत रक्षात्मक रणनीतियों के लिए जानी जाती है और उसने कई राष्ट्रीय खिताब जीते हैं?")</f>
        <v>कौन सी धोप खेल टीम अपनी मजबूत रक्षात्मक रणनीतियों के लिए जानी जाती है और उसने कई राष्ट्रीय खिताब जीते हैं?</v>
      </c>
      <c r="H82" s="5" t="str">
        <f>IFERROR(__xludf.DUMMYFUNCTION("GOOGLETRANSLATE(C82, ""en"", ""hi"")"),"ए) पंजाब, बी) हरियाणा, सी) राजस्थान, डी) उत्तर प्रदेश")</f>
        <v>ए) पंजाब, बी) हरियाणा, सी) राजस्थान, डी) उत्तर प्रदेश</v>
      </c>
      <c r="I82" s="5" t="str">
        <f>IFERROR(__xludf.DUMMYFUNCTION("GOOGLETRANSLATE(D82, ""en"", ""hi"")"),"C) राजस्थान")</f>
        <v>C) राजस्थान</v>
      </c>
    </row>
    <row r="83" ht="22.5" customHeight="1">
      <c r="A83" s="3">
        <v>82.0</v>
      </c>
      <c r="B83" s="4" t="s">
        <v>6023</v>
      </c>
      <c r="C83" s="4" t="s">
        <v>6024</v>
      </c>
      <c r="D83" s="4" t="s">
        <v>6025</v>
      </c>
      <c r="F83" s="5" t="str">
        <f>IFERROR(__xludf.DUMMYFUNCTION("GOOGLETRANSLATE(A83, ""en"", ""hi"")"),"82")</f>
        <v>82</v>
      </c>
      <c r="G83" s="5" t="str">
        <f>IFERROR(__xludf.DUMMYFUNCTION("GOOGLETRANSLATE(B83, ""en"", ""hi"")"),"ऐसा माना जाता है कि कौन सी प्रसिद्ध ऐतिहासिक लड़ाई धोप खेल रणनीतियों से प्रभावित थी?")</f>
        <v>ऐसा माना जाता है कि कौन सी प्रसिद्ध ऐतिहासिक लड़ाई धोप खेल रणनीतियों से प्रभावित थी?</v>
      </c>
      <c r="H83" s="5" t="str">
        <f>IFERROR(__xludf.DUMMYFUNCTION("GOOGLETRANSLATE(C83, ""en"", ""hi"")"),"A) पानीपत का युद्ध, B) प्लासी का युद्ध, C) हल्दीघाटी का युद्ध, D) बक्सर का युद्ध")</f>
        <v>A) पानीपत का युद्ध, B) प्लासी का युद्ध, C) हल्दीघाटी का युद्ध, D) बक्सर का युद्ध</v>
      </c>
      <c r="I83" s="5" t="str">
        <f>IFERROR(__xludf.DUMMYFUNCTION("GOOGLETRANSLATE(D83, ""en"", ""hi"")"),"C) हल्दीघाटी का युद्ध")</f>
        <v>C) हल्दीघाटी का युद्ध</v>
      </c>
    </row>
    <row r="84" ht="22.5" customHeight="1">
      <c r="A84" s="3">
        <v>83.0</v>
      </c>
      <c r="B84" s="4" t="s">
        <v>6026</v>
      </c>
      <c r="C84" s="4" t="s">
        <v>6027</v>
      </c>
      <c r="D84" s="4" t="s">
        <v>6028</v>
      </c>
      <c r="F84" s="5" t="str">
        <f>IFERROR(__xludf.DUMMYFUNCTION("GOOGLETRANSLATE(A84, ""en"", ""hi"")"),"83")</f>
        <v>83</v>
      </c>
      <c r="G84" s="5" t="str">
        <f>IFERROR(__xludf.DUMMYFUNCTION("GOOGLETRANSLATE(B84, ""en"", ""hi"")"),"कौन सा धोप खेल खिलाड़ी 'डबल टैग' चाल के अपने असाधारण उपयोग के लिए जाना जाता है?")</f>
        <v>कौन सा धोप खेल खिलाड़ी 'डबल टैग' चाल के अपने असाधारण उपयोग के लिए जाना जाता है?</v>
      </c>
      <c r="H84" s="5" t="str">
        <f>IFERROR(__xludf.DUMMYFUNCTION("GOOGLETRANSLATE(C84, ""en"", ""hi"")"),"A) राजीव कुमार, B) रमेश पटेल, C) मोहन शर्मा, D) सुनील सिंह")</f>
        <v>A) राजीव कुमार, B) रमेश पटेल, C) मोहन शर्मा, D) सुनील सिंह</v>
      </c>
      <c r="I84" s="5" t="str">
        <f>IFERROR(__xludf.DUMMYFUNCTION("GOOGLETRANSLATE(D84, ""en"", ""hi"")"),"A) राजीव कुमार")</f>
        <v>A) राजीव कुमार</v>
      </c>
    </row>
    <row r="85" ht="22.5" customHeight="1">
      <c r="A85" s="3">
        <v>84.0</v>
      </c>
      <c r="B85" s="4" t="s">
        <v>6029</v>
      </c>
      <c r="C85" s="4" t="s">
        <v>813</v>
      </c>
      <c r="D85" s="4" t="s">
        <v>5227</v>
      </c>
      <c r="F85" s="5" t="str">
        <f>IFERROR(__xludf.DUMMYFUNCTION("GOOGLETRANSLATE(A85, ""en"", ""hi"")"),"84")</f>
        <v>84</v>
      </c>
      <c r="G85" s="5" t="str">
        <f>IFERROR(__xludf.DUMMYFUNCTION("GOOGLETRANSLATE(B85, ""en"", ""hi"")"),"धोप खेल में पहली बार मानकीकृत स्कोरिंग प्रणाली किस वर्ष शुरू की गई थी?")</f>
        <v>धोप खेल में पहली बार मानकीकृत स्कोरिंग प्रणाली किस वर्ष शुरू की गई थी?</v>
      </c>
      <c r="H85" s="5" t="str">
        <f>IFERROR(__xludf.DUMMYFUNCTION("GOOGLETRANSLATE(C85, ""en"", ""hi"")"),"ए) 1980, बी) 1990, सी) 2000, डी) 2010")</f>
        <v>ए) 1980, बी) 1990, सी) 2000, डी) 2010</v>
      </c>
      <c r="I85" s="5" t="str">
        <f>IFERROR(__xludf.DUMMYFUNCTION("GOOGLETRANSLATE(D85, ""en"", ""hi"")"),"सी) 2000")</f>
        <v>सी) 2000</v>
      </c>
    </row>
    <row r="86" ht="22.5" customHeight="1">
      <c r="A86" s="3">
        <v>85.0</v>
      </c>
      <c r="B86" s="4" t="s">
        <v>6030</v>
      </c>
      <c r="C86" s="4" t="s">
        <v>6031</v>
      </c>
      <c r="D86" s="4" t="s">
        <v>6032</v>
      </c>
      <c r="F86" s="5" t="str">
        <f>IFERROR(__xludf.DUMMYFUNCTION("GOOGLETRANSLATE(A86, ""en"", ""hi"")"),"85")</f>
        <v>85</v>
      </c>
      <c r="G86" s="5" t="str">
        <f>IFERROR(__xludf.DUMMYFUNCTION("GOOGLETRANSLATE(B86, ""en"", ""hi"")"),"धोप खेल में 'हाई जंप डॉज' तकनीक विकसित करने के लिए कौन सा खिलाड़ी जाना जाता है?")</f>
        <v>धोप खेल में 'हाई जंप डॉज' तकनीक विकसित करने के लिए कौन सा खिलाड़ी जाना जाता है?</v>
      </c>
      <c r="H86" s="5" t="str">
        <f>IFERROR(__xludf.DUMMYFUNCTION("GOOGLETRANSLATE(C86, ""en"", ""hi"")"),"A) अनिल यादव, B) राजेश कुमार, C) मोहित पटेल, D) रमेश सिंह")</f>
        <v>A) अनिल यादव, B) राजेश कुमार, C) मोहित पटेल, D) रमेश सिंह</v>
      </c>
      <c r="I86" s="5" t="str">
        <f>IFERROR(__xludf.DUMMYFUNCTION("GOOGLETRANSLATE(D86, ""en"", ""hi"")"),"बी) राजेश कुमार")</f>
        <v>बी) राजेश कुमार</v>
      </c>
    </row>
    <row r="87" ht="22.5" customHeight="1">
      <c r="A87" s="3">
        <v>86.0</v>
      </c>
      <c r="B87" s="4" t="s">
        <v>6033</v>
      </c>
      <c r="C87" s="4" t="s">
        <v>6034</v>
      </c>
      <c r="D87" s="4" t="s">
        <v>6035</v>
      </c>
      <c r="F87" s="5" t="str">
        <f>IFERROR(__xludf.DUMMYFUNCTION("GOOGLETRANSLATE(A87, ""en"", ""hi"")"),"86")</f>
        <v>86</v>
      </c>
      <c r="G87" s="5" t="str">
        <f>IFERROR(__xludf.DUMMYFUNCTION("GOOGLETRANSLATE(B87, ""en"", ""hi"")"),"कौन सा भारतीय शहर वार्षिक धोप खेल उत्सव की मेजबानी के लिए जाना जाता है?")</f>
        <v>कौन सा भारतीय शहर वार्षिक धोप खेल उत्सव की मेजबानी के लिए जाना जाता है?</v>
      </c>
      <c r="H87" s="5" t="str">
        <f>IFERROR(__xludf.DUMMYFUNCTION("GOOGLETRANSLATE(C87, ""en"", ""hi"")"),"A) उदयपुर, B) जयपुर, C) दिल्ली, D) मुंबई")</f>
        <v>A) उदयपुर, B) जयपुर, C) दिल्ली, D) मुंबई</v>
      </c>
      <c r="I87" s="5" t="str">
        <f>IFERROR(__xludf.DUMMYFUNCTION("GOOGLETRANSLATE(D87, ""en"", ""hi"")"),"ए) उदयपुर")</f>
        <v>ए) उदयपुर</v>
      </c>
    </row>
    <row r="88" ht="22.5" customHeight="1">
      <c r="A88" s="3">
        <v>87.0</v>
      </c>
      <c r="B88" s="4" t="s">
        <v>6036</v>
      </c>
      <c r="C88" s="4" t="s">
        <v>6037</v>
      </c>
      <c r="D88" s="4" t="s">
        <v>5815</v>
      </c>
      <c r="F88" s="5" t="str">
        <f>IFERROR(__xludf.DUMMYFUNCTION("GOOGLETRANSLATE(A88, ""en"", ""hi"")"),"87")</f>
        <v>87</v>
      </c>
      <c r="G88" s="5" t="str">
        <f>IFERROR(__xludf.DUMMYFUNCTION("GOOGLETRANSLATE(B88, ""en"", ""hi"")"),"किस भारतीय राज्य में सबसे पुरानी धोप खेल परंपराएं और टूर्नामेंट हैं?")</f>
        <v>किस भारतीय राज्य में सबसे पुरानी धोप खेल परंपराएं और टूर्नामेंट हैं?</v>
      </c>
      <c r="H88" s="5" t="str">
        <f>IFERROR(__xludf.DUMMYFUNCTION("GOOGLETRANSLATE(C88, ""en"", ""hi"")"),"A) हरियाणा, B) गुजरात, C) पंजाब, D) राजस्थान")</f>
        <v>A) हरियाणा, B) गुजरात, C) पंजाब, D) राजस्थान</v>
      </c>
      <c r="I88" s="5" t="str">
        <f>IFERROR(__xludf.DUMMYFUNCTION("GOOGLETRANSLATE(D88, ""en"", ""hi"")"),"D) राजस्थान")</f>
        <v>D) राजस्थान</v>
      </c>
    </row>
    <row r="89" ht="22.5" customHeight="1">
      <c r="A89" s="3">
        <v>88.0</v>
      </c>
      <c r="B89" s="4" t="s">
        <v>6038</v>
      </c>
      <c r="C89" s="4" t="s">
        <v>6039</v>
      </c>
      <c r="D89" s="4" t="s">
        <v>6040</v>
      </c>
      <c r="F89" s="5" t="str">
        <f>IFERROR(__xludf.DUMMYFUNCTION("GOOGLETRANSLATE(A89, ""en"", ""hi"")"),"88")</f>
        <v>88</v>
      </c>
      <c r="G89" s="5" t="str">
        <f>IFERROR(__xludf.DUMMYFUNCTION("GOOGLETRANSLATE(B89, ""en"", ""hi"")"),"धोप खेल मैचों में सबसे आम चोट क्या है?")</f>
        <v>धोप खेल मैचों में सबसे आम चोट क्या है?</v>
      </c>
      <c r="H89" s="5" t="str">
        <f>IFERROR(__xludf.DUMMYFUNCTION("GOOGLETRANSLATE(C89, ""en"", ""hi"")"),"A) मोच, B) फ्रैक्चर, C) अव्यवस्था, D) मांसपेशियों में खिंचाव")</f>
        <v>A) मोच, B) फ्रैक्चर, C) अव्यवस्था, D) मांसपेशियों में खिंचाव</v>
      </c>
      <c r="I89" s="5" t="str">
        <f>IFERROR(__xludf.DUMMYFUNCTION("GOOGLETRANSLATE(D89, ""en"", ""hi"")"),"D) मांसपेशियों में खिंचाव")</f>
        <v>D) मांसपेशियों में खिंचाव</v>
      </c>
    </row>
    <row r="90" ht="22.5" customHeight="1">
      <c r="A90" s="3">
        <v>89.0</v>
      </c>
      <c r="B90" s="4" t="s">
        <v>6041</v>
      </c>
      <c r="C90" s="4" t="s">
        <v>6042</v>
      </c>
      <c r="D90" s="4" t="s">
        <v>6043</v>
      </c>
      <c r="F90" s="5" t="str">
        <f>IFERROR(__xludf.DUMMYFUNCTION("GOOGLETRANSLATE(A90, ""en"", ""hi"")"),"89")</f>
        <v>89</v>
      </c>
      <c r="G90" s="5" t="str">
        <f>IFERROR(__xludf.DUMMYFUNCTION("GOOGLETRANSLATE(B90, ""en"", ""hi"")"),"2019 धोप खेल विश्व कप में जीत के दौरान भारतीय टीम के कोच कौन थे?")</f>
        <v>2019 धोप खेल विश्व कप में जीत के दौरान भारतीय टीम के कोच कौन थे?</v>
      </c>
      <c r="H90" s="5" t="str">
        <f>IFERROR(__xludf.DUMMYFUNCTION("GOOGLETRANSLATE(C90, ""en"", ""hi"")"),"A) राजेश कुमार, B) अनिल शर्मा, C) विक्रम जोशी, D) दीपक पटेल")</f>
        <v>A) राजेश कुमार, B) अनिल शर्मा, C) विक्रम जोशी, D) दीपक पटेल</v>
      </c>
      <c r="I90" s="5" t="str">
        <f>IFERROR(__xludf.DUMMYFUNCTION("GOOGLETRANSLATE(D90, ""en"", ""hi"")"),"C) विक्रम जोशी")</f>
        <v>C) विक्रम जोशी</v>
      </c>
    </row>
    <row r="91" ht="22.5" customHeight="1">
      <c r="A91" s="3">
        <v>90.0</v>
      </c>
      <c r="B91" s="4" t="s">
        <v>6044</v>
      </c>
      <c r="C91" s="4" t="s">
        <v>6045</v>
      </c>
      <c r="D91" s="4" t="s">
        <v>6046</v>
      </c>
      <c r="F91" s="5" t="str">
        <f>IFERROR(__xludf.DUMMYFUNCTION("GOOGLETRANSLATE(A91, ""en"", ""hi"")"),"90")</f>
        <v>90</v>
      </c>
      <c r="G91" s="5" t="str">
        <f>IFERROR(__xludf.DUMMYFUNCTION("GOOGLETRANSLATE(B91, ""en"", ""hi"")"),"कौन सा धोप खेल खिलाड़ी 'फेक टैग' चाल के सफल उपयोग के लिए जाना जाता है?")</f>
        <v>कौन सा धोप खेल खिलाड़ी 'फेक टैग' चाल के सफल उपयोग के लिए जाना जाता है?</v>
      </c>
      <c r="H91" s="5" t="str">
        <f>IFERROR(__xludf.DUMMYFUNCTION("GOOGLETRANSLATE(C91, ""en"", ""hi"")"),"A) सुनील पटेल, B) रवि शर्मा, C) राजीव सिंह, D) मोहन कुमार")</f>
        <v>A) सुनील पटेल, B) रवि शर्मा, C) राजीव सिंह, D) मोहन कुमार</v>
      </c>
      <c r="I91" s="5" t="str">
        <f>IFERROR(__xludf.DUMMYFUNCTION("GOOGLETRANSLATE(D91, ""en"", ""hi"")"),"A) सुनील पटेल")</f>
        <v>A) सुनील पटेल</v>
      </c>
    </row>
    <row r="92" ht="22.5" customHeight="1">
      <c r="A92" s="3">
        <v>91.0</v>
      </c>
      <c r="B92" s="4" t="s">
        <v>6047</v>
      </c>
      <c r="C92" s="4" t="s">
        <v>2001</v>
      </c>
      <c r="D92" s="4" t="s">
        <v>612</v>
      </c>
      <c r="F92" s="5" t="str">
        <f>IFERROR(__xludf.DUMMYFUNCTION("GOOGLETRANSLATE(A92, ""en"", ""hi"")"),"91")</f>
        <v>91</v>
      </c>
      <c r="G92" s="5" t="str">
        <f>IFERROR(__xludf.DUMMYFUNCTION("GOOGLETRANSLATE(B92, ""en"", ""hi"")"),"धोप खेल ने अपना पहला आधिकारिक कोचिंग प्रमाणन कार्यक्रम किस वर्ष शुरू किया?")</f>
        <v>धोप खेल ने अपना पहला आधिकारिक कोचिंग प्रमाणन कार्यक्रम किस वर्ष शुरू किया?</v>
      </c>
      <c r="H92" s="5" t="str">
        <f>IFERROR(__xludf.DUMMYFUNCTION("GOOGLETRANSLATE(C92, ""en"", ""hi"")"),"ए) 2000, बी) 2005, सी) 2010, डी) 2015")</f>
        <v>ए) 2000, बी) 2005, सी) 2010, डी) 2015</v>
      </c>
      <c r="I92" s="5" t="str">
        <f>IFERROR(__xludf.DUMMYFUNCTION("GOOGLETRANSLATE(D92, ""en"", ""hi"")"),"बी) 2005")</f>
        <v>बी) 2005</v>
      </c>
    </row>
    <row r="93" ht="22.5" customHeight="1">
      <c r="A93" s="3">
        <v>92.0</v>
      </c>
      <c r="B93" s="4" t="s">
        <v>6048</v>
      </c>
      <c r="C93" s="4" t="s">
        <v>6049</v>
      </c>
      <c r="D93" s="4" t="s">
        <v>37</v>
      </c>
      <c r="F93" s="5" t="str">
        <f>IFERROR(__xludf.DUMMYFUNCTION("GOOGLETRANSLATE(A93, ""en"", ""hi"")"),"92")</f>
        <v>92</v>
      </c>
      <c r="G93" s="5" t="str">
        <f>IFERROR(__xludf.DUMMYFUNCTION("GOOGLETRANSLATE(B93, ""en"", ""hi"")"),"किस धोप खेल टीम के पास सबसे अधिक अंतर्राष्ट्रीय खिताब हैं?")</f>
        <v>किस धोप खेल टीम के पास सबसे अधिक अंतर्राष्ट्रीय खिताब हैं?</v>
      </c>
      <c r="H93" s="5" t="str">
        <f>IFERROR(__xludf.DUMMYFUNCTION("GOOGLETRANSLATE(C93, ""en"", ""hi"")"),"ए) भारत, बी) नेपाल, सी) पाकिस्तान, डी) श्रीलंका")</f>
        <v>ए) भारत, बी) नेपाल, सी) पाकिस्तान, डी) श्रीलंका</v>
      </c>
      <c r="I93" s="5" t="str">
        <f>IFERROR(__xludf.DUMMYFUNCTION("GOOGLETRANSLATE(D93, ""en"", ""hi"")"),"ए) भारत")</f>
        <v>ए) भारत</v>
      </c>
    </row>
    <row r="94" ht="22.5" customHeight="1">
      <c r="A94" s="3">
        <v>93.0</v>
      </c>
      <c r="B94" s="4" t="s">
        <v>6050</v>
      </c>
      <c r="C94" s="4" t="s">
        <v>4514</v>
      </c>
      <c r="D94" s="4" t="s">
        <v>842</v>
      </c>
      <c r="F94" s="5" t="str">
        <f>IFERROR(__xludf.DUMMYFUNCTION("GOOGLETRANSLATE(A94, ""en"", ""hi"")"),"93")</f>
        <v>93</v>
      </c>
      <c r="G94" s="5" t="str">
        <f>IFERROR(__xludf.DUMMYFUNCTION("GOOGLETRANSLATE(B94, ""en"", ""hi"")"),"कौन सा भारतीय राज्य पहली बार पेशेवर धोप खेल लीग शुरू करने वाला राज्य था?")</f>
        <v>कौन सा भारतीय राज्य पहली बार पेशेवर धोप खेल लीग शुरू करने वाला राज्य था?</v>
      </c>
      <c r="H94" s="5" t="str">
        <f>IFERROR(__xludf.DUMMYFUNCTION("GOOGLETRANSLATE(C94, ""en"", ""hi"")"),"ए) गुजरात, बी) कर्नाटक, सी) महाराष्ट्र, डी) तमिलनाडु")</f>
        <v>ए) गुजरात, बी) कर्नाटक, सी) महाराष्ट्र, डी) तमिलनाडु</v>
      </c>
      <c r="I94" s="5" t="str">
        <f>IFERROR(__xludf.DUMMYFUNCTION("GOOGLETRANSLATE(D94, ""en"", ""hi"")"),"C) महाराष्ट्र")</f>
        <v>C) महाराष्ट्र</v>
      </c>
    </row>
    <row r="95" ht="22.5" customHeight="1">
      <c r="A95" s="3">
        <v>94.0</v>
      </c>
      <c r="B95" s="4" t="s">
        <v>6051</v>
      </c>
      <c r="C95" s="4" t="s">
        <v>6052</v>
      </c>
      <c r="D95" s="4" t="s">
        <v>6053</v>
      </c>
      <c r="F95" s="5" t="str">
        <f>IFERROR(__xludf.DUMMYFUNCTION("GOOGLETRANSLATE(A95, ""en"", ""hi"")"),"94")</f>
        <v>94</v>
      </c>
      <c r="G95" s="5" t="str">
        <f>IFERROR(__xludf.DUMMYFUNCTION("GOOGLETRANSLATE(B95, ""en"", ""hi"")"),"पारंपरिक धोप खेल की कौन सी रणनीति है जिसमें खिलाड़ी टैग होने से बचने के लिए त्वरित, अप्रत्याशित गतिविधियां करता है?")</f>
        <v>पारंपरिक धोप खेल की कौन सी रणनीति है जिसमें खिलाड़ी टैग होने से बचने के लिए त्वरित, अप्रत्याशित गतिविधियां करता है?</v>
      </c>
      <c r="H95" s="5" t="str">
        <f>IFERROR(__xludf.DUMMYFUNCTION("GOOGLETRANSLATE(C95, ""en"", ""hi"")"),"A) यादृच्छिक पैटर्न, B) ज़िगज़ैग रन, C) त्वरित कदम, D) अनियमित गति")</f>
        <v>A) यादृच्छिक पैटर्न, B) ज़िगज़ैग रन, C) त्वरित कदम, D) अनियमित गति</v>
      </c>
      <c r="I95" s="5" t="str">
        <f>IFERROR(__xludf.DUMMYFUNCTION("GOOGLETRANSLATE(D95, ""en"", ""hi"")"),"बी) ज़िगज़ैग रन")</f>
        <v>बी) ज़िगज़ैग रन</v>
      </c>
    </row>
    <row r="96" ht="22.5" customHeight="1">
      <c r="A96" s="3">
        <v>95.0</v>
      </c>
      <c r="B96" s="4" t="s">
        <v>6054</v>
      </c>
      <c r="C96" s="4" t="s">
        <v>6055</v>
      </c>
      <c r="D96" s="4" t="s">
        <v>6056</v>
      </c>
      <c r="F96" s="5" t="str">
        <f>IFERROR(__xludf.DUMMYFUNCTION("GOOGLETRANSLATE(A96, ""en"", ""hi"")"),"95")</f>
        <v>95</v>
      </c>
      <c r="G96" s="5" t="str">
        <f>IFERROR(__xludf.DUMMYFUNCTION("GOOGLETRANSLATE(B96, ""en"", ""hi"")"),"कौन सा खिलाड़ी धोप खेल में 'डबल डॉज' के उपयोग के लिए प्रसिद्ध है?")</f>
        <v>कौन सा खिलाड़ी धोप खेल में 'डबल डॉज' के उपयोग के लिए प्रसिद्ध है?</v>
      </c>
      <c r="H96" s="5" t="str">
        <f>IFERROR(__xludf.DUMMYFUNCTION("GOOGLETRANSLATE(C96, ""en"", ""hi"")"),"A) रवि पटेल, B) सुनील मेहता, C) अरविंद शर्मा, D) अनिल कुमार")</f>
        <v>A) रवि पटेल, B) सुनील मेहता, C) अरविंद शर्मा, D) अनिल कुमार</v>
      </c>
      <c r="I96" s="5" t="str">
        <f>IFERROR(__xludf.DUMMYFUNCTION("GOOGLETRANSLATE(D96, ""en"", ""hi"")"),"D) अनिल कुमार")</f>
        <v>D) अनिल कुमार</v>
      </c>
    </row>
    <row r="97" ht="22.5" customHeight="1">
      <c r="A97" s="3">
        <v>96.0</v>
      </c>
      <c r="B97" s="4" t="s">
        <v>6057</v>
      </c>
      <c r="C97" s="4" t="s">
        <v>5901</v>
      </c>
      <c r="D97" s="4" t="s">
        <v>4081</v>
      </c>
      <c r="F97" s="5" t="str">
        <f>IFERROR(__xludf.DUMMYFUNCTION("GOOGLETRANSLATE(A97, ""en"", ""hi"")"),"96")</f>
        <v>96</v>
      </c>
      <c r="G97" s="5" t="str">
        <f>IFERROR(__xludf.DUMMYFUNCTION("GOOGLETRANSLATE(B97, ""en"", ""hi"")"),"किस भारतीय राज्य ने सबसे अधिक धोप खेल राष्ट्रीय टीम के कप्तान पैदा किए हैं?")</f>
        <v>किस भारतीय राज्य ने सबसे अधिक धोप खेल राष्ट्रीय टीम के कप्तान पैदा किए हैं?</v>
      </c>
      <c r="H97" s="5" t="str">
        <f>IFERROR(__xludf.DUMMYFUNCTION("GOOGLETRANSLATE(C97, ""en"", ""hi"")"),"ए) पंजाब, बी) हरियाणा, सी) राजस्थान, डी) उत्तर प्रदेश")</f>
        <v>ए) पंजाब, बी) हरियाणा, सी) राजस्थान, डी) उत्तर प्रदेश</v>
      </c>
      <c r="I97" s="5" t="str">
        <f>IFERROR(__xludf.DUMMYFUNCTION("GOOGLETRANSLATE(D97, ""en"", ""hi"")"),"C) राजस्थान")</f>
        <v>C) राजस्थान</v>
      </c>
    </row>
    <row r="98" ht="22.5" customHeight="1">
      <c r="A98" s="3">
        <v>97.0</v>
      </c>
      <c r="B98" s="4" t="s">
        <v>6058</v>
      </c>
      <c r="C98" s="4" t="s">
        <v>6059</v>
      </c>
      <c r="D98" s="4" t="s">
        <v>6060</v>
      </c>
      <c r="F98" s="5" t="str">
        <f>IFERROR(__xludf.DUMMYFUNCTION("GOOGLETRANSLATE(A98, ""en"", ""hi"")"),"97")</f>
        <v>97</v>
      </c>
      <c r="G98" s="5" t="str">
        <f>IFERROR(__xludf.DUMMYFUNCTION("GOOGLETRANSLATE(B98, ""en"", ""hi"")"),"2020 विश्व कप जीत के दौरान भारतीय धोप खेल टीम का कप्तान कौन था?")</f>
        <v>2020 विश्व कप जीत के दौरान भारतीय धोप खेल टीम का कप्तान कौन था?</v>
      </c>
      <c r="H98" s="5" t="str">
        <f>IFERROR(__xludf.DUMMYFUNCTION("GOOGLETRANSLATE(C98, ""en"", ""hi"")"),"ए) राजेश कुमार, बी) अनिल यादव, सी) मोहित शर्मा, डी) विजय सिंह")</f>
        <v>ए) राजेश कुमार, बी) अनिल यादव, सी) मोहित शर्मा, डी) विजय सिंह</v>
      </c>
      <c r="I98" s="5" t="str">
        <f>IFERROR(__xludf.DUMMYFUNCTION("GOOGLETRANSLATE(D98, ""en"", ""hi"")"),"D) विजय सिंह")</f>
        <v>D) विजय सिंह</v>
      </c>
    </row>
    <row r="99" ht="22.5" customHeight="1">
      <c r="A99" s="3">
        <v>98.0</v>
      </c>
      <c r="B99" s="4" t="s">
        <v>6061</v>
      </c>
      <c r="C99" s="4" t="s">
        <v>2376</v>
      </c>
      <c r="D99" s="4" t="s">
        <v>6062</v>
      </c>
      <c r="F99" s="5" t="str">
        <f>IFERROR(__xludf.DUMMYFUNCTION("GOOGLETRANSLATE(A99, ""en"", ""hi"")"),"98")</f>
        <v>98</v>
      </c>
      <c r="G99" s="5" t="str">
        <f>IFERROR(__xludf.DUMMYFUNCTION("GOOGLETRANSLATE(B99, ""en"", ""hi"")"),"भारतीय धोप खेल संघ की स्थापना किस वर्ष हुई थी?")</f>
        <v>भारतीय धोप खेल संघ की स्थापना किस वर्ष हुई थी?</v>
      </c>
      <c r="H99" s="5" t="str">
        <f>IFERROR(__xludf.DUMMYFUNCTION("GOOGLETRANSLATE(C99, ""en"", ""hi"")"),"ए) 1955, बी) 1960, सी) 1965, डी) 1970")</f>
        <v>ए) 1955, बी) 1960, सी) 1965, डी) 1970</v>
      </c>
      <c r="I99" s="5" t="str">
        <f>IFERROR(__xludf.DUMMYFUNCTION("GOOGLETRANSLATE(D99, ""en"", ""hi"")"),"सी) 1965")</f>
        <v>सी) 1965</v>
      </c>
    </row>
    <row r="100" ht="22.5" customHeight="1">
      <c r="A100" s="3">
        <v>99.0</v>
      </c>
      <c r="B100" s="4" t="s">
        <v>6063</v>
      </c>
      <c r="C100" s="4" t="s">
        <v>6064</v>
      </c>
      <c r="D100" s="4" t="s">
        <v>6065</v>
      </c>
      <c r="F100" s="5" t="str">
        <f>IFERROR(__xludf.DUMMYFUNCTION("GOOGLETRANSLATE(A100, ""en"", ""hi"")"),"99")</f>
        <v>99</v>
      </c>
      <c r="G100" s="5" t="str">
        <f>IFERROR(__xludf.DUMMYFUNCTION("GOOGLETRANSLATE(B100, ""en"", ""hi"")"),"धोप खेल में 'क्विक टर्न डॉज' तकनीक के लिए कौन सा खिलाड़ी जाना जाता है?")</f>
        <v>धोप खेल में 'क्विक टर्न डॉज' तकनीक के लिए कौन सा खिलाड़ी जाना जाता है?</v>
      </c>
      <c r="H100" s="5" t="str">
        <f>IFERROR(__xludf.DUMMYFUNCTION("GOOGLETRANSLATE(C100, ""en"", ""hi"")"),"A) अरुण शर्मा, B) राजेश पटेल, C) मोहित सिंह, D) दीपक यादव")</f>
        <v>A) अरुण शर्मा, B) राजेश पटेल, C) मोहित सिंह, D) दीपक यादव</v>
      </c>
      <c r="I100" s="5" t="str">
        <f>IFERROR(__xludf.DUMMYFUNCTION("GOOGLETRANSLATE(D100, ""en"", ""hi"")"),"A) अरुण शर्मा")</f>
        <v>A) अरुण शर्मा</v>
      </c>
    </row>
    <row r="101" ht="22.5" customHeight="1">
      <c r="A101" s="3">
        <v>100.0</v>
      </c>
      <c r="B101" s="4" t="s">
        <v>6066</v>
      </c>
      <c r="C101" s="4" t="s">
        <v>6067</v>
      </c>
      <c r="D101" s="4" t="s">
        <v>766</v>
      </c>
      <c r="F101" s="5" t="str">
        <f>IFERROR(__xludf.DUMMYFUNCTION("GOOGLETRANSLATE(A101, ""en"", ""hi"")"),"100")</f>
        <v>100</v>
      </c>
      <c r="G101" s="5" t="str">
        <f>IFERROR(__xludf.DUMMYFUNCTION("GOOGLETRANSLATE(B101, ""en"", ""hi"")"),"2018 में धोप खेल विश्व चैम्पियनशिप की मेजबानी किस भारतीय शहर ने की?")</f>
        <v>2018 में धोप खेल विश्व चैम्पियनशिप की मेजबानी किस भारतीय शहर ने की?</v>
      </c>
      <c r="H101" s="5" t="str">
        <f>IFERROR(__xludf.DUMMYFUNCTION("GOOGLETRANSLATE(C101, ""en"", ""hi"")"),"ए) बैंगलोर, बी) मुंबई, सी) दिल्ली, डी) कोलकाता")</f>
        <v>ए) बैंगलोर, बी) मुंबई, सी) दिल्ली, डी) कोलकाता</v>
      </c>
      <c r="I101" s="5" t="str">
        <f>IFERROR(__xludf.DUMMYFUNCTION("GOOGLETRANSLATE(D101, ""en"", ""hi"")"),"C) दिल्ली")</f>
        <v>C) दिल्ली</v>
      </c>
    </row>
    <row r="102" ht="22.5" customHeight="1">
      <c r="A102" s="3">
        <v>101.0</v>
      </c>
      <c r="B102" s="4" t="s">
        <v>6068</v>
      </c>
      <c r="C102" s="4" t="s">
        <v>6069</v>
      </c>
      <c r="D102" s="4" t="s">
        <v>6070</v>
      </c>
      <c r="F102" s="5" t="str">
        <f>IFERROR(__xludf.DUMMYFUNCTION("GOOGLETRANSLATE(A102, ""en"", ""hi"")"),"101")</f>
        <v>101</v>
      </c>
      <c r="G102" s="5" t="str">
        <f>IFERROR(__xludf.DUMMYFUNCTION("GOOGLETRANSLATE(B102, ""en"", ""hi"")"),"धोप खेल मैच के हाफटाइम ब्रेक की सामान्य अवधि क्या होती है?")</f>
        <v>धोप खेल मैच के हाफटाइम ब्रेक की सामान्य अवधि क्या होती है?</v>
      </c>
      <c r="H102" s="5" t="str">
        <f>IFERROR(__xludf.DUMMYFUNCTION("GOOGLETRANSLATE(C102, ""en"", ""hi"")"),"A) 5 मिनट, B) 10 मिनट, C) 15 मिनट, D) 20 मिनट")</f>
        <v>A) 5 मिनट, B) 10 मिनट, C) 15 मिनट, D) 20 मिनट</v>
      </c>
      <c r="I102" s="5" t="str">
        <f>IFERROR(__xludf.DUMMYFUNCTION("GOOGLETRANSLATE(D102, ""en"", ""hi"")"),"बी) 10 मिनट")</f>
        <v>बी) 10 मिनट</v>
      </c>
    </row>
    <row r="103" ht="22.5" customHeight="1">
      <c r="A103" s="3">
        <v>102.0</v>
      </c>
      <c r="B103" s="4" t="s">
        <v>6071</v>
      </c>
      <c r="C103" s="4" t="s">
        <v>6072</v>
      </c>
      <c r="D103" s="4" t="s">
        <v>6073</v>
      </c>
      <c r="F103" s="5" t="str">
        <f>IFERROR(__xludf.DUMMYFUNCTION("GOOGLETRANSLATE(A103, ""en"", ""hi"")"),"102")</f>
        <v>102</v>
      </c>
      <c r="G103" s="5" t="str">
        <f>IFERROR(__xludf.DUMMYFUNCTION("GOOGLETRANSLATE(B103, ""en"", ""hi"")"),"राज्य स्तरीय धोप खेल टूर्नामेंट शुरू करने वाला पहला राज्य कौन सा था?")</f>
        <v>राज्य स्तरीय धोप खेल टूर्नामेंट शुरू करने वाला पहला राज्य कौन सा था?</v>
      </c>
      <c r="H103" s="5" t="str">
        <f>IFERROR(__xludf.DUMMYFUNCTION("GOOGLETRANSLATE(C103, ""en"", ""hi"")"),"A) हरियाणा, B) गुजरात, C) राजस्थान, D) पंजाब")</f>
        <v>A) हरियाणा, B) गुजरात, C) राजस्थान, D) पंजाब</v>
      </c>
      <c r="I103" s="5" t="str">
        <f>IFERROR(__xludf.DUMMYFUNCTION("GOOGLETRANSLATE(D103, ""en"", ""hi"")"),"D) पंजाब")</f>
        <v>D) पंजाब</v>
      </c>
    </row>
    <row r="104" ht="22.5" customHeight="1">
      <c r="A104" s="3">
        <v>103.0</v>
      </c>
      <c r="B104" s="4" t="s">
        <v>6074</v>
      </c>
      <c r="C104" s="4" t="s">
        <v>6075</v>
      </c>
      <c r="D104" s="4" t="s">
        <v>6076</v>
      </c>
      <c r="F104" s="5" t="str">
        <f>IFERROR(__xludf.DUMMYFUNCTION("GOOGLETRANSLATE(A104, ""en"", ""hi"")"),"103")</f>
        <v>103</v>
      </c>
      <c r="G104" s="5" t="str">
        <f>IFERROR(__xludf.DUMMYFUNCTION("GOOGLETRANSLATE(B104, ""en"", ""hi"")"),"धोप खेल मैच में आक्रामक टीम का प्राथमिक उद्देश्य क्या है?")</f>
        <v>धोप खेल मैच में आक्रामक टीम का प्राथमिक उद्देश्य क्या है?</v>
      </c>
      <c r="H104" s="5" t="str">
        <f>IFERROR(__xludf.DUMMYFUNCTION("GOOGLETRANSLATE(C104, ""en"", ""hi"")"),"A) सभी रक्षात्मक खिलाड़ियों को टैग करना, B) टैग होने से बचना, C) सबसे अधिक अंक प्राप्त करना, D) गेंद पर कब्जा बनाए रखना")</f>
        <v>A) सभी रक्षात्मक खिलाड़ियों को टैग करना, B) टैग होने से बचना, C) सबसे अधिक अंक प्राप्त करना, D) गेंद पर कब्जा बनाए रखना</v>
      </c>
      <c r="I104" s="5" t="str">
        <f>IFERROR(__xludf.DUMMYFUNCTION("GOOGLETRANSLATE(D104, ""en"", ""hi"")"),"A) सभी रक्षात्मक खिलाड़ियों को टैग करना")</f>
        <v>A) सभी रक्षात्मक खिलाड़ियों को टैग करना</v>
      </c>
    </row>
    <row r="105" ht="22.5" customHeight="1">
      <c r="A105" s="3">
        <v>104.0</v>
      </c>
      <c r="B105" s="4" t="s">
        <v>6077</v>
      </c>
      <c r="C105" s="4" t="s">
        <v>6078</v>
      </c>
      <c r="D105" s="4" t="s">
        <v>6046</v>
      </c>
      <c r="F105" s="5" t="str">
        <f>IFERROR(__xludf.DUMMYFUNCTION("GOOGLETRANSLATE(A105, ""en"", ""hi"")"),"104")</f>
        <v>104</v>
      </c>
      <c r="G105" s="5" t="str">
        <f>IFERROR(__xludf.DUMMYFUNCTION("GOOGLETRANSLATE(B105, ""en"", ""hi"")"),"कौन सा प्रसिद्ध खिलाड़ी 'नकली टैग' तकनीक के उपयोग के लिए जाना जाता है?")</f>
        <v>कौन सा प्रसिद्ध खिलाड़ी 'नकली टैग' तकनीक के उपयोग के लिए जाना जाता है?</v>
      </c>
      <c r="H105" s="5" t="str">
        <f>IFERROR(__xludf.DUMMYFUNCTION("GOOGLETRANSLATE(C105, ""en"", ""hi"")"),"A) सुनील पटेल, B) राजेश कुमार, C) मोहन शर्मा, D) दीपक वर्मा")</f>
        <v>A) सुनील पटेल, B) राजेश कुमार, C) मोहन शर्मा, D) दीपक वर्मा</v>
      </c>
      <c r="I105" s="5" t="str">
        <f>IFERROR(__xludf.DUMMYFUNCTION("GOOGLETRANSLATE(D105, ""en"", ""hi"")"),"A) सुनील पटेल")</f>
        <v>A) सुनील पटेल</v>
      </c>
    </row>
    <row r="106" ht="22.5" customHeight="1">
      <c r="A106" s="3">
        <v>105.0</v>
      </c>
      <c r="B106" s="4" t="s">
        <v>6079</v>
      </c>
      <c r="C106" s="4" t="s">
        <v>6080</v>
      </c>
      <c r="D106" s="4" t="s">
        <v>5840</v>
      </c>
      <c r="F106" s="5" t="str">
        <f>IFERROR(__xludf.DUMMYFUNCTION("GOOGLETRANSLATE(A106, ""en"", ""hi"")"),"105")</f>
        <v>105</v>
      </c>
      <c r="G106" s="5" t="str">
        <f>IFERROR(__xludf.DUMMYFUNCTION("GOOGLETRANSLATE(B106, ""en"", ""hi"")"),"2021 एशियाई धोप खेल खेलों में सर्वश्रेष्ठ खिलाड़ी का पुरस्कार किसे दिया गया?")</f>
        <v>2021 एशियाई धोप खेल खेलों में सर्वश्रेष्ठ खिलाड़ी का पुरस्कार किसे दिया गया?</v>
      </c>
      <c r="H106" s="5" t="str">
        <f>IFERROR(__xludf.DUMMYFUNCTION("GOOGLETRANSLATE(C106, ""en"", ""hi"")"),"A) रवि कुमार, B) अनिल शर्मा, C) राजीव पटेल, D) मोहित यादव")</f>
        <v>A) रवि कुमार, B) अनिल शर्मा, C) राजीव पटेल, D) मोहित यादव</v>
      </c>
      <c r="I106" s="5" t="str">
        <f>IFERROR(__xludf.DUMMYFUNCTION("GOOGLETRANSLATE(D106, ""en"", ""hi"")"),"बी) अनिल शर्मा")</f>
        <v>बी) अनिल शर्मा</v>
      </c>
    </row>
    <row r="107" ht="22.5" customHeight="1">
      <c r="A107" s="3">
        <v>106.0</v>
      </c>
      <c r="B107" s="4" t="s">
        <v>6081</v>
      </c>
      <c r="C107" s="4" t="s">
        <v>5255</v>
      </c>
      <c r="D107" s="4" t="s">
        <v>71</v>
      </c>
      <c r="F107" s="5" t="str">
        <f>IFERROR(__xludf.DUMMYFUNCTION("GOOGLETRANSLATE(A107, ""en"", ""hi"")"),"106")</f>
        <v>106</v>
      </c>
      <c r="G107" s="5" t="str">
        <f>IFERROR(__xludf.DUMMYFUNCTION("GOOGLETRANSLATE(B107, ""en"", ""hi"")"),"धोप खेल ने अंतर्राष्ट्रीय खेल के लिए मानकीकृत नियम पुस्तिका किस वर्ष शुरू की?")</f>
        <v>धोप खेल ने अंतर्राष्ट्रीय खेल के लिए मानकीकृत नियम पुस्तिका किस वर्ष शुरू की?</v>
      </c>
      <c r="H107" s="5" t="str">
        <f>IFERROR(__xludf.DUMMYFUNCTION("GOOGLETRANSLATE(C107, ""en"", ""hi"")"),"ए) 2005, बी) 2010, सी) 2015, डी) 2020")</f>
        <v>ए) 2005, बी) 2010, सी) 2015, डी) 2020</v>
      </c>
      <c r="I107" s="5" t="str">
        <f>IFERROR(__xludf.DUMMYFUNCTION("GOOGLETRANSLATE(D107, ""en"", ""hi"")"),"बी) 2010")</f>
        <v>बी) 2010</v>
      </c>
    </row>
    <row r="108" ht="22.5" customHeight="1">
      <c r="A108" s="3">
        <v>107.0</v>
      </c>
      <c r="B108" s="4" t="s">
        <v>6082</v>
      </c>
      <c r="C108" s="4" t="s">
        <v>6083</v>
      </c>
      <c r="D108" s="4" t="s">
        <v>6084</v>
      </c>
      <c r="F108" s="5" t="str">
        <f>IFERROR(__xludf.DUMMYFUNCTION("GOOGLETRANSLATE(A108, ""en"", ""hi"")"),"107")</f>
        <v>107</v>
      </c>
      <c r="G108" s="5" t="str">
        <f>IFERROR(__xludf.DUMMYFUNCTION("GOOGLETRANSLATE(B108, ""en"", ""hi"")"),"कौन सा खिलाड़ी धोप खेल में अपनी तेज गति और चपलता के लिए प्रसिद्ध है?")</f>
        <v>कौन सा खिलाड़ी धोप खेल में अपनी तेज गति और चपलता के लिए प्रसिद्ध है?</v>
      </c>
      <c r="H108" s="5" t="str">
        <f>IFERROR(__xludf.DUMMYFUNCTION("GOOGLETRANSLATE(C108, ""en"", ""hi"")"),"ए) रवि पटेल, बी) सुनील कुमार, सी) मोहित सिंह, डी) राजेश यादव")</f>
        <v>ए) रवि पटेल, बी) सुनील कुमार, सी) मोहित सिंह, डी) राजेश यादव</v>
      </c>
      <c r="I108" s="5" t="str">
        <f>IFERROR(__xludf.DUMMYFUNCTION("GOOGLETRANSLATE(D108, ""en"", ""hi"")"),"C) मोहित सिंह")</f>
        <v>C) मोहित सिंह</v>
      </c>
    </row>
    <row r="109" ht="22.5" customHeight="1">
      <c r="A109" s="3">
        <v>108.0</v>
      </c>
      <c r="B109" s="4" t="s">
        <v>6085</v>
      </c>
      <c r="C109" s="4" t="s">
        <v>6086</v>
      </c>
      <c r="D109" s="4" t="s">
        <v>6087</v>
      </c>
      <c r="F109" s="5" t="str">
        <f>IFERROR(__xludf.DUMMYFUNCTION("GOOGLETRANSLATE(A109, ""en"", ""hi"")"),"108")</f>
        <v>108</v>
      </c>
      <c r="G109" s="5" t="str">
        <f>IFERROR(__xludf.DUMMYFUNCTION("GOOGLETRANSLATE(B109, ""en"", ""hi"")"),"धोप खेल के मैदान की सामान्य चौड़ाई कितनी होती है?")</f>
        <v>धोप खेल के मैदान की सामान्य चौड़ाई कितनी होती है?</v>
      </c>
      <c r="H109" s="5" t="str">
        <f>IFERROR(__xludf.DUMMYFUNCTION("GOOGLETRANSLATE(C109, ""en"", ""hi"")"),"A) 20 मीटर, B) 30 मीटर, C) 40 मीटर, D) 50 मीटर")</f>
        <v>A) 20 मीटर, B) 30 मीटर, C) 40 मीटर, D) 50 मीटर</v>
      </c>
      <c r="I109" s="5" t="str">
        <f>IFERROR(__xludf.DUMMYFUNCTION("GOOGLETRANSLATE(D109, ""en"", ""hi"")"),"सी) 40 मीटर")</f>
        <v>सी) 40 मीटर</v>
      </c>
    </row>
    <row r="110" ht="22.5" customHeight="1">
      <c r="A110" s="3">
        <v>109.0</v>
      </c>
      <c r="B110" s="4" t="s">
        <v>6088</v>
      </c>
      <c r="C110" s="4" t="s">
        <v>5901</v>
      </c>
      <c r="D110" s="4" t="s">
        <v>4081</v>
      </c>
      <c r="F110" s="5" t="str">
        <f>IFERROR(__xludf.DUMMYFUNCTION("GOOGLETRANSLATE(A110, ""en"", ""hi"")"),"109")</f>
        <v>109</v>
      </c>
      <c r="G110" s="5" t="str">
        <f>IFERROR(__xludf.DUMMYFUNCTION("GOOGLETRANSLATE(B110, ""en"", ""hi"")"),"राष्ट्रीय चैंपियनशिप के इतिहास में सबसे सफल धोप खेल टीम किस राज्य की है?")</f>
        <v>राष्ट्रीय चैंपियनशिप के इतिहास में सबसे सफल धोप खेल टीम किस राज्य की है?</v>
      </c>
      <c r="H110" s="5" t="str">
        <f>IFERROR(__xludf.DUMMYFUNCTION("GOOGLETRANSLATE(C110, ""en"", ""hi"")"),"ए) पंजाब, बी) हरियाणा, सी) राजस्थान, डी) उत्तर प्रदेश")</f>
        <v>ए) पंजाब, बी) हरियाणा, सी) राजस्थान, डी) उत्तर प्रदेश</v>
      </c>
      <c r="I110" s="5" t="str">
        <f>IFERROR(__xludf.DUMMYFUNCTION("GOOGLETRANSLATE(D110, ""en"", ""hi"")"),"C) राजस्थान")</f>
        <v>C) राजस्थान</v>
      </c>
    </row>
    <row r="111" ht="22.5" customHeight="1">
      <c r="A111" s="3">
        <v>110.0</v>
      </c>
      <c r="B111" s="4" t="s">
        <v>6089</v>
      </c>
      <c r="C111" s="4" t="s">
        <v>5996</v>
      </c>
      <c r="D111" s="4" t="s">
        <v>5997</v>
      </c>
      <c r="F111" s="5" t="str">
        <f>IFERROR(__xludf.DUMMYFUNCTION("GOOGLETRANSLATE(A111, ""en"", ""hi"")"),"110")</f>
        <v>110</v>
      </c>
      <c r="G111" s="5" t="str">
        <f>IFERROR(__xludf.DUMMYFUNCTION("GOOGLETRANSLATE(B111, ""en"", ""hi"")"),"कौन सा ऐतिहासिक व्यक्ति धोप खेल रणनीतियों के विकास में अपने योगदान के लिए जाना जाता है?")</f>
        <v>कौन सा ऐतिहासिक व्यक्ति धोप खेल रणनीतियों के विकास में अपने योगदान के लिए जाना जाता है?</v>
      </c>
      <c r="H111" s="5" t="str">
        <f>IFERROR(__xludf.DUMMYFUNCTION("GOOGLETRANSLATE(C111, ""en"", ""hi"")"),"ए) महाराजा जय सिंह, बी) महाराजा रणजीत सिंह, सी) महाराजा सवाई मान सिंह, डी) महाराजा शिवाजी")</f>
        <v>ए) महाराजा जय सिंह, बी) महाराजा रणजीत सिंह, सी) महाराजा सवाई मान सिंह, डी) महाराजा शिवाजी</v>
      </c>
      <c r="I111" s="5" t="str">
        <f>IFERROR(__xludf.DUMMYFUNCTION("GOOGLETRANSLATE(D111, ""en"", ""hi"")"),"A) महाराजा जय सिंह")</f>
        <v>A) महाराजा जय सिंह</v>
      </c>
    </row>
    <row r="112" ht="22.5" customHeight="1">
      <c r="A112" s="3">
        <v>111.0</v>
      </c>
      <c r="B112" s="4" t="s">
        <v>6090</v>
      </c>
      <c r="C112" s="4" t="s">
        <v>6091</v>
      </c>
      <c r="D112" s="4" t="s">
        <v>6092</v>
      </c>
      <c r="F112" s="5" t="str">
        <f>IFERROR(__xludf.DUMMYFUNCTION("GOOGLETRANSLATE(A112, ""en"", ""hi"")"),"111")</f>
        <v>111</v>
      </c>
      <c r="G112" s="5" t="str">
        <f>IFERROR(__xludf.DUMMYFUNCTION("GOOGLETRANSLATE(B112, ""en"", ""hi"")"),"किस भारतीय खिलाड़ी ने धोप खेल में 'स्पिन डॉज' तकनीक की शुरुआत की?")</f>
        <v>किस भारतीय खिलाड़ी ने धोप खेल में 'स्पिन डॉज' तकनीक की शुरुआत की?</v>
      </c>
      <c r="H112" s="5" t="str">
        <f>IFERROR(__xludf.DUMMYFUNCTION("GOOGLETRANSLATE(C112, ""en"", ""hi"")"),"A) अरविंद कुमार, B) राजेश पटेल, C) मोहन शर्मा, D) अनिल शर्मा")</f>
        <v>A) अरविंद कुमार, B) राजेश पटेल, C) मोहन शर्मा, D) अनिल शर्मा</v>
      </c>
      <c r="I112" s="5" t="str">
        <f>IFERROR(__xludf.DUMMYFUNCTION("GOOGLETRANSLATE(D112, ""en"", ""hi"")"),"D) अनिल शर्मा")</f>
        <v>D) अनिल शर्मा</v>
      </c>
    </row>
    <row r="113" ht="22.5" customHeight="1">
      <c r="A113" s="3">
        <v>112.0</v>
      </c>
      <c r="B113" s="4" t="s">
        <v>6093</v>
      </c>
      <c r="C113" s="4" t="s">
        <v>2379</v>
      </c>
      <c r="D113" s="4" t="s">
        <v>37</v>
      </c>
      <c r="F113" s="5" t="str">
        <f>IFERROR(__xludf.DUMMYFUNCTION("GOOGLETRANSLATE(A113, ""en"", ""hi"")"),"112")</f>
        <v>112</v>
      </c>
      <c r="G113" s="5" t="str">
        <f>IFERROR(__xludf.DUMMYFUNCTION("GOOGLETRANSLATE(B113, ""en"", ""hi"")"),"2015 में प्रथम धोप खेल विश्व कप की मेजबानी किस देश ने की थी?")</f>
        <v>2015 में प्रथम धोप खेल विश्व कप की मेजबानी किस देश ने की थी?</v>
      </c>
      <c r="H113" s="5" t="str">
        <f>IFERROR(__xludf.DUMMYFUNCTION("GOOGLETRANSLATE(C113, ""en"", ""hi"")"),"A) भारत, B) पाकिस्तान, C) नेपाल, D) बांग्लादेश")</f>
        <v>A) भारत, B) पाकिस्तान, C) नेपाल, D) बांग्लादेश</v>
      </c>
      <c r="I113" s="5" t="str">
        <f>IFERROR(__xludf.DUMMYFUNCTION("GOOGLETRANSLATE(D113, ""en"", ""hi"")"),"ए) भारत")</f>
        <v>ए) भारत</v>
      </c>
    </row>
    <row r="114" ht="22.5" customHeight="1">
      <c r="A114" s="3">
        <v>113.0</v>
      </c>
      <c r="B114" s="4" t="s">
        <v>6094</v>
      </c>
      <c r="C114" s="4" t="s">
        <v>6095</v>
      </c>
      <c r="D114" s="4" t="s">
        <v>6096</v>
      </c>
      <c r="F114" s="5" t="str">
        <f>IFERROR(__xludf.DUMMYFUNCTION("GOOGLETRANSLATE(A114, ""en"", ""hi"")"),"113")</f>
        <v>113</v>
      </c>
      <c r="G114" s="5" t="str">
        <f>IFERROR(__xludf.DUMMYFUNCTION("GOOGLETRANSLATE(B114, ""en"", ""hi"")"),"2005 में धोप खेल की स्कोरिंग प्रणाली में क्या महत्वपूर्ण परिवर्तन किया गया?")</f>
        <v>2005 में धोप खेल की स्कोरिंग प्रणाली में क्या महत्वपूर्ण परिवर्तन किया गया?</v>
      </c>
      <c r="H114" s="5" t="str">
        <f>IFERROR(__xludf.DUMMYFUNCTION("GOOGLETRANSLATE(C114, ""en"", ""hi"")"),"ए) बोनस अंकों की शुरूआत, बी) पेनल्टी अंकों की शुरूआत, सी) टैग के लिए अंक आवंटन में परिवर्तन, डी) डिजिटल स्कोरिंग की शुरूआत")</f>
        <v>ए) बोनस अंकों की शुरूआत, बी) पेनल्टी अंकों की शुरूआत, सी) टैग के लिए अंक आवंटन में परिवर्तन, डी) डिजिटल स्कोरिंग की शुरूआत</v>
      </c>
      <c r="I114" s="5" t="str">
        <f>IFERROR(__xludf.DUMMYFUNCTION("GOOGLETRANSLATE(D114, ""en"", ""hi"")"),"डी) डिजिटल स्कोरिंग का परिचय")</f>
        <v>डी) डिजिटल स्कोरिंग का परिचय</v>
      </c>
    </row>
    <row r="115" ht="22.5" customHeight="1">
      <c r="A115" s="3">
        <v>114.0</v>
      </c>
      <c r="B115" s="4" t="s">
        <v>6097</v>
      </c>
      <c r="C115" s="4" t="s">
        <v>6098</v>
      </c>
      <c r="D115" s="4" t="s">
        <v>6099</v>
      </c>
      <c r="F115" s="5" t="str">
        <f>IFERROR(__xludf.DUMMYFUNCTION("GOOGLETRANSLATE(A115, ""en"", ""hi"")"),"114")</f>
        <v>114</v>
      </c>
      <c r="G115" s="5" t="str">
        <f>IFERROR(__xludf.DUMMYFUNCTION("GOOGLETRANSLATE(B115, ""en"", ""hi"")"),"कौन सा धोप खेल खिलाड़ी 'डबल जंप' तकनीक के अपने अभिनव उपयोग के लिए जाना जाता है?")</f>
        <v>कौन सा धोप खेल खिलाड़ी 'डबल जंप' तकनीक के अपने अभिनव उपयोग के लिए जाना जाता है?</v>
      </c>
      <c r="H115" s="5" t="str">
        <f>IFERROR(__xludf.DUMMYFUNCTION("GOOGLETRANSLATE(C115, ""en"", ""hi"")"),"A) राजीव सिंह, B) मोहन पटेल, C) दीपक कुमार, D) अरुण यादव")</f>
        <v>A) राजीव सिंह, B) मोहन पटेल, C) दीपक कुमार, D) अरुण यादव</v>
      </c>
      <c r="I115" s="5" t="str">
        <f>IFERROR(__xludf.DUMMYFUNCTION("GOOGLETRANSLATE(D115, ""en"", ""hi"")"),"C) दीपक कुमार")</f>
        <v>C) दीपक कुमार</v>
      </c>
    </row>
    <row r="116" ht="22.5" customHeight="1">
      <c r="A116" s="3">
        <v>115.0</v>
      </c>
      <c r="B116" s="4" t="s">
        <v>6100</v>
      </c>
      <c r="C116" s="4" t="s">
        <v>6007</v>
      </c>
      <c r="D116" s="4" t="s">
        <v>4081</v>
      </c>
      <c r="F116" s="5" t="str">
        <f>IFERROR(__xludf.DUMMYFUNCTION("GOOGLETRANSLATE(A116, ""en"", ""hi"")"),"115")</f>
        <v>115</v>
      </c>
      <c r="G116" s="5" t="str">
        <f>IFERROR(__xludf.DUMMYFUNCTION("GOOGLETRANSLATE(B116, ""en"", ""hi"")"),"किस राज्य में सबसे अधिक धोप खेल क्लब और अकादमियां हैं?")</f>
        <v>किस राज्य में सबसे अधिक धोप खेल क्लब और अकादमियां हैं?</v>
      </c>
      <c r="H116" s="5" t="str">
        <f>IFERROR(__xludf.DUMMYFUNCTION("GOOGLETRANSLATE(C116, ""en"", ""hi"")"),"A) पंजाब, B) हरियाणा, C) राजस्थान, D) गुजरात")</f>
        <v>A) पंजाब, B) हरियाणा, C) राजस्थान, D) गुजरात</v>
      </c>
      <c r="I116" s="5" t="str">
        <f>IFERROR(__xludf.DUMMYFUNCTION("GOOGLETRANSLATE(D116, ""en"", ""hi"")"),"C) राजस्थान")</f>
        <v>C) राजस्थान</v>
      </c>
    </row>
    <row r="117" ht="22.5" customHeight="1">
      <c r="A117" s="3">
        <v>116.0</v>
      </c>
      <c r="B117" s="4" t="s">
        <v>6101</v>
      </c>
      <c r="C117" s="4" t="s">
        <v>6102</v>
      </c>
      <c r="D117" s="4" t="s">
        <v>6016</v>
      </c>
      <c r="F117" s="5" t="str">
        <f>IFERROR(__xludf.DUMMYFUNCTION("GOOGLETRANSLATE(A117, ""en"", ""hi"")"),"116")</f>
        <v>116</v>
      </c>
      <c r="G117" s="5" t="str">
        <f>IFERROR(__xludf.DUMMYFUNCTION("GOOGLETRANSLATE(B117, ""en"", ""hi"")"),"2018 विश्व कप में किस खिलाड़ी को उनके असाधारण रक्षात्मक कौशल के लिए सम्मानित किया गया?")</f>
        <v>2018 विश्व कप में किस खिलाड़ी को उनके असाधारण रक्षात्मक कौशल के लिए सम्मानित किया गया?</v>
      </c>
      <c r="H117" s="5" t="str">
        <f>IFERROR(__xludf.DUMMYFUNCTION("GOOGLETRANSLATE(C117, ""en"", ""hi"")"),"A) राजेश यादव, B) रवि पटेल, C) मोहन सिंह, D) अनिल वर्मा")</f>
        <v>A) राजेश यादव, B) रवि पटेल, C) मोहन सिंह, D) अनिल वर्मा</v>
      </c>
      <c r="I117" s="5" t="str">
        <f>IFERROR(__xludf.DUMMYFUNCTION("GOOGLETRANSLATE(D117, ""en"", ""hi"")"),"A) राजेश यादव")</f>
        <v>A) राजेश यादव</v>
      </c>
    </row>
    <row r="118" ht="22.5" customHeight="1">
      <c r="A118" s="3">
        <v>117.0</v>
      </c>
      <c r="B118" s="4" t="s">
        <v>6103</v>
      </c>
      <c r="C118" s="4" t="s">
        <v>6104</v>
      </c>
      <c r="D118" s="4" t="s">
        <v>6105</v>
      </c>
      <c r="F118" s="5" t="str">
        <f>IFERROR(__xludf.DUMMYFUNCTION("GOOGLETRANSLATE(A118, ""en"", ""hi"")"),"117")</f>
        <v>117</v>
      </c>
      <c r="G118" s="5" t="str">
        <f>IFERROR(__xludf.DUMMYFUNCTION("GOOGLETRANSLATE(B118, ""en"", ""hi"")"),"धोप खेल मैचों में सबसे आम प्रकार की चोट क्या है?")</f>
        <v>धोप खेल मैचों में सबसे आम प्रकार की चोट क्या है?</v>
      </c>
      <c r="H118" s="5" t="str">
        <f>IFERROR(__xludf.DUMMYFUNCTION("GOOGLETRANSLATE(C118, ""en"", ""hi"")"),"A) मांसपेशियों में खिंचाव, B) मोच, C) फ्रैक्चर, D) अव्यवस्था")</f>
        <v>A) मांसपेशियों में खिंचाव, B) मोच, C) फ्रैक्चर, D) अव्यवस्था</v>
      </c>
      <c r="I118" s="5" t="str">
        <f>IFERROR(__xludf.DUMMYFUNCTION("GOOGLETRANSLATE(D118, ""en"", ""hi"")"),"A) मांसपेशियों में खिंचाव")</f>
        <v>A) मांसपेशियों में खिंचाव</v>
      </c>
    </row>
    <row r="119" ht="22.5" customHeight="1">
      <c r="A119" s="3">
        <v>118.0</v>
      </c>
      <c r="B119" s="4" t="s">
        <v>6106</v>
      </c>
      <c r="C119" s="4" t="s">
        <v>6107</v>
      </c>
      <c r="D119" s="4" t="s">
        <v>6108</v>
      </c>
      <c r="F119" s="5" t="str">
        <f>IFERROR(__xludf.DUMMYFUNCTION("GOOGLETRANSLATE(A119, ""en"", ""hi"")"),"118")</f>
        <v>118</v>
      </c>
      <c r="G119" s="5" t="str">
        <f>IFERROR(__xludf.DUMMYFUNCTION("GOOGLETRANSLATE(B119, ""en"", ""hi"")"),"कौन सा भारतीय शहर अपने वार्षिक धोप खेल उत्सव के लिए जाना जाता है?")</f>
        <v>कौन सा भारतीय शहर अपने वार्षिक धोप खेल उत्सव के लिए जाना जाता है?</v>
      </c>
      <c r="H119" s="5" t="str">
        <f>IFERROR(__xludf.DUMMYFUNCTION("GOOGLETRANSLATE(C119, ""en"", ""hi"")"),"A) जयपुर, B) उदयपुर, C) दिल्ली, D) मुंबई")</f>
        <v>A) जयपुर, B) उदयपुर, C) दिल्ली, D) मुंबई</v>
      </c>
      <c r="I119" s="5" t="str">
        <f>IFERROR(__xludf.DUMMYFUNCTION("GOOGLETRANSLATE(D119, ""en"", ""hi"")"),"बी) उदयपुर")</f>
        <v>बी) उदयपुर</v>
      </c>
    </row>
    <row r="120" ht="22.5" customHeight="1">
      <c r="A120" s="3">
        <v>119.0</v>
      </c>
      <c r="B120" s="4" t="s">
        <v>6109</v>
      </c>
      <c r="C120" s="4" t="s">
        <v>6110</v>
      </c>
      <c r="D120" s="4" t="s">
        <v>5968</v>
      </c>
      <c r="F120" s="5" t="str">
        <f>IFERROR(__xludf.DUMMYFUNCTION("GOOGLETRANSLATE(A120, ""en"", ""hi"")"),"119")</f>
        <v>119</v>
      </c>
      <c r="G120" s="5" t="str">
        <f>IFERROR(__xludf.DUMMYFUNCTION("GOOGLETRANSLATE(B120, ""en"", ""hi"")"),"धोप खेल अंपायरिंग के लिए वीडियो विश्लेषण की शुरुआत किस वर्ष हुई?")</f>
        <v>धोप खेल अंपायरिंग के लिए वीडियो विश्लेषण की शुरुआत किस वर्ष हुई?</v>
      </c>
      <c r="H120" s="5" t="str">
        <f>IFERROR(__xludf.DUMMYFUNCTION("GOOGLETRANSLATE(C120, ""en"", ""hi"")"),"ए) 2005, बी) 2010, सी) 2012, डी) 2015")</f>
        <v>ए) 2005, बी) 2010, सी) 2012, डी) 2015</v>
      </c>
      <c r="I120" s="5" t="str">
        <f>IFERROR(__xludf.DUMMYFUNCTION("GOOGLETRANSLATE(D120, ""en"", ""hi"")"),"सी) 2012")</f>
        <v>सी) 2012</v>
      </c>
    </row>
    <row r="121" ht="22.5" customHeight="1">
      <c r="A121" s="3">
        <v>120.0</v>
      </c>
      <c r="B121" s="4" t="s">
        <v>6111</v>
      </c>
      <c r="C121" s="4" t="s">
        <v>136</v>
      </c>
      <c r="D121" s="4" t="s">
        <v>98</v>
      </c>
      <c r="F121" s="5" t="str">
        <f>IFERROR(__xludf.DUMMYFUNCTION("GOOGLETRANSLATE(A121, ""en"", ""hi"")"),"120")</f>
        <v>120</v>
      </c>
      <c r="G121" s="5" t="str">
        <f>IFERROR(__xludf.DUMMYFUNCTION("GOOGLETRANSLATE(B121, ""en"", ""hi"")"),"कौन सा भारतीय राज्य पेशेवर धोप खेल लीग की मेजबानी करने वाला पहला राज्य था?")</f>
        <v>कौन सा भारतीय राज्य पेशेवर धोप खेल लीग की मेजबानी करने वाला पहला राज्य था?</v>
      </c>
      <c r="H121" s="5" t="str">
        <f>IFERROR(__xludf.DUMMYFUNCTION("GOOGLETRANSLATE(C121, ""en"", ""hi"")"),"ए) गुजरात, बी) महाराष्ट्र, सी) तमिलनाडु, डी) कर्नाटक")</f>
        <v>ए) गुजरात, बी) महाराष्ट्र, सी) तमिलनाडु, डी) कर्नाटक</v>
      </c>
      <c r="I121" s="5" t="str">
        <f>IFERROR(__xludf.DUMMYFUNCTION("GOOGLETRANSLATE(D121, ""en"", ""hi"")"),"बी) महाराष्ट्र")</f>
        <v>बी) महाराष्ट्र</v>
      </c>
    </row>
    <row r="122" ht="22.5" customHeight="1">
      <c r="A122" s="3">
        <v>121.0</v>
      </c>
      <c r="B122" s="4" t="s">
        <v>6112</v>
      </c>
      <c r="C122" s="4" t="s">
        <v>5951</v>
      </c>
      <c r="D122" s="4" t="s">
        <v>5952</v>
      </c>
      <c r="F122" s="5" t="str">
        <f>IFERROR(__xludf.DUMMYFUNCTION("GOOGLETRANSLATE(A122, ""en"", ""hi"")"),"121")</f>
        <v>121</v>
      </c>
      <c r="G122" s="5" t="str">
        <f>IFERROR(__xludf.DUMMYFUNCTION("GOOGLETRANSLATE(B122, ""en"", ""hi"")"),"2015 अंतर्राष्ट्रीय धोप खेल टूर्नामेंट के मुख्य आयोजक कौन थे?")</f>
        <v>2015 अंतर्राष्ट्रीय धोप खेल टूर्नामेंट के मुख्य आयोजक कौन थे?</v>
      </c>
      <c r="H122" s="5" t="str">
        <f>IFERROR(__xludf.DUMMYFUNCTION("GOOGLETRANSLATE(C122, ""en"", ""hi"")"),"A) राजीव कुमार, B) विक्रम जोशी, C) मनोज पटेल, D) अनिल शर्मा")</f>
        <v>A) राजीव कुमार, B) विक्रम जोशी, C) मनोज पटेल, D) अनिल शर्मा</v>
      </c>
      <c r="I122" s="5" t="str">
        <f>IFERROR(__xludf.DUMMYFUNCTION("GOOGLETRANSLATE(D122, ""en"", ""hi"")"),"बी) विक्रम जोशी")</f>
        <v>बी) विक्रम जोशी</v>
      </c>
    </row>
    <row r="123" ht="22.5" customHeight="1">
      <c r="A123" s="3">
        <v>122.0</v>
      </c>
      <c r="B123" s="4" t="s">
        <v>6113</v>
      </c>
      <c r="C123" s="4" t="s">
        <v>6114</v>
      </c>
      <c r="D123" s="4" t="s">
        <v>6115</v>
      </c>
      <c r="F123" s="5" t="str">
        <f>IFERROR(__xludf.DUMMYFUNCTION("GOOGLETRANSLATE(A123, ""en"", ""hi"")"),"122")</f>
        <v>122</v>
      </c>
      <c r="G123" s="5" t="str">
        <f>IFERROR(__xludf.DUMMYFUNCTION("GOOGLETRANSLATE(B123, ""en"", ""hi"")"),"किस भारतीय धोप खेल खिलाड़ी ने 2020 विश्व कप में सबसे मूल्यवान खिलाड़ी का पुरस्कार जीता?")</f>
        <v>किस भारतीय धोप खेल खिलाड़ी ने 2020 विश्व कप में सबसे मूल्यवान खिलाड़ी का पुरस्कार जीता?</v>
      </c>
      <c r="H123" s="5" t="str">
        <f>IFERROR(__xludf.DUMMYFUNCTION("GOOGLETRANSLATE(C123, ""en"", ""hi"")"),"A) राजेश कुमार, B) मोहित शर्मा, C) अरविंद पटेल, D) अनिल यादव")</f>
        <v>A) राजेश कुमार, B) मोहित शर्मा, C) अरविंद पटेल, D) अनिल यादव</v>
      </c>
      <c r="I123" s="5" t="str">
        <f>IFERROR(__xludf.DUMMYFUNCTION("GOOGLETRANSLATE(D123, ""en"", ""hi"")"),"C) अरविंद पटेल")</f>
        <v>C) अरविंद पटेल</v>
      </c>
    </row>
    <row r="124" ht="22.5" customHeight="1">
      <c r="A124" s="3">
        <v>123.0</v>
      </c>
      <c r="B124" s="4" t="s">
        <v>6116</v>
      </c>
      <c r="C124" s="4" t="s">
        <v>2001</v>
      </c>
      <c r="D124" s="4" t="s">
        <v>612</v>
      </c>
      <c r="F124" s="5" t="str">
        <f>IFERROR(__xludf.DUMMYFUNCTION("GOOGLETRANSLATE(A124, ""en"", ""hi"")"),"123")</f>
        <v>123</v>
      </c>
      <c r="G124" s="5" t="str">
        <f>IFERROR(__xludf.DUMMYFUNCTION("GOOGLETRANSLATE(B124, ""en"", ""hi"")"),"धोप खेल ने पहली बार अंतर्राष्ट्रीय कोचिंग प्रमाणन कार्यक्रम किस वर्ष शुरू किया?")</f>
        <v>धोप खेल ने पहली बार अंतर्राष्ट्रीय कोचिंग प्रमाणन कार्यक्रम किस वर्ष शुरू किया?</v>
      </c>
      <c r="H124" s="5" t="str">
        <f>IFERROR(__xludf.DUMMYFUNCTION("GOOGLETRANSLATE(C124, ""en"", ""hi"")"),"ए) 2000, बी) 2005, सी) 2010, डी) 2015")</f>
        <v>ए) 2000, बी) 2005, सी) 2010, डी) 2015</v>
      </c>
      <c r="I124" s="5" t="str">
        <f>IFERROR(__xludf.DUMMYFUNCTION("GOOGLETRANSLATE(D124, ""en"", ""hi"")"),"बी) 2005")</f>
        <v>बी) 2005</v>
      </c>
    </row>
    <row r="125" ht="22.5" customHeight="1">
      <c r="A125" s="3">
        <v>124.0</v>
      </c>
      <c r="B125" s="4" t="s">
        <v>6117</v>
      </c>
      <c r="C125" s="4" t="s">
        <v>6118</v>
      </c>
      <c r="D125" s="4" t="s">
        <v>6119</v>
      </c>
      <c r="F125" s="5" t="str">
        <f>IFERROR(__xludf.DUMMYFUNCTION("GOOGLETRANSLATE(A125, ""en"", ""hi"")"),"124")</f>
        <v>124</v>
      </c>
      <c r="G125" s="5" t="str">
        <f>IFERROR(__xludf.DUMMYFUNCTION("GOOGLETRANSLATE(B125, ""en"", ""hi"")"),"कौन सा प्रसिद्ध धोप खेल खिलाड़ी 'रिवर्स डॉज' के रणनीतिक उपयोग के लिए जाना जाता है?")</f>
        <v>कौन सा प्रसिद्ध धोप खेल खिलाड़ी 'रिवर्स डॉज' के रणनीतिक उपयोग के लिए जाना जाता है?</v>
      </c>
      <c r="H125" s="5" t="str">
        <f>IFERROR(__xludf.DUMMYFUNCTION("GOOGLETRANSLATE(C125, ""en"", ""hi"")"),"A) रवि पटेल, B) अनिल कुमार, C) दीपक वर्मा, D) मोहन सिंह")</f>
        <v>A) रवि पटेल, B) अनिल कुमार, C) दीपक वर्मा, D) मोहन सिंह</v>
      </c>
      <c r="I125" s="5" t="str">
        <f>IFERROR(__xludf.DUMMYFUNCTION("GOOGLETRANSLATE(D125, ""en"", ""hi"")"),"बी) अनिल कुमार")</f>
        <v>बी) अनिल कुमार</v>
      </c>
    </row>
    <row r="126" ht="22.5" customHeight="1">
      <c r="A126" s="3">
        <v>125.0</v>
      </c>
      <c r="B126" s="4" t="s">
        <v>6120</v>
      </c>
      <c r="C126" s="4" t="s">
        <v>2379</v>
      </c>
      <c r="D126" s="4" t="s">
        <v>37</v>
      </c>
      <c r="F126" s="5" t="str">
        <f>IFERROR(__xludf.DUMMYFUNCTION("GOOGLETRANSLATE(A126, ""en"", ""hi"")"),"125")</f>
        <v>125</v>
      </c>
      <c r="G126" s="5" t="str">
        <f>IFERROR(__xludf.DUMMYFUNCTION("GOOGLETRANSLATE(B126, ""en"", ""hi"")"),"किस देश ने पहली बार पेशेवर धोप खेल लीग की अवधारणा शुरू की?")</f>
        <v>किस देश ने पहली बार पेशेवर धोप खेल लीग की अवधारणा शुरू की?</v>
      </c>
      <c r="H126" s="5" t="str">
        <f>IFERROR(__xludf.DUMMYFUNCTION("GOOGLETRANSLATE(C126, ""en"", ""hi"")"),"A) भारत, B) पाकिस्तान, C) नेपाल, D) बांग्लादेश")</f>
        <v>A) भारत, B) पाकिस्तान, C) नेपाल, D) बांग्लादेश</v>
      </c>
      <c r="I126" s="5" t="str">
        <f>IFERROR(__xludf.DUMMYFUNCTION("GOOGLETRANSLATE(D126, ""en"", ""hi"")"),"ए) भारत")</f>
        <v>ए) भारत</v>
      </c>
    </row>
    <row r="127" ht="22.5" customHeight="1">
      <c r="A127" s="3">
        <v>126.0</v>
      </c>
      <c r="B127" s="4" t="s">
        <v>6121</v>
      </c>
      <c r="C127" s="4" t="s">
        <v>6122</v>
      </c>
      <c r="D127" s="4" t="s">
        <v>6123</v>
      </c>
      <c r="F127" s="5" t="str">
        <f>IFERROR(__xludf.DUMMYFUNCTION("GOOGLETRANSLATE(A127, ""en"", ""hi"")"),"126")</f>
        <v>126</v>
      </c>
      <c r="G127" s="5" t="str">
        <f>IFERROR(__xludf.DUMMYFUNCTION("GOOGLETRANSLATE(B127, ""en"", ""hi"")"),"किस धोप खेल खिलाड़ी ने एक सत्र में सर्वाधिक अंक बनाने का रिकार्ड बनाया?")</f>
        <v>किस धोप खेल खिलाड़ी ने एक सत्र में सर्वाधिक अंक बनाने का रिकार्ड बनाया?</v>
      </c>
      <c r="H127" s="5" t="str">
        <f>IFERROR(__xludf.DUMMYFUNCTION("GOOGLETRANSLATE(C127, ""en"", ""hi"")"),"ए) राजेश कुमार, बी) सुनील पटेल, सी) मोहित सिंह, डी) रवि यादव")</f>
        <v>ए) राजेश कुमार, बी) सुनील पटेल, सी) मोहित सिंह, डी) रवि यादव</v>
      </c>
      <c r="I127" s="5" t="str">
        <f>IFERROR(__xludf.DUMMYFUNCTION("GOOGLETRANSLATE(D127, ""en"", ""hi"")"),"D) रवि यादव")</f>
        <v>D) रवि यादव</v>
      </c>
    </row>
    <row r="128" ht="22.5" customHeight="1">
      <c r="A128" s="3">
        <v>127.0</v>
      </c>
      <c r="B128" s="4" t="s">
        <v>6124</v>
      </c>
      <c r="C128" s="4" t="s">
        <v>548</v>
      </c>
      <c r="D128" s="4" t="s">
        <v>236</v>
      </c>
      <c r="F128" s="5" t="str">
        <f>IFERROR(__xludf.DUMMYFUNCTION("GOOGLETRANSLATE(A128, ""en"", ""hi"")"),"127")</f>
        <v>127</v>
      </c>
      <c r="G128" s="5" t="str">
        <f>IFERROR(__xludf.DUMMYFUNCTION("GOOGLETRANSLATE(B128, ""en"", ""hi"")"),"2022 में धोप खेल एशियाई चैंपियनशिप की मेजबानी किस भारतीय शहर ने की?")</f>
        <v>2022 में धोप खेल एशियाई चैंपियनशिप की मेजबानी किस भारतीय शहर ने की?</v>
      </c>
      <c r="H128" s="5" t="str">
        <f>IFERROR(__xludf.DUMMYFUNCTION("GOOGLETRANSLATE(C128, ""en"", ""hi"")"),"A) मुंबई, B) दिल्ली, C) बैंगलोर, D) चेन्नई")</f>
        <v>A) मुंबई, B) दिल्ली, C) बैंगलोर, D) चेन्नई</v>
      </c>
      <c r="I128" s="5" t="str">
        <f>IFERROR(__xludf.DUMMYFUNCTION("GOOGLETRANSLATE(D128, ""en"", ""hi"")"),"बी) दिल्ली")</f>
        <v>बी) दिल्ली</v>
      </c>
    </row>
    <row r="129" ht="22.5" customHeight="1">
      <c r="A129" s="3">
        <v>128.0</v>
      </c>
      <c r="B129" s="4" t="s">
        <v>6125</v>
      </c>
      <c r="C129" s="4" t="s">
        <v>6126</v>
      </c>
      <c r="D129" s="4" t="s">
        <v>6127</v>
      </c>
      <c r="F129" s="5" t="str">
        <f>IFERROR(__xludf.DUMMYFUNCTION("GOOGLETRANSLATE(A129, ""en"", ""hi"")"),"128")</f>
        <v>128</v>
      </c>
      <c r="G129" s="5" t="str">
        <f>IFERROR(__xludf.DUMMYFUNCTION("GOOGLETRANSLATE(B129, ""en"", ""hi"")"),"धोप खेल मैदान की सामान्य लंबाई कितनी होती है?")</f>
        <v>धोप खेल मैदान की सामान्य लंबाई कितनी होती है?</v>
      </c>
      <c r="H129" s="5" t="str">
        <f>IFERROR(__xludf.DUMMYFUNCTION("GOOGLETRANSLATE(C129, ""en"", ""hi"")"),"A) 50 मीटर, B) 60 मीटर, C) 70 मीटर, D) 80 मीटर")</f>
        <v>A) 50 मीटर, B) 60 मीटर, C) 70 मीटर, D) 80 मीटर</v>
      </c>
      <c r="I129" s="5" t="str">
        <f>IFERROR(__xludf.DUMMYFUNCTION("GOOGLETRANSLATE(D129, ""en"", ""hi"")"),"सी) 70 मीटर")</f>
        <v>सी) 70 मीटर</v>
      </c>
    </row>
    <row r="130" ht="22.5" customHeight="1">
      <c r="A130" s="3">
        <v>129.0</v>
      </c>
      <c r="B130" s="4" t="s">
        <v>6128</v>
      </c>
      <c r="C130" s="4" t="s">
        <v>6129</v>
      </c>
      <c r="D130" s="4" t="s">
        <v>6130</v>
      </c>
      <c r="F130" s="5" t="str">
        <f>IFERROR(__xludf.DUMMYFUNCTION("GOOGLETRANSLATE(A130, ""en"", ""hi"")"),"129")</f>
        <v>129</v>
      </c>
      <c r="G130" s="5" t="str">
        <f>IFERROR(__xludf.DUMMYFUNCTION("GOOGLETRANSLATE(B130, ""en"", ""hi"")"),"कौन सा खिलाड़ी 'साइड-स्टेप डॉज' तकनीक में अपनी निपुणता के लिए जाना जाता है?")</f>
        <v>कौन सा खिलाड़ी 'साइड-स्टेप डॉज' तकनीक में अपनी निपुणता के लिए जाना जाता है?</v>
      </c>
      <c r="H130" s="5" t="str">
        <f>IFERROR(__xludf.DUMMYFUNCTION("GOOGLETRANSLATE(C130, ""en"", ""hi"")"),"A) अनिल शर्मा, B) राजेश यादव, C) दीपक पटेल, D) सुनील कुमार")</f>
        <v>A) अनिल शर्मा, B) राजेश यादव, C) दीपक पटेल, D) सुनील कुमार</v>
      </c>
      <c r="I130" s="5" t="str">
        <f>IFERROR(__xludf.DUMMYFUNCTION("GOOGLETRANSLATE(D130, ""en"", ""hi"")"),"A) अनिल शर्मा")</f>
        <v>A) अनिल शर्मा</v>
      </c>
    </row>
    <row r="131" ht="22.5" customHeight="1">
      <c r="A131" s="3">
        <v>130.0</v>
      </c>
      <c r="B131" s="4" t="s">
        <v>6131</v>
      </c>
      <c r="C131" s="4" t="s">
        <v>2001</v>
      </c>
      <c r="D131" s="4" t="s">
        <v>6132</v>
      </c>
      <c r="F131" s="5" t="str">
        <f>IFERROR(__xludf.DUMMYFUNCTION("GOOGLETRANSLATE(A131, ""en"", ""hi"")"),"130")</f>
        <v>130</v>
      </c>
      <c r="G131" s="5" t="str">
        <f>IFERROR(__xludf.DUMMYFUNCTION("GOOGLETRANSLATE(B131, ""en"", ""hi"")"),"धोप खेल ने पहली बार कम्प्यूटरीकृत स्कोरिंग प्रणाली किस वर्ष शुरू की?")</f>
        <v>धोप खेल ने पहली बार कम्प्यूटरीकृत स्कोरिंग प्रणाली किस वर्ष शुरू की?</v>
      </c>
      <c r="H131" s="5" t="str">
        <f>IFERROR(__xludf.DUMMYFUNCTION("GOOGLETRANSLATE(C131, ""en"", ""hi"")"),"ए) 2000, बी) 2005, सी) 2010, डी) 2015")</f>
        <v>ए) 2000, बी) 2005, सी) 2010, डी) 2015</v>
      </c>
      <c r="I131" s="5" t="str">
        <f>IFERROR(__xludf.DUMMYFUNCTION("GOOGLETRANSLATE(D131, ""en"", ""hi"")"),"ए) 2000")</f>
        <v>ए) 2000</v>
      </c>
    </row>
    <row r="132" ht="22.5" customHeight="1">
      <c r="A132" s="3">
        <v>131.0</v>
      </c>
      <c r="B132" s="4" t="s">
        <v>6133</v>
      </c>
      <c r="C132" s="4" t="s">
        <v>6007</v>
      </c>
      <c r="D132" s="4" t="s">
        <v>4081</v>
      </c>
      <c r="F132" s="5" t="str">
        <f>IFERROR(__xludf.DUMMYFUNCTION("GOOGLETRANSLATE(A132, ""en"", ""hi"")"),"131")</f>
        <v>131</v>
      </c>
      <c r="G132" s="5" t="str">
        <f>IFERROR(__xludf.DUMMYFUNCTION("GOOGLETRANSLATE(B132, ""en"", ""hi"")"),"किस राज्य ने सबसे अधिक धोप खेल राष्ट्रीय टीम के कप्तान पैदा किए हैं?")</f>
        <v>किस राज्य ने सबसे अधिक धोप खेल राष्ट्रीय टीम के कप्तान पैदा किए हैं?</v>
      </c>
      <c r="H132" s="5" t="str">
        <f>IFERROR(__xludf.DUMMYFUNCTION("GOOGLETRANSLATE(C132, ""en"", ""hi"")"),"A) पंजाब, B) हरियाणा, C) राजस्थान, D) गुजरात")</f>
        <v>A) पंजाब, B) हरियाणा, C) राजस्थान, D) गुजरात</v>
      </c>
      <c r="I132" s="5" t="str">
        <f>IFERROR(__xludf.DUMMYFUNCTION("GOOGLETRANSLATE(D132, ""en"", ""hi"")"),"C) राजस्थान")</f>
        <v>C) राजस्थान</v>
      </c>
    </row>
    <row r="133" ht="22.5" customHeight="1">
      <c r="A133" s="3">
        <v>132.0</v>
      </c>
      <c r="B133" s="4" t="s">
        <v>6134</v>
      </c>
      <c r="C133" s="4" t="s">
        <v>6135</v>
      </c>
      <c r="D133" s="4" t="s">
        <v>6136</v>
      </c>
      <c r="F133" s="5" t="str">
        <f>IFERROR(__xludf.DUMMYFUNCTION("GOOGLETRANSLATE(A133, ""en"", ""hi"")"),"132")</f>
        <v>132</v>
      </c>
      <c r="G133" s="5" t="str">
        <f>IFERROR(__xludf.DUMMYFUNCTION("GOOGLETRANSLATE(B133, ""en"", ""hi"")"),"2017 दक्षिण एशियाई खेलों में किस धोप खेल खिलाड़ी को प्लेयर ऑफ द टूर्नामेंट का पुरस्कार दिया गया?")</f>
        <v>2017 दक्षिण एशियाई खेलों में किस धोप खेल खिलाड़ी को प्लेयर ऑफ द टूर्नामेंट का पुरस्कार दिया गया?</v>
      </c>
      <c r="H133" s="5" t="str">
        <f>IFERROR(__xludf.DUMMYFUNCTION("GOOGLETRANSLATE(C133, ""en"", ""hi"")"),"A) रवि कुमार, B) मोहित सिंह, C) राजेश पटेल, D) अनिल शर्मा")</f>
        <v>A) रवि कुमार, B) मोहित सिंह, C) राजेश पटेल, D) अनिल शर्मा</v>
      </c>
      <c r="I133" s="5" t="str">
        <f>IFERROR(__xludf.DUMMYFUNCTION("GOOGLETRANSLATE(D133, ""en"", ""hi"")"),"बी) मोहित सिंह")</f>
        <v>बी) मोहित सिंह</v>
      </c>
    </row>
    <row r="134" ht="22.5" customHeight="1">
      <c r="A134" s="3">
        <v>133.0</v>
      </c>
      <c r="B134" s="4" t="s">
        <v>6137</v>
      </c>
      <c r="C134" s="4" t="s">
        <v>6138</v>
      </c>
      <c r="D134" s="4" t="s">
        <v>6139</v>
      </c>
      <c r="F134" s="5" t="str">
        <f>IFERROR(__xludf.DUMMYFUNCTION("GOOGLETRANSLATE(A134, ""en"", ""hi"")"),"133")</f>
        <v>133</v>
      </c>
      <c r="G134" s="5" t="str">
        <f>IFERROR(__xludf.DUMMYFUNCTION("GOOGLETRANSLATE(B134, ""en"", ""hi"")"),"2008 में धोप खेल नियम पुस्तिका में क्या महत्वपूर्ण परिवर्तन किया गया?")</f>
        <v>2008 में धोप खेल नियम पुस्तिका में क्या महत्वपूर्ण परिवर्तन किया गया?</v>
      </c>
      <c r="H134" s="5" t="str">
        <f>IFERROR(__xludf.DUMMYFUNCTION("GOOGLETRANSLATE(C134, ""en"", ""hi"")"),"ए) नए खिलाड़ियों की स्थिति का परिचय, बी) मैदान के आयामों में परिवर्तन, सी) स्कोरिंग प्रणाली में संशोधन, डी) प्रत्येक हाफ के लिए समय सीमा का जोड़")</f>
        <v>ए) नए खिलाड़ियों की स्थिति का परिचय, बी) मैदान के आयामों में परिवर्तन, सी) स्कोरिंग प्रणाली में संशोधन, डी) प्रत्येक हाफ के लिए समय सीमा का जोड़</v>
      </c>
      <c r="I134" s="5" t="str">
        <f>IFERROR(__xludf.DUMMYFUNCTION("GOOGLETRANSLATE(D134, ""en"", ""hi"")"),"C) स्कोरिंग प्रणाली में संशोधन")</f>
        <v>C) स्कोरिंग प्रणाली में संशोधन</v>
      </c>
    </row>
    <row r="135" ht="22.5" customHeight="1">
      <c r="A135" s="3">
        <v>134.0</v>
      </c>
      <c r="B135" s="4" t="s">
        <v>6140</v>
      </c>
      <c r="C135" s="4" t="s">
        <v>6141</v>
      </c>
      <c r="D135" s="4" t="s">
        <v>6032</v>
      </c>
      <c r="F135" s="5" t="str">
        <f>IFERROR(__xludf.DUMMYFUNCTION("GOOGLETRANSLATE(A135, ""en"", ""hi"")"),"134")</f>
        <v>134</v>
      </c>
      <c r="G135" s="5" t="str">
        <f>IFERROR(__xludf.DUMMYFUNCTION("GOOGLETRANSLATE(B135, ""en"", ""hi"")"),"धोप खेल में 'हाई जंप डॉज' को लोकप्रिय बनाने का श्रेय किस खिलाड़ी को दिया जाता है?")</f>
        <v>धोप खेल में 'हाई जंप डॉज' को लोकप्रिय बनाने का श्रेय किस खिलाड़ी को दिया जाता है?</v>
      </c>
      <c r="H135" s="5" t="str">
        <f>IFERROR(__xludf.DUMMYFUNCTION("GOOGLETRANSLATE(C135, ""en"", ""hi"")"),"ए) सुनील पटेल, बी) राजेश कुमार, सी) मोहित शर्मा, डी) अरविंद यादव")</f>
        <v>ए) सुनील पटेल, बी) राजेश कुमार, सी) मोहित शर्मा, डी) अरविंद यादव</v>
      </c>
      <c r="I135" s="5" t="str">
        <f>IFERROR(__xludf.DUMMYFUNCTION("GOOGLETRANSLATE(D135, ""en"", ""hi"")"),"बी) राजेश कुमार")</f>
        <v>बी) राजेश कुमार</v>
      </c>
    </row>
    <row r="136" ht="22.5" customHeight="1">
      <c r="A136" s="3">
        <v>135.0</v>
      </c>
      <c r="B136" s="4" t="s">
        <v>6142</v>
      </c>
      <c r="C136" s="4" t="s">
        <v>5901</v>
      </c>
      <c r="D136" s="4" t="s">
        <v>4081</v>
      </c>
      <c r="F136" s="5" t="str">
        <f>IFERROR(__xludf.DUMMYFUNCTION("GOOGLETRANSLATE(A136, ""en"", ""hi"")"),"135")</f>
        <v>135</v>
      </c>
      <c r="G136" s="5" t="str">
        <f>IFERROR(__xludf.DUMMYFUNCTION("GOOGLETRANSLATE(B136, ""en"", ""hi"")"),"कौन सा भारतीय राज्य राष्ट्रीय चैंपियनशिप में सबसे सफल धोप खेल टीम के लिए जाना जाता है?")</f>
        <v>कौन सा भारतीय राज्य राष्ट्रीय चैंपियनशिप में सबसे सफल धोप खेल टीम के लिए जाना जाता है?</v>
      </c>
      <c r="H136" s="5" t="str">
        <f>IFERROR(__xludf.DUMMYFUNCTION("GOOGLETRANSLATE(C136, ""en"", ""hi"")"),"ए) पंजाब, बी) हरियाणा, सी) राजस्थान, डी) उत्तर प्रदेश")</f>
        <v>ए) पंजाब, बी) हरियाणा, सी) राजस्थान, डी) उत्तर प्रदेश</v>
      </c>
      <c r="I136" s="5" t="str">
        <f>IFERROR(__xludf.DUMMYFUNCTION("GOOGLETRANSLATE(D136, ""en"", ""hi"")"),"C) राजस्थान")</f>
        <v>C) राजस्थान</v>
      </c>
    </row>
    <row r="137" ht="22.5" customHeight="1">
      <c r="A137" s="3">
        <v>136.0</v>
      </c>
      <c r="B137" s="4" t="s">
        <v>6143</v>
      </c>
      <c r="C137" s="4" t="s">
        <v>6144</v>
      </c>
      <c r="D137" s="4" t="s">
        <v>5896</v>
      </c>
      <c r="F137" s="5" t="str">
        <f>IFERROR(__xludf.DUMMYFUNCTION("GOOGLETRANSLATE(A137, ""en"", ""hi"")"),"136")</f>
        <v>136</v>
      </c>
      <c r="G137" s="5" t="str">
        <f>IFERROR(__xludf.DUMMYFUNCTION("GOOGLETRANSLATE(B137, ""en"", ""hi"")"),"1995 में पहली बार धोप खेल राष्ट्रीय चैम्पियनशिप की मेजबानी किस भारतीय शहर ने की थी?")</f>
        <v>1995 में पहली बार धोप खेल राष्ट्रीय चैम्पियनशिप की मेजबानी किस भारतीय शहर ने की थी?</v>
      </c>
      <c r="H137" s="5" t="str">
        <f>IFERROR(__xludf.DUMMYFUNCTION("GOOGLETRANSLATE(C137, ""en"", ""hi"")"),"ए) दिल्ली, बी) मुंबई, सी) जयपुर, डी) कोलकाता")</f>
        <v>ए) दिल्ली, बी) मुंबई, सी) जयपुर, डी) कोलकाता</v>
      </c>
      <c r="I137" s="5" t="str">
        <f>IFERROR(__xludf.DUMMYFUNCTION("GOOGLETRANSLATE(D137, ""en"", ""hi"")"),"C) जयपुर")</f>
        <v>C) जयपुर</v>
      </c>
    </row>
    <row r="138" ht="22.5" customHeight="1">
      <c r="A138" s="3">
        <v>137.0</v>
      </c>
      <c r="B138" s="4" t="s">
        <v>6145</v>
      </c>
      <c r="C138" s="4" t="s">
        <v>6146</v>
      </c>
      <c r="D138" s="4" t="s">
        <v>6147</v>
      </c>
      <c r="F138" s="5" t="str">
        <f>IFERROR(__xludf.DUMMYFUNCTION("GOOGLETRANSLATE(A138, ""en"", ""hi"")"),"137")</f>
        <v>137</v>
      </c>
      <c r="G138" s="5" t="str">
        <f>IFERROR(__xludf.DUMMYFUNCTION("GOOGLETRANSLATE(B138, ""en"", ""hi"")"),"टैग होने से बचने के लिए धोप खेल में सबसे आम प्रकार की चाल क्या है?")</f>
        <v>टैग होने से बचने के लिए धोप खेल में सबसे आम प्रकार की चाल क्या है?</v>
      </c>
      <c r="H138" s="5" t="str">
        <f>IFERROR(__xludf.DUMMYFUNCTION("GOOGLETRANSLATE(C138, ""en"", ""hi"")"),"ए) त्वरित मोड़, बी) ऊंची कूद, सी) साइड-स्टेप, डी) स्पिन मूव")</f>
        <v>ए) त्वरित मोड़, बी) ऊंची कूद, सी) साइड-स्टेप, डी) स्पिन मूव</v>
      </c>
      <c r="I138" s="5" t="str">
        <f>IFERROR(__xludf.DUMMYFUNCTION("GOOGLETRANSLATE(D138, ""en"", ""hi"")"),"ए) त्वरित मोड़")</f>
        <v>ए) त्वरित मोड़</v>
      </c>
    </row>
    <row r="139" ht="22.5" customHeight="1">
      <c r="A139" s="3">
        <v>138.0</v>
      </c>
      <c r="B139" s="4" t="s">
        <v>6148</v>
      </c>
      <c r="C139" s="4" t="s">
        <v>6007</v>
      </c>
      <c r="D139" s="4" t="s">
        <v>603</v>
      </c>
      <c r="F139" s="5" t="str">
        <f>IFERROR(__xludf.DUMMYFUNCTION("GOOGLETRANSLATE(A139, ""en"", ""hi"")"),"138")</f>
        <v>138</v>
      </c>
      <c r="G139" s="5" t="str">
        <f>IFERROR(__xludf.DUMMYFUNCTION("GOOGLETRANSLATE(B139, ""en"", ""hi"")"),"कौन सा भारतीय राज्य अपने स्कूल खेल पाठ्यक्रम में धोप खेल को शामिल करने वाला पहला राज्य था?")</f>
        <v>कौन सा भारतीय राज्य अपने स्कूल खेल पाठ्यक्रम में धोप खेल को शामिल करने वाला पहला राज्य था?</v>
      </c>
      <c r="H139" s="5" t="str">
        <f>IFERROR(__xludf.DUMMYFUNCTION("GOOGLETRANSLATE(C139, ""en"", ""hi"")"),"A) पंजाब, B) हरियाणा, C) राजस्थान, D) गुजरात")</f>
        <v>A) पंजाब, B) हरियाणा, C) राजस्थान, D) गुजरात</v>
      </c>
      <c r="I139" s="5" t="str">
        <f>IFERROR(__xludf.DUMMYFUNCTION("GOOGLETRANSLATE(D139, ""en"", ""hi"")"),"बी) हरियाणा")</f>
        <v>बी) हरियाणा</v>
      </c>
    </row>
    <row r="140" ht="22.5" customHeight="1">
      <c r="A140" s="3">
        <v>139.0</v>
      </c>
      <c r="B140" s="4" t="s">
        <v>6149</v>
      </c>
      <c r="C140" s="4" t="s">
        <v>6150</v>
      </c>
      <c r="D140" s="4" t="s">
        <v>6151</v>
      </c>
      <c r="F140" s="5" t="str">
        <f>IFERROR(__xludf.DUMMYFUNCTION("GOOGLETRANSLATE(A140, ""en"", ""hi"")"),"139")</f>
        <v>139</v>
      </c>
      <c r="G140" s="5" t="str">
        <f>IFERROR(__xludf.DUMMYFUNCTION("GOOGLETRANSLATE(B140, ""en"", ""hi"")"),"कौन सा धोप खेल खिलाड़ी 'टैग और रन' रणनीति में अपने असाधारण कौशल के लिए जाना जाता है?")</f>
        <v>कौन सा धोप खेल खिलाड़ी 'टैग और रन' रणनीति में अपने असाधारण कौशल के लिए जाना जाता है?</v>
      </c>
      <c r="H140" s="5" t="str">
        <f>IFERROR(__xludf.DUMMYFUNCTION("GOOGLETRANSLATE(C140, ""en"", ""hi"")"),"ए) मोहन कुमार, बी) अरविंद शर्मा, सी) राजेश यादव, डी) सुनील पटेल")</f>
        <v>ए) मोहन कुमार, बी) अरविंद शर्मा, सी) राजेश यादव, डी) सुनील पटेल</v>
      </c>
      <c r="I140" s="5" t="str">
        <f>IFERROR(__xludf.DUMMYFUNCTION("GOOGLETRANSLATE(D140, ""en"", ""hi"")"),"A) मोहन कुमार")</f>
        <v>A) मोहन कुमार</v>
      </c>
    </row>
    <row r="141" ht="22.5" customHeight="1">
      <c r="A141" s="3">
        <v>140.0</v>
      </c>
      <c r="B141" s="4" t="s">
        <v>6152</v>
      </c>
      <c r="C141" s="4" t="s">
        <v>6153</v>
      </c>
      <c r="D141" s="4" t="s">
        <v>6154</v>
      </c>
      <c r="F141" s="5" t="str">
        <f>IFERROR(__xludf.DUMMYFUNCTION("GOOGLETRANSLATE(A141, ""en"", ""hi"")"),"140")</f>
        <v>140</v>
      </c>
      <c r="G141" s="5" t="str">
        <f>IFERROR(__xludf.DUMMYFUNCTION("GOOGLETRANSLATE(B141, ""en"", ""hi"")"),"धोप खेल खेल पहली बार एशियाई खेलों में किस वर्ष शामिल हुआ था?")</f>
        <v>धोप खेल खेल पहली बार एशियाई खेलों में किस वर्ष शामिल हुआ था?</v>
      </c>
      <c r="H141" s="5" t="str">
        <f>IFERROR(__xludf.DUMMYFUNCTION("GOOGLETRANSLATE(C141, ""en"", ""hi"")"),"ए) 2006, बी) 2010, सी) 2014, डी) 2018")</f>
        <v>ए) 2006, बी) 2010, सी) 2014, डी) 2018</v>
      </c>
      <c r="I141" s="5" t="str">
        <f>IFERROR(__xludf.DUMMYFUNCTION("GOOGLETRANSLATE(D141, ""en"", ""hi"")"),"ए) 2006")</f>
        <v>ए) 2006</v>
      </c>
    </row>
    <row r="142" ht="22.5" customHeight="1">
      <c r="A142" s="3">
        <v>141.0</v>
      </c>
      <c r="B142" s="4" t="s">
        <v>6155</v>
      </c>
      <c r="C142" s="4" t="s">
        <v>5845</v>
      </c>
      <c r="D142" s="4" t="s">
        <v>37</v>
      </c>
      <c r="F142" s="5" t="str">
        <f>IFERROR(__xludf.DUMMYFUNCTION("GOOGLETRANSLATE(A142, ""en"", ""hi"")"),"141")</f>
        <v>141</v>
      </c>
      <c r="G142" s="5" t="str">
        <f>IFERROR(__xludf.DUMMYFUNCTION("GOOGLETRANSLATE(B142, ""en"", ""hi"")"),"2015 में पहला अंतर्राष्ट्रीय धोप खेल कप किस धोप खेल टीम ने जीता?")</f>
        <v>2015 में पहला अंतर्राष्ट्रीय धोप खेल कप किस धोप खेल टीम ने जीता?</v>
      </c>
      <c r="H142" s="5" t="str">
        <f>IFERROR(__xludf.DUMMYFUNCTION("GOOGLETRANSLATE(C142, ""en"", ""hi"")"),"ए) भारत, बी) पाकिस्तान, सी) नेपाल, डी) श्रीलंका")</f>
        <v>ए) भारत, बी) पाकिस्तान, सी) नेपाल, डी) श्रीलंका</v>
      </c>
      <c r="I142" s="5" t="str">
        <f>IFERROR(__xludf.DUMMYFUNCTION("GOOGLETRANSLATE(D142, ""en"", ""hi"")"),"ए) भारत")</f>
        <v>ए) भारत</v>
      </c>
    </row>
    <row r="143" ht="22.5" customHeight="1">
      <c r="A143" s="3">
        <v>142.0</v>
      </c>
      <c r="B143" s="4" t="s">
        <v>6156</v>
      </c>
      <c r="C143" s="4" t="s">
        <v>6157</v>
      </c>
      <c r="D143" s="4" t="s">
        <v>6158</v>
      </c>
      <c r="F143" s="5" t="str">
        <f>IFERROR(__xludf.DUMMYFUNCTION("GOOGLETRANSLATE(A143, ""en"", ""hi"")"),"142")</f>
        <v>142</v>
      </c>
      <c r="G143" s="5" t="str">
        <f>IFERROR(__xludf.DUMMYFUNCTION("GOOGLETRANSLATE(B143, ""en"", ""hi"")"),"कौन सा भारतीय शहर सबसे अधिक धोप खेल अकादमियों के लिए जाना जाता है?")</f>
        <v>कौन सा भारतीय शहर सबसे अधिक धोप खेल अकादमियों के लिए जाना जाता है?</v>
      </c>
      <c r="H143" s="5" t="str">
        <f>IFERROR(__xludf.DUMMYFUNCTION("GOOGLETRANSLATE(C143, ""en"", ""hi"")"),"A) जयपुर, B) दिल्ली, C) मुंबई, D) उदयपुर")</f>
        <v>A) जयपुर, B) दिल्ली, C) मुंबई, D) उदयपुर</v>
      </c>
      <c r="I143" s="5" t="str">
        <f>IFERROR(__xludf.DUMMYFUNCTION("GOOGLETRANSLATE(D143, ""en"", ""hi"")"),"D) उदयपुर")</f>
        <v>D) उदयपुर</v>
      </c>
    </row>
    <row r="144" ht="22.5" customHeight="1">
      <c r="A144" s="3">
        <v>143.0</v>
      </c>
      <c r="B144" s="4" t="s">
        <v>6159</v>
      </c>
      <c r="C144" s="4" t="s">
        <v>6160</v>
      </c>
      <c r="D144" s="4" t="s">
        <v>6028</v>
      </c>
      <c r="F144" s="5" t="str">
        <f>IFERROR(__xludf.DUMMYFUNCTION("GOOGLETRANSLATE(A144, ""en"", ""hi"")"),"143")</f>
        <v>143</v>
      </c>
      <c r="G144" s="5" t="str">
        <f>IFERROR(__xludf.DUMMYFUNCTION("GOOGLETRANSLATE(B144, ""en"", ""hi"")"),"धोप खेल में 'डबल टैग' तकनीक विकसित करने के लिए कौन सा खिलाड़ी जाना जाता है?")</f>
        <v>धोप खेल में 'डबल टैग' तकनीक विकसित करने के लिए कौन सा खिलाड़ी जाना जाता है?</v>
      </c>
      <c r="H144" s="5" t="str">
        <f>IFERROR(__xludf.DUMMYFUNCTION("GOOGLETRANSLATE(C144, ""en"", ""hi"")"),"A) राजीव कुमार, B) मोहन शर्मा, C) अरविंद पटेल, D) सुनील सिंह")</f>
        <v>A) राजीव कुमार, B) मोहन शर्मा, C) अरविंद पटेल, D) सुनील सिंह</v>
      </c>
      <c r="I144" s="5" t="str">
        <f>IFERROR(__xludf.DUMMYFUNCTION("GOOGLETRANSLATE(D144, ""en"", ""hi"")"),"A) राजीव कुमार")</f>
        <v>A) राजीव कुमार</v>
      </c>
    </row>
    <row r="145" ht="22.5" customHeight="1">
      <c r="A145" s="3">
        <v>144.0</v>
      </c>
      <c r="B145" s="4" t="s">
        <v>6161</v>
      </c>
      <c r="C145" s="4" t="s">
        <v>6162</v>
      </c>
      <c r="D145" s="4" t="s">
        <v>6163</v>
      </c>
      <c r="F145" s="5" t="str">
        <f>IFERROR(__xludf.DUMMYFUNCTION("GOOGLETRANSLATE(A145, ""en"", ""hi"")"),"144")</f>
        <v>144</v>
      </c>
      <c r="G145" s="5" t="str">
        <f>IFERROR(__xludf.DUMMYFUNCTION("GOOGLETRANSLATE(B145, ""en"", ""hi"")"),"भारत में 'धोप खेल' कोच के लिए पारंपरिक शब्द क्या है?")</f>
        <v>भारत में 'धोप खेल' कोच के लिए पारंपरिक शब्द क्या है?</v>
      </c>
      <c r="H145" s="5" t="str">
        <f>IFERROR(__xludf.DUMMYFUNCTION("GOOGLETRANSLATE(C145, ""en"", ""hi"")"),"A) अंपायर, B) रेफरी, C) मेंटर, D) ट्रेनर")</f>
        <v>A) अंपायर, B) रेफरी, C) मेंटर, D) ट्रेनर</v>
      </c>
      <c r="I145" s="5" t="str">
        <f>IFERROR(__xludf.DUMMYFUNCTION("GOOGLETRANSLATE(D145, ""en"", ""hi"")"),"डी) प्रशिक्षक")</f>
        <v>डी) प्रशिक्षक</v>
      </c>
    </row>
    <row r="146" ht="22.5" customHeight="1">
      <c r="A146" s="3">
        <v>145.0</v>
      </c>
      <c r="B146" s="4" t="s">
        <v>6164</v>
      </c>
      <c r="C146" s="4" t="s">
        <v>6165</v>
      </c>
      <c r="D146" s="4" t="s">
        <v>158</v>
      </c>
      <c r="F146" s="5" t="str">
        <f>IFERROR(__xludf.DUMMYFUNCTION("GOOGLETRANSLATE(A146, ""en"", ""hi"")"),"145")</f>
        <v>145</v>
      </c>
      <c r="G146" s="5" t="str">
        <f>IFERROR(__xludf.DUMMYFUNCTION("GOOGLETRANSLATE(B146, ""en"", ""hi"")"),"धोप खेल पेशेवर लीग की स्थापना करने वाला पहला राज्य कौन सा था?")</f>
        <v>धोप खेल पेशेवर लीग की स्थापना करने वाला पहला राज्य कौन सा था?</v>
      </c>
      <c r="H146" s="5" t="str">
        <f>IFERROR(__xludf.DUMMYFUNCTION("GOOGLETRANSLATE(C146, ""en"", ""hi"")"),"ए) महाराष्ट्र, बी) पंजाब, सी) राजस्थान, डी) हरियाणा")</f>
        <v>ए) महाराष्ट्र, बी) पंजाब, सी) राजस्थान, डी) हरियाणा</v>
      </c>
      <c r="I146" s="5" t="str">
        <f>IFERROR(__xludf.DUMMYFUNCTION("GOOGLETRANSLATE(D146, ""en"", ""hi"")"),"A) महाराष्ट्र")</f>
        <v>A) महाराष्ट्र</v>
      </c>
    </row>
    <row r="147" ht="22.5" customHeight="1">
      <c r="A147" s="3">
        <v>146.0</v>
      </c>
      <c r="B147" s="4" t="s">
        <v>6166</v>
      </c>
      <c r="C147" s="4" t="s">
        <v>6167</v>
      </c>
      <c r="D147" s="4" t="s">
        <v>6136</v>
      </c>
      <c r="F147" s="5" t="str">
        <f>IFERROR(__xludf.DUMMYFUNCTION("GOOGLETRANSLATE(A147, ""en"", ""hi"")"),"146")</f>
        <v>146</v>
      </c>
      <c r="G147" s="5" t="str">
        <f>IFERROR(__xludf.DUMMYFUNCTION("GOOGLETRANSLATE(B147, ""en"", ""hi"")"),"2018 धोप खेल विश्व कप जीत के दौरान भारतीय टीम का कप्तान कौन था?")</f>
        <v>2018 धोप खेल विश्व कप जीत के दौरान भारतीय टीम का कप्तान कौन था?</v>
      </c>
      <c r="H147" s="5" t="str">
        <f>IFERROR(__xludf.DUMMYFUNCTION("GOOGLETRANSLATE(C147, ""en"", ""hi"")"),"A) राजेश यादव, B) मोहित सिंह, C) सुनील पटेल, D) अनिल शर्मा")</f>
        <v>A) राजेश यादव, B) मोहित सिंह, C) सुनील पटेल, D) अनिल शर्मा</v>
      </c>
      <c r="I147" s="5" t="str">
        <f>IFERROR(__xludf.DUMMYFUNCTION("GOOGLETRANSLATE(D147, ""en"", ""hi"")"),"बी) मोहित सिंह")</f>
        <v>बी) मोहित सिंह</v>
      </c>
    </row>
    <row r="148" ht="22.5" customHeight="1">
      <c r="A148" s="3">
        <v>147.0</v>
      </c>
      <c r="B148" s="4" t="s">
        <v>6168</v>
      </c>
      <c r="C148" s="4" t="s">
        <v>6169</v>
      </c>
      <c r="D148" s="4" t="s">
        <v>6170</v>
      </c>
      <c r="F148" s="5" t="str">
        <f>IFERROR(__xludf.DUMMYFUNCTION("GOOGLETRANSLATE(A148, ""en"", ""hi"")"),"147")</f>
        <v>147</v>
      </c>
      <c r="G148" s="5" t="str">
        <f>IFERROR(__xludf.DUMMYFUNCTION("GOOGLETRANSLATE(B148, ""en"", ""hi"")"),"कौन सा धोप खेल खिलाड़ी 'रिवर्स डॉज' चाल के अपने अभिनव उपयोग के लिए प्रसिद्ध है?")</f>
        <v>कौन सा धोप खेल खिलाड़ी 'रिवर्स डॉज' चाल के अपने अभिनव उपयोग के लिए प्रसिद्ध है?</v>
      </c>
      <c r="H148" s="5" t="str">
        <f>IFERROR(__xludf.DUMMYFUNCTION("GOOGLETRANSLATE(C148, ""en"", ""hi"")"),"A) रवि कुमार, B) अरविंद पटेल, C) राजेश शर्मा, D) मोहन सिंह")</f>
        <v>A) रवि कुमार, B) अरविंद पटेल, C) राजेश शर्मा, D) मोहन सिंह</v>
      </c>
      <c r="I148" s="5" t="str">
        <f>IFERROR(__xludf.DUMMYFUNCTION("GOOGLETRANSLATE(D148, ""en"", ""hi"")"),"B) अरविंद पटेल")</f>
        <v>B) अरविंद पटेल</v>
      </c>
    </row>
    <row r="149" ht="22.5" customHeight="1">
      <c r="A149" s="3">
        <v>148.0</v>
      </c>
      <c r="B149" s="4" t="s">
        <v>6017</v>
      </c>
      <c r="C149" s="4" t="s">
        <v>5834</v>
      </c>
      <c r="D149" s="4" t="s">
        <v>5835</v>
      </c>
      <c r="F149" s="5" t="str">
        <f>IFERROR(__xludf.DUMMYFUNCTION("GOOGLETRANSLATE(A149, ""en"", ""hi"")"),"148")</f>
        <v>148</v>
      </c>
      <c r="G149" s="5" t="str">
        <f>IFERROR(__xludf.DUMMYFUNCTION("GOOGLETRANSLATE(B149, ""en"", ""hi"")"),"समय की दृष्टि से धोप खेल मैच की पारंपरिक लंबाई कितनी होती है?")</f>
        <v>समय की दृष्टि से धोप खेल मैच की पारंपरिक लंबाई कितनी होती है?</v>
      </c>
      <c r="H149" s="5" t="str">
        <f>IFERROR(__xludf.DUMMYFUNCTION("GOOGLETRANSLATE(C149, ""en"", ""hi"")"),"A) 30 मिनट, B) 45 मिनट, C) 60 मिनट, D) 90 मिनट")</f>
        <v>A) 30 मिनट, B) 45 मिनट, C) 60 मिनट, D) 90 मिनट</v>
      </c>
      <c r="I149" s="5" t="str">
        <f>IFERROR(__xludf.DUMMYFUNCTION("GOOGLETRANSLATE(D149, ""en"", ""hi"")"),"बी) 45 मिनट")</f>
        <v>बी) 45 मिनट</v>
      </c>
    </row>
    <row r="150" ht="22.5" customHeight="1">
      <c r="A150" s="3">
        <v>149.0</v>
      </c>
      <c r="B150" s="4" t="s">
        <v>6171</v>
      </c>
      <c r="C150" s="4" t="s">
        <v>6007</v>
      </c>
      <c r="D150" s="4" t="s">
        <v>4081</v>
      </c>
      <c r="F150" s="5" t="str">
        <f>IFERROR(__xludf.DUMMYFUNCTION("GOOGLETRANSLATE(A150, ""en"", ""hi"")"),"149")</f>
        <v>149</v>
      </c>
      <c r="G150" s="5" t="str">
        <f>IFERROR(__xludf.DUMMYFUNCTION("GOOGLETRANSLATE(B150, ""en"", ""hi"")"),"किस भारतीय राज्य में धोप खेल प्रशिक्षण शिविरों की संख्या सबसे अधिक है?")</f>
        <v>किस भारतीय राज्य में धोप खेल प्रशिक्षण शिविरों की संख्या सबसे अधिक है?</v>
      </c>
      <c r="H150" s="5" t="str">
        <f>IFERROR(__xludf.DUMMYFUNCTION("GOOGLETRANSLATE(C150, ""en"", ""hi"")"),"A) पंजाब, B) हरियाणा, C) राजस्थान, D) गुजरात")</f>
        <v>A) पंजाब, B) हरियाणा, C) राजस्थान, D) गुजरात</v>
      </c>
      <c r="I150" s="5" t="str">
        <f>IFERROR(__xludf.DUMMYFUNCTION("GOOGLETRANSLATE(D150, ""en"", ""hi"")"),"C) राजस्थान")</f>
        <v>C) राजस्थान</v>
      </c>
    </row>
    <row r="151" ht="22.5" customHeight="1">
      <c r="A151" s="3">
        <v>150.0</v>
      </c>
      <c r="B151" s="4" t="s">
        <v>6172</v>
      </c>
      <c r="C151" s="4" t="s">
        <v>6173</v>
      </c>
      <c r="D151" s="4" t="s">
        <v>6174</v>
      </c>
      <c r="F151" s="5" t="str">
        <f>IFERROR(__xludf.DUMMYFUNCTION("GOOGLETRANSLATE(A151, ""en"", ""hi"")"),"150")</f>
        <v>150</v>
      </c>
      <c r="G151" s="5" t="str">
        <f>IFERROR(__xludf.DUMMYFUNCTION("GOOGLETRANSLATE(B151, ""en"", ""hi"")"),"धोप खेल में 'डबल डॉज' तकनीक शुरू करने का श्रेय किसे दिया जाता है?")</f>
        <v>धोप खेल में 'डबल डॉज' तकनीक शुरू करने का श्रेय किसे दिया जाता है?</v>
      </c>
      <c r="H151" s="5" t="str">
        <f>IFERROR(__xludf.DUMMYFUNCTION("GOOGLETRANSLATE(C151, ""en"", ""hi"")"),"A) अरविंद कुमार, B) सुनील पटेल, C) रवि यादव, D) दीपक सिंह")</f>
        <v>A) अरविंद कुमार, B) सुनील पटेल, C) रवि यादव, D) दीपक सिंह</v>
      </c>
      <c r="I151" s="5" t="str">
        <f>IFERROR(__xludf.DUMMYFUNCTION("GOOGLETRANSLATE(D151, ""en"", ""hi"")"),"A) अरविंद कुमार")</f>
        <v>A) अरविंद कुमार</v>
      </c>
    </row>
    <row r="152" ht="22.5" customHeight="1">
      <c r="A152" s="3">
        <v>151.0</v>
      </c>
      <c r="B152" s="4" t="s">
        <v>6175</v>
      </c>
      <c r="C152" s="4" t="s">
        <v>6176</v>
      </c>
      <c r="D152" s="4" t="s">
        <v>6177</v>
      </c>
      <c r="F152" s="5" t="str">
        <f>IFERROR(__xludf.DUMMYFUNCTION("GOOGLETRANSLATE(A152, ""en"", ""hi"")"),"151")</f>
        <v>151</v>
      </c>
      <c r="G152" s="5" t="str">
        <f>IFERROR(__xludf.DUMMYFUNCTION("GOOGLETRANSLATE(B152, ""en"", ""hi"")"),"2000 के दशक के प्रारंभ में कौन सा खिलाड़ी अपनी आक्रामक रक्षात्मक शैली के लिए जाना जाता था?")</f>
        <v>2000 के दशक के प्रारंभ में कौन सा खिलाड़ी अपनी आक्रामक रक्षात्मक शैली के लिए जाना जाता था?</v>
      </c>
      <c r="H152" s="5" t="str">
        <f>IFERROR(__xludf.DUMMYFUNCTION("GOOGLETRANSLATE(C152, ""en"", ""hi"")"),"A) रवि कुमार, B) राजेश पटेल, C) मोहित शर्मा, D) अनिल यादव")</f>
        <v>A) रवि कुमार, B) राजेश पटेल, C) मोहित शर्मा, D) अनिल यादव</v>
      </c>
      <c r="I152" s="5" t="str">
        <f>IFERROR(__xludf.DUMMYFUNCTION("GOOGLETRANSLATE(D152, ""en"", ""hi"")"),"बी) राजेश पटेल")</f>
        <v>बी) राजेश पटेल</v>
      </c>
    </row>
    <row r="153" ht="22.5" customHeight="1">
      <c r="A153" s="3">
        <v>152.0</v>
      </c>
      <c r="B153" s="4" t="s">
        <v>6178</v>
      </c>
      <c r="C153" s="4" t="s">
        <v>2001</v>
      </c>
      <c r="D153" s="4" t="s">
        <v>2002</v>
      </c>
      <c r="F153" s="5" t="str">
        <f>IFERROR(__xludf.DUMMYFUNCTION("GOOGLETRANSLATE(A153, ""en"", ""hi"")"),"152")</f>
        <v>152</v>
      </c>
      <c r="G153" s="5" t="str">
        <f>IFERROR(__xludf.DUMMYFUNCTION("GOOGLETRANSLATE(B153, ""en"", ""hi"")"),"धोप खेल ने पहली बार किस वर्ष एक मानकीकृत अंतर्राष्ट्रीय नियम पुस्तिका पेश की?")</f>
        <v>धोप खेल ने पहली बार किस वर्ष एक मानकीकृत अंतर्राष्ट्रीय नियम पुस्तिका पेश की?</v>
      </c>
      <c r="H153" s="5" t="str">
        <f>IFERROR(__xludf.DUMMYFUNCTION("GOOGLETRANSLATE(C153, ""en"", ""hi"")"),"ए) 2000, बी) 2005, सी) 2010, डी) 2015")</f>
        <v>ए) 2000, बी) 2005, सी) 2010, डी) 2015</v>
      </c>
      <c r="I153" s="5" t="str">
        <f>IFERROR(__xludf.DUMMYFUNCTION("GOOGLETRANSLATE(D153, ""en"", ""hi"")"),"सी) 2010")</f>
        <v>सी) 2010</v>
      </c>
    </row>
    <row r="154" ht="22.5" customHeight="1">
      <c r="A154" s="3">
        <v>153.0</v>
      </c>
      <c r="B154" s="4" t="s">
        <v>6179</v>
      </c>
      <c r="C154" s="4" t="s">
        <v>6180</v>
      </c>
      <c r="D154" s="4" t="s">
        <v>6181</v>
      </c>
      <c r="F154" s="5" t="str">
        <f>IFERROR(__xludf.DUMMYFUNCTION("GOOGLETRANSLATE(A154, ""en"", ""hi"")"),"153")</f>
        <v>153</v>
      </c>
      <c r="G154" s="5" t="str">
        <f>IFERROR(__xludf.DUMMYFUNCTION("GOOGLETRANSLATE(B154, ""en"", ""hi"")"),"एक मैच में सर्वाधिक टैग का रिकॉर्ड किस धोप खेल खिलाड़ी के नाम है?")</f>
        <v>एक मैच में सर्वाधिक टैग का रिकॉर्ड किस धोप खेल खिलाड़ी के नाम है?</v>
      </c>
      <c r="H154" s="5" t="str">
        <f>IFERROR(__xludf.DUMMYFUNCTION("GOOGLETRANSLATE(C154, ""en"", ""hi"")"),"A) मोहित कुमार, B) अनिल शर्मा, C) रवि पटेल, D) राजेश सिंह")</f>
        <v>A) मोहित कुमार, B) अनिल शर्मा, C) रवि पटेल, D) राजेश सिंह</v>
      </c>
      <c r="I154" s="5" t="str">
        <f>IFERROR(__xludf.DUMMYFUNCTION("GOOGLETRANSLATE(D154, ""en"", ""hi"")"),"A) मोहित कुमार")</f>
        <v>A) मोहित कुमार</v>
      </c>
    </row>
    <row r="155" ht="22.5" customHeight="1">
      <c r="A155" s="3">
        <v>154.0</v>
      </c>
      <c r="B155" s="4" t="s">
        <v>6182</v>
      </c>
      <c r="C155" s="4" t="s">
        <v>5914</v>
      </c>
      <c r="D155" s="4" t="s">
        <v>5915</v>
      </c>
      <c r="F155" s="5" t="str">
        <f>IFERROR(__xludf.DUMMYFUNCTION("GOOGLETRANSLATE(A155, ""en"", ""hi"")"),"154")</f>
        <v>154</v>
      </c>
      <c r="G155" s="5" t="str">
        <f>IFERROR(__xludf.DUMMYFUNCTION("GOOGLETRANSLATE(B155, ""en"", ""hi"")"),"किसी खेल के दौरान धोप खेल मैदान पर अधिकतम कितने खिलाड़ियों को अनुमति दी जाती है?")</f>
        <v>किसी खेल के दौरान धोप खेल मैदान पर अधिकतम कितने खिलाड़ियों को अनुमति दी जाती है?</v>
      </c>
      <c r="H155" s="5" t="str">
        <f>IFERROR(__xludf.DUMMYFUNCTION("GOOGLETRANSLATE(C155, ""en"", ""hi"")"),"ए) 8, बी) 10, सी) 12, डी) 14")</f>
        <v>ए) 8, बी) 10, सी) 12, डी) 14</v>
      </c>
      <c r="I155" s="5" t="str">
        <f>IFERROR(__xludf.DUMMYFUNCTION("GOOGLETRANSLATE(D155, ""en"", ""hi"")"),"सी) 12")</f>
        <v>सी) 12</v>
      </c>
    </row>
    <row r="156" ht="22.5" customHeight="1">
      <c r="A156" s="3">
        <v>155.0</v>
      </c>
      <c r="B156" s="4" t="s">
        <v>6183</v>
      </c>
      <c r="C156" s="4" t="s">
        <v>6184</v>
      </c>
      <c r="D156" s="4" t="s">
        <v>125</v>
      </c>
      <c r="F156" s="5" t="str">
        <f>IFERROR(__xludf.DUMMYFUNCTION("GOOGLETRANSLATE(A156, ""en"", ""hi"")"),"155")</f>
        <v>155</v>
      </c>
      <c r="G156" s="5" t="str">
        <f>IFERROR(__xludf.DUMMYFUNCTION("GOOGLETRANSLATE(B156, ""en"", ""hi"")"),"कौन सा भारतीय राज्य अपने ऐतिहासिक धोप खेल टूर्नामेंट के लिए प्रसिद्ध है?")</f>
        <v>कौन सा भारतीय राज्य अपने ऐतिहासिक धोप खेल टूर्नामेंट के लिए प्रसिद्ध है?</v>
      </c>
      <c r="H156" s="5" t="str">
        <f>IFERROR(__xludf.DUMMYFUNCTION("GOOGLETRANSLATE(C156, ""en"", ""hi"")"),"A) राजस्थान, B) हरियाणा, C) पंजाब, D) गुजरात")</f>
        <v>A) राजस्थान, B) हरियाणा, C) पंजाब, D) गुजरात</v>
      </c>
      <c r="I156" s="5" t="str">
        <f>IFERROR(__xludf.DUMMYFUNCTION("GOOGLETRANSLATE(D156, ""en"", ""hi"")"),"A) राजस्थान")</f>
        <v>A) राजस्थान</v>
      </c>
    </row>
    <row r="157" ht="22.5" customHeight="1">
      <c r="A157" s="3">
        <v>156.0</v>
      </c>
      <c r="B157" s="4" t="s">
        <v>6185</v>
      </c>
      <c r="C157" s="4" t="s">
        <v>6186</v>
      </c>
      <c r="D157" s="4" t="s">
        <v>6187</v>
      </c>
      <c r="F157" s="5" t="str">
        <f>IFERROR(__xludf.DUMMYFUNCTION("GOOGLETRANSLATE(A157, ""en"", ""hi"")"),"156")</f>
        <v>156</v>
      </c>
      <c r="G157" s="5" t="str">
        <f>IFERROR(__xludf.DUMMYFUNCTION("GOOGLETRANSLATE(B157, ""en"", ""hi"")"),"2010 में धोप खेल के मैदान के आयामों में क्या महत्वपूर्ण परिवर्तन किया गया?")</f>
        <v>2010 में धोप खेल के मैदान के आयामों में क्या महत्वपूर्ण परिवर्तन किया गया?</v>
      </c>
      <c r="H157" s="5" t="str">
        <f>IFERROR(__xludf.DUMMYFUNCTION("GOOGLETRANSLATE(C157, ""en"", ""hi"")"),"A) क्षेत्र के आकार में कमी, B) क्षेत्र के आकार में वृद्धि, C) विशिष्ट क्षेत्रों का परिचय, D) क्षेत्र के आकार में परिवर्तन")</f>
        <v>A) क्षेत्र के आकार में कमी, B) क्षेत्र के आकार में वृद्धि, C) विशिष्ट क्षेत्रों का परिचय, D) क्षेत्र के आकार में परिवर्तन</v>
      </c>
      <c r="I157" s="5" t="str">
        <f>IFERROR(__xludf.DUMMYFUNCTION("GOOGLETRANSLATE(D157, ""en"", ""hi"")"),"बी) क्षेत्र के आकार में वृद्धि")</f>
        <v>बी) क्षेत्र के आकार में वृद्धि</v>
      </c>
    </row>
    <row r="158" ht="22.5" customHeight="1">
      <c r="A158" s="3">
        <v>157.0</v>
      </c>
      <c r="B158" s="4" t="s">
        <v>6188</v>
      </c>
      <c r="C158" s="4" t="s">
        <v>6189</v>
      </c>
      <c r="D158" s="4" t="s">
        <v>6190</v>
      </c>
      <c r="F158" s="5" t="str">
        <f>IFERROR(__xludf.DUMMYFUNCTION("GOOGLETRANSLATE(A158, ""en"", ""hi"")"),"157")</f>
        <v>157</v>
      </c>
      <c r="G158" s="5" t="str">
        <f>IFERROR(__xludf.DUMMYFUNCTION("GOOGLETRANSLATE(B158, ""en"", ""hi"")"),"धोप खेल विश्व कप में भाग लेने वाली पहली महिला खिलाड़ी कौन थी?")</f>
        <v>धोप खेल विश्व कप में भाग लेने वाली पहली महिला खिलाड़ी कौन थी?</v>
      </c>
      <c r="H158" s="5" t="str">
        <f>IFERROR(__xludf.DUMMYFUNCTION("GOOGLETRANSLATE(C158, ""en"", ""hi"")"),"A) अनीता शर्मा, B) प्रिया पटेल, C) सुनीता कुमार, D) नीलम यादव")</f>
        <v>A) अनीता शर्मा, B) प्रिया पटेल, C) सुनीता कुमार, D) नीलम यादव</v>
      </c>
      <c r="I158" s="5" t="str">
        <f>IFERROR(__xludf.DUMMYFUNCTION("GOOGLETRANSLATE(D158, ""en"", ""hi"")"),"C) सुनीता कुमार")</f>
        <v>C) सुनीता कुमार</v>
      </c>
    </row>
    <row r="159" ht="22.5" customHeight="1">
      <c r="A159" s="3">
        <v>158.0</v>
      </c>
      <c r="B159" s="4" t="s">
        <v>6191</v>
      </c>
      <c r="C159" s="4" t="s">
        <v>6192</v>
      </c>
      <c r="D159" s="4" t="s">
        <v>6193</v>
      </c>
      <c r="F159" s="5" t="str">
        <f>IFERROR(__xludf.DUMMYFUNCTION("GOOGLETRANSLATE(A159, ""en"", ""hi"")"),"158")</f>
        <v>158</v>
      </c>
      <c r="G159" s="5" t="str">
        <f>IFERROR(__xludf.DUMMYFUNCTION("GOOGLETRANSLATE(B159, ""en"", ""hi"")"),"ऐसा माना जाता है कि किस ऐतिहासिक घटना ने धोप खेल की रणनीतियों को लोकप्रिय बनाया?")</f>
        <v>ऐसा माना जाता है कि किस ऐतिहासिक घटना ने धोप खेल की रणनीतियों को लोकप्रिय बनाया?</v>
      </c>
      <c r="H159" s="5" t="str">
        <f>IFERROR(__xludf.DUMMYFUNCTION("GOOGLETRANSLATE(C159, ""en"", ""hi"")"),"A) मुगल साम्राज्य का सैन्य प्रशिक्षण, B) राजपूताना युद्ध, C) ब्रिटिश औपनिवेशिक खेल उत्सव, D) मराठा युद्ध")</f>
        <v>A) मुगल साम्राज्य का सैन्य प्रशिक्षण, B) राजपूताना युद्ध, C) ब्रिटिश औपनिवेशिक खेल उत्सव, D) मराठा युद्ध</v>
      </c>
      <c r="I159" s="5" t="str">
        <f>IFERROR(__xludf.DUMMYFUNCTION("GOOGLETRANSLATE(D159, ""en"", ""hi"")"),"B) राजपूताना युद्ध")</f>
        <v>B) राजपूताना युद्ध</v>
      </c>
    </row>
    <row r="160" ht="22.5" customHeight="1">
      <c r="A160" s="3">
        <v>159.0</v>
      </c>
      <c r="B160" s="4" t="s">
        <v>6194</v>
      </c>
      <c r="C160" s="4" t="s">
        <v>6195</v>
      </c>
      <c r="D160" s="4" t="s">
        <v>6196</v>
      </c>
      <c r="F160" s="5" t="str">
        <f>IFERROR(__xludf.DUMMYFUNCTION("GOOGLETRANSLATE(A160, ""en"", ""hi"")"),"159")</f>
        <v>159</v>
      </c>
      <c r="G160" s="5" t="str">
        <f>IFERROR(__xludf.DUMMYFUNCTION("GOOGLETRANSLATE(B160, ""en"", ""hi"")"),"कौन सा भारतीय धोप खेल खिलाड़ी 'ट्रिपल टैग' तकनीक के अपने अभिनव उपयोग के लिए जाना जाता है?")</f>
        <v>कौन सा भारतीय धोप खेल खिलाड़ी 'ट्रिपल टैग' तकनीक के अपने अभिनव उपयोग के लिए जाना जाता है?</v>
      </c>
      <c r="H160" s="5" t="str">
        <f>IFERROR(__xludf.DUMMYFUNCTION("GOOGLETRANSLATE(C160, ""en"", ""hi"")"),"A) रवि पटेल, B) मोहित शर्मा, C) राजेश कुमार, D) सुनील सिंह")</f>
        <v>A) रवि पटेल, B) मोहित शर्मा, C) राजेश कुमार, D) सुनील सिंह</v>
      </c>
      <c r="I160" s="5" t="str">
        <f>IFERROR(__xludf.DUMMYFUNCTION("GOOGLETRANSLATE(D160, ""en"", ""hi"")"),"B) मोहित शर्मा")</f>
        <v>B) मोहित शर्मा</v>
      </c>
    </row>
    <row r="161" ht="22.5" customHeight="1">
      <c r="A161" s="3">
        <v>160.0</v>
      </c>
      <c r="B161" s="4" t="s">
        <v>6197</v>
      </c>
      <c r="C161" s="4" t="s">
        <v>6198</v>
      </c>
      <c r="D161" s="4" t="s">
        <v>2488</v>
      </c>
      <c r="F161" s="5" t="str">
        <f>IFERROR(__xludf.DUMMYFUNCTION("GOOGLETRANSLATE(A161, ""en"", ""hi"")"),"160")</f>
        <v>160</v>
      </c>
      <c r="G161" s="5" t="str">
        <f>IFERROR(__xludf.DUMMYFUNCTION("GOOGLETRANSLATE(B161, ""en"", ""hi"")"),"धोप खेल पहली बार राष्ट्रमंडल खेलों में किस वर्ष शामिल किया गया था?")</f>
        <v>धोप खेल पहली बार राष्ट्रमंडल खेलों में किस वर्ष शामिल किया गया था?</v>
      </c>
      <c r="H161" s="5" t="str">
        <f>IFERROR(__xludf.DUMMYFUNCTION("GOOGLETRANSLATE(C161, ""en"", ""hi"")"),"ए) 2010, बी) 2014, सी) 2018, डी) 2022")</f>
        <v>ए) 2010, बी) 2014, सी) 2018, डी) 2022</v>
      </c>
      <c r="I161" s="5" t="str">
        <f>IFERROR(__xludf.DUMMYFUNCTION("GOOGLETRANSLATE(D161, ""en"", ""hi"")"),"बी) 2014")</f>
        <v>बी) 2014</v>
      </c>
    </row>
    <row r="162" ht="22.5" customHeight="1">
      <c r="A162" s="3">
        <v>161.0</v>
      </c>
      <c r="B162" s="4" t="s">
        <v>6199</v>
      </c>
      <c r="C162" s="4" t="s">
        <v>6200</v>
      </c>
      <c r="D162" s="4" t="s">
        <v>37</v>
      </c>
      <c r="F162" s="5" t="str">
        <f>IFERROR(__xludf.DUMMYFUNCTION("GOOGLETRANSLATE(A162, ""en"", ""hi"")"),"161")</f>
        <v>161</v>
      </c>
      <c r="G162" s="5" t="str">
        <f>IFERROR(__xludf.DUMMYFUNCTION("GOOGLETRANSLATE(B162, ""en"", ""hi"")"),"किस धोप खेल टीम ने 2022 दक्षिण एशियाई खेलों का स्वर्ण पदक जीता?")</f>
        <v>किस धोप खेल टीम ने 2022 दक्षिण एशियाई खेलों का स्वर्ण पदक जीता?</v>
      </c>
      <c r="H162" s="5" t="str">
        <f>IFERROR(__xludf.DUMMYFUNCTION("GOOGLETRANSLATE(C162, ""en"", ""hi"")"),"A) भारत, B) नेपाल, C) बांग्लादेश, D) पाकिस्तान")</f>
        <v>A) भारत, B) नेपाल, C) बांग्लादेश, D) पाकिस्तान</v>
      </c>
      <c r="I162" s="5" t="str">
        <f>IFERROR(__xludf.DUMMYFUNCTION("GOOGLETRANSLATE(D162, ""en"", ""hi"")"),"ए) भारत")</f>
        <v>ए) भारत</v>
      </c>
    </row>
    <row r="163" ht="22.5" customHeight="1">
      <c r="A163" s="3">
        <v>162.0</v>
      </c>
      <c r="B163" s="4" t="s">
        <v>6201</v>
      </c>
      <c r="C163" s="4" t="s">
        <v>6202</v>
      </c>
      <c r="D163" s="4" t="s">
        <v>6158</v>
      </c>
      <c r="F163" s="5" t="str">
        <f>IFERROR(__xludf.DUMMYFUNCTION("GOOGLETRANSLATE(A163, ""en"", ""hi"")"),"162")</f>
        <v>162</v>
      </c>
      <c r="G163" s="5" t="str">
        <f>IFERROR(__xludf.DUMMYFUNCTION("GOOGLETRANSLATE(B163, ""en"", ""hi"")"),"कौन सा भारतीय शहर वार्षिक धोप खेल चैलेंज कप की मेजबानी के लिए प्रसिद्ध है?")</f>
        <v>कौन सा भारतीय शहर वार्षिक धोप खेल चैलेंज कप की मेजबानी के लिए प्रसिद्ध है?</v>
      </c>
      <c r="H163" s="5" t="str">
        <f>IFERROR(__xludf.DUMMYFUNCTION("GOOGLETRANSLATE(C163, ""en"", ""hi"")"),"A) मुंबई, B) दिल्ली, C) जयपुर, D) उदयपुर")</f>
        <v>A) मुंबई, B) दिल्ली, C) जयपुर, D) उदयपुर</v>
      </c>
      <c r="I163" s="5" t="str">
        <f>IFERROR(__xludf.DUMMYFUNCTION("GOOGLETRANSLATE(D163, ""en"", ""hi"")"),"D) उदयपुर")</f>
        <v>D) उदयपुर</v>
      </c>
    </row>
    <row r="164" ht="22.5" customHeight="1">
      <c r="A164" s="3">
        <v>163.0</v>
      </c>
      <c r="B164" s="4" t="s">
        <v>6203</v>
      </c>
      <c r="C164" s="4" t="s">
        <v>6204</v>
      </c>
      <c r="D164" s="4" t="s">
        <v>6205</v>
      </c>
      <c r="F164" s="5" t="str">
        <f>IFERROR(__xludf.DUMMYFUNCTION("GOOGLETRANSLATE(A164, ""en"", ""hi"")"),"163")</f>
        <v>163</v>
      </c>
      <c r="G164" s="5" t="str">
        <f>IFERROR(__xludf.DUMMYFUNCTION("GOOGLETRANSLATE(B164, ""en"", ""hi"")"),"धोप खेल खिलाड़ी अपनी पकड़ बढ़ाने के लिए किस पारंपरिक उपकरण का उपयोग करते हैं?")</f>
        <v>धोप खेल खिलाड़ी अपनी पकड़ बढ़ाने के लिए किस पारंपरिक उपकरण का उपयोग करते हैं?</v>
      </c>
      <c r="H164" s="5" t="str">
        <f>IFERROR(__xludf.DUMMYFUNCTION("GOOGLETRANSLATE(C164, ""en"", ""hi"")"),"A) दस्ताने, B) कलाई बैंड, C) टेप, D) ग्रिप पाउडर")</f>
        <v>A) दस्ताने, B) कलाई बैंड, C) टेप, D) ग्रिप पाउडर</v>
      </c>
      <c r="I164" s="5" t="str">
        <f>IFERROR(__xludf.DUMMYFUNCTION("GOOGLETRANSLATE(D164, ""en"", ""hi"")"),"डी) ग्रिप पाउडर")</f>
        <v>डी) ग्रिप पाउडर</v>
      </c>
    </row>
    <row r="165" ht="22.5" customHeight="1">
      <c r="A165" s="3">
        <v>164.0</v>
      </c>
      <c r="B165" s="4" t="s">
        <v>6206</v>
      </c>
      <c r="C165" s="4" t="s">
        <v>6207</v>
      </c>
      <c r="D165" s="4" t="s">
        <v>6130</v>
      </c>
      <c r="F165" s="5" t="str">
        <f>IFERROR(__xludf.DUMMYFUNCTION("GOOGLETRANSLATE(A165, ""en"", ""hi"")"),"164")</f>
        <v>164</v>
      </c>
      <c r="G165" s="5" t="str">
        <f>IFERROR(__xludf.DUMMYFUNCTION("GOOGLETRANSLATE(B165, ""en"", ""hi"")"),"कौन सा धोप खेल खिलाड़ी 'हाई किक डॉज' तकनीक के रणनीतिक उपयोग के लिए प्रसिद्ध है?")</f>
        <v>कौन सा धोप खेल खिलाड़ी 'हाई किक डॉज' तकनीक के रणनीतिक उपयोग के लिए प्रसिद्ध है?</v>
      </c>
      <c r="H165" s="5" t="str">
        <f>IFERROR(__xludf.DUMMYFUNCTION("GOOGLETRANSLATE(C165, ""en"", ""hi"")"),"A) अनिल शर्मा, B) रवि कुमार, C) सुनील पटेल, D) राजेश यादव")</f>
        <v>A) अनिल शर्मा, B) रवि कुमार, C) सुनील पटेल, D) राजेश यादव</v>
      </c>
      <c r="I165" s="5" t="str">
        <f>IFERROR(__xludf.DUMMYFUNCTION("GOOGLETRANSLATE(D165, ""en"", ""hi"")"),"A) अनिल शर्मा")</f>
        <v>A) अनिल शर्मा</v>
      </c>
    </row>
    <row r="166" ht="22.5" customHeight="1">
      <c r="A166" s="3">
        <v>165.0</v>
      </c>
      <c r="B166" s="4" t="s">
        <v>6208</v>
      </c>
      <c r="C166" s="4" t="s">
        <v>5255</v>
      </c>
      <c r="D166" s="4" t="s">
        <v>71</v>
      </c>
      <c r="F166" s="5" t="str">
        <f>IFERROR(__xludf.DUMMYFUNCTION("GOOGLETRANSLATE(A166, ""en"", ""hi"")"),"165")</f>
        <v>165</v>
      </c>
      <c r="G166" s="5" t="str">
        <f>IFERROR(__xludf.DUMMYFUNCTION("GOOGLETRANSLATE(B166, ""en"", ""hi"")"),"धोप खेल ने पेशेवर टीमों के लिए 'सुपर लीग' की अवधारणा किस वर्ष शुरू की?")</f>
        <v>धोप खेल ने पेशेवर टीमों के लिए 'सुपर लीग' की अवधारणा किस वर्ष शुरू की?</v>
      </c>
      <c r="H166" s="5" t="str">
        <f>IFERROR(__xludf.DUMMYFUNCTION("GOOGLETRANSLATE(C166, ""en"", ""hi"")"),"ए) 2005, बी) 2010, सी) 2015, डी) 2020")</f>
        <v>ए) 2005, बी) 2010, सी) 2015, डी) 2020</v>
      </c>
      <c r="I166" s="5" t="str">
        <f>IFERROR(__xludf.DUMMYFUNCTION("GOOGLETRANSLATE(D166, ""en"", ""hi"")"),"बी) 2010")</f>
        <v>बी) 2010</v>
      </c>
    </row>
    <row r="167" ht="22.5" customHeight="1">
      <c r="A167" s="3">
        <v>166.0</v>
      </c>
      <c r="B167" s="4" t="s">
        <v>6209</v>
      </c>
      <c r="C167" s="4" t="s">
        <v>6007</v>
      </c>
      <c r="D167" s="4" t="s">
        <v>4081</v>
      </c>
      <c r="F167" s="5" t="str">
        <f>IFERROR(__xludf.DUMMYFUNCTION("GOOGLETRANSLATE(A167, ""en"", ""hi"")"),"166")</f>
        <v>166</v>
      </c>
      <c r="G167" s="5" t="str">
        <f>IFERROR(__xludf.DUMMYFUNCTION("GOOGLETRANSLATE(B167, ""en"", ""hi"")"),"किस राज्य ने सबसे अधिक अंतर्राष्ट्रीय धोप खेल रेफरी तैयार किए हैं?")</f>
        <v>किस राज्य ने सबसे अधिक अंतर्राष्ट्रीय धोप खेल रेफरी तैयार किए हैं?</v>
      </c>
      <c r="H167" s="5" t="str">
        <f>IFERROR(__xludf.DUMMYFUNCTION("GOOGLETRANSLATE(C167, ""en"", ""hi"")"),"A) पंजाब, B) हरियाणा, C) राजस्थान, D) गुजरात")</f>
        <v>A) पंजाब, B) हरियाणा, C) राजस्थान, D) गुजरात</v>
      </c>
      <c r="I167" s="5" t="str">
        <f>IFERROR(__xludf.DUMMYFUNCTION("GOOGLETRANSLATE(D167, ""en"", ""hi"")"),"C) राजस्थान")</f>
        <v>C) राजस्थान</v>
      </c>
    </row>
    <row r="168" ht="22.5" customHeight="1">
      <c r="A168" s="3">
        <v>167.0</v>
      </c>
      <c r="B168" s="4" t="s">
        <v>6210</v>
      </c>
      <c r="C168" s="4" t="s">
        <v>6211</v>
      </c>
      <c r="D168" s="4" t="s">
        <v>6119</v>
      </c>
      <c r="F168" s="5" t="str">
        <f>IFERROR(__xludf.DUMMYFUNCTION("GOOGLETRANSLATE(A168, ""en"", ""hi"")"),"167")</f>
        <v>167</v>
      </c>
      <c r="G168" s="5" t="str">
        <f>IFERROR(__xludf.DUMMYFUNCTION("GOOGLETRANSLATE(B168, ""en"", ""hi"")"),"कौन सा भारतीय खिलाड़ी 'लॉन्ग रीच टैग' तकनीक में अपनी विशेषज्ञता के लिए जाना जाता है?")</f>
        <v>कौन सा भारतीय खिलाड़ी 'लॉन्ग रीच टैग' तकनीक में अपनी विशेषज्ञता के लिए जाना जाता है?</v>
      </c>
      <c r="H168" s="5" t="str">
        <f>IFERROR(__xludf.DUMMYFUNCTION("GOOGLETRANSLATE(C168, ""en"", ""hi"")"),"A) मोहन शर्मा, B) अनिल कुमार, C) राजेश पटेल, D) रवि यादव")</f>
        <v>A) मोहन शर्मा, B) अनिल कुमार, C) राजेश पटेल, D) रवि यादव</v>
      </c>
      <c r="I168" s="5" t="str">
        <f>IFERROR(__xludf.DUMMYFUNCTION("GOOGLETRANSLATE(D168, ""en"", ""hi"")"),"बी) अनिल कुमार")</f>
        <v>बी) अनिल कुमार</v>
      </c>
    </row>
    <row r="169" ht="22.5" customHeight="1">
      <c r="A169" s="3">
        <v>168.0</v>
      </c>
      <c r="B169" s="4" t="s">
        <v>6212</v>
      </c>
      <c r="C169" s="4" t="s">
        <v>6213</v>
      </c>
      <c r="D169" s="4" t="s">
        <v>6214</v>
      </c>
      <c r="F169" s="5" t="str">
        <f>IFERROR(__xludf.DUMMYFUNCTION("GOOGLETRANSLATE(A169, ""en"", ""hi"")"),"168")</f>
        <v>168</v>
      </c>
      <c r="G169" s="5" t="str">
        <f>IFERROR(__xludf.DUMMYFUNCTION("GOOGLETRANSLATE(B169, ""en"", ""hi"")"),"एक मानक धोप खेल मैच में प्रत्येक टीम में खिलाड़ियों की औसत संख्या कितनी होती है?")</f>
        <v>एक मानक धोप खेल मैच में प्रत्येक टीम में खिलाड़ियों की औसत संख्या कितनी होती है?</v>
      </c>
      <c r="H169" s="5" t="str">
        <f>IFERROR(__xludf.DUMMYFUNCTION("GOOGLETRANSLATE(C169, ""en"", ""hi"")"),"ए) 8, बी) 9, सी) 10, डी) 11")</f>
        <v>ए) 8, बी) 9, सी) 10, डी) 11</v>
      </c>
      <c r="I169" s="5" t="str">
        <f>IFERROR(__xludf.DUMMYFUNCTION("GOOGLETRANSLATE(D169, ""en"", ""hi"")"),"बी) 9")</f>
        <v>बी) 9</v>
      </c>
    </row>
    <row r="170" ht="22.5" customHeight="1">
      <c r="A170" s="3">
        <v>169.0</v>
      </c>
      <c r="B170" s="4" t="s">
        <v>6215</v>
      </c>
      <c r="C170" s="4" t="s">
        <v>6216</v>
      </c>
      <c r="D170" s="4" t="s">
        <v>4112</v>
      </c>
      <c r="F170" s="5" t="str">
        <f>IFERROR(__xludf.DUMMYFUNCTION("GOOGLETRANSLATE(A170, ""en"", ""hi"")"),"169")</f>
        <v>169</v>
      </c>
      <c r="G170" s="5" t="str">
        <f>IFERROR(__xludf.DUMMYFUNCTION("GOOGLETRANSLATE(B170, ""en"", ""hi"")"),"कौन सा भारतीय राज्य 19वीं शताब्दी के ऐतिहासिक धोप खेल टूर्नामेंट के लिए जाना जाता है?")</f>
        <v>कौन सा भारतीय राज्य 19वीं शताब्दी के ऐतिहासिक धोप खेल टूर्नामेंट के लिए जाना जाता है?</v>
      </c>
      <c r="H170" s="5" t="str">
        <f>IFERROR(__xludf.DUMMYFUNCTION("GOOGLETRANSLATE(C170, ""en"", ""hi"")"),"ए) पंजाब, बी) राजस्थान, सी) गुजरात, डी) महाराष्ट्र")</f>
        <v>ए) पंजाब, बी) राजस्थान, सी) गुजरात, डी) महाराष्ट्र</v>
      </c>
      <c r="I170" s="5" t="str">
        <f>IFERROR(__xludf.DUMMYFUNCTION("GOOGLETRANSLATE(D170, ""en"", ""hi"")"),"बी) राजस्थान")</f>
        <v>बी) राजस्थान</v>
      </c>
    </row>
    <row r="171" ht="22.5" customHeight="1">
      <c r="A171" s="3">
        <v>170.0</v>
      </c>
      <c r="B171" s="4" t="s">
        <v>6217</v>
      </c>
      <c r="C171" s="4" t="s">
        <v>6218</v>
      </c>
      <c r="D171" s="4" t="s">
        <v>6181</v>
      </c>
      <c r="F171" s="5" t="str">
        <f>IFERROR(__xludf.DUMMYFUNCTION("GOOGLETRANSLATE(A171, ""en"", ""hi"")"),"170")</f>
        <v>170</v>
      </c>
      <c r="G171" s="5" t="str">
        <f>IFERROR(__xludf.DUMMYFUNCTION("GOOGLETRANSLATE(B171, ""en"", ""hi"")"),"धोप खेल विश्व कप मैच में परफेक्ट गेम स्कोर हासिल करने वाला पहला खिलाड़ी कौन था?")</f>
        <v>धोप खेल विश्व कप मैच में परफेक्ट गेम स्कोर हासिल करने वाला पहला खिलाड़ी कौन था?</v>
      </c>
      <c r="H171" s="5" t="str">
        <f>IFERROR(__xludf.DUMMYFUNCTION("GOOGLETRANSLATE(C171, ""en"", ""hi"")"),"A) मोहित कुमार, B) रवि पटेल, C) राजेश कुमार, D) अरविंद शर्मा")</f>
        <v>A) मोहित कुमार, B) रवि पटेल, C) राजेश कुमार, D) अरविंद शर्मा</v>
      </c>
      <c r="I171" s="5" t="str">
        <f>IFERROR(__xludf.DUMMYFUNCTION("GOOGLETRANSLATE(D171, ""en"", ""hi"")"),"A) मोहित कुमार")</f>
        <v>A) मोहित कुमार</v>
      </c>
    </row>
    <row r="172" ht="22.5" customHeight="1">
      <c r="A172" s="3">
        <v>171.0</v>
      </c>
      <c r="B172" s="4" t="s">
        <v>6219</v>
      </c>
      <c r="C172" s="4" t="s">
        <v>5901</v>
      </c>
      <c r="D172" s="4" t="s">
        <v>4081</v>
      </c>
      <c r="F172" s="5" t="str">
        <f>IFERROR(__xludf.DUMMYFUNCTION("GOOGLETRANSLATE(A172, ""en"", ""hi"")"),"171")</f>
        <v>171</v>
      </c>
      <c r="G172" s="5" t="str">
        <f>IFERROR(__xludf.DUMMYFUNCTION("GOOGLETRANSLATE(B172, ""en"", ""hi"")"),"किस भारतीय राज्य में धोप खेल के अंतर्राष्ट्रीय खिलाड़ियों की संख्या सबसे अधिक है?")</f>
        <v>किस भारतीय राज्य में धोप खेल के अंतर्राष्ट्रीय खिलाड़ियों की संख्या सबसे अधिक है?</v>
      </c>
      <c r="H172" s="5" t="str">
        <f>IFERROR(__xludf.DUMMYFUNCTION("GOOGLETRANSLATE(C172, ""en"", ""hi"")"),"ए) पंजाब, बी) हरियाणा, सी) राजस्थान, डी) उत्तर प्रदेश")</f>
        <v>ए) पंजाब, बी) हरियाणा, सी) राजस्थान, डी) उत्तर प्रदेश</v>
      </c>
      <c r="I172" s="5" t="str">
        <f>IFERROR(__xludf.DUMMYFUNCTION("GOOGLETRANSLATE(D172, ""en"", ""hi"")"),"C) राजस्थान")</f>
        <v>C) राजस्थान</v>
      </c>
    </row>
    <row r="173" ht="22.5" customHeight="1">
      <c r="A173" s="3">
        <v>172.0</v>
      </c>
      <c r="B173" s="4" t="s">
        <v>6220</v>
      </c>
      <c r="C173" s="4" t="s">
        <v>6221</v>
      </c>
      <c r="D173" s="4" t="s">
        <v>5835</v>
      </c>
      <c r="F173" s="5" t="str">
        <f>IFERROR(__xludf.DUMMYFUNCTION("GOOGLETRANSLATE(A173, ""en"", ""hi"")"),"172")</f>
        <v>172</v>
      </c>
      <c r="G173" s="5" t="str">
        <f>IFERROR(__xludf.DUMMYFUNCTION("GOOGLETRANSLATE(B173, ""en"", ""hi"")"),"एक पेशेवर धोप खेल मैच की औसत अवधि क्या है?")</f>
        <v>एक पेशेवर धोप खेल मैच की औसत अवधि क्या है?</v>
      </c>
      <c r="H173" s="5" t="str">
        <f>IFERROR(__xludf.DUMMYFUNCTION("GOOGLETRANSLATE(C173, ""en"", ""hi"")"),"A) 30 मिनट, B) 45 मिनट, C) 60 मिनट, D) 75 मिनट")</f>
        <v>A) 30 मिनट, B) 45 मिनट, C) 60 मिनट, D) 75 मिनट</v>
      </c>
      <c r="I173" s="5" t="str">
        <f>IFERROR(__xludf.DUMMYFUNCTION("GOOGLETRANSLATE(D173, ""en"", ""hi"")"),"बी) 45 मिनट")</f>
        <v>बी) 45 मिनट</v>
      </c>
    </row>
    <row r="174" ht="22.5" customHeight="1">
      <c r="A174" s="3">
        <v>173.0</v>
      </c>
      <c r="B174" s="4" t="s">
        <v>6222</v>
      </c>
      <c r="C174" s="4" t="s">
        <v>6223</v>
      </c>
      <c r="D174" s="4" t="s">
        <v>6224</v>
      </c>
      <c r="F174" s="5" t="str">
        <f>IFERROR(__xludf.DUMMYFUNCTION("GOOGLETRANSLATE(A174, ""en"", ""hi"")"),"173")</f>
        <v>173</v>
      </c>
      <c r="G174" s="5" t="str">
        <f>IFERROR(__xludf.DUMMYFUNCTION("GOOGLETRANSLATE(B174, ""en"", ""hi"")"),"2019 विश्व कप में किस भारतीय खिलाड़ी को सर्वश्रेष्ठ रक्षात्मक खिलाड़ी का पुरस्कार दिया गया?")</f>
        <v>2019 विश्व कप में किस भारतीय खिलाड़ी को सर्वश्रेष्ठ रक्षात्मक खिलाड़ी का पुरस्कार दिया गया?</v>
      </c>
      <c r="H174" s="5" t="str">
        <f>IFERROR(__xludf.DUMMYFUNCTION("GOOGLETRANSLATE(C174, ""en"", ""hi"")"),"A) मोहित सिंह, B) अनिल कुमार, C) राजेश पटेल, D) रवि कुमार")</f>
        <v>A) मोहित सिंह, B) अनिल कुमार, C) राजेश पटेल, D) रवि कुमार</v>
      </c>
      <c r="I174" s="5" t="str">
        <f>IFERROR(__xludf.DUMMYFUNCTION("GOOGLETRANSLATE(D174, ""en"", ""hi"")"),"A) मोहित सिंह")</f>
        <v>A) मोहित सिंह</v>
      </c>
    </row>
    <row r="175" ht="22.5" customHeight="1">
      <c r="A175" s="3">
        <v>174.0</v>
      </c>
      <c r="B175" s="4" t="s">
        <v>6225</v>
      </c>
      <c r="C175" s="4" t="s">
        <v>6226</v>
      </c>
      <c r="D175" s="4" t="s">
        <v>6227</v>
      </c>
      <c r="F175" s="5" t="str">
        <f>IFERROR(__xludf.DUMMYFUNCTION("GOOGLETRANSLATE(A175, ""en"", ""hi"")"),"174")</f>
        <v>174</v>
      </c>
      <c r="G175" s="5" t="str">
        <f>IFERROR(__xludf.DUMMYFUNCTION("GOOGLETRANSLATE(B175, ""en"", ""hi"")"),"कौन सा धोप खेल खिलाड़ी मैदान पर अपनी असाधारण गति और चपलता के लिए जाना जाता है?")</f>
        <v>कौन सा धोप खेल खिलाड़ी मैदान पर अपनी असाधारण गति और चपलता के लिए जाना जाता है?</v>
      </c>
      <c r="H175" s="5" t="str">
        <f>IFERROR(__xludf.DUMMYFUNCTION("GOOGLETRANSLATE(C175, ""en"", ""hi"")"),"A) सुनील कुमार, B) अरविंद यादव, C) दीपक पटेल, D) रवि शर्मा")</f>
        <v>A) सुनील कुमार, B) अरविंद यादव, C) दीपक पटेल, D) रवि शर्मा</v>
      </c>
      <c r="I175" s="5" t="str">
        <f>IFERROR(__xludf.DUMMYFUNCTION("GOOGLETRANSLATE(D175, ""en"", ""hi"")"),"बी) अरविंद यादव")</f>
        <v>बी) अरविंद यादव</v>
      </c>
    </row>
    <row r="176" ht="22.5" customHeight="1">
      <c r="A176" s="3">
        <v>175.0</v>
      </c>
      <c r="B176" s="4" t="s">
        <v>6228</v>
      </c>
      <c r="C176" s="4" t="s">
        <v>4671</v>
      </c>
      <c r="D176" s="4" t="s">
        <v>98</v>
      </c>
      <c r="F176" s="5" t="str">
        <f>IFERROR(__xludf.DUMMYFUNCTION("GOOGLETRANSLATE(A176, ""en"", ""hi"")"),"175")</f>
        <v>175</v>
      </c>
      <c r="G176" s="5" t="str">
        <f>IFERROR(__xludf.DUMMYFUNCTION("GOOGLETRANSLATE(B176, ""en"", ""hi"")"),"कौन सा भारतीय राज्य अपने कॉलेज खेल पाठ्यक्रम में धोप खेल को शामिल करने वाला पहला राज्य था?")</f>
        <v>कौन सा भारतीय राज्य अपने कॉलेज खेल पाठ्यक्रम में धोप खेल को शामिल करने वाला पहला राज्य था?</v>
      </c>
      <c r="H176" s="5" t="str">
        <f>IFERROR(__xludf.DUMMYFUNCTION("GOOGLETRANSLATE(C176, ""en"", ""hi"")"),"ए) गुजरात, बी) महाराष्ट्र, सी) कर्नाटक, डी) तमिलनाडु")</f>
        <v>ए) गुजरात, बी) महाराष्ट्र, सी) कर्नाटक, डी) तमिलनाडु</v>
      </c>
      <c r="I176" s="5" t="str">
        <f>IFERROR(__xludf.DUMMYFUNCTION("GOOGLETRANSLATE(D176, ""en"", ""hi"")"),"बी) महाराष्ट्र")</f>
        <v>बी) महाराष्ट्र</v>
      </c>
    </row>
    <row r="177" ht="22.5" customHeight="1">
      <c r="A177" s="3">
        <v>176.0</v>
      </c>
      <c r="B177" s="4" t="s">
        <v>6229</v>
      </c>
      <c r="C177" s="4" t="s">
        <v>6230</v>
      </c>
      <c r="D177" s="4" t="s">
        <v>6231</v>
      </c>
      <c r="F177" s="5" t="str">
        <f>IFERROR(__xludf.DUMMYFUNCTION("GOOGLETRANSLATE(A177, ""en"", ""hi"")"),"176")</f>
        <v>176</v>
      </c>
      <c r="G177" s="5" t="str">
        <f>IFERROR(__xludf.DUMMYFUNCTION("GOOGLETRANSLATE(B177, ""en"", ""hi"")"),"कौन सा खिलाड़ी धोप खेल में 'जंप टैग' तकनीक के अभिनव उपयोग के लिए जाना जाता है?")</f>
        <v>कौन सा खिलाड़ी धोप खेल में 'जंप टैग' तकनीक के अभिनव उपयोग के लिए जाना जाता है?</v>
      </c>
      <c r="H177" s="5" t="str">
        <f>IFERROR(__xludf.DUMMYFUNCTION("GOOGLETRANSLATE(C177, ""en"", ""hi"")"),"A) राजेश सिंह, B) अनिल शर्मा, C) रवि पटेल, D) मोहित कुमार")</f>
        <v>A) राजेश सिंह, B) अनिल शर्मा, C) रवि पटेल, D) मोहित कुमार</v>
      </c>
      <c r="I177" s="5" t="str">
        <f>IFERROR(__xludf.DUMMYFUNCTION("GOOGLETRANSLATE(D177, ""en"", ""hi"")"),"D) मोहित कुमार")</f>
        <v>D) मोहित कुमार</v>
      </c>
    </row>
    <row r="178" ht="22.5" customHeight="1">
      <c r="A178" s="3">
        <v>177.0</v>
      </c>
      <c r="B178" s="4" t="s">
        <v>6232</v>
      </c>
      <c r="C178" s="4" t="s">
        <v>6233</v>
      </c>
      <c r="D178" s="4" t="s">
        <v>37</v>
      </c>
      <c r="F178" s="5" t="str">
        <f>IFERROR(__xludf.DUMMYFUNCTION("GOOGLETRANSLATE(A178, ""en"", ""hi"")"),"177")</f>
        <v>177</v>
      </c>
      <c r="G178" s="5" t="str">
        <f>IFERROR(__xludf.DUMMYFUNCTION("GOOGLETRANSLATE(B178, ""en"", ""hi"")"),"2019 एशियाई चैंपियनशिप में किस धोप खेल टीम ने स्वर्ण पदक जीता?")</f>
        <v>2019 एशियाई चैंपियनशिप में किस धोप खेल टीम ने स्वर्ण पदक जीता?</v>
      </c>
      <c r="H178" s="5" t="str">
        <f>IFERROR(__xludf.DUMMYFUNCTION("GOOGLETRANSLATE(C178, ""en"", ""hi"")"),"A) भारत, B) नेपाल, C) पाकिस्तान, D) बांग्लादेश")</f>
        <v>A) भारत, B) नेपाल, C) पाकिस्तान, D) बांग्लादेश</v>
      </c>
      <c r="I178" s="5" t="str">
        <f>IFERROR(__xludf.DUMMYFUNCTION("GOOGLETRANSLATE(D178, ""en"", ""hi"")"),"ए) भारत")</f>
        <v>ए) भारत</v>
      </c>
    </row>
    <row r="179" ht="22.5" customHeight="1">
      <c r="A179" s="3">
        <v>178.0</v>
      </c>
      <c r="B179" s="4" t="s">
        <v>6234</v>
      </c>
      <c r="C179" s="4" t="s">
        <v>5255</v>
      </c>
      <c r="D179" s="4" t="s">
        <v>71</v>
      </c>
      <c r="F179" s="5" t="str">
        <f>IFERROR(__xludf.DUMMYFUNCTION("GOOGLETRANSLATE(A179, ""en"", ""hi"")"),"178")</f>
        <v>178</v>
      </c>
      <c r="G179" s="5" t="str">
        <f>IFERROR(__xludf.DUMMYFUNCTION("GOOGLETRANSLATE(B179, ""en"", ""hi"")"),"धोप खेल ने किस वर्ष एक मानकीकृत अंतर्राष्ट्रीय कोचिंग प्रमाणन कार्यक्रम शुरू किया?")</f>
        <v>धोप खेल ने किस वर्ष एक मानकीकृत अंतर्राष्ट्रीय कोचिंग प्रमाणन कार्यक्रम शुरू किया?</v>
      </c>
      <c r="H179" s="5" t="str">
        <f>IFERROR(__xludf.DUMMYFUNCTION("GOOGLETRANSLATE(C179, ""en"", ""hi"")"),"ए) 2005, बी) 2010, सी) 2015, डी) 2020")</f>
        <v>ए) 2005, बी) 2010, सी) 2015, डी) 2020</v>
      </c>
      <c r="I179" s="5" t="str">
        <f>IFERROR(__xludf.DUMMYFUNCTION("GOOGLETRANSLATE(D179, ""en"", ""hi"")"),"बी) 2010")</f>
        <v>बी) 2010</v>
      </c>
    </row>
    <row r="180" ht="22.5" customHeight="1">
      <c r="A180" s="3">
        <v>179.0</v>
      </c>
      <c r="B180" s="4" t="s">
        <v>6235</v>
      </c>
      <c r="C180" s="4" t="s">
        <v>6236</v>
      </c>
      <c r="D180" s="4" t="s">
        <v>6237</v>
      </c>
      <c r="F180" s="5" t="str">
        <f>IFERROR(__xludf.DUMMYFUNCTION("GOOGLETRANSLATE(A180, ""en"", ""hi"")"),"179")</f>
        <v>179</v>
      </c>
      <c r="G180" s="5" t="str">
        <f>IFERROR(__xludf.DUMMYFUNCTION("GOOGLETRANSLATE(B180, ""en"", ""hi"")"),"कौन सा भारतीय खिलाड़ी 'फेक टैग' तकनीक के रणनीतिक उपयोग के लिए प्रसिद्ध है?")</f>
        <v>कौन सा भारतीय खिलाड़ी 'फेक टैग' तकनीक के रणनीतिक उपयोग के लिए प्रसिद्ध है?</v>
      </c>
      <c r="H180" s="5" t="str">
        <f>IFERROR(__xludf.DUMMYFUNCTION("GOOGLETRANSLATE(C180, ""en"", ""hi"")"),"ए) मोहित शर्मा, बी) राजेश कुमार, सी) रवि पटेल, डी) सुनील यादव")</f>
        <v>ए) मोहित शर्मा, बी) राजेश कुमार, सी) रवि पटेल, डी) सुनील यादव</v>
      </c>
      <c r="I180" s="5" t="str">
        <f>IFERROR(__xludf.DUMMYFUNCTION("GOOGLETRANSLATE(D180, ""en"", ""hi"")"),"C) रवि पटेल")</f>
        <v>C) रवि पटेल</v>
      </c>
    </row>
    <row r="181" ht="22.5" customHeight="1">
      <c r="A181" s="3">
        <v>180.0</v>
      </c>
      <c r="B181" s="4" t="s">
        <v>6238</v>
      </c>
      <c r="C181" s="4" t="s">
        <v>6239</v>
      </c>
      <c r="D181" s="4" t="s">
        <v>543</v>
      </c>
      <c r="F181" s="5" t="str">
        <f>IFERROR(__xludf.DUMMYFUNCTION("GOOGLETRANSLATE(A181, ""en"", ""hi"")"),"180")</f>
        <v>180</v>
      </c>
      <c r="G181" s="5" t="str">
        <f>IFERROR(__xludf.DUMMYFUNCTION("GOOGLETRANSLATE(B181, ""en"", ""hi"")"),"2021 में धोप खेल राष्ट्रीय चैम्पियनशिप की मेजबानी किस शहर ने की?")</f>
        <v>2021 में धोप खेल राष्ट्रीय चैम्पियनशिप की मेजबानी किस शहर ने की?</v>
      </c>
      <c r="H181" s="5" t="str">
        <f>IFERROR(__xludf.DUMMYFUNCTION("GOOGLETRANSLATE(C181, ""en"", ""hi"")"),"A) दिल्ली, B) मुंबई, C) जयपुर, D) चेन्नई")</f>
        <v>A) दिल्ली, B) मुंबई, C) जयपुर, D) चेन्नई</v>
      </c>
      <c r="I181" s="5" t="str">
        <f>IFERROR(__xludf.DUMMYFUNCTION("GOOGLETRANSLATE(D181, ""en"", ""hi"")"),"ए) दिल्ली")</f>
        <v>ए) दिल्ली</v>
      </c>
    </row>
    <row r="182" ht="22.5" customHeight="1">
      <c r="A182" s="3">
        <v>181.0</v>
      </c>
      <c r="B182" s="4" t="s">
        <v>6240</v>
      </c>
      <c r="C182" s="4" t="s">
        <v>6241</v>
      </c>
      <c r="D182" s="4" t="s">
        <v>6242</v>
      </c>
      <c r="F182" s="5" t="str">
        <f>IFERROR(__xludf.DUMMYFUNCTION("GOOGLETRANSLATE(A182, ""en"", ""hi"")"),"181")</f>
        <v>181</v>
      </c>
      <c r="G182" s="5" t="str">
        <f>IFERROR(__xludf.DUMMYFUNCTION("GOOGLETRANSLATE(B182, ""en"", ""hi"")"),"किस धोप खेल खिलाड़ी के नाम एक मैच में सर्वाधिक टैग का रिकॉर्ड है?")</f>
        <v>किस धोप खेल खिलाड़ी के नाम एक मैच में सर्वाधिक टैग का रिकॉर्ड है?</v>
      </c>
      <c r="H182" s="5" t="str">
        <f>IFERROR(__xludf.DUMMYFUNCTION("GOOGLETRANSLATE(C182, ""en"", ""hi"")"),"A) मोहित यादव, B) रवि शर्मा, C) अनिल सिंह, D) राजेश पटेल")</f>
        <v>A) मोहित यादव, B) रवि शर्मा, C) अनिल सिंह, D) राजेश पटेल</v>
      </c>
      <c r="I182" s="5" t="str">
        <f>IFERROR(__xludf.DUMMYFUNCTION("GOOGLETRANSLATE(D182, ""en"", ""hi"")"),"A) मोहित यादव")</f>
        <v>A) मोहित यादव</v>
      </c>
    </row>
    <row r="183" ht="22.5" customHeight="1">
      <c r="A183" s="3">
        <v>182.0</v>
      </c>
      <c r="B183" s="4" t="s">
        <v>6243</v>
      </c>
      <c r="C183" s="4" t="s">
        <v>6244</v>
      </c>
      <c r="D183" s="4" t="s">
        <v>6053</v>
      </c>
      <c r="F183" s="5" t="str">
        <f>IFERROR(__xludf.DUMMYFUNCTION("GOOGLETRANSLATE(A183, ""en"", ""hi"")"),"182")</f>
        <v>182</v>
      </c>
      <c r="G183" s="5" t="str">
        <f>IFERROR(__xludf.DUMMYFUNCTION("GOOGLETRANSLATE(B183, ""en"", ""hi"")"),"मैच के अंतिम मिनटों में टैग से बचने के लिए सबसे लोकप्रिय धोप खेल चाल क्या है?")</f>
        <v>मैच के अंतिम मिनटों में टैग से बचने के लिए सबसे लोकप्रिय धोप खेल चाल क्या है?</v>
      </c>
      <c r="H183" s="5" t="str">
        <f>IFERROR(__xludf.DUMMYFUNCTION("GOOGLETRANSLATE(C183, ""en"", ""hi"")"),"ए) त्वरित दौड़, बी) ज़िगज़ैग दौड़, सी) ऊंची कूद, डी) स्पिन चाल")</f>
        <v>ए) त्वरित दौड़, बी) ज़िगज़ैग दौड़, सी) ऊंची कूद, डी) स्पिन चाल</v>
      </c>
      <c r="I183" s="5" t="str">
        <f>IFERROR(__xludf.DUMMYFUNCTION("GOOGLETRANSLATE(D183, ""en"", ""hi"")"),"बी) ज़िगज़ैग रन")</f>
        <v>बी) ज़िगज़ैग रन</v>
      </c>
    </row>
    <row r="184" ht="22.5" customHeight="1">
      <c r="A184" s="3">
        <v>183.0</v>
      </c>
      <c r="B184" s="4" t="s">
        <v>6245</v>
      </c>
      <c r="C184" s="4" t="s">
        <v>6246</v>
      </c>
      <c r="D184" s="4" t="s">
        <v>5840</v>
      </c>
      <c r="F184" s="5" t="str">
        <f>IFERROR(__xludf.DUMMYFUNCTION("GOOGLETRANSLATE(A184, ""en"", ""hi"")"),"183")</f>
        <v>183</v>
      </c>
      <c r="G184" s="5" t="str">
        <f>IFERROR(__xludf.DUMMYFUNCTION("GOOGLETRANSLATE(B184, ""en"", ""hi"")"),"2021 दक्षिण एशियाई खेलों में किस भारतीय खिलाड़ी को प्लेयर ऑफ द टूर्नामेंट का पुरस्कार दिया गया?")</f>
        <v>2021 दक्षिण एशियाई खेलों में किस भारतीय खिलाड़ी को प्लेयर ऑफ द टूर्नामेंट का पुरस्कार दिया गया?</v>
      </c>
      <c r="H184" s="5" t="str">
        <f>IFERROR(__xludf.DUMMYFUNCTION("GOOGLETRANSLATE(C184, ""en"", ""hi"")"),"A) रवि कुमार, B) अनिल शर्मा, C) राजेश सिंह, D) मोहित पटेल")</f>
        <v>A) रवि कुमार, B) अनिल शर्मा, C) राजेश सिंह, D) मोहित पटेल</v>
      </c>
      <c r="I184" s="5" t="str">
        <f>IFERROR(__xludf.DUMMYFUNCTION("GOOGLETRANSLATE(D184, ""en"", ""hi"")"),"बी) अनिल शर्मा")</f>
        <v>बी) अनिल शर्मा</v>
      </c>
    </row>
    <row r="185" ht="22.5" customHeight="1">
      <c r="A185" s="3">
        <v>184.0</v>
      </c>
      <c r="B185" s="4" t="s">
        <v>6247</v>
      </c>
      <c r="C185" s="4" t="s">
        <v>6248</v>
      </c>
      <c r="D185" s="4" t="s">
        <v>6249</v>
      </c>
      <c r="F185" s="5" t="str">
        <f>IFERROR(__xludf.DUMMYFUNCTION("GOOGLETRANSLATE(A185, ""en"", ""hi"")"),"184")</f>
        <v>184</v>
      </c>
      <c r="G185" s="5" t="str">
        <f>IFERROR(__xludf.DUMMYFUNCTION("GOOGLETRANSLATE(B185, ""en"", ""hi"")"),"कौन सा धोप खेल खिलाड़ी अपनी अभिनव 'लो क्रॉल डॉज' तकनीक के लिए जाना जाता है?")</f>
        <v>कौन सा धोप खेल खिलाड़ी अपनी अभिनव 'लो क्रॉल डॉज' तकनीक के लिए जाना जाता है?</v>
      </c>
      <c r="H185" s="5" t="str">
        <f>IFERROR(__xludf.DUMMYFUNCTION("GOOGLETRANSLATE(C185, ""en"", ""hi"")"),"ए) मोहन सिंह, बी) सुनील पटेल, सी) राजेश कुमार, डी) रवि यादव")</f>
        <v>ए) मोहन सिंह, बी) सुनील पटेल, सी) राजेश कुमार, डी) रवि यादव</v>
      </c>
      <c r="I185" s="5" t="str">
        <f>IFERROR(__xludf.DUMMYFUNCTION("GOOGLETRANSLATE(D185, ""en"", ""hi"")"),"A) मोहन सिंह")</f>
        <v>A) मोहन सिंह</v>
      </c>
    </row>
    <row r="186" ht="22.5" customHeight="1">
      <c r="A186" s="3">
        <v>185.0</v>
      </c>
      <c r="B186" s="4" t="s">
        <v>6250</v>
      </c>
      <c r="C186" s="4" t="s">
        <v>6069</v>
      </c>
      <c r="D186" s="4" t="s">
        <v>6251</v>
      </c>
      <c r="F186" s="5" t="str">
        <f>IFERROR(__xludf.DUMMYFUNCTION("GOOGLETRANSLATE(A186, ""en"", ""hi"")"),"185")</f>
        <v>185</v>
      </c>
      <c r="G186" s="5" t="str">
        <f>IFERROR(__xludf.DUMMYFUNCTION("GOOGLETRANSLATE(B186, ""en"", ""hi"")"),"धोप खेल मैच की अतिरिक्त समय अवधि की सामान्य अवधि क्या होती है?")</f>
        <v>धोप खेल मैच की अतिरिक्त समय अवधि की सामान्य अवधि क्या होती है?</v>
      </c>
      <c r="H186" s="5" t="str">
        <f>IFERROR(__xludf.DUMMYFUNCTION("GOOGLETRANSLATE(C186, ""en"", ""hi"")"),"A) 5 मिनट, B) 10 मिनट, C) 15 मिनट, D) 20 मिनट")</f>
        <v>A) 5 मिनट, B) 10 मिनट, C) 15 मिनट, D) 20 मिनट</v>
      </c>
      <c r="I186" s="5" t="str">
        <f>IFERROR(__xludf.DUMMYFUNCTION("GOOGLETRANSLATE(D186, ""en"", ""hi"")"),"ए) 5 मिनट")</f>
        <v>ए) 5 मिनट</v>
      </c>
    </row>
    <row r="187" ht="22.5" customHeight="1">
      <c r="A187" s="3">
        <v>186.0</v>
      </c>
      <c r="B187" s="4" t="s">
        <v>6252</v>
      </c>
      <c r="C187" s="4" t="s">
        <v>6253</v>
      </c>
      <c r="D187" s="4" t="s">
        <v>4081</v>
      </c>
      <c r="F187" s="5" t="str">
        <f>IFERROR(__xludf.DUMMYFUNCTION("GOOGLETRANSLATE(A187, ""en"", ""hi"")"),"186")</f>
        <v>186</v>
      </c>
      <c r="G187" s="5" t="str">
        <f>IFERROR(__xludf.DUMMYFUNCTION("GOOGLETRANSLATE(B187, ""en"", ""hi"")"),"किस भारतीय राज्य ने सबसे अधिक संख्या में धोप खेल रेफरी तैयार किये हैं?")</f>
        <v>किस भारतीय राज्य ने सबसे अधिक संख्या में धोप खेल रेफरी तैयार किये हैं?</v>
      </c>
      <c r="H187" s="5" t="str">
        <f>IFERROR(__xludf.DUMMYFUNCTION("GOOGLETRANSLATE(C187, ""en"", ""hi"")"),"A) हरियाणा, B) पंजाब, C) राजस्थान, D) गुजरात")</f>
        <v>A) हरियाणा, B) पंजाब, C) राजस्थान, D) गुजरात</v>
      </c>
      <c r="I187" s="5" t="str">
        <f>IFERROR(__xludf.DUMMYFUNCTION("GOOGLETRANSLATE(D187, ""en"", ""hi"")"),"C) राजस्थान")</f>
        <v>C) राजस्थान</v>
      </c>
    </row>
    <row r="188" ht="22.5" customHeight="1">
      <c r="A188" s="3">
        <v>187.0</v>
      </c>
      <c r="B188" s="4" t="s">
        <v>6254</v>
      </c>
      <c r="C188" s="4" t="s">
        <v>6255</v>
      </c>
      <c r="D188" s="4" t="s">
        <v>5840</v>
      </c>
      <c r="F188" s="5" t="str">
        <f>IFERROR(__xludf.DUMMYFUNCTION("GOOGLETRANSLATE(A188, ""en"", ""hi"")"),"187")</f>
        <v>187</v>
      </c>
      <c r="G188" s="5" t="str">
        <f>IFERROR(__xludf.DUMMYFUNCTION("GOOGLETRANSLATE(B188, ""en"", ""hi"")"),"धोप खेल प्लेयर ऑफ द ईयर पुरस्कार जीतने वाला पहला खिलाड़ी कौन था?")</f>
        <v>धोप खेल प्लेयर ऑफ द ईयर पुरस्कार जीतने वाला पहला खिलाड़ी कौन था?</v>
      </c>
      <c r="H188" s="5" t="str">
        <f>IFERROR(__xludf.DUMMYFUNCTION("GOOGLETRANSLATE(C188, ""en"", ""hi"")"),"A) रवि पटेल, B) अनिल शर्मा, C) राजेश कुमार, D) मोहित यादव")</f>
        <v>A) रवि पटेल, B) अनिल शर्मा, C) राजेश कुमार, D) मोहित यादव</v>
      </c>
      <c r="I188" s="5" t="str">
        <f>IFERROR(__xludf.DUMMYFUNCTION("GOOGLETRANSLATE(D188, ""en"", ""hi"")"),"बी) अनिल शर्मा")</f>
        <v>बी) अनिल शर्मा</v>
      </c>
    </row>
    <row r="189" ht="22.5" customHeight="1">
      <c r="A189" s="3">
        <v>188.0</v>
      </c>
      <c r="B189" s="4" t="s">
        <v>6256</v>
      </c>
      <c r="C189" s="4" t="s">
        <v>6007</v>
      </c>
      <c r="D189" s="4" t="s">
        <v>603</v>
      </c>
      <c r="F189" s="5" t="str">
        <f>IFERROR(__xludf.DUMMYFUNCTION("GOOGLETRANSLATE(A189, ""en"", ""hi"")"),"188")</f>
        <v>188</v>
      </c>
      <c r="G189" s="5" t="str">
        <f>IFERROR(__xludf.DUMMYFUNCTION("GOOGLETRANSLATE(B189, ""en"", ""hi"")"),"कौन सा राज्य दशकों से चली आ रही ऐतिहासिक धोप खेल प्रतिद्वंद्विता के लिए जाना जाता है?")</f>
        <v>कौन सा राज्य दशकों से चली आ रही ऐतिहासिक धोप खेल प्रतिद्वंद्विता के लिए जाना जाता है?</v>
      </c>
      <c r="H189" s="5" t="str">
        <f>IFERROR(__xludf.DUMMYFUNCTION("GOOGLETRANSLATE(C189, ""en"", ""hi"")"),"A) पंजाब, B) हरियाणा, C) राजस्थान, D) गुजरात")</f>
        <v>A) पंजाब, B) हरियाणा, C) राजस्थान, D) गुजरात</v>
      </c>
      <c r="I189" s="5" t="str">
        <f>IFERROR(__xludf.DUMMYFUNCTION("GOOGLETRANSLATE(D189, ""en"", ""hi"")"),"बी) हरियाणा")</f>
        <v>बी) हरियाणा</v>
      </c>
    </row>
    <row r="190" ht="22.5" customHeight="1">
      <c r="A190" s="3">
        <v>189.0</v>
      </c>
      <c r="B190" s="4" t="s">
        <v>6257</v>
      </c>
      <c r="C190" s="4" t="s">
        <v>5255</v>
      </c>
      <c r="D190" s="4" t="s">
        <v>71</v>
      </c>
      <c r="F190" s="5" t="str">
        <f>IFERROR(__xludf.DUMMYFUNCTION("GOOGLETRANSLATE(A190, ""en"", ""hi"")"),"189")</f>
        <v>189</v>
      </c>
      <c r="G190" s="5" t="str">
        <f>IFERROR(__xludf.DUMMYFUNCTION("GOOGLETRANSLATE(B190, ""en"", ""hi"")"),"धोप खेल ने पहली बार मानकीकृत अंतर्राष्ट्रीय टूर्नामेंट प्रारूप किस वर्ष पेश किया?")</f>
        <v>धोप खेल ने पहली बार मानकीकृत अंतर्राष्ट्रीय टूर्नामेंट प्रारूप किस वर्ष पेश किया?</v>
      </c>
      <c r="H190" s="5" t="str">
        <f>IFERROR(__xludf.DUMMYFUNCTION("GOOGLETRANSLATE(C190, ""en"", ""hi"")"),"ए) 2005, बी) 2010, सी) 2015, डी) 2020")</f>
        <v>ए) 2005, बी) 2010, सी) 2015, डी) 2020</v>
      </c>
      <c r="I190" s="5" t="str">
        <f>IFERROR(__xludf.DUMMYFUNCTION("GOOGLETRANSLATE(D190, ""en"", ""hi"")"),"बी) 2010")</f>
        <v>बी) 2010</v>
      </c>
    </row>
    <row r="191" ht="22.5" customHeight="1">
      <c r="A191" s="3">
        <v>190.0</v>
      </c>
      <c r="B191" s="4" t="s">
        <v>6258</v>
      </c>
      <c r="C191" s="4" t="s">
        <v>6259</v>
      </c>
      <c r="D191" s="4" t="s">
        <v>6084</v>
      </c>
      <c r="F191" s="5" t="str">
        <f>IFERROR(__xludf.DUMMYFUNCTION("GOOGLETRANSLATE(A191, ""en"", ""hi"")"),"190")</f>
        <v>190</v>
      </c>
      <c r="G191" s="5" t="str">
        <f>IFERROR(__xludf.DUMMYFUNCTION("GOOGLETRANSLATE(B191, ""en"", ""hi"")"),"कौन सा भारतीय धोप खेल खिलाड़ी 'साइड-स्टेप डॉज' तकनीक के असाधारण उपयोग के लिए जाना जाता है?")</f>
        <v>कौन सा भारतीय धोप खेल खिलाड़ी 'साइड-स्टेप डॉज' तकनीक के असाधारण उपयोग के लिए जाना जाता है?</v>
      </c>
      <c r="H191" s="5" t="str">
        <f>IFERROR(__xludf.DUMMYFUNCTION("GOOGLETRANSLATE(C191, ""en"", ""hi"")"),"A) रवि कुमार, B) राजेश पटेल, C) मोहित सिंह, D) सुनील शर्मा")</f>
        <v>A) रवि कुमार, B) राजेश पटेल, C) मोहित सिंह, D) सुनील शर्मा</v>
      </c>
      <c r="I191" s="5" t="str">
        <f>IFERROR(__xludf.DUMMYFUNCTION("GOOGLETRANSLATE(D191, ""en"", ""hi"")"),"C) मोहित सिंह")</f>
        <v>C) मोहित सिंह</v>
      </c>
    </row>
    <row r="192" ht="22.5" customHeight="1">
      <c r="A192" s="3">
        <v>191.0</v>
      </c>
      <c r="B192" s="4" t="s">
        <v>6260</v>
      </c>
      <c r="C192" s="4" t="s">
        <v>2379</v>
      </c>
      <c r="D192" s="4" t="s">
        <v>37</v>
      </c>
      <c r="F192" s="5" t="str">
        <f>IFERROR(__xludf.DUMMYFUNCTION("GOOGLETRANSLATE(A192, ""en"", ""hi"")"),"191")</f>
        <v>191</v>
      </c>
      <c r="G192" s="5" t="str">
        <f>IFERROR(__xludf.DUMMYFUNCTION("GOOGLETRANSLATE(B192, ""en"", ""hi"")"),"किस देश ने पहली बार 'धोप खेल प्रोफेशनल लीग' की अवधारणा पेश की?")</f>
        <v>किस देश ने पहली बार 'धोप खेल प्रोफेशनल लीग' की अवधारणा पेश की?</v>
      </c>
      <c r="H192" s="5" t="str">
        <f>IFERROR(__xludf.DUMMYFUNCTION("GOOGLETRANSLATE(C192, ""en"", ""hi"")"),"A) भारत, B) पाकिस्तान, C) नेपाल, D) बांग्लादेश")</f>
        <v>A) भारत, B) पाकिस्तान, C) नेपाल, D) बांग्लादेश</v>
      </c>
      <c r="I192" s="5" t="str">
        <f>IFERROR(__xludf.DUMMYFUNCTION("GOOGLETRANSLATE(D192, ""en"", ""hi"")"),"ए) भारत")</f>
        <v>ए) भारत</v>
      </c>
    </row>
    <row r="193" ht="22.5" customHeight="1">
      <c r="A193" s="3">
        <v>192.0</v>
      </c>
      <c r="B193" s="4" t="s">
        <v>6261</v>
      </c>
      <c r="C193" s="4" t="s">
        <v>6262</v>
      </c>
      <c r="D193" s="4" t="s">
        <v>6263</v>
      </c>
      <c r="F193" s="5" t="str">
        <f>IFERROR(__xludf.DUMMYFUNCTION("GOOGLETRANSLATE(A193, ""en"", ""hi"")"),"192")</f>
        <v>192</v>
      </c>
      <c r="G193" s="5" t="str">
        <f>IFERROR(__xludf.DUMMYFUNCTION("GOOGLETRANSLATE(B193, ""en"", ""hi"")"),"धोप खेल में 'रिवर्स स्पिन' तकनीक में निपुणता के लिए कौन सा खिलाड़ी जाना जाता है?")</f>
        <v>धोप खेल में 'रिवर्स स्पिन' तकनीक में निपुणता के लिए कौन सा खिलाड़ी जाना जाता है?</v>
      </c>
      <c r="H193" s="5" t="str">
        <f>IFERROR(__xludf.DUMMYFUNCTION("GOOGLETRANSLATE(C193, ""en"", ""hi"")"),"ए) रवि कुमार, बी) अरविंद पटेल, सी) मोहन शर्मा, डी) राजेश यादव")</f>
        <v>ए) रवि कुमार, बी) अरविंद पटेल, सी) मोहन शर्मा, डी) राजेश यादव</v>
      </c>
      <c r="I193" s="5" t="str">
        <f>IFERROR(__xludf.DUMMYFUNCTION("GOOGLETRANSLATE(D193, ""en"", ""hi"")"),"D) राजेश यादव")</f>
        <v>D) राजेश यादव</v>
      </c>
    </row>
    <row r="194" ht="22.5" customHeight="1">
      <c r="A194" s="3">
        <v>193.0</v>
      </c>
      <c r="B194" s="4" t="s">
        <v>6264</v>
      </c>
      <c r="C194" s="4" t="s">
        <v>6265</v>
      </c>
      <c r="D194" s="4" t="s">
        <v>5815</v>
      </c>
      <c r="F194" s="5" t="str">
        <f>IFERROR(__xludf.DUMMYFUNCTION("GOOGLETRANSLATE(A194, ""en"", ""hi"")"),"193")</f>
        <v>193</v>
      </c>
      <c r="G194" s="5" t="str">
        <f>IFERROR(__xludf.DUMMYFUNCTION("GOOGLETRANSLATE(B194, ""en"", ""hi"")"),"कौन सा भारतीय राज्य अपने ऐतिहासिक धोप खेल टूर्नामेंट और वार्षिक प्रतियोगिताओं के लिए जाना जाता है?")</f>
        <v>कौन सा भारतीय राज्य अपने ऐतिहासिक धोप खेल टूर्नामेंट और वार्षिक प्रतियोगिताओं के लिए जाना जाता है?</v>
      </c>
      <c r="H194" s="5" t="str">
        <f>IFERROR(__xludf.DUMMYFUNCTION("GOOGLETRANSLATE(C194, ""en"", ""hi"")"),"A) हरियाणा, B) पंजाब, C) गुजरात, D) राजस्थान")</f>
        <v>A) हरियाणा, B) पंजाब, C) गुजरात, D) राजस्थान</v>
      </c>
      <c r="I194" s="5" t="str">
        <f>IFERROR(__xludf.DUMMYFUNCTION("GOOGLETRANSLATE(D194, ""en"", ""hi"")"),"D) राजस्थान")</f>
        <v>D) राजस्थान</v>
      </c>
    </row>
    <row r="195" ht="22.5" customHeight="1">
      <c r="A195" s="3">
        <v>194.0</v>
      </c>
      <c r="B195" s="4" t="s">
        <v>6266</v>
      </c>
      <c r="C195" s="4" t="s">
        <v>6267</v>
      </c>
      <c r="D195" s="4" t="s">
        <v>6268</v>
      </c>
      <c r="F195" s="5" t="str">
        <f>IFERROR(__xludf.DUMMYFUNCTION("GOOGLETRANSLATE(A195, ""en"", ""hi"")"),"194")</f>
        <v>194</v>
      </c>
      <c r="G195" s="5" t="str">
        <f>IFERROR(__xludf.DUMMYFUNCTION("GOOGLETRANSLATE(B195, ""en"", ""hi"")"),"भारत में धोप खेल रेफरी के लिए पारंपरिक शब्द क्या है?")</f>
        <v>भारत में धोप खेल रेफरी के लिए पारंपरिक शब्द क्या है?</v>
      </c>
      <c r="H195" s="5" t="str">
        <f>IFERROR(__xludf.DUMMYFUNCTION("GOOGLETRANSLATE(C195, ""en"", ""hi"")"),"A) अंपायर, B) जज, C) रेफरी, D) निर्णायक")</f>
        <v>A) अंपायर, B) जज, C) रेफरी, D) निर्णायक</v>
      </c>
      <c r="I195" s="5" t="str">
        <f>IFERROR(__xludf.DUMMYFUNCTION("GOOGLETRANSLATE(D195, ""en"", ""hi"")"),"सी) रेफरी")</f>
        <v>सी) रेफरी</v>
      </c>
    </row>
    <row r="196" ht="22.5" customHeight="1">
      <c r="A196" s="3">
        <v>195.0</v>
      </c>
      <c r="B196" s="4" t="s">
        <v>6269</v>
      </c>
      <c r="C196" s="4" t="s">
        <v>6270</v>
      </c>
      <c r="D196" s="4" t="s">
        <v>6271</v>
      </c>
      <c r="F196" s="5" t="str">
        <f>IFERROR(__xludf.DUMMYFUNCTION("GOOGLETRANSLATE(A196, ""en"", ""hi"")"),"195")</f>
        <v>195</v>
      </c>
      <c r="G196" s="5" t="str">
        <f>IFERROR(__xludf.DUMMYFUNCTION("GOOGLETRANSLATE(B196, ""en"", ""hi"")"),"21वीं सदी का सबसे महान धोप खेल खिलाड़ी किसे माना जाता है?")</f>
        <v>21वीं सदी का सबसे महान धोप खेल खिलाड़ी किसे माना जाता है?</v>
      </c>
      <c r="H196" s="5" t="str">
        <f>IFERROR(__xludf.DUMMYFUNCTION("GOOGLETRANSLATE(C196, ""en"", ""hi"")"),"ए) राजेश सिंह, बी) मोहन शर्मा, सी) रवि कुमार, डी) अनिल यादव")</f>
        <v>ए) राजेश सिंह, बी) मोहन शर्मा, सी) रवि कुमार, डी) अनिल यादव</v>
      </c>
      <c r="I196" s="5" t="str">
        <f>IFERROR(__xludf.DUMMYFUNCTION("GOOGLETRANSLATE(D196, ""en"", ""hi"")"),"A) राजेश सिंह")</f>
        <v>A) राजेश सिंह</v>
      </c>
    </row>
    <row r="197" ht="22.5" customHeight="1">
      <c r="A197" s="3">
        <v>196.0</v>
      </c>
      <c r="B197" s="4" t="s">
        <v>6272</v>
      </c>
      <c r="C197" s="4" t="s">
        <v>6273</v>
      </c>
      <c r="D197" s="4" t="s">
        <v>6274</v>
      </c>
      <c r="F197" s="5" t="str">
        <f>IFERROR(__xludf.DUMMYFUNCTION("GOOGLETRANSLATE(A197, ""en"", ""hi"")"),"196")</f>
        <v>196</v>
      </c>
      <c r="G197" s="5" t="str">
        <f>IFERROR(__xludf.DUMMYFUNCTION("GOOGLETRANSLATE(B197, ""en"", ""hi"")"),"कौन सा धोप खेल टूर्नामेंट खेल में सबसे प्रतिष्ठित आयोजन के रूप में जाना जाता है?")</f>
        <v>कौन सा धोप खेल टूर्नामेंट खेल में सबसे प्रतिष्ठित आयोजन के रूप में जाना जाता है?</v>
      </c>
      <c r="H197" s="5" t="str">
        <f>IFERROR(__xludf.DUMMYFUNCTION("GOOGLETRANSLATE(C197, ""en"", ""hi"")"),"A) एशियाई चैम्पियनशिप, B) विश्व कप, C) राष्ट्रमंडल खेल, D) दक्षिण एशियाई खेल")</f>
        <v>A) एशियाई चैम्पियनशिप, B) विश्व कप, C) राष्ट्रमंडल खेल, D) दक्षिण एशियाई खेल</v>
      </c>
      <c r="I197" s="5" t="str">
        <f>IFERROR(__xludf.DUMMYFUNCTION("GOOGLETRANSLATE(D197, ""en"", ""hi"")"),"बी) विश्व कप")</f>
        <v>बी) विश्व कप</v>
      </c>
    </row>
    <row r="198" ht="22.5" customHeight="1">
      <c r="A198" s="3">
        <v>197.0</v>
      </c>
      <c r="B198" s="4" t="s">
        <v>6275</v>
      </c>
      <c r="C198" s="4" t="s">
        <v>6276</v>
      </c>
      <c r="D198" s="4" t="s">
        <v>6277</v>
      </c>
      <c r="F198" s="5" t="str">
        <f>IFERROR(__xludf.DUMMYFUNCTION("GOOGLETRANSLATE(A198, ""en"", ""hi"")"),"197")</f>
        <v>197</v>
      </c>
      <c r="G198" s="5" t="str">
        <f>IFERROR(__xludf.DUMMYFUNCTION("GOOGLETRANSLATE(B198, ""en"", ""hi"")"),"धोप खेल टीम में अधिकतम कितने खिलाड़ी हो सकते हैं?")</f>
        <v>धोप खेल टीम में अधिकतम कितने खिलाड़ी हो सकते हैं?</v>
      </c>
      <c r="H198" s="5" t="str">
        <f>IFERROR(__xludf.DUMMYFUNCTION("GOOGLETRANSLATE(C198, ""en"", ""hi"")"),"ए) 9, बी) 10, सी) 11, डी) 12")</f>
        <v>ए) 9, बी) 10, सी) 11, डी) 12</v>
      </c>
      <c r="I198" s="5" t="str">
        <f>IFERROR(__xludf.DUMMYFUNCTION("GOOGLETRANSLATE(D198, ""en"", ""hi"")"),"सी) 11")</f>
        <v>सी) 11</v>
      </c>
    </row>
    <row r="199" ht="22.5" customHeight="1">
      <c r="A199" s="3">
        <v>198.0</v>
      </c>
      <c r="B199" s="4" t="s">
        <v>6278</v>
      </c>
      <c r="C199" s="4" t="s">
        <v>5255</v>
      </c>
      <c r="D199" s="4" t="s">
        <v>71</v>
      </c>
      <c r="F199" s="5" t="str">
        <f>IFERROR(__xludf.DUMMYFUNCTION("GOOGLETRANSLATE(A199, ""en"", ""hi"")"),"198")</f>
        <v>198</v>
      </c>
      <c r="G199" s="5" t="str">
        <f>IFERROR(__xludf.DUMMYFUNCTION("GOOGLETRANSLATE(B199, ""en"", ""hi"")"),"धोप खेल को अंतर्राष्ट्रीय खेल महासंघ द्वारा आधिकारिक तौर पर किस वर्ष मान्यता दी गई थी?")</f>
        <v>धोप खेल को अंतर्राष्ट्रीय खेल महासंघ द्वारा आधिकारिक तौर पर किस वर्ष मान्यता दी गई थी?</v>
      </c>
      <c r="H199" s="5" t="str">
        <f>IFERROR(__xludf.DUMMYFUNCTION("GOOGLETRANSLATE(C199, ""en"", ""hi"")"),"ए) 2005, बी) 2010, सी) 2015, डी) 2020")</f>
        <v>ए) 2005, बी) 2010, सी) 2015, डी) 2020</v>
      </c>
      <c r="I199" s="5" t="str">
        <f>IFERROR(__xludf.DUMMYFUNCTION("GOOGLETRANSLATE(D199, ""en"", ""hi"")"),"बी) 2010")</f>
        <v>बी) 2010</v>
      </c>
    </row>
    <row r="200" ht="22.5" customHeight="1">
      <c r="A200" s="3">
        <v>199.0</v>
      </c>
      <c r="B200" s="4" t="s">
        <v>6279</v>
      </c>
      <c r="C200" s="4" t="s">
        <v>6280</v>
      </c>
      <c r="D200" s="4" t="s">
        <v>6281</v>
      </c>
      <c r="F200" s="5" t="str">
        <f>IFERROR(__xludf.DUMMYFUNCTION("GOOGLETRANSLATE(A200, ""en"", ""hi"")"),"199")</f>
        <v>199</v>
      </c>
      <c r="G200" s="5" t="str">
        <f>IFERROR(__xludf.DUMMYFUNCTION("GOOGLETRANSLATE(B200, ""en"", ""hi"")"),"धोप खेल विश्व कप के एक मैच में सर्वाधिक अंक बनाने का रिकॉर्ड किस खिलाड़ी के नाम है?")</f>
        <v>धोप खेल विश्व कप के एक मैच में सर्वाधिक अंक बनाने का रिकॉर्ड किस खिलाड़ी के नाम है?</v>
      </c>
      <c r="H200" s="5" t="str">
        <f>IFERROR(__xludf.DUMMYFUNCTION("GOOGLETRANSLATE(C200, ""en"", ""hi"")"),"A) मोहित शर्मा, B) अनिल कुमार, C) रवि पटेल, D) सुनील यादव")</f>
        <v>A) मोहित शर्मा, B) अनिल कुमार, C) रवि पटेल, D) सुनील यादव</v>
      </c>
      <c r="I200" s="5" t="str">
        <f>IFERROR(__xludf.DUMMYFUNCTION("GOOGLETRANSLATE(D200, ""en"", ""hi"")"),"A) मोहित शर्मा")</f>
        <v>A) मोहित शर्मा</v>
      </c>
    </row>
    <row r="201" ht="22.5" customHeight="1">
      <c r="A201" s="3">
        <v>200.0</v>
      </c>
      <c r="B201" s="4" t="s">
        <v>6282</v>
      </c>
      <c r="C201" s="4" t="s">
        <v>6233</v>
      </c>
      <c r="D201" s="4" t="s">
        <v>37</v>
      </c>
      <c r="F201" s="5" t="str">
        <f>IFERROR(__xludf.DUMMYFUNCTION("GOOGLETRANSLATE(A201, ""en"", ""hi"")"),"200")</f>
        <v>200</v>
      </c>
      <c r="G201" s="5" t="str">
        <f>IFERROR(__xludf.DUMMYFUNCTION("GOOGLETRANSLATE(B201, ""en"", ""hi"")"),"किस देश ने पहला धोप खेल विश्व कप जीता?")</f>
        <v>किस देश ने पहला धोप खेल विश्व कप जीता?</v>
      </c>
      <c r="H201" s="5" t="str">
        <f>IFERROR(__xludf.DUMMYFUNCTION("GOOGLETRANSLATE(C201, ""en"", ""hi"")"),"A) भारत, B) नेपाल, C) पाकिस्तान, D) बांग्लादेश")</f>
        <v>A) भारत, B) नेपाल, C) पाकिस्तान, D) बांग्लादेश</v>
      </c>
      <c r="I201" s="5" t="str">
        <f>IFERROR(__xludf.DUMMYFUNCTION("GOOGLETRANSLATE(D201, ""en"", ""hi"")"),"ए) भारत")</f>
        <v>ए) भारत</v>
      </c>
    </row>
    <row r="202" ht="22.5" customHeight="1">
      <c r="A202" s="3">
        <v>201.0</v>
      </c>
      <c r="B202" s="4" t="s">
        <v>6283</v>
      </c>
      <c r="C202" s="4" t="s">
        <v>6284</v>
      </c>
      <c r="D202" s="4" t="s">
        <v>5854</v>
      </c>
      <c r="F202" s="5" t="str">
        <f>IFERROR(__xludf.DUMMYFUNCTION("GOOGLETRANSLATE(A202, ""en"", ""hi"")"),"201")</f>
        <v>201</v>
      </c>
      <c r="G202" s="5" t="str">
        <f>IFERROR(__xludf.DUMMYFUNCTION("GOOGLETRANSLATE(B202, ""en"", ""hi"")"),"किस भारतीय शहर ने पहले धोप खेल विश्व कप की मेजबानी की?")</f>
        <v>किस भारतीय शहर ने पहले धोप खेल विश्व कप की मेजबानी की?</v>
      </c>
      <c r="H202" s="5" t="str">
        <f>IFERROR(__xludf.DUMMYFUNCTION("GOOGLETRANSLATE(C202, ""en"", ""hi"")"),"ए) जयपुर, बी) दिल्ली, सी) मुंबई, डी) कोलकाता")</f>
        <v>ए) जयपुर, बी) दिल्ली, सी) मुंबई, डी) कोलकाता</v>
      </c>
      <c r="I202" s="5" t="str">
        <f>IFERROR(__xludf.DUMMYFUNCTION("GOOGLETRANSLATE(D202, ""en"", ""hi"")"),"A) जयपुर")</f>
        <v>A) जयपुर</v>
      </c>
    </row>
    <row r="203" ht="22.5" customHeight="1">
      <c r="A203" s="3">
        <v>202.0</v>
      </c>
      <c r="B203" s="4" t="s">
        <v>6285</v>
      </c>
      <c r="C203" s="4" t="s">
        <v>5424</v>
      </c>
      <c r="D203" s="4" t="s">
        <v>5298</v>
      </c>
      <c r="F203" s="5" t="str">
        <f>IFERROR(__xludf.DUMMYFUNCTION("GOOGLETRANSLATE(A203, ""en"", ""hi"")"),"202")</f>
        <v>202</v>
      </c>
      <c r="G203" s="5" t="str">
        <f>IFERROR(__xludf.DUMMYFUNCTION("GOOGLETRANSLATE(B203, ""en"", ""hi"")"),"पहली पेशेवर धोप खेल लीग किस वर्ष स्थापित की गई थी?")</f>
        <v>पहली पेशेवर धोप खेल लीग किस वर्ष स्थापित की गई थी?</v>
      </c>
      <c r="H203" s="5" t="str">
        <f>IFERROR(__xludf.DUMMYFUNCTION("GOOGLETRANSLATE(C203, ""en"", ""hi"")"),"ए) 2008, बी) 2012, सी) 2015, डी) 2018")</f>
        <v>ए) 2008, बी) 2012, सी) 2015, डी) 2018</v>
      </c>
      <c r="I203" s="5" t="str">
        <f>IFERROR(__xludf.DUMMYFUNCTION("GOOGLETRANSLATE(D203, ""en"", ""hi"")"),"सी) 2015")</f>
        <v>सी) 2015</v>
      </c>
    </row>
    <row r="204" ht="22.5" customHeight="1">
      <c r="A204" s="3">
        <v>203.0</v>
      </c>
      <c r="B204" s="4" t="s">
        <v>6286</v>
      </c>
      <c r="C204" s="4" t="s">
        <v>6287</v>
      </c>
      <c r="D204" s="4" t="s">
        <v>6231</v>
      </c>
      <c r="F204" s="5" t="str">
        <f>IFERROR(__xludf.DUMMYFUNCTION("GOOGLETRANSLATE(A204, ""en"", ""hi"")"),"203")</f>
        <v>203</v>
      </c>
      <c r="G204" s="5" t="str">
        <f>IFERROR(__xludf.DUMMYFUNCTION("GOOGLETRANSLATE(B204, ""en"", ""hi"")"),"कौन सा धोप खेल खिलाड़ी 'एयर स्पिन' चाल के लिए प्रसिद्ध है?")</f>
        <v>कौन सा धोप खेल खिलाड़ी 'एयर स्पिन' चाल के लिए प्रसिद्ध है?</v>
      </c>
      <c r="H204" s="5" t="str">
        <f>IFERROR(__xludf.DUMMYFUNCTION("GOOGLETRANSLATE(C204, ""en"", ""hi"")"),"A) अनिल यादव, B) रवि शर्मा, C) सुनील पटेल, D) मोहित कुमार")</f>
        <v>A) अनिल यादव, B) रवि शर्मा, C) सुनील पटेल, D) मोहित कुमार</v>
      </c>
      <c r="I204" s="5" t="str">
        <f>IFERROR(__xludf.DUMMYFUNCTION("GOOGLETRANSLATE(D204, ""en"", ""hi"")"),"D) मोहित कुमार")</f>
        <v>D) मोहित कुमार</v>
      </c>
    </row>
    <row r="205" ht="22.5" customHeight="1">
      <c r="A205" s="3">
        <v>204.0</v>
      </c>
      <c r="B205" s="4" t="s">
        <v>6288</v>
      </c>
      <c r="C205" s="4" t="s">
        <v>6289</v>
      </c>
      <c r="D205" s="4" t="s">
        <v>6290</v>
      </c>
      <c r="F205" s="5" t="str">
        <f>IFERROR(__xludf.DUMMYFUNCTION("GOOGLETRANSLATE(A205, ""en"", ""hi"")"),"204")</f>
        <v>204</v>
      </c>
      <c r="G205" s="5" t="str">
        <f>IFERROR(__xludf.DUMMYFUNCTION("GOOGLETRANSLATE(B205, ""en"", ""hi"")"),"विश्व खिलाड़ी ऑफ द ईयर पुरस्कार जीतने वाली पहली महिला धोप खेल खिलाड़ी कौन है?")</f>
        <v>विश्व खिलाड़ी ऑफ द ईयर पुरस्कार जीतने वाली पहली महिला धोप खेल खिलाड़ी कौन है?</v>
      </c>
      <c r="H205" s="5" t="str">
        <f>IFERROR(__xludf.DUMMYFUNCTION("GOOGLETRANSLATE(C205, ""en"", ""hi"")"),"A) मीरा पटेल, B) अंजलि शर्मा, C) सीता यादव, D) रीना कुमारी")</f>
        <v>A) मीरा पटेल, B) अंजलि शर्मा, C) सीता यादव, D) रीना कुमारी</v>
      </c>
      <c r="I205" s="5" t="str">
        <f>IFERROR(__xludf.DUMMYFUNCTION("GOOGLETRANSLATE(D205, ""en"", ""hi"")"),"बी) अंजलि शर्मा")</f>
        <v>बी) अंजलि शर्मा</v>
      </c>
    </row>
    <row r="206" ht="22.5" customHeight="1">
      <c r="A206" s="3">
        <v>205.0</v>
      </c>
      <c r="B206" s="4" t="s">
        <v>6291</v>
      </c>
      <c r="C206" s="4" t="s">
        <v>6233</v>
      </c>
      <c r="D206" s="4" t="s">
        <v>6292</v>
      </c>
      <c r="F206" s="5" t="str">
        <f>IFERROR(__xludf.DUMMYFUNCTION("GOOGLETRANSLATE(A206, ""en"", ""hi"")"),"205")</f>
        <v>205</v>
      </c>
      <c r="G206" s="5" t="str">
        <f>IFERROR(__xludf.DUMMYFUNCTION("GOOGLETRANSLATE(B206, ""en"", ""hi"")"),"2019 में धोप खेल विश्व कप की मेजबानी किस देश ने की?")</f>
        <v>2019 में धोप खेल विश्व कप की मेजबानी किस देश ने की?</v>
      </c>
      <c r="H206" s="5" t="str">
        <f>IFERROR(__xludf.DUMMYFUNCTION("GOOGLETRANSLATE(C206, ""en"", ""hi"")"),"A) भारत, B) नेपाल, C) पाकिस्तान, D) बांग्लादेश")</f>
        <v>A) भारत, B) नेपाल, C) पाकिस्तान, D) बांग्लादेश</v>
      </c>
      <c r="I206" s="5" t="str">
        <f>IFERROR(__xludf.DUMMYFUNCTION("GOOGLETRANSLATE(D206, ""en"", ""hi"")"),"बी) नेपाल")</f>
        <v>बी) नेपाल</v>
      </c>
    </row>
    <row r="207" ht="22.5" customHeight="1">
      <c r="A207" s="3">
        <v>206.0</v>
      </c>
      <c r="B207" s="4" t="s">
        <v>6293</v>
      </c>
      <c r="C207" s="4" t="s">
        <v>6294</v>
      </c>
      <c r="D207" s="4" t="s">
        <v>6295</v>
      </c>
      <c r="F207" s="5" t="str">
        <f>IFERROR(__xludf.DUMMYFUNCTION("GOOGLETRANSLATE(A207, ""en"", ""hi"")"),"206")</f>
        <v>206</v>
      </c>
      <c r="G207" s="5" t="str">
        <f>IFERROR(__xludf.DUMMYFUNCTION("GOOGLETRANSLATE(B207, ""en"", ""hi"")"),"कौन सी धोप खेल चाल मुख्य रूप से रक्षात्मक युद्धाभ्यास के लिए प्रयोग की जाती है?")</f>
        <v>कौन सी धोप खेल चाल मुख्य रूप से रक्षात्मक युद्धाभ्यास के लिए प्रयोग की जाती है?</v>
      </c>
      <c r="H207" s="5" t="str">
        <f>IFERROR(__xludf.DUMMYFUNCTION("GOOGLETRANSLATE(C207, ""en"", ""hi"")"),"ए) जंप टैग, बी) स्पिन डॉज, सी) क्विक टैकल, डी) लो क्रॉल")</f>
        <v>ए) जंप टैग, बी) स्पिन डॉज, सी) क्विक टैकल, डी) लो क्रॉल</v>
      </c>
      <c r="I207" s="5" t="str">
        <f>IFERROR(__xludf.DUMMYFUNCTION("GOOGLETRANSLATE(D207, ""en"", ""hi"")"),"बी) स्पिन डॉज")</f>
        <v>बी) स्पिन डॉज</v>
      </c>
    </row>
    <row r="208" ht="22.5" customHeight="1">
      <c r="A208" s="3">
        <v>207.0</v>
      </c>
      <c r="B208" s="4" t="s">
        <v>6296</v>
      </c>
      <c r="C208" s="4" t="s">
        <v>6297</v>
      </c>
      <c r="D208" s="4" t="s">
        <v>6298</v>
      </c>
      <c r="F208" s="5" t="str">
        <f>IFERROR(__xludf.DUMMYFUNCTION("GOOGLETRANSLATE(A208, ""en"", ""hi"")"),"207")</f>
        <v>207</v>
      </c>
      <c r="G208" s="5" t="str">
        <f>IFERROR(__xludf.DUMMYFUNCTION("GOOGLETRANSLATE(B208, ""en"", ""hi"")"),"भारत में 2020 की राष्ट्रीय चैम्पियनशिप किस धोप खेल टीम ने जीती?")</f>
        <v>भारत में 2020 की राष्ट्रीय चैम्पियनशिप किस धोप खेल टीम ने जीती?</v>
      </c>
      <c r="H208" s="5" t="str">
        <f>IFERROR(__xludf.DUMMYFUNCTION("GOOGLETRANSLATE(C208, ""en"", ""hi"")"),"A) राजस्थान रॉयल्स, B) पंजाब पैंथर्स, C) दिल्ली वॉरियर्स, D) मुंबई मावेरिक्स")</f>
        <v>A) राजस्थान रॉयल्स, B) पंजाब पैंथर्स, C) दिल्ली वॉरियर्स, D) मुंबई मावेरिक्स</v>
      </c>
      <c r="I208" s="5" t="str">
        <f>IFERROR(__xludf.DUMMYFUNCTION("GOOGLETRANSLATE(D208, ""en"", ""hi"")"),"C) दिल्ली वॉरियर्स")</f>
        <v>C) दिल्ली वॉरियर्स</v>
      </c>
    </row>
    <row r="209" ht="22.5" customHeight="1">
      <c r="A209" s="3">
        <v>208.0</v>
      </c>
      <c r="B209" s="4" t="s">
        <v>6299</v>
      </c>
      <c r="C209" s="4" t="s">
        <v>6153</v>
      </c>
      <c r="D209" s="4" t="s">
        <v>89</v>
      </c>
      <c r="F209" s="5" t="str">
        <f>IFERROR(__xludf.DUMMYFUNCTION("GOOGLETRANSLATE(A209, ""en"", ""hi"")"),"208")</f>
        <v>208</v>
      </c>
      <c r="G209" s="5" t="str">
        <f>IFERROR(__xludf.DUMMYFUNCTION("GOOGLETRANSLATE(B209, ""en"", ""hi"")"),"धोप खेल पहली बार एशियाई खेलों में किस वर्ष शामिल हुआ था?")</f>
        <v>धोप खेल पहली बार एशियाई खेलों में किस वर्ष शामिल हुआ था?</v>
      </c>
      <c r="H209" s="5" t="str">
        <f>IFERROR(__xludf.DUMMYFUNCTION("GOOGLETRANSLATE(C209, ""en"", ""hi"")"),"ए) 2006, बी) 2010, सी) 2014, डी) 2018")</f>
        <v>ए) 2006, बी) 2010, सी) 2014, डी) 2018</v>
      </c>
      <c r="I209" s="5" t="str">
        <f>IFERROR(__xludf.DUMMYFUNCTION("GOOGLETRANSLATE(D209, ""en"", ""hi"")"),"सी) 2014")</f>
        <v>सी) 2014</v>
      </c>
    </row>
    <row r="210" ht="22.5" customHeight="1">
      <c r="A210" s="3">
        <v>209.0</v>
      </c>
      <c r="B210" s="4" t="s">
        <v>6300</v>
      </c>
      <c r="C210" s="4" t="s">
        <v>6301</v>
      </c>
      <c r="D210" s="4" t="s">
        <v>6302</v>
      </c>
      <c r="F210" s="5" t="str">
        <f>IFERROR(__xludf.DUMMYFUNCTION("GOOGLETRANSLATE(A210, ""en"", ""hi"")"),"209")</f>
        <v>209</v>
      </c>
      <c r="G210" s="5" t="str">
        <f>IFERROR(__xludf.DUMMYFUNCTION("GOOGLETRANSLATE(B210, ""en"", ""hi"")"),"कौन सा भारतीय खिलाड़ी 'अंडरआर्म टैग' तकनीक में अपनी निपुणता के लिए जाना जाता है?")</f>
        <v>कौन सा भारतीय खिलाड़ी 'अंडरआर्म टैग' तकनीक में अपनी निपुणता के लिए जाना जाता है?</v>
      </c>
      <c r="H210" s="5" t="str">
        <f>IFERROR(__xludf.DUMMYFUNCTION("GOOGLETRANSLATE(C210, ""en"", ""hi"")"),"A) अनिल शर्मा, B) रवि पटेल, C) मोहन कुमार, D) सुनील यादव")</f>
        <v>A) अनिल शर्मा, B) रवि पटेल, C) मोहन कुमार, D) सुनील यादव</v>
      </c>
      <c r="I210" s="5" t="str">
        <f>IFERROR(__xludf.DUMMYFUNCTION("GOOGLETRANSLATE(D210, ""en"", ""hi"")"),"बी) रवि पटेल")</f>
        <v>बी) रवि पटेल</v>
      </c>
    </row>
    <row r="211" ht="22.5" customHeight="1">
      <c r="A211" s="3">
        <v>210.0</v>
      </c>
      <c r="B211" s="4" t="s">
        <v>6303</v>
      </c>
      <c r="C211" s="4" t="s">
        <v>6304</v>
      </c>
      <c r="D211" s="4" t="s">
        <v>6305</v>
      </c>
      <c r="F211" s="5" t="str">
        <f>IFERROR(__xludf.DUMMYFUNCTION("GOOGLETRANSLATE(A211, ""en"", ""hi"")"),"210")</f>
        <v>210</v>
      </c>
      <c r="G211" s="5" t="str">
        <f>IFERROR(__xludf.DUMMYFUNCTION("GOOGLETRANSLATE(B211, ""en"", ""hi"")"),"धोप खेल के लिए पारंपरिक खेल मैदान की सतह क्या है?")</f>
        <v>धोप खेल के लिए पारंपरिक खेल मैदान की सतह क्या है?</v>
      </c>
      <c r="H211" s="5" t="str">
        <f>IFERROR(__xludf.DUMMYFUNCTION("GOOGLETRANSLATE(C211, ""en"", ""hi"")"),"A) घास, B) मिट्टी, C) रेत, D) एस्ट्रोटर्फ")</f>
        <v>A) घास, B) मिट्टी, C) रेत, D) एस्ट्रोटर्फ</v>
      </c>
      <c r="I211" s="5" t="str">
        <f>IFERROR(__xludf.DUMMYFUNCTION("GOOGLETRANSLATE(D211, ""en"", ""hi"")"),"ए) घास")</f>
        <v>ए) घास</v>
      </c>
    </row>
    <row r="212" ht="22.5" customHeight="1">
      <c r="A212" s="3">
        <v>211.0</v>
      </c>
      <c r="B212" s="4" t="s">
        <v>6306</v>
      </c>
      <c r="C212" s="4" t="s">
        <v>6307</v>
      </c>
      <c r="D212" s="4" t="s">
        <v>6308</v>
      </c>
      <c r="F212" s="5" t="str">
        <f>IFERROR(__xludf.DUMMYFUNCTION("GOOGLETRANSLATE(A212, ""en"", ""hi"")"),"211")</f>
        <v>211</v>
      </c>
      <c r="G212" s="5" t="str">
        <f>IFERROR(__xludf.DUMMYFUNCTION("GOOGLETRANSLATE(B212, ""en"", ""hi"")"),"कौन सा धोप खेल खिलाड़ी 'बैकफ्लिप एस्केप' तकनीक के लिए प्रसिद्ध है?")</f>
        <v>कौन सा धोप खेल खिलाड़ी 'बैकफ्लिप एस्केप' तकनीक के लिए प्रसिद्ध है?</v>
      </c>
      <c r="H212" s="5" t="str">
        <f>IFERROR(__xludf.DUMMYFUNCTION("GOOGLETRANSLATE(C212, ""en"", ""hi"")"),"A) सुनील कुमार, B) अनिल यादव, C) मोहित शर्मा, D) रवि पटेल")</f>
        <v>A) सुनील कुमार, B) अनिल यादव, C) मोहित शर्मा, D) रवि पटेल</v>
      </c>
      <c r="I212" s="5" t="str">
        <f>IFERROR(__xludf.DUMMYFUNCTION("GOOGLETRANSLATE(D212, ""en"", ""hi"")"),"C) मोहित शर्मा")</f>
        <v>C) मोहित शर्मा</v>
      </c>
    </row>
    <row r="213" ht="22.5" customHeight="1">
      <c r="A213" s="3">
        <v>212.0</v>
      </c>
      <c r="B213" s="4" t="s">
        <v>6309</v>
      </c>
      <c r="C213" s="4" t="s">
        <v>36</v>
      </c>
      <c r="D213" s="4" t="s">
        <v>37</v>
      </c>
      <c r="F213" s="5" t="str">
        <f>IFERROR(__xludf.DUMMYFUNCTION("GOOGLETRANSLATE(A213, ""en"", ""hi"")"),"212")</f>
        <v>212</v>
      </c>
      <c r="G213" s="5" t="str">
        <f>IFERROR(__xludf.DUMMYFUNCTION("GOOGLETRANSLATE(B213, ""en"", ""hi"")"),"कौन सा देश धोप खेल प्रशिक्षण अकादमियों की अवधारणा शुरू करने के लिए जाना जाता है?")</f>
        <v>कौन सा देश धोप खेल प्रशिक्षण अकादमियों की अवधारणा शुरू करने के लिए जाना जाता है?</v>
      </c>
      <c r="H213" s="5" t="str">
        <f>IFERROR(__xludf.DUMMYFUNCTION("GOOGLETRANSLATE(C213, ""en"", ""hi"")"),"A) भारत, B) पाकिस्तान, C) बांग्लादेश, D) नेपाल")</f>
        <v>A) भारत, B) पाकिस्तान, C) बांग्लादेश, D) नेपाल</v>
      </c>
      <c r="I213" s="5" t="str">
        <f>IFERROR(__xludf.DUMMYFUNCTION("GOOGLETRANSLATE(D213, ""en"", ""hi"")"),"ए) भारत")</f>
        <v>ए) भारत</v>
      </c>
    </row>
    <row r="214" ht="22.5" customHeight="1">
      <c r="A214" s="3">
        <v>213.0</v>
      </c>
      <c r="B214" s="4" t="s">
        <v>6310</v>
      </c>
      <c r="C214" s="4" t="s">
        <v>5945</v>
      </c>
      <c r="D214" s="4" t="s">
        <v>6311</v>
      </c>
      <c r="F214" s="5" t="str">
        <f>IFERROR(__xludf.DUMMYFUNCTION("GOOGLETRANSLATE(A214, ""en"", ""hi"")"),"213")</f>
        <v>213</v>
      </c>
      <c r="G214" s="5" t="str">
        <f>IFERROR(__xludf.DUMMYFUNCTION("GOOGLETRANSLATE(B214, ""en"", ""hi"")"),"एक मानक धोप खेल मैच में प्रत्येक हाफ की अवधि कितनी होती है?")</f>
        <v>एक मानक धोप खेल मैच में प्रत्येक हाफ की अवधि कितनी होती है?</v>
      </c>
      <c r="H214" s="5" t="str">
        <f>IFERROR(__xludf.DUMMYFUNCTION("GOOGLETRANSLATE(C214, ""en"", ""hi"")"),"A) 10 मिनट, B) 15 मिनट, C) 20 मिनट, D) 25 मिनट")</f>
        <v>A) 10 मिनट, B) 15 मिनट, C) 20 मिनट, D) 25 मिनट</v>
      </c>
      <c r="I214" s="5" t="str">
        <f>IFERROR(__xludf.DUMMYFUNCTION("GOOGLETRANSLATE(D214, ""en"", ""hi"")"),"सी) 20 मिनट")</f>
        <v>सी) 20 मिनट</v>
      </c>
    </row>
    <row r="215" ht="22.5" customHeight="1">
      <c r="A215" s="3">
        <v>214.0</v>
      </c>
      <c r="B215" s="4" t="s">
        <v>6312</v>
      </c>
      <c r="C215" s="4" t="s">
        <v>6313</v>
      </c>
      <c r="D215" s="4" t="s">
        <v>5840</v>
      </c>
      <c r="F215" s="5" t="str">
        <f>IFERROR(__xludf.DUMMYFUNCTION("GOOGLETRANSLATE(A215, ""en"", ""hi"")"),"214")</f>
        <v>214</v>
      </c>
      <c r="G215" s="5" t="str">
        <f>IFERROR(__xludf.DUMMYFUNCTION("GOOGLETRANSLATE(B215, ""en"", ""hi"")"),"किस भारतीय खिलाड़ी के नाम लगातार सबसे अधिक बार धोप खेल राष्ट्रीय चैंपियनशिप जीतने का रिकॉर्ड है?")</f>
        <v>किस भारतीय खिलाड़ी के नाम लगातार सबसे अधिक बार धोप खेल राष्ट्रीय चैंपियनशिप जीतने का रिकॉर्ड है?</v>
      </c>
      <c r="H215" s="5" t="str">
        <f>IFERROR(__xludf.DUMMYFUNCTION("GOOGLETRANSLATE(C215, ""en"", ""hi"")"),"A) राजेश कुमार, B) अनिल शर्मा, C) मोहित पटेल, D) रवि यादव")</f>
        <v>A) राजेश कुमार, B) अनिल शर्मा, C) मोहित पटेल, D) रवि यादव</v>
      </c>
      <c r="I215" s="5" t="str">
        <f>IFERROR(__xludf.DUMMYFUNCTION("GOOGLETRANSLATE(D215, ""en"", ""hi"")"),"बी) अनिल शर्मा")</f>
        <v>बी) अनिल शर्मा</v>
      </c>
    </row>
    <row r="216" ht="22.5" customHeight="1">
      <c r="A216" s="3">
        <v>215.0</v>
      </c>
      <c r="B216" s="4" t="s">
        <v>6314</v>
      </c>
      <c r="C216" s="4" t="s">
        <v>6315</v>
      </c>
      <c r="D216" s="4" t="s">
        <v>6016</v>
      </c>
      <c r="F216" s="5" t="str">
        <f>IFERROR(__xludf.DUMMYFUNCTION("GOOGLETRANSLATE(A216, ""en"", ""hi"")"),"215")</f>
        <v>215</v>
      </c>
      <c r="G216" s="5" t="str">
        <f>IFERROR(__xludf.DUMMYFUNCTION("GOOGLETRANSLATE(B216, ""en"", ""hi"")"),"धोप खेल विश्व कप में भाग लेने वाला सबसे युवा खिलाड़ी कौन है?")</f>
        <v>धोप खेल विश्व कप में भाग लेने वाला सबसे युवा खिलाड़ी कौन है?</v>
      </c>
      <c r="H216" s="5" t="str">
        <f>IFERROR(__xludf.DUMMYFUNCTION("GOOGLETRANSLATE(C216, ""en"", ""hi"")"),"A) राजेश यादव, B) मोहन पटेल, C) सुनील शर्मा, D) अनिल कुमार")</f>
        <v>A) राजेश यादव, B) मोहन पटेल, C) सुनील शर्मा, D) अनिल कुमार</v>
      </c>
      <c r="I216" s="5" t="str">
        <f>IFERROR(__xludf.DUMMYFUNCTION("GOOGLETRANSLATE(D216, ""en"", ""hi"")"),"A) राजेश यादव")</f>
        <v>A) राजेश यादव</v>
      </c>
    </row>
    <row r="217" ht="22.5" customHeight="1">
      <c r="A217" s="3">
        <v>216.0</v>
      </c>
      <c r="B217" s="4" t="s">
        <v>6316</v>
      </c>
      <c r="C217" s="4" t="s">
        <v>6317</v>
      </c>
      <c r="D217" s="4" t="s">
        <v>5896</v>
      </c>
      <c r="F217" s="5" t="str">
        <f>IFERROR(__xludf.DUMMYFUNCTION("GOOGLETRANSLATE(A217, ""en"", ""hi"")"),"216")</f>
        <v>216</v>
      </c>
      <c r="G217" s="5" t="str">
        <f>IFERROR(__xludf.DUMMYFUNCTION("GOOGLETRANSLATE(B217, ""en"", ""hi"")"),"कौन सा भारतीय शहर अपने वार्षिक धोप खेल मैराथन के लिए प्रसिद्ध है?")</f>
        <v>कौन सा भारतीय शहर अपने वार्षिक धोप खेल मैराथन के लिए प्रसिद्ध है?</v>
      </c>
      <c r="H217" s="5" t="str">
        <f>IFERROR(__xludf.DUMMYFUNCTION("GOOGLETRANSLATE(C217, ""en"", ""hi"")"),"A) दिल्ली, B) मुंबई, C) जयपुर, D) बैंगलोर")</f>
        <v>A) दिल्ली, B) मुंबई, C) जयपुर, D) बैंगलोर</v>
      </c>
      <c r="I217" s="5" t="str">
        <f>IFERROR(__xludf.DUMMYFUNCTION("GOOGLETRANSLATE(D217, ""en"", ""hi"")"),"C) जयपुर")</f>
        <v>C) जयपुर</v>
      </c>
    </row>
    <row r="218" ht="22.5" customHeight="1">
      <c r="A218" s="3">
        <v>217.0</v>
      </c>
      <c r="B218" s="4" t="s">
        <v>6318</v>
      </c>
      <c r="C218" s="4" t="s">
        <v>6319</v>
      </c>
      <c r="D218" s="4" t="s">
        <v>6320</v>
      </c>
      <c r="F218" s="5" t="str">
        <f>IFERROR(__xludf.DUMMYFUNCTION("GOOGLETRANSLATE(A218, ""en"", ""hi"")"),"217")</f>
        <v>217</v>
      </c>
      <c r="G218" s="5" t="str">
        <f>IFERROR(__xludf.DUMMYFUNCTION("GOOGLETRANSLATE(B218, ""en"", ""hi"")"),"धोप खेल में 'ब्लाइंड टैग' तकनीक का प्राथमिक उद्देश्य क्या है?")</f>
        <v>धोप खेल में 'ब्लाइंड टैग' तकनीक का प्राथमिक उद्देश्य क्या है?</v>
      </c>
      <c r="H218" s="5" t="str">
        <f>IFERROR(__xludf.DUMMYFUNCTION("GOOGLETRANSLATE(C218, ""en"", ""hi"")"),"A) प्रतिद्वंद्वी को आश्चर्यचकित करने के लिए, B) टैग से बचने के लिए, C) रेफरी को भ्रमित करने के लिए, D) भीड़ को विचलित करने के लिए")</f>
        <v>A) प्रतिद्वंद्वी को आश्चर्यचकित करने के लिए, B) टैग से बचने के लिए, C) रेफरी को भ्रमित करने के लिए, D) भीड़ को विचलित करने के लिए</v>
      </c>
      <c r="I218" s="5" t="str">
        <f>IFERROR(__xludf.DUMMYFUNCTION("GOOGLETRANSLATE(D218, ""en"", ""hi"")"),"A) प्रतिद्वंद्वी को आश्चर्यचकित करना")</f>
        <v>A) प्रतिद्वंद्वी को आश्चर्यचकित करना</v>
      </c>
    </row>
    <row r="219" ht="22.5" customHeight="1">
      <c r="A219" s="3">
        <v>218.0</v>
      </c>
      <c r="B219" s="4" t="s">
        <v>6321</v>
      </c>
      <c r="C219" s="4" t="s">
        <v>6322</v>
      </c>
      <c r="D219" s="4" t="s">
        <v>6323</v>
      </c>
      <c r="F219" s="5" t="str">
        <f>IFERROR(__xludf.DUMMYFUNCTION("GOOGLETRANSLATE(A219, ""en"", ""hi"")"),"218")</f>
        <v>218</v>
      </c>
      <c r="G219" s="5" t="str">
        <f>IFERROR(__xludf.DUMMYFUNCTION("GOOGLETRANSLATE(B219, ""en"", ""hi"")"),"2018 धोप खेल विश्व कप में किस खिलाड़ी को उनके असाधारण प्रदर्शन के लिए जाना जाता है?")</f>
        <v>2018 धोप खेल विश्व कप में किस खिलाड़ी को उनके असाधारण प्रदर्शन के लिए जाना जाता है?</v>
      </c>
      <c r="H219" s="5" t="str">
        <f>IFERROR(__xludf.DUMMYFUNCTION("GOOGLETRANSLATE(C219, ""en"", ""hi"")"),"A) रवि शर्मा, B) अनिल यादव, C) मोहित कुमार, D) सुनील पटेल")</f>
        <v>A) रवि शर्मा, B) अनिल यादव, C) मोहित कुमार, D) सुनील पटेल</v>
      </c>
      <c r="I219" s="5" t="str">
        <f>IFERROR(__xludf.DUMMYFUNCTION("GOOGLETRANSLATE(D219, ""en"", ""hi"")"),"बी) अनिल यादव")</f>
        <v>बी) अनिल यादव</v>
      </c>
    </row>
    <row r="220" ht="22.5" customHeight="1">
      <c r="A220" s="3">
        <v>219.0</v>
      </c>
      <c r="B220" s="4" t="s">
        <v>6324</v>
      </c>
      <c r="C220" s="4" t="s">
        <v>6325</v>
      </c>
      <c r="D220" s="4" t="s">
        <v>6326</v>
      </c>
      <c r="F220" s="5" t="str">
        <f>IFERROR(__xludf.DUMMYFUNCTION("GOOGLETRANSLATE(A220, ""en"", ""hi"")"),"219")</f>
        <v>219</v>
      </c>
      <c r="G220" s="5" t="str">
        <f>IFERROR(__xludf.DUMMYFUNCTION("GOOGLETRANSLATE(B220, ""en"", ""hi"")"),"धोप खेल मैदान का आधिकारिक आकार क्या है?")</f>
        <v>धोप खेल मैदान का आधिकारिक आकार क्या है?</v>
      </c>
      <c r="H220" s="5" t="str">
        <f>IFERROR(__xludf.DUMMYFUNCTION("GOOGLETRANSLATE(C220, ""en"", ""hi"")"),"ए) 50 मीटर x 25 मीटर, बी) 60 मीटर x 30 मीटर, सी) 70 मीटर x 35 मीटर, डी) 80 मीटर x 40 मीटर")</f>
        <v>ए) 50 मीटर x 25 मीटर, बी) 60 मीटर x 30 मीटर, सी) 70 मीटर x 35 मीटर, डी) 80 मीटर x 40 मीटर</v>
      </c>
      <c r="I220" s="5" t="str">
        <f>IFERROR(__xludf.DUMMYFUNCTION("GOOGLETRANSLATE(D220, ""en"", ""hi"")"),"बी) 60 मीटर x 30 मीटर")</f>
        <v>बी) 60 मीटर x 30 मीटर</v>
      </c>
    </row>
    <row r="221" ht="22.5" customHeight="1">
      <c r="A221" s="3">
        <v>220.0</v>
      </c>
      <c r="B221" s="4" t="s">
        <v>6327</v>
      </c>
      <c r="C221" s="4" t="s">
        <v>6328</v>
      </c>
      <c r="D221" s="4" t="s">
        <v>6329</v>
      </c>
      <c r="F221" s="5" t="str">
        <f>IFERROR(__xludf.DUMMYFUNCTION("GOOGLETRANSLATE(A221, ""en"", ""hi"")"),"220")</f>
        <v>220</v>
      </c>
      <c r="G221" s="5" t="str">
        <f>IFERROR(__xludf.DUMMYFUNCTION("GOOGLETRANSLATE(B221, ""en"", ""hi"")"),"कौन सी धोप खेल टीम को उनकी अपराजित लकीर के कारण 'अजेय' के रूप में जाना जाता है?")</f>
        <v>कौन सी धोप खेल टीम को उनकी अपराजित लकीर के कारण 'अजेय' के रूप में जाना जाता है?</v>
      </c>
      <c r="H221" s="5" t="str">
        <f>IFERROR(__xludf.DUMMYFUNCTION("GOOGLETRANSLATE(C221, ""en"", ""hi"")"),"A) दिल्ली वॉरियर्स, B) पंजाब पैंथर्स, C) राजस्थान रॉयल्स, D) मुंबई मावेरिक्स")</f>
        <v>A) दिल्ली वॉरियर्स, B) पंजाब पैंथर्स, C) राजस्थान रॉयल्स, D) मुंबई मावेरिक्स</v>
      </c>
      <c r="I221" s="5" t="str">
        <f>IFERROR(__xludf.DUMMYFUNCTION("GOOGLETRANSLATE(D221, ""en"", ""hi"")"),"ए) दिल्ली वॉरियर्स")</f>
        <v>ए) दिल्ली वॉरियर्स</v>
      </c>
    </row>
    <row r="222" ht="22.5" customHeight="1">
      <c r="A222" s="3">
        <v>221.0</v>
      </c>
      <c r="B222" s="4" t="s">
        <v>6330</v>
      </c>
      <c r="C222" s="4" t="s">
        <v>6331</v>
      </c>
      <c r="D222" s="4" t="s">
        <v>6053</v>
      </c>
      <c r="F222" s="5" t="str">
        <f>IFERROR(__xludf.DUMMYFUNCTION("GOOGLETRANSLATE(A222, ""en"", ""hi"")"),"221")</f>
        <v>221</v>
      </c>
      <c r="G222" s="5" t="str">
        <f>IFERROR(__xludf.DUMMYFUNCTION("GOOGLETRANSLATE(B222, ""en"", ""hi"")"),"धोप खेल में टैग से बचने के लिए तेजी से दिशा बदलने वाली कौन सी चाल शामिल है?")</f>
        <v>धोप खेल में टैग से बचने के लिए तेजी से दिशा बदलने वाली कौन सी चाल शामिल है?</v>
      </c>
      <c r="H222" s="5" t="str">
        <f>IFERROR(__xludf.DUMMYFUNCTION("GOOGLETRANSLATE(C222, ""en"", ""hi"")"),"ए) क्विक टैकल, बी) ज़िगज़ैग रन, सी) स्पिन डॉज, डी) हाई जंप")</f>
        <v>ए) क्विक टैकल, बी) ज़िगज़ैग रन, सी) स्पिन डॉज, डी) हाई जंप</v>
      </c>
      <c r="I222" s="5" t="str">
        <f>IFERROR(__xludf.DUMMYFUNCTION("GOOGLETRANSLATE(D222, ""en"", ""hi"")"),"बी) ज़िगज़ैग रन")</f>
        <v>बी) ज़िगज़ैग रन</v>
      </c>
    </row>
    <row r="223" ht="22.5" customHeight="1">
      <c r="A223" s="3">
        <v>222.0</v>
      </c>
      <c r="B223" s="4" t="s">
        <v>6332</v>
      </c>
      <c r="C223" s="4" t="s">
        <v>6313</v>
      </c>
      <c r="D223" s="4" t="s">
        <v>6123</v>
      </c>
      <c r="F223" s="5" t="str">
        <f>IFERROR(__xludf.DUMMYFUNCTION("GOOGLETRANSLATE(A223, ""en"", ""hi"")"),"222")</f>
        <v>222</v>
      </c>
      <c r="G223" s="5" t="str">
        <f>IFERROR(__xludf.DUMMYFUNCTION("GOOGLETRANSLATE(B223, ""en"", ""hi"")"),"2020 धोप खेल विश्व कप में सबसे मूल्यवान खिलाड़ी (एमवीपी) का पुरस्कार किसने जीता?")</f>
        <v>2020 धोप खेल विश्व कप में सबसे मूल्यवान खिलाड़ी (एमवीपी) का पुरस्कार किसने जीता?</v>
      </c>
      <c r="H223" s="5" t="str">
        <f>IFERROR(__xludf.DUMMYFUNCTION("GOOGLETRANSLATE(C223, ""en"", ""hi"")"),"A) राजेश कुमार, B) अनिल शर्मा, C) मोहित पटेल, D) रवि यादव")</f>
        <v>A) राजेश कुमार, B) अनिल शर्मा, C) मोहित पटेल, D) रवि यादव</v>
      </c>
      <c r="I223" s="5" t="str">
        <f>IFERROR(__xludf.DUMMYFUNCTION("GOOGLETRANSLATE(D223, ""en"", ""hi"")"),"D) रवि यादव")</f>
        <v>D) रवि यादव</v>
      </c>
    </row>
    <row r="224" ht="22.5" customHeight="1">
      <c r="A224" s="3">
        <v>223.0</v>
      </c>
      <c r="B224" s="4" t="s">
        <v>6333</v>
      </c>
      <c r="C224" s="4" t="s">
        <v>6334</v>
      </c>
      <c r="D224" s="4" t="s">
        <v>6335</v>
      </c>
      <c r="F224" s="5" t="str">
        <f>IFERROR(__xludf.DUMMYFUNCTION("GOOGLETRANSLATE(A224, ""en"", ""hi"")"),"223")</f>
        <v>223</v>
      </c>
      <c r="G224" s="5" t="str">
        <f>IFERROR(__xludf.DUMMYFUNCTION("GOOGLETRANSLATE(B224, ""en"", ""hi"")"),"धोप खेल में 'ट्रिपल स्पिन' चाल के लिए कौन सा खिलाड़ी प्रसिद्ध है?")</f>
        <v>धोप खेल में 'ट्रिपल स्पिन' चाल के लिए कौन सा खिलाड़ी प्रसिद्ध है?</v>
      </c>
      <c r="H224" s="5" t="str">
        <f>IFERROR(__xludf.DUMMYFUNCTION("GOOGLETRANSLATE(C224, ""en"", ""hi"")"),"A) मोहन कुमार, B) रवि शर्मा, C) अनिल यादव, D) राजेश पटेल")</f>
        <v>A) मोहन कुमार, B) रवि शर्मा, C) अनिल यादव, D) राजेश पटेल</v>
      </c>
      <c r="I224" s="5" t="str">
        <f>IFERROR(__xludf.DUMMYFUNCTION("GOOGLETRANSLATE(D224, ""en"", ""hi"")"),"C) अनिल यादव")</f>
        <v>C) अनिल यादव</v>
      </c>
    </row>
    <row r="225" ht="22.5" customHeight="1">
      <c r="A225" s="3">
        <v>224.0</v>
      </c>
      <c r="B225" s="4" t="s">
        <v>6336</v>
      </c>
      <c r="C225" s="4" t="s">
        <v>6337</v>
      </c>
      <c r="D225" s="4" t="s">
        <v>6338</v>
      </c>
      <c r="F225" s="5" t="str">
        <f>IFERROR(__xludf.DUMMYFUNCTION("GOOGLETRANSLATE(A225, ""en"", ""hi"")"),"224")</f>
        <v>224</v>
      </c>
      <c r="G225" s="5" t="str">
        <f>IFERROR(__xludf.DUMMYFUNCTION("GOOGLETRANSLATE(B225, ""en"", ""hi"")"),"धोप खेल ने अंतर्राष्ट्रीय प्रतियोगिताओं में महिला वर्ग की शुरुआत किस वर्ष की?")</f>
        <v>धोप खेल ने अंतर्राष्ट्रीय प्रतियोगिताओं में महिला वर्ग की शुरुआत किस वर्ष की?</v>
      </c>
      <c r="H225" s="5" t="str">
        <f>IFERROR(__xludf.DUMMYFUNCTION("GOOGLETRANSLATE(C225, ""en"", ""hi"")"),"ए) 2008, बी) 2012, सी) 2016, डी) 2020")</f>
        <v>ए) 2008, बी) 2012, सी) 2016, डी) 2020</v>
      </c>
      <c r="I225" s="5" t="str">
        <f>IFERROR(__xludf.DUMMYFUNCTION("GOOGLETRANSLATE(D225, ""en"", ""hi"")"),"सी) 2016")</f>
        <v>सी) 2016</v>
      </c>
    </row>
    <row r="226" ht="22.5" customHeight="1">
      <c r="A226" s="3">
        <v>225.0</v>
      </c>
      <c r="B226" s="4" t="s">
        <v>6339</v>
      </c>
      <c r="C226" s="4" t="s">
        <v>6007</v>
      </c>
      <c r="D226" s="4" t="s">
        <v>4081</v>
      </c>
      <c r="F226" s="5" t="str">
        <f>IFERROR(__xludf.DUMMYFUNCTION("GOOGLETRANSLATE(A226, ""en"", ""hi"")"),"225")</f>
        <v>225</v>
      </c>
      <c r="G226" s="5" t="str">
        <f>IFERROR(__xludf.DUMMYFUNCTION("GOOGLETRANSLATE(B226, ""en"", ""hi"")"),"कौन सा भारतीय राज्य सबसे कुशल धोप खेल खिलाड़ियों के उत्पादन के लिए प्रसिद्ध है?")</f>
        <v>कौन सा भारतीय राज्य सबसे कुशल धोप खेल खिलाड़ियों के उत्पादन के लिए प्रसिद्ध है?</v>
      </c>
      <c r="H226" s="5" t="str">
        <f>IFERROR(__xludf.DUMMYFUNCTION("GOOGLETRANSLATE(C226, ""en"", ""hi"")"),"A) पंजाब, B) हरियाणा, C) राजस्थान, D) गुजरात")</f>
        <v>A) पंजाब, B) हरियाणा, C) राजस्थान, D) गुजरात</v>
      </c>
      <c r="I226" s="5" t="str">
        <f>IFERROR(__xludf.DUMMYFUNCTION("GOOGLETRANSLATE(D226, ""en"", ""hi"")"),"C) राजस्थान")</f>
        <v>C) राजस्थान</v>
      </c>
    </row>
    <row r="227" ht="22.5" customHeight="1">
      <c r="A227" s="3">
        <v>226.0</v>
      </c>
      <c r="B227" s="4" t="s">
        <v>6340</v>
      </c>
      <c r="C227" s="4" t="s">
        <v>6341</v>
      </c>
      <c r="D227" s="4" t="s">
        <v>6119</v>
      </c>
      <c r="F227" s="5" t="str">
        <f>IFERROR(__xludf.DUMMYFUNCTION("GOOGLETRANSLATE(A227, ""en"", ""hi"")"),"226")</f>
        <v>226</v>
      </c>
      <c r="G227" s="5" t="str">
        <f>IFERROR(__xludf.DUMMYFUNCTION("GOOGLETRANSLATE(B227, ""en"", ""hi"")"),"लगातार दो बार धोप खेल विश्व कप जीतने वाले पहले कोच कौन थे?")</f>
        <v>लगातार दो बार धोप खेल विश्व कप जीतने वाले पहले कोच कौन थे?</v>
      </c>
      <c r="H227" s="5" t="str">
        <f>IFERROR(__xludf.DUMMYFUNCTION("GOOGLETRANSLATE(C227, ""en"", ""hi"")"),"A) राजेश सिंह, B) अनिल कुमार, C) मोहित यादव, D) रवि पटेल")</f>
        <v>A) राजेश सिंह, B) अनिल कुमार, C) मोहित यादव, D) रवि पटेल</v>
      </c>
      <c r="I227" s="5" t="str">
        <f>IFERROR(__xludf.DUMMYFUNCTION("GOOGLETRANSLATE(D227, ""en"", ""hi"")"),"बी) अनिल कुमार")</f>
        <v>बी) अनिल कुमार</v>
      </c>
    </row>
    <row r="228" ht="22.5" customHeight="1">
      <c r="A228" s="3">
        <v>227.0</v>
      </c>
      <c r="B228" s="4" t="s">
        <v>6342</v>
      </c>
      <c r="C228" s="4" t="s">
        <v>6343</v>
      </c>
      <c r="D228" s="4" t="s">
        <v>6344</v>
      </c>
      <c r="F228" s="5" t="str">
        <f>IFERROR(__xludf.DUMMYFUNCTION("GOOGLETRANSLATE(A228, ""en"", ""hi"")"),"227")</f>
        <v>227</v>
      </c>
      <c r="G228" s="5" t="str">
        <f>IFERROR(__xludf.DUMMYFUNCTION("GOOGLETRANSLATE(B228, ""en"", ""hi"")"),"कौन सा धोप खेल खिलाड़ी मैचों में अपनी सहनशक्ति और धैर्य के लिए प्रसिद्ध है?")</f>
        <v>कौन सा धोप खेल खिलाड़ी मैचों में अपनी सहनशक्ति और धैर्य के लिए प्रसिद्ध है?</v>
      </c>
      <c r="H228" s="5" t="str">
        <f>IFERROR(__xludf.DUMMYFUNCTION("GOOGLETRANSLATE(C228, ""en"", ""hi"")"),"A) सुनील यादव, B) मोहन शर्मा, C) रवि पटेल, D) अनिल कुमार")</f>
        <v>A) सुनील यादव, B) मोहन शर्मा, C) रवि पटेल, D) अनिल कुमार</v>
      </c>
      <c r="I228" s="5" t="str">
        <f>IFERROR(__xludf.DUMMYFUNCTION("GOOGLETRANSLATE(D228, ""en"", ""hi"")"),"A) सुनील यादव")</f>
        <v>A) सुनील यादव</v>
      </c>
    </row>
    <row r="229" ht="22.5" customHeight="1">
      <c r="A229" s="3">
        <v>228.0</v>
      </c>
      <c r="B229" s="4" t="s">
        <v>6345</v>
      </c>
      <c r="C229" s="4" t="s">
        <v>2379</v>
      </c>
      <c r="D229" s="4" t="s">
        <v>28</v>
      </c>
      <c r="F229" s="5" t="str">
        <f>IFERROR(__xludf.DUMMYFUNCTION("GOOGLETRANSLATE(A229, ""en"", ""hi"")"),"228")</f>
        <v>228</v>
      </c>
      <c r="G229" s="5" t="str">
        <f>IFERROR(__xludf.DUMMYFUNCTION("GOOGLETRANSLATE(B229, ""en"", ""hi"")"),"धोप खेल में किस देश की टीम को 'लायंस' के नाम से जाना जाता है?")</f>
        <v>धोप खेल में किस देश की टीम को 'लायंस' के नाम से जाना जाता है?</v>
      </c>
      <c r="H229" s="5" t="str">
        <f>IFERROR(__xludf.DUMMYFUNCTION("GOOGLETRANSLATE(C229, ""en"", ""hi"")"),"A) भारत, B) पाकिस्तान, C) नेपाल, D) बांग्लादेश")</f>
        <v>A) भारत, B) पाकिस्तान, C) नेपाल, D) बांग्लादेश</v>
      </c>
      <c r="I229" s="5" t="str">
        <f>IFERROR(__xludf.DUMMYFUNCTION("GOOGLETRANSLATE(D229, ""en"", ""hi"")"),"बी) पाकिस्तान")</f>
        <v>बी) पाकिस्तान</v>
      </c>
    </row>
    <row r="230" ht="22.5" customHeight="1">
      <c r="A230" s="3">
        <v>229.0</v>
      </c>
      <c r="B230" s="4" t="s">
        <v>6346</v>
      </c>
      <c r="C230" s="4" t="s">
        <v>6347</v>
      </c>
      <c r="D230" s="4" t="s">
        <v>6348</v>
      </c>
      <c r="F230" s="5" t="str">
        <f>IFERROR(__xludf.DUMMYFUNCTION("GOOGLETRANSLATE(A230, ""en"", ""hi"")"),"229")</f>
        <v>229</v>
      </c>
      <c r="G230" s="5" t="str">
        <f>IFERROR(__xludf.DUMMYFUNCTION("GOOGLETRANSLATE(B230, ""en"", ""hi"")"),"कौन सी धोप खेल चाल मुख्य रूप से दौड़ते हुए प्रतिद्वंद्वी को टैग करने के लिए उपयोग की जाती है?")</f>
        <v>कौन सी धोप खेल चाल मुख्य रूप से दौड़ते हुए प्रतिद्वंद्वी को टैग करने के लिए उपयोग की जाती है?</v>
      </c>
      <c r="H230" s="5" t="str">
        <f>IFERROR(__xludf.DUMMYFUNCTION("GOOGLETRANSLATE(C230, ""en"", ""hi"")"),"ए) ऊंची कूद, बी) त्वरित टैकल, सी) स्पिन डॉज, डी) लो क्रॉल")</f>
        <v>ए) ऊंची कूद, बी) त्वरित टैकल, सी) स्पिन डॉज, डी) लो क्रॉल</v>
      </c>
      <c r="I230" s="5" t="str">
        <f>IFERROR(__xludf.DUMMYFUNCTION("GOOGLETRANSLATE(D230, ""en"", ""hi"")"),"बी) त्वरित टैकल")</f>
        <v>बी) त्वरित टैकल</v>
      </c>
    </row>
    <row r="231" ht="22.5" customHeight="1">
      <c r="A231" s="3">
        <v>230.0</v>
      </c>
      <c r="B231" s="4" t="s">
        <v>6349</v>
      </c>
      <c r="C231" s="4" t="s">
        <v>6350</v>
      </c>
      <c r="D231" s="4" t="s">
        <v>6351</v>
      </c>
      <c r="F231" s="5" t="str">
        <f>IFERROR(__xludf.DUMMYFUNCTION("GOOGLETRANSLATE(A231, ""en"", ""hi"")"),"230")</f>
        <v>230</v>
      </c>
      <c r="G231" s="5" t="str">
        <f>IFERROR(__xludf.DUMMYFUNCTION("GOOGLETRANSLATE(B231, ""en"", ""hi"")"),"धोप खेल में 'गोल्डन टैग' का क्या महत्व है?")</f>
        <v>धोप खेल में 'गोल्डन टैग' का क्या महत्व है?</v>
      </c>
      <c r="H231" s="5" t="str">
        <f>IFERROR(__xludf.DUMMYFUNCTION("GOOGLETRANSLATE(C231, ""en"", ""hi"")"),"A) यह खेल को समाप्त कर देता है, B) यह दोगुने अंक देता है, C) इसका उपयोग बराबरी को तोड़ने के लिए किया जाता है, D) यह एक खिलाड़ी को स्थायी रूप से बाहर कर देता है")</f>
        <v>A) यह खेल को समाप्त कर देता है, B) यह दोगुने अंक देता है, C) इसका उपयोग बराबरी को तोड़ने के लिए किया जाता है, D) यह एक खिलाड़ी को स्थायी रूप से बाहर कर देता है</v>
      </c>
      <c r="I231" s="5" t="str">
        <f>IFERROR(__xludf.DUMMYFUNCTION("GOOGLETRANSLATE(D231, ""en"", ""hi"")"),"B) यह दोहरे अंक देता है")</f>
        <v>B) यह दोहरे अंक देता है</v>
      </c>
    </row>
    <row r="232" ht="22.5" customHeight="1">
      <c r="A232" s="3">
        <v>231.0</v>
      </c>
      <c r="B232" s="4" t="s">
        <v>6352</v>
      </c>
      <c r="C232" s="4" t="s">
        <v>6353</v>
      </c>
      <c r="D232" s="4" t="s">
        <v>6354</v>
      </c>
      <c r="F232" s="5" t="str">
        <f>IFERROR(__xludf.DUMMYFUNCTION("GOOGLETRANSLATE(A232, ""en"", ""hi"")"),"231")</f>
        <v>231</v>
      </c>
      <c r="G232" s="5" t="str">
        <f>IFERROR(__xludf.DUMMYFUNCTION("GOOGLETRANSLATE(B232, ""en"", ""hi"")"),"धोप खेल इतिहास में सबसे लंबे करियर का रिकॉर्ड किस खिलाड़ी के नाम है?")</f>
        <v>धोप खेल इतिहास में सबसे लंबे करियर का रिकॉर्ड किस खिलाड़ी के नाम है?</v>
      </c>
      <c r="H232" s="5" t="str">
        <f>IFERROR(__xludf.DUMMYFUNCTION("GOOGLETRANSLATE(C232, ""en"", ""hi"")"),"A) रवि शर्मा, B) मोहन यादव, C) सुनील कुमार, D) अनिल पटेल")</f>
        <v>A) रवि शर्मा, B) मोहन यादव, C) सुनील कुमार, D) अनिल पटेल</v>
      </c>
      <c r="I232" s="5" t="str">
        <f>IFERROR(__xludf.DUMMYFUNCTION("GOOGLETRANSLATE(D232, ""en"", ""hi"")"),"D) अनिल पटेल")</f>
        <v>D) अनिल पटेल</v>
      </c>
    </row>
    <row r="233" ht="22.5" customHeight="1">
      <c r="A233" s="3">
        <v>232.0</v>
      </c>
      <c r="B233" s="4" t="s">
        <v>6355</v>
      </c>
      <c r="C233" s="4" t="s">
        <v>6356</v>
      </c>
      <c r="D233" s="4" t="s">
        <v>6357</v>
      </c>
      <c r="F233" s="5" t="str">
        <f>IFERROR(__xludf.DUMMYFUNCTION("GOOGLETRANSLATE(A233, ""en"", ""hi"")"),"232")</f>
        <v>232</v>
      </c>
      <c r="G233" s="5" t="str">
        <f>IFERROR(__xludf.DUMMYFUNCTION("GOOGLETRANSLATE(B233, ""en"", ""hi"")"),"कौन सा धोप खेल टूर्नामेंट किसी महान खिलाड़ी के सम्मान में प्रतिवर्ष आयोजित किया जाता है?")</f>
        <v>कौन सा धोप खेल टूर्नामेंट किसी महान खिलाड़ी के सम्मान में प्रतिवर्ष आयोजित किया जाता है?</v>
      </c>
      <c r="H233" s="5" t="str">
        <f>IFERROR(__xludf.DUMMYFUNCTION("GOOGLETRANSLATE(C233, ""en"", ""hi"")"),"A) शर्मा कप, B) पटेल मेमोरियल, C) यादव ट्रॉफी, D) कुमार क्लासिक")</f>
        <v>A) शर्मा कप, B) पटेल मेमोरियल, C) यादव ट्रॉफी, D) कुमार क्लासिक</v>
      </c>
      <c r="I233" s="5" t="str">
        <f>IFERROR(__xludf.DUMMYFUNCTION("GOOGLETRANSLATE(D233, ""en"", ""hi"")"),"बी) पटेल स्मारक")</f>
        <v>बी) पटेल स्मारक</v>
      </c>
    </row>
    <row r="234" ht="22.5" customHeight="1">
      <c r="A234" s="3">
        <v>233.0</v>
      </c>
      <c r="B234" s="4" t="s">
        <v>6358</v>
      </c>
      <c r="C234" s="4" t="s">
        <v>6359</v>
      </c>
      <c r="D234" s="4" t="s">
        <v>6360</v>
      </c>
      <c r="F234" s="5" t="str">
        <f>IFERROR(__xludf.DUMMYFUNCTION("GOOGLETRANSLATE(A234, ""en"", ""hi"")"),"233")</f>
        <v>233</v>
      </c>
      <c r="G234" s="5" t="str">
        <f>IFERROR(__xludf.DUMMYFUNCTION("GOOGLETRANSLATE(B234, ""en"", ""hi"")"),"कौन सी धोप खेल टीम अपनी आक्रामक खेल शैली के लिए जानी जाती है?")</f>
        <v>कौन सी धोप खेल टीम अपनी आक्रामक खेल शैली के लिए जानी जाती है?</v>
      </c>
      <c r="H234" s="5" t="str">
        <f>IFERROR(__xludf.DUMMYFUNCTION("GOOGLETRANSLATE(C234, ""en"", ""hi"")"),"A) मुंबई मावेरिक्स, B) पंजाब पैंथर्स, C) दिल्ली वॉरियर्स, D) राजस्थान रॉयल्स")</f>
        <v>A) मुंबई मावेरिक्स, B) पंजाब पैंथर्स, C) दिल्ली वॉरियर्स, D) राजस्थान रॉयल्स</v>
      </c>
      <c r="I234" s="5" t="str">
        <f>IFERROR(__xludf.DUMMYFUNCTION("GOOGLETRANSLATE(D234, ""en"", ""hi"")"),"बी) पंजाब पैंथर्स")</f>
        <v>बी) पंजाब पैंथर्स</v>
      </c>
    </row>
    <row r="235" ht="22.5" customHeight="1">
      <c r="A235" s="3">
        <v>234.0</v>
      </c>
      <c r="B235" s="4" t="s">
        <v>6361</v>
      </c>
      <c r="C235" s="4" t="s">
        <v>6301</v>
      </c>
      <c r="D235" s="4" t="s">
        <v>6362</v>
      </c>
      <c r="F235" s="5" t="str">
        <f>IFERROR(__xludf.DUMMYFUNCTION("GOOGLETRANSLATE(A235, ""en"", ""hi"")"),"234")</f>
        <v>234</v>
      </c>
      <c r="G235" s="5" t="str">
        <f>IFERROR(__xludf.DUMMYFUNCTION("GOOGLETRANSLATE(B235, ""en"", ""hi"")"),"धोप खेल में 'डाइविंग कैच' के लिए कौन सा खिलाड़ी प्रसिद्ध है?")</f>
        <v>धोप खेल में 'डाइविंग कैच' के लिए कौन सा खिलाड़ी प्रसिद्ध है?</v>
      </c>
      <c r="H235" s="5" t="str">
        <f>IFERROR(__xludf.DUMMYFUNCTION("GOOGLETRANSLATE(C235, ""en"", ""hi"")"),"A) अनिल शर्मा, B) रवि पटेल, C) मोहन कुमार, D) सुनील यादव")</f>
        <v>A) अनिल शर्मा, B) रवि पटेल, C) मोहन कुमार, D) सुनील यादव</v>
      </c>
      <c r="I235" s="5" t="str">
        <f>IFERROR(__xludf.DUMMYFUNCTION("GOOGLETRANSLATE(D235, ""en"", ""hi"")"),"D) सुनील यादव")</f>
        <v>D) सुनील यादव</v>
      </c>
    </row>
    <row r="236" ht="22.5" customHeight="1">
      <c r="A236" s="3">
        <v>235.0</v>
      </c>
      <c r="B236" s="4" t="s">
        <v>6363</v>
      </c>
      <c r="C236" s="4" t="s">
        <v>6364</v>
      </c>
      <c r="D236" s="4" t="s">
        <v>5854</v>
      </c>
      <c r="F236" s="5" t="str">
        <f>IFERROR(__xludf.DUMMYFUNCTION("GOOGLETRANSLATE(A236, ""en"", ""hi"")"),"235")</f>
        <v>235</v>
      </c>
      <c r="G236" s="5" t="str">
        <f>IFERROR(__xludf.DUMMYFUNCTION("GOOGLETRANSLATE(B236, ""en"", ""hi"")"),"कौन सा भारतीय शहर 'धोप खेल का घर' के रूप में जाना जाता है?")</f>
        <v>कौन सा भारतीय शहर 'धोप खेल का घर' के रूप में जाना जाता है?</v>
      </c>
      <c r="H236" s="5" t="str">
        <f>IFERROR(__xludf.DUMMYFUNCTION("GOOGLETRANSLATE(C236, ""en"", ""hi"")"),"ए) जयपुर, बी) मुंबई, सी) दिल्ली, डी) कोलकाता")</f>
        <v>ए) जयपुर, बी) मुंबई, सी) दिल्ली, डी) कोलकाता</v>
      </c>
      <c r="I236" s="5" t="str">
        <f>IFERROR(__xludf.DUMMYFUNCTION("GOOGLETRANSLATE(D236, ""en"", ""hi"")"),"A) जयपुर")</f>
        <v>A) जयपुर</v>
      </c>
    </row>
    <row r="237" ht="22.5" customHeight="1">
      <c r="A237" s="3">
        <v>236.0</v>
      </c>
      <c r="B237" s="4" t="s">
        <v>6365</v>
      </c>
      <c r="C237" s="4" t="s">
        <v>2487</v>
      </c>
      <c r="D237" s="4" t="s">
        <v>6338</v>
      </c>
      <c r="F237" s="5" t="str">
        <f>IFERROR(__xludf.DUMMYFUNCTION("GOOGLETRANSLATE(A237, ""en"", ""hi"")"),"236")</f>
        <v>236</v>
      </c>
      <c r="G237" s="5" t="str">
        <f>IFERROR(__xludf.DUMMYFUNCTION("GOOGLETRANSLATE(B237, ""en"", ""hi"")"),"धोप खेल विश्व कप में नॉकआउट चरण प्रारूप किस वर्ष शुरू किया गया?")</f>
        <v>धोप खेल विश्व कप में नॉकआउट चरण प्रारूप किस वर्ष शुरू किया गया?</v>
      </c>
      <c r="H237" s="5" t="str">
        <f>IFERROR(__xludf.DUMMYFUNCTION("GOOGLETRANSLATE(C237, ""en"", ""hi"")"),"ए) 2012, बी) 2014, सी) 2016, डी) 2018")</f>
        <v>ए) 2012, बी) 2014, सी) 2016, डी) 2018</v>
      </c>
      <c r="I237" s="5" t="str">
        <f>IFERROR(__xludf.DUMMYFUNCTION("GOOGLETRANSLATE(D237, ""en"", ""hi"")"),"सी) 2016")</f>
        <v>सी) 2016</v>
      </c>
    </row>
    <row r="238" ht="22.5" customHeight="1">
      <c r="A238" s="3">
        <v>237.0</v>
      </c>
      <c r="B238" s="4" t="s">
        <v>6366</v>
      </c>
      <c r="C238" s="4" t="s">
        <v>6367</v>
      </c>
      <c r="D238" s="4" t="s">
        <v>6308</v>
      </c>
      <c r="F238" s="5" t="str">
        <f>IFERROR(__xludf.DUMMYFUNCTION("GOOGLETRANSLATE(A238, ""en"", ""hi"")"),"237")</f>
        <v>237</v>
      </c>
      <c r="G238" s="5" t="str">
        <f>IFERROR(__xludf.DUMMYFUNCTION("GOOGLETRANSLATE(B238, ""en"", ""hi"")"),"कौन सा धोप खेल खिलाड़ी दबाव में प्रदर्शन करने की क्षमता के लिए जाना जाता है?")</f>
        <v>कौन सा धोप खेल खिलाड़ी दबाव में प्रदर्शन करने की क्षमता के लिए जाना जाता है?</v>
      </c>
      <c r="H238" s="5" t="str">
        <f>IFERROR(__xludf.DUMMYFUNCTION("GOOGLETRANSLATE(C238, ""en"", ""hi"")"),"A) राजेश कुमार, B) अनिल यादव, C) मोहित शर्मा, D) रवि पटेल")</f>
        <v>A) राजेश कुमार, B) अनिल यादव, C) मोहित शर्मा, D) रवि पटेल</v>
      </c>
      <c r="I238" s="5" t="str">
        <f>IFERROR(__xludf.DUMMYFUNCTION("GOOGLETRANSLATE(D238, ""en"", ""hi"")"),"C) मोहित शर्मा")</f>
        <v>C) मोहित शर्मा</v>
      </c>
    </row>
    <row r="239" ht="22.5" customHeight="1">
      <c r="A239" s="3">
        <v>238.0</v>
      </c>
      <c r="B239" s="4" t="s">
        <v>6368</v>
      </c>
      <c r="C239" s="4" t="s">
        <v>36</v>
      </c>
      <c r="D239" s="4" t="s">
        <v>37</v>
      </c>
      <c r="F239" s="5" t="str">
        <f>IFERROR(__xludf.DUMMYFUNCTION("GOOGLETRANSLATE(A239, ""en"", ""hi"")"),"238")</f>
        <v>238</v>
      </c>
      <c r="G239" s="5" t="str">
        <f>IFERROR(__xludf.DUMMYFUNCTION("GOOGLETRANSLATE(B239, ""en"", ""hi"")"),"किस धोप खेल टीम ने 2018 एशियाई चैम्पियनशिप जीती?")</f>
        <v>किस धोप खेल टीम ने 2018 एशियाई चैम्पियनशिप जीती?</v>
      </c>
      <c r="H239" s="5" t="str">
        <f>IFERROR(__xludf.DUMMYFUNCTION("GOOGLETRANSLATE(C239, ""en"", ""hi"")"),"A) भारत, B) पाकिस्तान, C) बांग्लादेश, D) नेपाल")</f>
        <v>A) भारत, B) पाकिस्तान, C) बांग्लादेश, D) नेपाल</v>
      </c>
      <c r="I239" s="5" t="str">
        <f>IFERROR(__xludf.DUMMYFUNCTION("GOOGLETRANSLATE(D239, ""en"", ""hi"")"),"ए) भारत")</f>
        <v>ए) भारत</v>
      </c>
    </row>
    <row r="240" ht="22.5" customHeight="1">
      <c r="A240" s="3">
        <v>239.0</v>
      </c>
      <c r="B240" s="4" t="s">
        <v>6369</v>
      </c>
      <c r="C240" s="4" t="s">
        <v>6370</v>
      </c>
      <c r="D240" s="4" t="s">
        <v>6323</v>
      </c>
      <c r="F240" s="5" t="str">
        <f>IFERROR(__xludf.DUMMYFUNCTION("GOOGLETRANSLATE(A240, ""en"", ""hi"")"),"239")</f>
        <v>239</v>
      </c>
      <c r="G240" s="5" t="str">
        <f>IFERROR(__xludf.DUMMYFUNCTION("GOOGLETRANSLATE(B240, ""en"", ""hi"")"),"धोप खेल में 'बैकवर्ड रन' तकनीक के लिए कौन सा खिलाड़ी जाना जाता है?")</f>
        <v>धोप खेल में 'बैकवर्ड रन' तकनीक के लिए कौन सा खिलाड़ी जाना जाता है?</v>
      </c>
      <c r="H240" s="5" t="str">
        <f>IFERROR(__xludf.DUMMYFUNCTION("GOOGLETRANSLATE(C240, ""en"", ""hi"")"),"A) मोहन कुमार, B) अनिल यादव, C) रवि शर्मा, D) सुनील पटेल")</f>
        <v>A) मोहन कुमार, B) अनिल यादव, C) रवि शर्मा, D) सुनील पटेल</v>
      </c>
      <c r="I240" s="5" t="str">
        <f>IFERROR(__xludf.DUMMYFUNCTION("GOOGLETRANSLATE(D240, ""en"", ""hi"")"),"बी) अनिल यादव")</f>
        <v>बी) अनिल यादव</v>
      </c>
    </row>
    <row r="241" ht="22.5" customHeight="1">
      <c r="A241" s="3">
        <v>240.0</v>
      </c>
      <c r="B241" s="4" t="s">
        <v>6371</v>
      </c>
      <c r="C241" s="4" t="s">
        <v>6372</v>
      </c>
      <c r="D241" s="4" t="s">
        <v>6373</v>
      </c>
      <c r="F241" s="5" t="str">
        <f>IFERROR(__xludf.DUMMYFUNCTION("GOOGLETRANSLATE(A241, ""en"", ""hi"")"),"240")</f>
        <v>240</v>
      </c>
      <c r="G241" s="5" t="str">
        <f>IFERROR(__xludf.DUMMYFUNCTION("GOOGLETRANSLATE(B241, ""en"", ""hi"")"),"धोप खेल में कौन सी चाल का प्रयोग नकली टैग द्वारा प्रतिद्वंद्वी को धोखा देने के लिए किया जाता है?")</f>
        <v>धोप खेल में कौन सी चाल का प्रयोग नकली टैग द्वारा प्रतिद्वंद्वी को धोखा देने के लिए किया जाता है?</v>
      </c>
      <c r="H241" s="5" t="str">
        <f>IFERROR(__xludf.DUMMYFUNCTION("GOOGLETRANSLATE(C241, ""en"", ""hi"")"),"ए) नकली स्पिन, बी) झूठा टैग, सी) छाया चाल, डी) डमी रन")</f>
        <v>ए) नकली स्पिन, बी) झूठा टैग, सी) छाया चाल, डी) डमी रन</v>
      </c>
      <c r="I241" s="5" t="str">
        <f>IFERROR(__xludf.DUMMYFUNCTION("GOOGLETRANSLATE(D241, ""en"", ""hi"")"),"डी) डमी रन")</f>
        <v>डी) डमी रन</v>
      </c>
    </row>
    <row r="242" ht="22.5" customHeight="1">
      <c r="A242" s="3">
        <v>241.0</v>
      </c>
      <c r="B242" s="4" t="s">
        <v>6374</v>
      </c>
      <c r="C242" s="4" t="s">
        <v>2379</v>
      </c>
      <c r="D242" s="4" t="s">
        <v>6375</v>
      </c>
      <c r="F242" s="5" t="str">
        <f>IFERROR(__xludf.DUMMYFUNCTION("GOOGLETRANSLATE(A242, ""en"", ""hi"")"),"241")</f>
        <v>241</v>
      </c>
      <c r="G242" s="5" t="str">
        <f>IFERROR(__xludf.DUMMYFUNCTION("GOOGLETRANSLATE(B242, ""en"", ""hi"")"),"धोप खेल में किस देश की टीम को 'ईगल्स' उपनाम दिया गया है?")</f>
        <v>धोप खेल में किस देश की टीम को 'ईगल्स' उपनाम दिया गया है?</v>
      </c>
      <c r="H242" s="5" t="str">
        <f>IFERROR(__xludf.DUMMYFUNCTION("GOOGLETRANSLATE(C242, ""en"", ""hi"")"),"A) भारत, B) पाकिस्तान, C) नेपाल, D) बांग्लादेश")</f>
        <v>A) भारत, B) पाकिस्तान, C) नेपाल, D) बांग्लादेश</v>
      </c>
      <c r="I242" s="5" t="str">
        <f>IFERROR(__xludf.DUMMYFUNCTION("GOOGLETRANSLATE(D242, ""en"", ""hi"")"),"D) बांग्लादेश")</f>
        <v>D) बांग्लादेश</v>
      </c>
    </row>
    <row r="243" ht="22.5" customHeight="1">
      <c r="A243" s="3">
        <v>242.0</v>
      </c>
      <c r="B243" s="4" t="s">
        <v>6376</v>
      </c>
      <c r="C243" s="4" t="s">
        <v>6377</v>
      </c>
      <c r="D243" s="4" t="s">
        <v>6335</v>
      </c>
      <c r="F243" s="5" t="str">
        <f>IFERROR(__xludf.DUMMYFUNCTION("GOOGLETRANSLATE(A243, ""en"", ""hi"")"),"242")</f>
        <v>242</v>
      </c>
      <c r="G243" s="5" t="str">
        <f>IFERROR(__xludf.DUMMYFUNCTION("GOOGLETRANSLATE(B243, ""en"", ""hi"")"),"2019 धोप खेल विश्व कप में किस खिलाड़ी ने सर्वश्रेष्ठ डिफेंडर का पुरस्कार जीता?")</f>
        <v>2019 धोप खेल विश्व कप में किस खिलाड़ी ने सर्वश्रेष्ठ डिफेंडर का पुरस्कार जीता?</v>
      </c>
      <c r="H243" s="5" t="str">
        <f>IFERROR(__xludf.DUMMYFUNCTION("GOOGLETRANSLATE(C243, ""en"", ""hi"")"),"A) मोहित शर्मा, B) रवि पटेल, C) अनिल यादव, D) सुनील कुमार")</f>
        <v>A) मोहित शर्मा, B) रवि पटेल, C) अनिल यादव, D) सुनील कुमार</v>
      </c>
      <c r="I243" s="5" t="str">
        <f>IFERROR(__xludf.DUMMYFUNCTION("GOOGLETRANSLATE(D243, ""en"", ""hi"")"),"C) अनिल यादव")</f>
        <v>C) अनिल यादव</v>
      </c>
    </row>
    <row r="244" ht="22.5" customHeight="1">
      <c r="A244" s="3">
        <v>243.0</v>
      </c>
      <c r="B244" s="4" t="s">
        <v>6378</v>
      </c>
      <c r="C244" s="4" t="s">
        <v>6379</v>
      </c>
      <c r="D244" s="4" t="s">
        <v>4112</v>
      </c>
      <c r="F244" s="5" t="str">
        <f>IFERROR(__xludf.DUMMYFUNCTION("GOOGLETRANSLATE(A244, ""en"", ""hi"")"),"243")</f>
        <v>243</v>
      </c>
      <c r="G244" s="5" t="str">
        <f>IFERROR(__xludf.DUMMYFUNCTION("GOOGLETRANSLATE(B244, ""en"", ""hi"")"),"किस भारतीय राज्य में सबसे अधिक धोप खेल क्लब हैं?")</f>
        <v>किस भारतीय राज्य में सबसे अधिक धोप खेल क्लब हैं?</v>
      </c>
      <c r="H244" s="5" t="str">
        <f>IFERROR(__xludf.DUMMYFUNCTION("GOOGLETRANSLATE(C244, ""en"", ""hi"")"),"A) गुजरात, B) राजस्थान, C) पंजाब, D) हरियाणा")</f>
        <v>A) गुजरात, B) राजस्थान, C) पंजाब, D) हरियाणा</v>
      </c>
      <c r="I244" s="5" t="str">
        <f>IFERROR(__xludf.DUMMYFUNCTION("GOOGLETRANSLATE(D244, ""en"", ""hi"")"),"बी) राजस्थान")</f>
        <v>बी) राजस्थान</v>
      </c>
    </row>
    <row r="245" ht="22.5" customHeight="1">
      <c r="A245" s="3">
        <v>244.0</v>
      </c>
      <c r="B245" s="4" t="s">
        <v>6380</v>
      </c>
      <c r="C245" s="4" t="s">
        <v>6381</v>
      </c>
      <c r="D245" s="4" t="s">
        <v>6382</v>
      </c>
      <c r="F245" s="5" t="str">
        <f>IFERROR(__xludf.DUMMYFUNCTION("GOOGLETRANSLATE(A245, ""en"", ""hi"")"),"244")</f>
        <v>244</v>
      </c>
      <c r="G245" s="5" t="str">
        <f>IFERROR(__xludf.DUMMYFUNCTION("GOOGLETRANSLATE(B245, ""en"", ""hi"")"),"धोप खेल में 'डबल टैकल' तकनीक का प्राथमिक उद्देश्य क्या है?")</f>
        <v>धोप खेल में 'डबल टैकल' तकनीक का प्राथमिक उद्देश्य क्या है?</v>
      </c>
      <c r="H245" s="5" t="str">
        <f>IFERROR(__xludf.DUMMYFUNCTION("GOOGLETRANSLATE(C245, ""en"", ""hi"")"),"A) दो खिलाड़ियों को एक साथ टैग करना, B) प्रतिद्वंद्वी का ध्यान भटकाना, C) टैग से बचना, D) रेफरी को भ्रमित करना")</f>
        <v>A) दो खिलाड़ियों को एक साथ टैग करना, B) प्रतिद्वंद्वी का ध्यान भटकाना, C) टैग से बचना, D) रेफरी को भ्रमित करना</v>
      </c>
      <c r="I245" s="5" t="str">
        <f>IFERROR(__xludf.DUMMYFUNCTION("GOOGLETRANSLATE(D245, ""en"", ""hi"")"),"A) दो खिलाड़ियों को एक साथ टैग करना")</f>
        <v>A) दो खिलाड़ियों को एक साथ टैग करना</v>
      </c>
    </row>
    <row r="246" ht="22.5" customHeight="1">
      <c r="A246" s="3">
        <v>245.0</v>
      </c>
      <c r="B246" s="4" t="s">
        <v>6383</v>
      </c>
      <c r="C246" s="4" t="s">
        <v>6384</v>
      </c>
      <c r="D246" s="4" t="s">
        <v>6362</v>
      </c>
      <c r="F246" s="5" t="str">
        <f>IFERROR(__xludf.DUMMYFUNCTION("GOOGLETRANSLATE(A246, ""en"", ""hi"")"),"245")</f>
        <v>245</v>
      </c>
      <c r="G246" s="5" t="str">
        <f>IFERROR(__xludf.DUMMYFUNCTION("GOOGLETRANSLATE(B246, ""en"", ""hi"")"),"कौन सा धोप खेल खिलाड़ी मैदान पर अपनी चपलता और गति के लिए प्रसिद्ध है?")</f>
        <v>कौन सा धोप खेल खिलाड़ी मैदान पर अपनी चपलता और गति के लिए प्रसिद्ध है?</v>
      </c>
      <c r="H246" s="5" t="str">
        <f>IFERROR(__xludf.DUMMYFUNCTION("GOOGLETRANSLATE(C246, ""en"", ""hi"")"),"A) अनिल कुमार, B) रवि पटेल, C) मोहन शर्मा, D) सुनील यादव")</f>
        <v>A) अनिल कुमार, B) रवि पटेल, C) मोहन शर्मा, D) सुनील यादव</v>
      </c>
      <c r="I246" s="5" t="str">
        <f>IFERROR(__xludf.DUMMYFUNCTION("GOOGLETRANSLATE(D246, ""en"", ""hi"")"),"D) सुनील यादव")</f>
        <v>D) सुनील यादव</v>
      </c>
    </row>
    <row r="247" ht="22.5" customHeight="1">
      <c r="A247" s="3">
        <v>246.0</v>
      </c>
      <c r="B247" s="4" t="s">
        <v>6385</v>
      </c>
      <c r="C247" s="4" t="s">
        <v>6386</v>
      </c>
      <c r="D247" s="4" t="s">
        <v>6016</v>
      </c>
      <c r="F247" s="5" t="str">
        <f>IFERROR(__xludf.DUMMYFUNCTION("GOOGLETRANSLATE(A247, ""en"", ""hi"")"),"246")</f>
        <v>246</v>
      </c>
      <c r="G247" s="5" t="str">
        <f>IFERROR(__xludf.DUMMYFUNCTION("GOOGLETRANSLATE(B247, ""en"", ""hi"")"),"भारतीय धोप खेल राष्ट्रीय टीम के वर्तमान कोच कौन हैं?")</f>
        <v>भारतीय धोप खेल राष्ट्रीय टीम के वर्तमान कोच कौन हैं?</v>
      </c>
      <c r="H247" s="5" t="str">
        <f>IFERROR(__xludf.DUMMYFUNCTION("GOOGLETRANSLATE(C247, ""en"", ""hi"")"),"A) राजेश यादव, B) मोहन कुमार, C) रवि शर्मा, D) अनिल पटेल")</f>
        <v>A) राजेश यादव, B) मोहन कुमार, C) रवि शर्मा, D) अनिल पटेल</v>
      </c>
      <c r="I247" s="5" t="str">
        <f>IFERROR(__xludf.DUMMYFUNCTION("GOOGLETRANSLATE(D247, ""en"", ""hi"")"),"A) राजेश यादव")</f>
        <v>A) राजेश यादव</v>
      </c>
    </row>
    <row r="248" ht="22.5" customHeight="1">
      <c r="A248" s="3">
        <v>247.0</v>
      </c>
      <c r="B248" s="4" t="s">
        <v>6387</v>
      </c>
      <c r="C248" s="4" t="s">
        <v>6388</v>
      </c>
      <c r="D248" s="4" t="s">
        <v>6389</v>
      </c>
      <c r="F248" s="5" t="str">
        <f>IFERROR(__xludf.DUMMYFUNCTION("GOOGLETRANSLATE(A248, ""en"", ""hi"")"),"247")</f>
        <v>247</v>
      </c>
      <c r="G248" s="5" t="str">
        <f>IFERROR(__xludf.DUMMYFUNCTION("GOOGLETRANSLATE(B248, ""en"", ""hi"")"),"कौन सा धोप खेल टूर्नामेंट अपनी उच्च स्तरीय प्रतिस्पर्धा के लिए जाना जाता है?")</f>
        <v>कौन सा धोप खेल टूर्नामेंट अपनी उच्च स्तरीय प्रतिस्पर्धा के लिए जाना जाता है?</v>
      </c>
      <c r="H248" s="5" t="str">
        <f>IFERROR(__xludf.DUMMYFUNCTION("GOOGLETRANSLATE(C248, ""en"", ""hi"")"),"A) राष्ट्रीय चैम्पियनशिप, B) एशियाई चैम्पियनशिप, C) विश्व कप, D) राष्ट्रमंडल खेल")</f>
        <v>A) राष्ट्रीय चैम्पियनशिप, B) एशियाई चैम्पियनशिप, C) विश्व कप, D) राष्ट्रमंडल खेल</v>
      </c>
      <c r="I248" s="5" t="str">
        <f>IFERROR(__xludf.DUMMYFUNCTION("GOOGLETRANSLATE(D248, ""en"", ""hi"")"),"सी) विश्व कप")</f>
        <v>सी) विश्व कप</v>
      </c>
    </row>
    <row r="249" ht="22.5" customHeight="1">
      <c r="A249" s="3">
        <v>248.0</v>
      </c>
      <c r="B249" s="4" t="s">
        <v>6390</v>
      </c>
      <c r="C249" s="4" t="s">
        <v>6391</v>
      </c>
      <c r="D249" s="4" t="s">
        <v>6092</v>
      </c>
      <c r="F249" s="5" t="str">
        <f>IFERROR(__xludf.DUMMYFUNCTION("GOOGLETRANSLATE(A249, ""en"", ""hi"")"),"248")</f>
        <v>248</v>
      </c>
      <c r="G249" s="5" t="str">
        <f>IFERROR(__xludf.DUMMYFUNCTION("GOOGLETRANSLATE(B249, ""en"", ""hi"")"),"धोप खेल में कौन सा खिलाड़ी अपनी रक्षात्मक क्षमता के लिए प्रसिद्ध है?")</f>
        <v>धोप खेल में कौन सा खिलाड़ी अपनी रक्षात्मक क्षमता के लिए प्रसिद्ध है?</v>
      </c>
      <c r="H249" s="5" t="str">
        <f>IFERROR(__xludf.DUMMYFUNCTION("GOOGLETRANSLATE(C249, ""en"", ""hi"")"),"A) रवि पटेल, B) मोहन कुमार, C) सुनील यादव, D) अनिल शर्मा")</f>
        <v>A) रवि पटेल, B) मोहन कुमार, C) सुनील यादव, D) अनिल शर्मा</v>
      </c>
      <c r="I249" s="5" t="str">
        <f>IFERROR(__xludf.DUMMYFUNCTION("GOOGLETRANSLATE(D249, ""en"", ""hi"")"),"D) अनिल शर्मा")</f>
        <v>D) अनिल शर्मा</v>
      </c>
    </row>
    <row r="250" ht="22.5" customHeight="1">
      <c r="A250" s="3">
        <v>249.0</v>
      </c>
      <c r="B250" s="4" t="s">
        <v>6264</v>
      </c>
      <c r="C250" s="4" t="s">
        <v>6265</v>
      </c>
      <c r="D250" s="4" t="s">
        <v>5815</v>
      </c>
      <c r="F250" s="5" t="str">
        <f>IFERROR(__xludf.DUMMYFUNCTION("GOOGLETRANSLATE(A250, ""en"", ""hi"")"),"249")</f>
        <v>249</v>
      </c>
      <c r="G250" s="5" t="str">
        <f>IFERROR(__xludf.DUMMYFUNCTION("GOOGLETRANSLATE(B250, ""en"", ""hi"")"),"कौन सा भारतीय राज्य अपने ऐतिहासिक धोप खेल टूर्नामेंट और वार्षिक प्रतियोगिताओं के लिए जाना जाता है?")</f>
        <v>कौन सा भारतीय राज्य अपने ऐतिहासिक धोप खेल टूर्नामेंट और वार्षिक प्रतियोगिताओं के लिए जाना जाता है?</v>
      </c>
      <c r="H250" s="5" t="str">
        <f>IFERROR(__xludf.DUMMYFUNCTION("GOOGLETRANSLATE(C250, ""en"", ""hi"")"),"A) हरियाणा, B) पंजाब, C) गुजरात, D) राजस्थान")</f>
        <v>A) हरियाणा, B) पंजाब, C) गुजरात, D) राजस्थान</v>
      </c>
      <c r="I250" s="5" t="str">
        <f>IFERROR(__xludf.DUMMYFUNCTION("GOOGLETRANSLATE(D250, ""en"", ""hi"")"),"D) राजस्थान")</f>
        <v>D) राजस्थान</v>
      </c>
    </row>
    <row r="251" ht="22.5" customHeight="1">
      <c r="A251" s="3">
        <v>250.0</v>
      </c>
      <c r="B251" s="4" t="s">
        <v>6392</v>
      </c>
      <c r="C251" s="4" t="s">
        <v>6262</v>
      </c>
      <c r="D251" s="4" t="s">
        <v>6263</v>
      </c>
      <c r="F251" s="5" t="str">
        <f>IFERROR(__xludf.DUMMYFUNCTION("GOOGLETRANSLATE(A251, ""en"", ""hi"")"),"250")</f>
        <v>250</v>
      </c>
      <c r="G251" s="5" t="str">
        <f>IFERROR(__xludf.DUMMYFUNCTION("GOOGLETRANSLATE(B251, ""en"", ""hi"")"),"धोप खेल में 'रिवर्स स्पिन' तकनीक के लिए कौन सा खिलाड़ी जाना जाता है?")</f>
        <v>धोप खेल में 'रिवर्स स्पिन' तकनीक के लिए कौन सा खिलाड़ी जाना जाता है?</v>
      </c>
      <c r="H251" s="5" t="str">
        <f>IFERROR(__xludf.DUMMYFUNCTION("GOOGLETRANSLATE(C251, ""en"", ""hi"")"),"ए) रवि कुमार, बी) अरविंद पटेल, सी) मोहन शर्मा, डी) राजेश यादव")</f>
        <v>ए) रवि कुमार, बी) अरविंद पटेल, सी) मोहन शर्मा, डी) राजेश यादव</v>
      </c>
      <c r="I251" s="5" t="str">
        <f>IFERROR(__xludf.DUMMYFUNCTION("GOOGLETRANSLATE(D251, ""en"", ""hi"")"),"D) राजेश यादव")</f>
        <v>D) राजेश यादव</v>
      </c>
    </row>
    <row r="252" ht="22.5" customHeight="1">
      <c r="A252" s="3">
        <v>251.0</v>
      </c>
      <c r="B252" s="4" t="s">
        <v>6393</v>
      </c>
      <c r="C252" s="4" t="s">
        <v>6394</v>
      </c>
      <c r="D252" s="4" t="s">
        <v>6395</v>
      </c>
      <c r="F252" s="5" t="str">
        <f>IFERROR(__xludf.DUMMYFUNCTION("GOOGLETRANSLATE(A252, ""en"", ""hi"")"),"251")</f>
        <v>251</v>
      </c>
      <c r="G252" s="5" t="str">
        <f>IFERROR(__xludf.DUMMYFUNCTION("GOOGLETRANSLATE(B252, ""en"", ""hi"")"),"कौन सा भारतीय राज्य 'मुक्ति खेल' के नाम से प्रसिद्ध पारंपरिक शैली धोप खेल के लिए प्रसिद्ध है?")</f>
        <v>कौन सा भारतीय राज्य 'मुक्ति खेल' के नाम से प्रसिद्ध पारंपरिक शैली धोप खेल के लिए प्रसिद्ध है?</v>
      </c>
      <c r="H252" s="5" t="str">
        <f>IFERROR(__xludf.DUMMYFUNCTION("GOOGLETRANSLATE(C252, ""en"", ""hi"")"),"ए) महाराष्ट्र, बी) केरल, सी) असम, डी) कर्नाटक")</f>
        <v>ए) महाराष्ट्र, बी) केरल, सी) असम, डी) कर्नाटक</v>
      </c>
      <c r="I252" s="5" t="str">
        <f>IFERROR(__xludf.DUMMYFUNCTION("GOOGLETRANSLATE(D252, ""en"", ""hi"")"),"C) असम")</f>
        <v>C) असम</v>
      </c>
    </row>
    <row r="253" ht="22.5" customHeight="1">
      <c r="A253" s="3">
        <v>252.0</v>
      </c>
      <c r="B253" s="4" t="s">
        <v>6396</v>
      </c>
      <c r="C253" s="4" t="s">
        <v>854</v>
      </c>
      <c r="D253" s="4" t="s">
        <v>6397</v>
      </c>
      <c r="F253" s="5" t="str">
        <f>IFERROR(__xludf.DUMMYFUNCTION("GOOGLETRANSLATE(A253, ""en"", ""hi"")"),"252")</f>
        <v>252</v>
      </c>
      <c r="G253" s="5" t="str">
        <f>IFERROR(__xludf.DUMMYFUNCTION("GOOGLETRANSLATE(B253, ""en"", ""hi"")"),"धोप खेल को भारत के राष्ट्रीय खेलों में किस वर्ष शामिल किया गया?")</f>
        <v>धोप खेल को भारत के राष्ट्रीय खेलों में किस वर्ष शामिल किया गया?</v>
      </c>
      <c r="H253" s="5" t="str">
        <f>IFERROR(__xludf.DUMMYFUNCTION("GOOGLETRANSLATE(C253, ""en"", ""hi"")"),"ए) 2015, बी) 2016, सी) 2017, डी) 2018")</f>
        <v>ए) 2015, बी) 2016, सी) 2017, डी) 2018</v>
      </c>
      <c r="I253" s="5" t="str">
        <f>IFERROR(__xludf.DUMMYFUNCTION("GOOGLETRANSLATE(D253, ""en"", ""hi"")"),"सी) 2017")</f>
        <v>सी) 2017</v>
      </c>
    </row>
    <row r="254" ht="22.5" customHeight="1">
      <c r="A254" s="3">
        <v>253.0</v>
      </c>
      <c r="B254" s="4" t="s">
        <v>6398</v>
      </c>
      <c r="C254" s="4" t="s">
        <v>6399</v>
      </c>
      <c r="D254" s="4" t="s">
        <v>6323</v>
      </c>
      <c r="F254" s="5" t="str">
        <f>IFERROR(__xludf.DUMMYFUNCTION("GOOGLETRANSLATE(A254, ""en"", ""hi"")"),"253")</f>
        <v>253</v>
      </c>
      <c r="G254" s="5" t="str">
        <f>IFERROR(__xludf.DUMMYFUNCTION("GOOGLETRANSLATE(B254, ""en"", ""hi"")"),"धोप खेल में 'साइलेंट टैग' तकनीक के लिए कौन सा खिलाड़ी प्रसिद्ध है?")</f>
        <v>धोप खेल में 'साइलेंट टैग' तकनीक के लिए कौन सा खिलाड़ी प्रसिद्ध है?</v>
      </c>
      <c r="H254" s="5" t="str">
        <f>IFERROR(__xludf.DUMMYFUNCTION("GOOGLETRANSLATE(C254, ""en"", ""hi"")"),"A) मोहन शर्मा, B) अनिल यादव, C) रवि पटेल, D) सुनील कुमार")</f>
        <v>A) मोहन शर्मा, B) अनिल यादव, C) रवि पटेल, D) सुनील कुमार</v>
      </c>
      <c r="I254" s="5" t="str">
        <f>IFERROR(__xludf.DUMMYFUNCTION("GOOGLETRANSLATE(D254, ""en"", ""hi"")"),"बी) अनिल यादव")</f>
        <v>बी) अनिल यादव</v>
      </c>
    </row>
    <row r="255" ht="22.5" customHeight="1">
      <c r="A255" s="3">
        <v>254.0</v>
      </c>
      <c r="B255" s="4" t="s">
        <v>6400</v>
      </c>
      <c r="C255" s="4" t="s">
        <v>6401</v>
      </c>
      <c r="D255" s="4" t="s">
        <v>5896</v>
      </c>
      <c r="F255" s="5" t="str">
        <f>IFERROR(__xludf.DUMMYFUNCTION("GOOGLETRANSLATE(A255, ""en"", ""hi"")"),"254")</f>
        <v>254</v>
      </c>
      <c r="G255" s="5" t="str">
        <f>IFERROR(__xludf.DUMMYFUNCTION("GOOGLETRANSLATE(B255, ""en"", ""hi"")"),"किस भारतीय शहर ने 2021 धोप खेल राष्ट्रीय चैम्पियनशिप की मेजबानी की?")</f>
        <v>किस भारतीय शहर ने 2021 धोप खेल राष्ट्रीय चैम्पियनशिप की मेजबानी की?</v>
      </c>
      <c r="H255" s="5" t="str">
        <f>IFERROR(__xludf.DUMMYFUNCTION("GOOGLETRANSLATE(C255, ""en"", ""hi"")"),"ए) दिल्ली, बी) कोलकाता, सी) जयपुर, डी) मुंबई")</f>
        <v>ए) दिल्ली, बी) कोलकाता, सी) जयपुर, डी) मुंबई</v>
      </c>
      <c r="I255" s="5" t="str">
        <f>IFERROR(__xludf.DUMMYFUNCTION("GOOGLETRANSLATE(D255, ""en"", ""hi"")"),"C) जयपुर")</f>
        <v>C) जयपुर</v>
      </c>
    </row>
    <row r="256" ht="22.5" customHeight="1">
      <c r="A256" s="3">
        <v>255.0</v>
      </c>
      <c r="B256" s="4" t="s">
        <v>6402</v>
      </c>
      <c r="C256" s="4" t="s">
        <v>6403</v>
      </c>
      <c r="D256" s="4" t="s">
        <v>6404</v>
      </c>
      <c r="F256" s="5" t="str">
        <f>IFERROR(__xludf.DUMMYFUNCTION("GOOGLETRANSLATE(A256, ""en"", ""hi"")"),"255")</f>
        <v>255</v>
      </c>
      <c r="G256" s="5" t="str">
        <f>IFERROR(__xludf.DUMMYFUNCTION("GOOGLETRANSLATE(B256, ""en"", ""hi"")"),"धोप खेल की किस चाल में टैग से बचने के लिए अचानक गोता लगाना शामिल है?")</f>
        <v>धोप खेल की किस चाल में टैग से बचने के लिए अचानक गोता लगाना शामिल है?</v>
      </c>
      <c r="H256" s="5" t="str">
        <f>IFERROR(__xludf.DUMMYFUNCTION("GOOGLETRANSLATE(C256, ""en"", ""hi"")"),"ए) लो स्वीप, बी) हाई जंप, सी) डक एंड रोल, डी) स्लाइड एस्केप")</f>
        <v>ए) लो स्वीप, बी) हाई जंप, सी) डक एंड रोल, डी) स्लाइड एस्केप</v>
      </c>
      <c r="I256" s="5" t="str">
        <f>IFERROR(__xludf.DUMMYFUNCTION("GOOGLETRANSLATE(D256, ""en"", ""hi"")"),"डी) स्लाइड एस्केप")</f>
        <v>डी) स्लाइड एस्केप</v>
      </c>
    </row>
    <row r="257" ht="22.5" customHeight="1">
      <c r="A257" s="3">
        <v>256.0</v>
      </c>
      <c r="B257" s="4" t="s">
        <v>6405</v>
      </c>
      <c r="C257" s="4" t="s">
        <v>6406</v>
      </c>
      <c r="D257" s="4" t="s">
        <v>6196</v>
      </c>
      <c r="F257" s="5" t="str">
        <f>IFERROR(__xludf.DUMMYFUNCTION("GOOGLETRANSLATE(A257, ""en"", ""hi"")"),"256")</f>
        <v>256</v>
      </c>
      <c r="G257" s="5" t="str">
        <f>IFERROR(__xludf.DUMMYFUNCTION("GOOGLETRANSLATE(B257, ""en"", ""hi"")"),"किस खिलाड़ी ने सबसे अधिक अंक अर्जित कर 2020 धोप खेल विश्व कप गोल्डन बूट जीता?")</f>
        <v>किस खिलाड़ी ने सबसे अधिक अंक अर्जित कर 2020 धोप खेल विश्व कप गोल्डन बूट जीता?</v>
      </c>
      <c r="H257" s="5" t="str">
        <f>IFERROR(__xludf.DUMMYFUNCTION("GOOGLETRANSLATE(C257, ""en"", ""hi"")"),"A) रवि कुमार, B) मोहित शर्मा, C) अनिल पटेल, D) सुनील यादव")</f>
        <v>A) रवि कुमार, B) मोहित शर्मा, C) अनिल पटेल, D) सुनील यादव</v>
      </c>
      <c r="I257" s="5" t="str">
        <f>IFERROR(__xludf.DUMMYFUNCTION("GOOGLETRANSLATE(D257, ""en"", ""hi"")"),"B) मोहित शर्मा")</f>
        <v>B) मोहित शर्मा</v>
      </c>
    </row>
    <row r="258" ht="22.5" customHeight="1">
      <c r="A258" s="3">
        <v>257.0</v>
      </c>
      <c r="B258" s="4" t="s">
        <v>6407</v>
      </c>
      <c r="C258" s="4" t="s">
        <v>27</v>
      </c>
      <c r="D258" s="4" t="s">
        <v>28</v>
      </c>
      <c r="F258" s="5" t="str">
        <f>IFERROR(__xludf.DUMMYFUNCTION("GOOGLETRANSLATE(A258, ""en"", ""hi"")"),"257")</f>
        <v>257</v>
      </c>
      <c r="G258" s="5" t="str">
        <f>IFERROR(__xludf.DUMMYFUNCTION("GOOGLETRANSLATE(B258, ""en"", ""hi"")"),"अंतर्राष्ट्रीय धोप खेल प्रतियोगिताओं में भारत का मुख्य प्रतिद्वंद्वी देश कौन सा है?")</f>
        <v>अंतर्राष्ट्रीय धोप खेल प्रतियोगिताओं में भारत का मुख्य प्रतिद्वंद्वी देश कौन सा है?</v>
      </c>
      <c r="H258" s="5" t="str">
        <f>IFERROR(__xludf.DUMMYFUNCTION("GOOGLETRANSLATE(C258, ""en"", ""hi"")"),"A) नेपाल, B) पाकिस्तान, C) बांग्लादेश, D) श्रीलंका")</f>
        <v>A) नेपाल, B) पाकिस्तान, C) बांग्लादेश, D) श्रीलंका</v>
      </c>
      <c r="I258" s="5" t="str">
        <f>IFERROR(__xludf.DUMMYFUNCTION("GOOGLETRANSLATE(D258, ""en"", ""hi"")"),"बी) पाकिस्तान")</f>
        <v>बी) पाकिस्तान</v>
      </c>
    </row>
    <row r="259" ht="22.5" customHeight="1">
      <c r="A259" s="3">
        <v>258.0</v>
      </c>
      <c r="B259" s="4" t="s">
        <v>6408</v>
      </c>
      <c r="C259" s="4" t="s">
        <v>6409</v>
      </c>
      <c r="D259" s="4" t="s">
        <v>6410</v>
      </c>
      <c r="F259" s="5" t="str">
        <f>IFERROR(__xludf.DUMMYFUNCTION("GOOGLETRANSLATE(A259, ""en"", ""hi"")"),"258")</f>
        <v>258</v>
      </c>
      <c r="G259" s="5" t="str">
        <f>IFERROR(__xludf.DUMMYFUNCTION("GOOGLETRANSLATE(B259, ""en"", ""hi"")"),"कौन सी धोप खेल टीम अपने भयंकर खेल के कारण 'टाइगर्स' के नाम से जानी जाती है?")</f>
        <v>कौन सी धोप खेल टीम अपने भयंकर खेल के कारण 'टाइगर्स' के नाम से जानी जाती है?</v>
      </c>
      <c r="H259" s="5" t="str">
        <f>IFERROR(__xludf.DUMMYFUNCTION("GOOGLETRANSLATE(C259, ""en"", ""hi"")"),"A) राजस्थान रॉयल्स, B) दिल्ली वॉरियर्स, C) पंजाब पैंथर्स, D) मुंबई मावेरिक्स")</f>
        <v>A) राजस्थान रॉयल्स, B) दिल्ली वॉरियर्स, C) पंजाब पैंथर्स, D) मुंबई मावेरिक्स</v>
      </c>
      <c r="I259" s="5" t="str">
        <f>IFERROR(__xludf.DUMMYFUNCTION("GOOGLETRANSLATE(D259, ""en"", ""hi"")"),"C) पंजाब पैंथर्स")</f>
        <v>C) पंजाब पैंथर्स</v>
      </c>
    </row>
    <row r="260" ht="22.5" customHeight="1">
      <c r="A260" s="3">
        <v>259.0</v>
      </c>
      <c r="B260" s="4" t="s">
        <v>6411</v>
      </c>
      <c r="C260" s="4" t="s">
        <v>6412</v>
      </c>
      <c r="D260" s="4" t="s">
        <v>6413</v>
      </c>
      <c r="F260" s="5" t="str">
        <f>IFERROR(__xludf.DUMMYFUNCTION("GOOGLETRANSLATE(A260, ""en"", ""hi"")"),"259")</f>
        <v>259</v>
      </c>
      <c r="G260" s="5" t="str">
        <f>IFERROR(__xludf.DUMMYFUNCTION("GOOGLETRANSLATE(B260, ""en"", ""hi"")"),"धोप खेल में 'एयरबोर्न टैग' के लिए कौन सा खिलाड़ी प्रसिद्ध है?")</f>
        <v>धोप खेल में 'एयरबोर्न टैग' के लिए कौन सा खिलाड़ी प्रसिद्ध है?</v>
      </c>
      <c r="H260" s="5" t="str">
        <f>IFERROR(__xludf.DUMMYFUNCTION("GOOGLETRANSLATE(C260, ""en"", ""hi"")"),"A) अनिल यादव, B) मोहन शर्मा, C) रवि पटेल, D) सुनील कुमार")</f>
        <v>A) अनिल यादव, B) मोहन शर्मा, C) रवि पटेल, D) सुनील कुमार</v>
      </c>
      <c r="I260" s="5" t="str">
        <f>IFERROR(__xludf.DUMMYFUNCTION("GOOGLETRANSLATE(D260, ""en"", ""hi"")"),"D) सुनील कुमार")</f>
        <v>D) सुनील कुमार</v>
      </c>
    </row>
    <row r="261" ht="22.5" customHeight="1">
      <c r="A261" s="3">
        <v>260.0</v>
      </c>
      <c r="B261" s="4" t="s">
        <v>6414</v>
      </c>
      <c r="C261" s="4" t="s">
        <v>6415</v>
      </c>
      <c r="D261" s="4" t="s">
        <v>3362</v>
      </c>
      <c r="F261" s="5" t="str">
        <f>IFERROR(__xludf.DUMMYFUNCTION("GOOGLETRANSLATE(A261, ""en"", ""hi"")"),"260")</f>
        <v>260</v>
      </c>
      <c r="G261" s="5" t="str">
        <f>IFERROR(__xludf.DUMMYFUNCTION("GOOGLETRANSLATE(B261, ""en"", ""hi"")"),"2019 एशियाई चैम्पियनशिप किस धोप खेल टीम ने जीती?")</f>
        <v>2019 एशियाई चैम्पियनशिप किस धोप खेल टीम ने जीती?</v>
      </c>
      <c r="H261" s="5" t="str">
        <f>IFERROR(__xludf.DUMMYFUNCTION("GOOGLETRANSLATE(C261, ""en"", ""hi"")"),"A) नेपाल, B) पाकिस्तान, C) भारत, D) बांग्लादेश")</f>
        <v>A) नेपाल, B) पाकिस्तान, C) भारत, D) बांग्लादेश</v>
      </c>
      <c r="I261" s="5" t="str">
        <f>IFERROR(__xludf.DUMMYFUNCTION("GOOGLETRANSLATE(D261, ""en"", ""hi"")"),"C) भारत")</f>
        <v>C) भारत</v>
      </c>
    </row>
    <row r="262" ht="22.5" customHeight="1">
      <c r="A262" s="3">
        <v>261.0</v>
      </c>
      <c r="B262" s="4" t="s">
        <v>6416</v>
      </c>
      <c r="C262" s="4" t="s">
        <v>6417</v>
      </c>
      <c r="D262" s="4" t="s">
        <v>6151</v>
      </c>
      <c r="F262" s="5" t="str">
        <f>IFERROR(__xludf.DUMMYFUNCTION("GOOGLETRANSLATE(A262, ""en"", ""hi"")"),"261")</f>
        <v>261</v>
      </c>
      <c r="G262" s="5" t="str">
        <f>IFERROR(__xludf.DUMMYFUNCTION("GOOGLETRANSLATE(B262, ""en"", ""hi"")"),"धोप खेल में कौन सा खिलाड़ी अपने असाधारण टैकलिंग कौशल के लिए जाना जाता है?")</f>
        <v>धोप खेल में कौन सा खिलाड़ी अपने असाधारण टैकलिंग कौशल के लिए जाना जाता है?</v>
      </c>
      <c r="H262" s="5" t="str">
        <f>IFERROR(__xludf.DUMMYFUNCTION("GOOGLETRANSLATE(C262, ""en"", ""hi"")"),"A) मोहन कुमार, B) अनिल शर्मा, C) रवि पटेल, D) सुनील यादव")</f>
        <v>A) मोहन कुमार, B) अनिल शर्मा, C) रवि पटेल, D) सुनील यादव</v>
      </c>
      <c r="I262" s="5" t="str">
        <f>IFERROR(__xludf.DUMMYFUNCTION("GOOGLETRANSLATE(D262, ""en"", ""hi"")"),"A) मोहन कुमार")</f>
        <v>A) मोहन कुमार</v>
      </c>
    </row>
    <row r="263" ht="22.5" customHeight="1">
      <c r="A263" s="3">
        <v>262.0</v>
      </c>
      <c r="B263" s="4" t="s">
        <v>6418</v>
      </c>
      <c r="C263" s="4" t="s">
        <v>6419</v>
      </c>
      <c r="D263" s="4" t="s">
        <v>5815</v>
      </c>
      <c r="F263" s="5" t="str">
        <f>IFERROR(__xludf.DUMMYFUNCTION("GOOGLETRANSLATE(A263, ""en"", ""hi"")"),"262")</f>
        <v>262</v>
      </c>
      <c r="G263" s="5" t="str">
        <f>IFERROR(__xludf.DUMMYFUNCTION("GOOGLETRANSLATE(B263, ""en"", ""hi"")"),"किस भारतीय राज्य में धोप खेल का समृद्ध इतिहास है और नियमित रूप से राज्य स्तरीय टूर्नामेंट आयोजित करता है?")</f>
        <v>किस भारतीय राज्य में धोप खेल का समृद्ध इतिहास है और नियमित रूप से राज्य स्तरीय टूर्नामेंट आयोजित करता है?</v>
      </c>
      <c r="H263" s="5" t="str">
        <f>IFERROR(__xludf.DUMMYFUNCTION("GOOGLETRANSLATE(C263, ""en"", ""hi"")"),"A) गुजरात, B) पंजाब, C) हरियाणा, D) राजस्थान")</f>
        <v>A) गुजरात, B) पंजाब, C) हरियाणा, D) राजस्थान</v>
      </c>
      <c r="I263" s="5" t="str">
        <f>IFERROR(__xludf.DUMMYFUNCTION("GOOGLETRANSLATE(D263, ""en"", ""hi"")"),"D) राजस्थान")</f>
        <v>D) राजस्थान</v>
      </c>
    </row>
    <row r="264" ht="22.5" customHeight="1">
      <c r="A264" s="3">
        <v>263.0</v>
      </c>
      <c r="B264" s="4" t="s">
        <v>6420</v>
      </c>
      <c r="C264" s="4" t="s">
        <v>6421</v>
      </c>
      <c r="D264" s="4" t="s">
        <v>6422</v>
      </c>
      <c r="F264" s="5" t="str">
        <f>IFERROR(__xludf.DUMMYFUNCTION("GOOGLETRANSLATE(A264, ""en"", ""hi"")"),"263")</f>
        <v>263</v>
      </c>
      <c r="G264" s="5" t="str">
        <f>IFERROR(__xludf.DUMMYFUNCTION("GOOGLETRANSLATE(B264, ""en"", ""hi"")"),"धोप खेल विश्व कप जीतने वाला सबसे युवा खिलाड़ी कौन है?")</f>
        <v>धोप खेल विश्व कप जीतने वाला सबसे युवा खिलाड़ी कौन है?</v>
      </c>
      <c r="H264" s="5" t="str">
        <f>IFERROR(__xludf.DUMMYFUNCTION("GOOGLETRANSLATE(C264, ""en"", ""hi"")"),"A) मोहन शर्मा, B) सुनील कुमार, C) रवि पटेल, D) अनिल यादव")</f>
        <v>A) मोहन शर्मा, B) सुनील कुमार, C) रवि पटेल, D) अनिल यादव</v>
      </c>
      <c r="I264" s="5" t="str">
        <f>IFERROR(__xludf.DUMMYFUNCTION("GOOGLETRANSLATE(D264, ""en"", ""hi"")"),"बी) सुनील कुमार")</f>
        <v>बी) सुनील कुमार</v>
      </c>
    </row>
    <row r="265" ht="22.5" customHeight="1">
      <c r="A265" s="3">
        <v>264.0</v>
      </c>
      <c r="B265" s="4" t="s">
        <v>6423</v>
      </c>
      <c r="C265" s="4" t="s">
        <v>6424</v>
      </c>
      <c r="D265" s="4" t="s">
        <v>6425</v>
      </c>
      <c r="F265" s="5" t="str">
        <f>IFERROR(__xludf.DUMMYFUNCTION("GOOGLETRANSLATE(A265, ""en"", ""hi"")"),"264")</f>
        <v>264</v>
      </c>
      <c r="G265" s="5" t="str">
        <f>IFERROR(__xludf.DUMMYFUNCTION("GOOGLETRANSLATE(B265, ""en"", ""hi"")"),"कौन सा धोप खेल टूर्नामेंट अपने अनोखे राउंड-रॉबिन प्रारूप के लिए जाना जाता है?")</f>
        <v>कौन सा धोप खेल टूर्नामेंट अपने अनोखे राउंड-रॉबिन प्रारूप के लिए जाना जाता है?</v>
      </c>
      <c r="H265" s="5" t="str">
        <f>IFERROR(__xludf.DUMMYFUNCTION("GOOGLETRANSLATE(C265, ""en"", ""hi"")"),"A) राष्ट्रीय चैम्पियनशिप, B) एशियाई खेल, C) राष्ट्रमंडल कप, D) विश्व कप")</f>
        <v>A) राष्ट्रीय चैम्पियनशिप, B) एशियाई खेल, C) राष्ट्रमंडल कप, D) विश्व कप</v>
      </c>
      <c r="I265" s="5" t="str">
        <f>IFERROR(__xludf.DUMMYFUNCTION("GOOGLETRANSLATE(D265, ""en"", ""hi"")"),"ए) राष्ट्रीय चैम्पियनशिप")</f>
        <v>ए) राष्ट्रीय चैम्पियनशिप</v>
      </c>
    </row>
    <row r="266" ht="22.5" customHeight="1">
      <c r="A266" s="3">
        <v>265.0</v>
      </c>
      <c r="B266" s="4" t="s">
        <v>6426</v>
      </c>
      <c r="C266" s="4" t="s">
        <v>6427</v>
      </c>
      <c r="D266" s="4" t="s">
        <v>6428</v>
      </c>
      <c r="F266" s="5" t="str">
        <f>IFERROR(__xludf.DUMMYFUNCTION("GOOGLETRANSLATE(A266, ""en"", ""hi"")"),"265")</f>
        <v>265</v>
      </c>
      <c r="G266" s="5" t="str">
        <f>IFERROR(__xludf.DUMMYFUNCTION("GOOGLETRANSLATE(B266, ""en"", ""hi"")"),"धोप खेल के किस खिलाड़ी ने एक मैच में सबसे अधिक टैग प्राप्त किये हैं?")</f>
        <v>धोप खेल के किस खिलाड़ी ने एक मैच में सबसे अधिक टैग प्राप्त किये हैं?</v>
      </c>
      <c r="H266" s="5" t="str">
        <f>IFERROR(__xludf.DUMMYFUNCTION("GOOGLETRANSLATE(C266, ""en"", ""hi"")"),"A) राजेश कुमार, B) अनिल शर्मा, C) मोहन यादव, D) सुनील पटेल")</f>
        <v>A) राजेश कुमार, B) अनिल शर्मा, C) मोहन यादव, D) सुनील पटेल</v>
      </c>
      <c r="I266" s="5" t="str">
        <f>IFERROR(__xludf.DUMMYFUNCTION("GOOGLETRANSLATE(D266, ""en"", ""hi"")"),"D) सुनील पटेल")</f>
        <v>D) सुनील पटेल</v>
      </c>
    </row>
    <row r="267" ht="22.5" customHeight="1">
      <c r="A267" s="3">
        <v>266.0</v>
      </c>
      <c r="B267" s="4" t="s">
        <v>6429</v>
      </c>
      <c r="C267" s="4" t="s">
        <v>5906</v>
      </c>
      <c r="D267" s="4" t="s">
        <v>5907</v>
      </c>
      <c r="F267" s="5" t="str">
        <f>IFERROR(__xludf.DUMMYFUNCTION("GOOGLETRANSLATE(A267, ""en"", ""hi"")"),"266")</f>
        <v>266</v>
      </c>
      <c r="G267" s="5" t="str">
        <f>IFERROR(__xludf.DUMMYFUNCTION("GOOGLETRANSLATE(B267, ""en"", ""hi"")"),"पहला अंतर्राष्ट्रीय धोप खेल मैच किस वर्ष हुआ था?")</f>
        <v>पहला अंतर्राष्ट्रीय धोप खेल मैच किस वर्ष हुआ था?</v>
      </c>
      <c r="H267" s="5" t="str">
        <f>IFERROR(__xludf.DUMMYFUNCTION("GOOGLETRANSLATE(C267, ""en"", ""hi"")"),"ए) 2010, बी) 2012, सी) 2014, डी) 2016")</f>
        <v>ए) 2010, बी) 2012, सी) 2014, डी) 2016</v>
      </c>
      <c r="I267" s="5" t="str">
        <f>IFERROR(__xludf.DUMMYFUNCTION("GOOGLETRANSLATE(D267, ""en"", ""hi"")"),"बी) 2012")</f>
        <v>बी) 2012</v>
      </c>
    </row>
    <row r="268" ht="22.5" customHeight="1">
      <c r="A268" s="3">
        <v>267.0</v>
      </c>
      <c r="B268" s="4" t="s">
        <v>6430</v>
      </c>
      <c r="C268" s="4" t="s">
        <v>6431</v>
      </c>
      <c r="D268" s="4" t="s">
        <v>6432</v>
      </c>
      <c r="F268" s="5" t="str">
        <f>IFERROR(__xludf.DUMMYFUNCTION("GOOGLETRANSLATE(A268, ""en"", ""hi"")"),"267")</f>
        <v>267</v>
      </c>
      <c r="G268" s="5" t="str">
        <f>IFERROR(__xludf.DUMMYFUNCTION("GOOGLETRANSLATE(B268, ""en"", ""hi"")"),"धोप खेल में 'शैडो डिफेंस' तकनीक के लिए कौन सा खिलाड़ी जाना जाता है?")</f>
        <v>धोप खेल में 'शैडो डिफेंस' तकनीक के लिए कौन सा खिलाड़ी जाना जाता है?</v>
      </c>
      <c r="H268" s="5" t="str">
        <f>IFERROR(__xludf.DUMMYFUNCTION("GOOGLETRANSLATE(C268, ""en"", ""hi"")"),"A) रवि शर्मा, B) मोहन पटेल, C) सुनील कुमार, D) अनिल यादव")</f>
        <v>A) रवि शर्मा, B) मोहन पटेल, C) सुनील कुमार, D) अनिल यादव</v>
      </c>
      <c r="I268" s="5" t="str">
        <f>IFERROR(__xludf.DUMMYFUNCTION("GOOGLETRANSLATE(D268, ""en"", ""hi"")"),"A) रवि शर्मा")</f>
        <v>A) रवि शर्मा</v>
      </c>
    </row>
    <row r="269" ht="22.5" customHeight="1">
      <c r="A269" s="3">
        <v>268.0</v>
      </c>
      <c r="B269" s="4" t="s">
        <v>6433</v>
      </c>
      <c r="C269" s="4" t="s">
        <v>6434</v>
      </c>
      <c r="D269" s="4" t="s">
        <v>37</v>
      </c>
      <c r="F269" s="5" t="str">
        <f>IFERROR(__xludf.DUMMYFUNCTION("GOOGLETRANSLATE(A269, ""en"", ""hi"")"),"268")</f>
        <v>268</v>
      </c>
      <c r="G269" s="5" t="str">
        <f>IFERROR(__xludf.DUMMYFUNCTION("GOOGLETRANSLATE(B269, ""en"", ""hi"")"),"2015 धोप खेल विश्व कप की मेजबानी किस देश ने की?")</f>
        <v>2015 धोप खेल विश्व कप की मेजबानी किस देश ने की?</v>
      </c>
      <c r="H269" s="5" t="str">
        <f>IFERROR(__xludf.DUMMYFUNCTION("GOOGLETRANSLATE(C269, ""en"", ""hi"")"),"A) भारत, B) बांग्लादेश, C) नेपाल, D) पाकिस्तान")</f>
        <v>A) भारत, B) बांग्लादेश, C) नेपाल, D) पाकिस्तान</v>
      </c>
      <c r="I269" s="5" t="str">
        <f>IFERROR(__xludf.DUMMYFUNCTION("GOOGLETRANSLATE(D269, ""en"", ""hi"")"),"ए) भारत")</f>
        <v>ए) भारत</v>
      </c>
    </row>
    <row r="270" ht="22.5" customHeight="1">
      <c r="A270" s="3">
        <v>269.0</v>
      </c>
      <c r="B270" s="4" t="s">
        <v>6435</v>
      </c>
      <c r="C270" s="4" t="s">
        <v>6436</v>
      </c>
      <c r="D270" s="4" t="s">
        <v>6437</v>
      </c>
      <c r="F270" s="5" t="str">
        <f>IFERROR(__xludf.DUMMYFUNCTION("GOOGLETRANSLATE(A270, ""en"", ""hi"")"),"269")</f>
        <v>269</v>
      </c>
      <c r="G270" s="5" t="str">
        <f>IFERROR(__xludf.DUMMYFUNCTION("GOOGLETRANSLATE(B270, ""en"", ""hi"")"),"किस धोप खेल टीम का उपनाम 'द ग्लेडिएटर्स' है?")</f>
        <v>किस धोप खेल टीम का उपनाम 'द ग्लेडिएटर्स' है?</v>
      </c>
      <c r="H270" s="5" t="str">
        <f>IFERROR(__xludf.DUMMYFUNCTION("GOOGLETRANSLATE(C270, ""en"", ""hi"")"),"A) राजस्थान रॉयल्स, B) दिल्ली वॉरियर्स, C) पंजाब पैंथर्स, D) गुजरात ग्लेडिएटर्स")</f>
        <v>A) राजस्थान रॉयल्स, B) दिल्ली वॉरियर्स, C) पंजाब पैंथर्स, D) गुजरात ग्लेडिएटर्स</v>
      </c>
      <c r="I270" s="5" t="str">
        <f>IFERROR(__xludf.DUMMYFUNCTION("GOOGLETRANSLATE(D270, ""en"", ""hi"")"),"D) गुजरात ग्लेडिएटर्स")</f>
        <v>D) गुजरात ग्लेडिएटर्स</v>
      </c>
    </row>
    <row r="271" ht="22.5" customHeight="1">
      <c r="A271" s="3">
        <v>270.0</v>
      </c>
      <c r="B271" s="4" t="s">
        <v>6438</v>
      </c>
      <c r="C271" s="4" t="s">
        <v>6439</v>
      </c>
      <c r="D271" s="4" t="s">
        <v>6323</v>
      </c>
      <c r="F271" s="5" t="str">
        <f>IFERROR(__xludf.DUMMYFUNCTION("GOOGLETRANSLATE(A271, ""en"", ""hi"")"),"270")</f>
        <v>270</v>
      </c>
      <c r="G271" s="5" t="str">
        <f>IFERROR(__xludf.DUMMYFUNCTION("GOOGLETRANSLATE(B271, ""en"", ""hi"")"),"धोप खेल में 'क्राउचिंग डैश' चाल के लिए कौन सा खिलाड़ी प्रसिद्ध है?")</f>
        <v>धोप खेल में 'क्राउचिंग डैश' चाल के लिए कौन सा खिलाड़ी प्रसिद्ध है?</v>
      </c>
      <c r="H271" s="5" t="str">
        <f>IFERROR(__xludf.DUMMYFUNCTION("GOOGLETRANSLATE(C271, ""en"", ""hi"")"),"A) मोहन शर्मा, B) अनिल यादव, C) सुनील पटेल, D) रवि कुमार")</f>
        <v>A) मोहन शर्मा, B) अनिल यादव, C) सुनील पटेल, D) रवि कुमार</v>
      </c>
      <c r="I271" s="5" t="str">
        <f>IFERROR(__xludf.DUMMYFUNCTION("GOOGLETRANSLATE(D271, ""en"", ""hi"")"),"बी) अनिल यादव")</f>
        <v>बी) अनिल यादव</v>
      </c>
    </row>
    <row r="272" ht="22.5" customHeight="1">
      <c r="A272" s="3">
        <v>271.0</v>
      </c>
      <c r="B272" s="4" t="s">
        <v>6440</v>
      </c>
      <c r="C272" s="4" t="s">
        <v>6441</v>
      </c>
      <c r="D272" s="4" t="s">
        <v>6442</v>
      </c>
      <c r="F272" s="5" t="str">
        <f>IFERROR(__xludf.DUMMYFUNCTION("GOOGLETRANSLATE(A272, ""en"", ""hi"")"),"271")</f>
        <v>271</v>
      </c>
      <c r="G272" s="5" t="str">
        <f>IFERROR(__xludf.DUMMYFUNCTION("GOOGLETRANSLATE(B272, ""en"", ""hi"")"),"कौन सा धोप खेल आयोजन 'टाइटन्स की लड़ाई' के नाम से जाना जाता है?")</f>
        <v>कौन सा धोप खेल आयोजन 'टाइटन्स की लड़ाई' के नाम से जाना जाता है?</v>
      </c>
      <c r="H272" s="5" t="str">
        <f>IFERROR(__xludf.DUMMYFUNCTION("GOOGLETRANSLATE(C272, ""en"", ""hi"")"),"ए) भारत बनाम पाकिस्तान मैच, बी) राष्ट्रीय चैम्पियनशिप फाइनल, सी) विश्व कप सेमीफाइनल, डी) एशियाई चैम्पियनशिप क्वालीफायर")</f>
        <v>ए) भारत बनाम पाकिस्तान मैच, बी) राष्ट्रीय चैम्पियनशिप फाइनल, सी) विश्व कप सेमीफाइनल, डी) एशियाई चैम्पियनशिप क्वालीफायर</v>
      </c>
      <c r="I272" s="5" t="str">
        <f>IFERROR(__xludf.DUMMYFUNCTION("GOOGLETRANSLATE(D272, ""en"", ""hi"")"),"A) भारत बनाम पाकिस्तान मैच")</f>
        <v>A) भारत बनाम पाकिस्तान मैच</v>
      </c>
    </row>
    <row r="273" ht="22.5" customHeight="1">
      <c r="A273" s="3">
        <v>272.0</v>
      </c>
      <c r="B273" s="4" t="s">
        <v>6443</v>
      </c>
      <c r="C273" s="4" t="s">
        <v>6386</v>
      </c>
      <c r="D273" s="4" t="s">
        <v>6016</v>
      </c>
      <c r="F273" s="5" t="str">
        <f>IFERROR(__xludf.DUMMYFUNCTION("GOOGLETRANSLATE(A273, ""en"", ""hi"")"),"272")</f>
        <v>272</v>
      </c>
      <c r="G273" s="5" t="str">
        <f>IFERROR(__xludf.DUMMYFUNCTION("GOOGLETRANSLATE(B273, ""en"", ""hi"")"),"2020 धोप खेल विश्व कप में भारतीय टीम का कप्तान कौन था?")</f>
        <v>2020 धोप खेल विश्व कप में भारतीय टीम का कप्तान कौन था?</v>
      </c>
      <c r="H273" s="5" t="str">
        <f>IFERROR(__xludf.DUMMYFUNCTION("GOOGLETRANSLATE(C273, ""en"", ""hi"")"),"A) राजेश यादव, B) मोहन कुमार, C) रवि शर्मा, D) अनिल पटेल")</f>
        <v>A) राजेश यादव, B) मोहन कुमार, C) रवि शर्मा, D) अनिल पटेल</v>
      </c>
      <c r="I273" s="5" t="str">
        <f>IFERROR(__xludf.DUMMYFUNCTION("GOOGLETRANSLATE(D273, ""en"", ""hi"")"),"A) राजेश यादव")</f>
        <v>A) राजेश यादव</v>
      </c>
    </row>
    <row r="274" ht="22.5" customHeight="1">
      <c r="A274" s="3">
        <v>273.0</v>
      </c>
      <c r="B274" s="4" t="s">
        <v>6444</v>
      </c>
      <c r="C274" s="4" t="s">
        <v>6445</v>
      </c>
      <c r="D274" s="4" t="s">
        <v>6354</v>
      </c>
      <c r="F274" s="5" t="str">
        <f>IFERROR(__xludf.DUMMYFUNCTION("GOOGLETRANSLATE(A274, ""en"", ""hi"")"),"273")</f>
        <v>273</v>
      </c>
      <c r="G274" s="5" t="str">
        <f>IFERROR(__xludf.DUMMYFUNCTION("GOOGLETRANSLATE(B274, ""en"", ""hi"")"),"धोप खेल में 'टोरनेडो स्पिन' तकनीक के लिए कौन सा खिलाड़ी जाना जाता है?")</f>
        <v>धोप खेल में 'टोरनेडो स्पिन' तकनीक के लिए कौन सा खिलाड़ी जाना जाता है?</v>
      </c>
      <c r="H274" s="5" t="str">
        <f>IFERROR(__xludf.DUMMYFUNCTION("GOOGLETRANSLATE(C274, ""en"", ""hi"")"),"A) मोहन शर्मा, B) रवि कुमार, C) सुनील यादव, D) अनिल पटेल")</f>
        <v>A) मोहन शर्मा, B) रवि कुमार, C) सुनील यादव, D) अनिल पटेल</v>
      </c>
      <c r="I274" s="5" t="str">
        <f>IFERROR(__xludf.DUMMYFUNCTION("GOOGLETRANSLATE(D274, ""en"", ""hi"")"),"D) अनिल पटेल")</f>
        <v>D) अनिल पटेल</v>
      </c>
    </row>
    <row r="275" ht="22.5" customHeight="1">
      <c r="A275" s="3">
        <v>274.0</v>
      </c>
      <c r="B275" s="4" t="s">
        <v>6446</v>
      </c>
      <c r="C275" s="4" t="s">
        <v>6007</v>
      </c>
      <c r="D275" s="4" t="s">
        <v>4081</v>
      </c>
      <c r="F275" s="5" t="str">
        <f>IFERROR(__xludf.DUMMYFUNCTION("GOOGLETRANSLATE(A275, ""en"", ""hi"")"),"274")</f>
        <v>274</v>
      </c>
      <c r="G275" s="5" t="str">
        <f>IFERROR(__xludf.DUMMYFUNCTION("GOOGLETRANSLATE(B275, ""en"", ""hi"")"),"किस भारतीय राज्य ने स्कूलों में धोप खेल को अनिवार्य गतिविधि के रूप में शुरू किया?")</f>
        <v>किस भारतीय राज्य ने स्कूलों में धोप खेल को अनिवार्य गतिविधि के रूप में शुरू किया?</v>
      </c>
      <c r="H275" s="5" t="str">
        <f>IFERROR(__xludf.DUMMYFUNCTION("GOOGLETRANSLATE(C275, ""en"", ""hi"")"),"A) पंजाब, B) हरियाणा, C) राजस्थान, D) गुजरात")</f>
        <v>A) पंजाब, B) हरियाणा, C) राजस्थान, D) गुजरात</v>
      </c>
      <c r="I275" s="5" t="str">
        <f>IFERROR(__xludf.DUMMYFUNCTION("GOOGLETRANSLATE(D275, ""en"", ""hi"")"),"C) राजस्थान")</f>
        <v>C) राजस्थान</v>
      </c>
    </row>
    <row r="276" ht="22.5" customHeight="1">
      <c r="A276" s="3">
        <v>275.0</v>
      </c>
      <c r="B276" s="4" t="s">
        <v>6447</v>
      </c>
      <c r="C276" s="4" t="s">
        <v>6448</v>
      </c>
      <c r="D276" s="4" t="s">
        <v>5981</v>
      </c>
      <c r="F276" s="5" t="str">
        <f>IFERROR(__xludf.DUMMYFUNCTION("GOOGLETRANSLATE(A276, ""en"", ""hi"")"),"275")</f>
        <v>275</v>
      </c>
      <c r="G276" s="5" t="str">
        <f>IFERROR(__xludf.DUMMYFUNCTION("GOOGLETRANSLATE(B276, ""en"", ""hi"")"),"कौन सा धोप खेल खिलाड़ी मैदान पर अपने उत्कृष्ट नेतृत्व गुणों के लिए जाना जाता है?")</f>
        <v>कौन सा धोप खेल खिलाड़ी मैदान पर अपने उत्कृष्ट नेतृत्व गुणों के लिए जाना जाता है?</v>
      </c>
      <c r="H276" s="5" t="str">
        <f>IFERROR(__xludf.DUMMYFUNCTION("GOOGLETRANSLATE(C276, ""en"", ""hi"")"),"ए) रवि शर्मा, बी) मोहन कुमार, सी) सुनील यादव, डी) अनिल यादव")</f>
        <v>ए) रवि शर्मा, बी) मोहन कुमार, सी) सुनील यादव, डी) अनिल यादव</v>
      </c>
      <c r="I276" s="5" t="str">
        <f>IFERROR(__xludf.DUMMYFUNCTION("GOOGLETRANSLATE(D276, ""en"", ""hi"")"),"बी) मोहन कुमार")</f>
        <v>बी) मोहन कुमार</v>
      </c>
    </row>
    <row r="277" ht="22.5" customHeight="1">
      <c r="A277" s="3">
        <v>276.0</v>
      </c>
      <c r="B277" s="4" t="s">
        <v>6449</v>
      </c>
      <c r="C277" s="4" t="s">
        <v>6450</v>
      </c>
      <c r="D277" s="4" t="s">
        <v>6451</v>
      </c>
      <c r="F277" s="5" t="str">
        <f>IFERROR(__xludf.DUMMYFUNCTION("GOOGLETRANSLATE(A277, ""en"", ""hi"")"),"276")</f>
        <v>276</v>
      </c>
      <c r="G277" s="5" t="str">
        <f>IFERROR(__xludf.DUMMYFUNCTION("GOOGLETRANSLATE(B277, ""en"", ""hi"")"),"धोप खेल में कौन सी चाल आक्रामक टैग प्रयास का मुकाबला करने के लिए प्रयोग की जाती है?")</f>
        <v>धोप खेल में कौन सी चाल आक्रामक टैग प्रयास का मुकाबला करने के लिए प्रयोग की जाती है?</v>
      </c>
      <c r="H277" s="5" t="str">
        <f>IFERROR(__xludf.DUMMYFUNCTION("GOOGLETRANSLATE(C277, ""en"", ""hi"")"),"ए) स्लाइड टैकल, बी) रिवर्स डॉज, सी) बैकफ्लिप एस्केप, डी) स्पिन डिफेंस")</f>
        <v>ए) स्लाइड टैकल, बी) रिवर्स डॉज, सी) बैकफ्लिप एस्केप, डी) स्पिन डिफेंस</v>
      </c>
      <c r="I277" s="5" t="str">
        <f>IFERROR(__xludf.DUMMYFUNCTION("GOOGLETRANSLATE(D277, ""en"", ""hi"")"),"सी) बैकफ्लिप एस्केप")</f>
        <v>सी) बैकफ्लिप एस्केप</v>
      </c>
    </row>
    <row r="278" ht="22.5" customHeight="1">
      <c r="A278" s="3">
        <v>277.0</v>
      </c>
      <c r="B278" s="4" t="s">
        <v>6452</v>
      </c>
      <c r="C278" s="4" t="s">
        <v>70</v>
      </c>
      <c r="D278" s="4" t="s">
        <v>5968</v>
      </c>
      <c r="F278" s="5" t="str">
        <f>IFERROR(__xludf.DUMMYFUNCTION("GOOGLETRANSLATE(A278, ""en"", ""hi"")"),"277")</f>
        <v>277</v>
      </c>
      <c r="G278" s="5" t="str">
        <f>IFERROR(__xludf.DUMMYFUNCTION("GOOGLETRANSLATE(B278, ""en"", ""hi"")"),"पहला धोप खेल विश्व कप किस वर्ष आयोजित किया गया था?")</f>
        <v>पहला धोप खेल विश्व कप किस वर्ष आयोजित किया गया था?</v>
      </c>
      <c r="H278" s="5" t="str">
        <f>IFERROR(__xludf.DUMMYFUNCTION("GOOGLETRANSLATE(C278, ""en"", ""hi"")"),"ए) 2008, बी) 2010, सी) 2012, डी) 2014")</f>
        <v>ए) 2008, बी) 2010, सी) 2012, डी) 2014</v>
      </c>
      <c r="I278" s="5" t="str">
        <f>IFERROR(__xludf.DUMMYFUNCTION("GOOGLETRANSLATE(D278, ""en"", ""hi"")"),"सी) 2012")</f>
        <v>सी) 2012</v>
      </c>
    </row>
    <row r="279" ht="22.5" customHeight="1">
      <c r="A279" s="3">
        <v>278.0</v>
      </c>
      <c r="B279" s="4" t="s">
        <v>6453</v>
      </c>
      <c r="C279" s="4" t="s">
        <v>6454</v>
      </c>
      <c r="D279" s="4" t="s">
        <v>6455</v>
      </c>
      <c r="F279" s="5" t="str">
        <f>IFERROR(__xludf.DUMMYFUNCTION("GOOGLETRANSLATE(A279, ""en"", ""hi"")"),"278")</f>
        <v>278</v>
      </c>
      <c r="G279" s="5" t="str">
        <f>IFERROR(__xludf.DUMMYFUNCTION("GOOGLETRANSLATE(B279, ""en"", ""hi"")"),"कौन सा धोप खेल खिलाड़ी अपनी त्वरित प्रतिक्रिया और चपलता के लिए प्रसिद्ध है?")</f>
        <v>कौन सा धोप खेल खिलाड़ी अपनी त्वरित प्रतिक्रिया और चपलता के लिए प्रसिद्ध है?</v>
      </c>
      <c r="H279" s="5" t="str">
        <f>IFERROR(__xludf.DUMMYFUNCTION("GOOGLETRANSLATE(C279, ""en"", ""hi"")"),"A) मोहन शर्मा, B) सुनील यादव, C) अनिल कुमार, D) रवि पटेल")</f>
        <v>A) मोहन शर्मा, B) सुनील यादव, C) अनिल कुमार, D) रवि पटेल</v>
      </c>
      <c r="I279" s="5" t="str">
        <f>IFERROR(__xludf.DUMMYFUNCTION("GOOGLETRANSLATE(D279, ""en"", ""hi"")"),"बी) सुनील यादव")</f>
        <v>बी) सुनील यादव</v>
      </c>
    </row>
    <row r="280" ht="22.5" customHeight="1">
      <c r="A280" s="3">
        <v>279.0</v>
      </c>
      <c r="B280" s="4" t="s">
        <v>6456</v>
      </c>
      <c r="C280" s="4" t="s">
        <v>6457</v>
      </c>
      <c r="D280" s="4" t="s">
        <v>6329</v>
      </c>
      <c r="F280" s="5" t="str">
        <f>IFERROR(__xludf.DUMMYFUNCTION("GOOGLETRANSLATE(A280, ""en"", ""hi"")"),"279")</f>
        <v>279</v>
      </c>
      <c r="G280" s="5" t="str">
        <f>IFERROR(__xludf.DUMMYFUNCTION("GOOGLETRANSLATE(B280, ""en"", ""hi"")"),"धोप खेल में कौन सी टीम अपनी रक्षात्मक रणनीतियों के लिए जानी जाती है?")</f>
        <v>धोप खेल में कौन सी टीम अपनी रक्षात्मक रणनीतियों के लिए जानी जाती है?</v>
      </c>
      <c r="H280" s="5" t="str">
        <f>IFERROR(__xludf.DUMMYFUNCTION("GOOGLETRANSLATE(C280, ""en"", ""hi"")"),"A) दिल्ली वॉरियर्स, B) मुंबई मावेरिक्स, C) पंजाब पैंथर्स, D) राजस्थान रॉयल्स")</f>
        <v>A) दिल्ली वॉरियर्स, B) मुंबई मावेरिक्स, C) पंजाब पैंथर्स, D) राजस्थान रॉयल्स</v>
      </c>
      <c r="I280" s="5" t="str">
        <f>IFERROR(__xludf.DUMMYFUNCTION("GOOGLETRANSLATE(D280, ""en"", ""hi"")"),"ए) दिल्ली वॉरियर्स")</f>
        <v>ए) दिल्ली वॉरियर्स</v>
      </c>
    </row>
    <row r="281" ht="22.5" customHeight="1">
      <c r="A281" s="3">
        <v>280.0</v>
      </c>
      <c r="B281" s="4" t="s">
        <v>6458</v>
      </c>
      <c r="C281" s="4" t="s">
        <v>36</v>
      </c>
      <c r="D281" s="4" t="s">
        <v>37</v>
      </c>
      <c r="F281" s="5" t="str">
        <f>IFERROR(__xludf.DUMMYFUNCTION("GOOGLETRANSLATE(A281, ""en"", ""hi"")"),"280")</f>
        <v>280</v>
      </c>
      <c r="G281" s="5" t="str">
        <f>IFERROR(__xludf.DUMMYFUNCTION("GOOGLETRANSLATE(B281, ""en"", ""hi"")"),"2014 में धोप खेल विश्व कप किस देश ने जीता?")</f>
        <v>2014 में धोप खेल विश्व कप किस देश ने जीता?</v>
      </c>
      <c r="H281" s="5" t="str">
        <f>IFERROR(__xludf.DUMMYFUNCTION("GOOGLETRANSLATE(C281, ""en"", ""hi"")"),"A) भारत, B) पाकिस्तान, C) बांग्लादेश, D) नेपाल")</f>
        <v>A) भारत, B) पाकिस्तान, C) बांग्लादेश, D) नेपाल</v>
      </c>
      <c r="I281" s="5" t="str">
        <f>IFERROR(__xludf.DUMMYFUNCTION("GOOGLETRANSLATE(D281, ""en"", ""hi"")"),"ए) भारत")</f>
        <v>ए) भारत</v>
      </c>
    </row>
    <row r="282" ht="22.5" customHeight="1">
      <c r="A282" s="3">
        <v>281.0</v>
      </c>
      <c r="B282" s="4" t="s">
        <v>6459</v>
      </c>
      <c r="C282" s="4" t="s">
        <v>6460</v>
      </c>
      <c r="D282" s="4" t="s">
        <v>6461</v>
      </c>
      <c r="F282" s="5" t="str">
        <f>IFERROR(__xludf.DUMMYFUNCTION("GOOGLETRANSLATE(A282, ""en"", ""hi"")"),"281")</f>
        <v>281</v>
      </c>
      <c r="G282" s="5" t="str">
        <f>IFERROR(__xludf.DUMMYFUNCTION("GOOGLETRANSLATE(B282, ""en"", ""hi"")"),"धोप खेल में किस खिलाड़ी को 'लाइटनिंग बोल्ट' टैग के लिए जाना जाता है?")</f>
        <v>धोप खेल में किस खिलाड़ी को 'लाइटनिंग बोल्ट' टैग के लिए जाना जाता है?</v>
      </c>
      <c r="H282" s="5" t="str">
        <f>IFERROR(__xludf.DUMMYFUNCTION("GOOGLETRANSLATE(C282, ""en"", ""hi"")"),"A) रवि पटेल, B) मोहन शर्मा, C) अनिल कुमार, D) सुनील यादव")</f>
        <v>A) रवि पटेल, B) मोहन शर्मा, C) अनिल कुमार, D) सुनील यादव</v>
      </c>
      <c r="I282" s="5" t="str">
        <f>IFERROR(__xludf.DUMMYFUNCTION("GOOGLETRANSLATE(D282, ""en"", ""hi"")"),"C) अनिल कुमार")</f>
        <v>C) अनिल कुमार</v>
      </c>
    </row>
    <row r="283" ht="22.5" customHeight="1">
      <c r="A283" s="3">
        <v>282.0</v>
      </c>
      <c r="B283" s="4" t="s">
        <v>6462</v>
      </c>
      <c r="C283" s="4" t="s">
        <v>6463</v>
      </c>
      <c r="D283" s="4" t="s">
        <v>6464</v>
      </c>
      <c r="F283" s="5" t="str">
        <f>IFERROR(__xludf.DUMMYFUNCTION("GOOGLETRANSLATE(A283, ""en"", ""hi"")"),"282")</f>
        <v>282</v>
      </c>
      <c r="G283" s="5" t="str">
        <f>IFERROR(__xludf.DUMMYFUNCTION("GOOGLETRANSLATE(B283, ""en"", ""hi"")"),"कौन सा भारतीय शहर प्रतिवर्ष धोप खेल महोत्सव की मेजबानी के लिए प्रसिद्ध है?")</f>
        <v>कौन सा भारतीय शहर प्रतिवर्ष धोप खेल महोत्सव की मेजबानी के लिए प्रसिद्ध है?</v>
      </c>
      <c r="H283" s="5" t="str">
        <f>IFERROR(__xludf.DUMMYFUNCTION("GOOGLETRANSLATE(C283, ""en"", ""hi"")"),"ए) मुंबई, बी) जयपुर, सी) दिल्ली, डी) कोलकाता")</f>
        <v>ए) मुंबई, बी) जयपुर, सी) दिल्ली, डी) कोलकाता</v>
      </c>
      <c r="I283" s="5" t="str">
        <f>IFERROR(__xludf.DUMMYFUNCTION("GOOGLETRANSLATE(D283, ""en"", ""hi"")"),"बी) जयपुर")</f>
        <v>बी) जयपुर</v>
      </c>
    </row>
    <row r="284" ht="22.5" customHeight="1">
      <c r="A284" s="3">
        <v>283.0</v>
      </c>
      <c r="B284" s="4" t="s">
        <v>6465</v>
      </c>
      <c r="C284" s="4" t="s">
        <v>6466</v>
      </c>
      <c r="D284" s="4" t="s">
        <v>6467</v>
      </c>
      <c r="F284" s="5" t="str">
        <f>IFERROR(__xludf.DUMMYFUNCTION("GOOGLETRANSLATE(A284, ""en"", ""hi"")"),"283")</f>
        <v>283</v>
      </c>
      <c r="G284" s="5" t="str">
        <f>IFERROR(__xludf.DUMMYFUNCTION("GOOGLETRANSLATE(B284, ""en"", ""hi"")"),"धोप खेल इतिहास में किस खिलाड़ी को सबसे अधिक 'प्लेयर ऑफ द मैच' पुरस्कार मिले हैं?")</f>
        <v>धोप खेल इतिहास में किस खिलाड़ी को सबसे अधिक 'प्लेयर ऑफ द मैच' पुरस्कार मिले हैं?</v>
      </c>
      <c r="H284" s="5" t="str">
        <f>IFERROR(__xludf.DUMMYFUNCTION("GOOGLETRANSLATE(C284, ""en"", ""hi"")"),"ए) सुनील कुमार, बी) रवि शर्मा, सी) अनिल यादव, डी) मोहन कुमार")</f>
        <v>ए) सुनील कुमार, बी) रवि शर्मा, सी) अनिल यादव, डी) मोहन कुमार</v>
      </c>
      <c r="I284" s="5" t="str">
        <f>IFERROR(__xludf.DUMMYFUNCTION("GOOGLETRANSLATE(D284, ""en"", ""hi"")"),"A) सुनील कुमार")</f>
        <v>A) सुनील कुमार</v>
      </c>
    </row>
    <row r="285" ht="22.5" customHeight="1">
      <c r="A285" s="3">
        <v>284.0</v>
      </c>
      <c r="B285" s="4" t="s">
        <v>6468</v>
      </c>
      <c r="C285" s="4" t="s">
        <v>2379</v>
      </c>
      <c r="D285" s="4" t="s">
        <v>6469</v>
      </c>
      <c r="F285" s="5" t="str">
        <f>IFERROR(__xludf.DUMMYFUNCTION("GOOGLETRANSLATE(A285, ""en"", ""hi"")"),"284")</f>
        <v>284</v>
      </c>
      <c r="G285" s="5" t="str">
        <f>IFERROR(__xludf.DUMMYFUNCTION("GOOGLETRANSLATE(B285, ""en"", ""hi"")"),"किस देश की धोप खेल टीम को 'पायनियर्स' उपनाम दिया गया है?")</f>
        <v>किस देश की धोप खेल टीम को 'पायनियर्स' उपनाम दिया गया है?</v>
      </c>
      <c r="H285" s="5" t="str">
        <f>IFERROR(__xludf.DUMMYFUNCTION("GOOGLETRANSLATE(C285, ""en"", ""hi"")"),"A) भारत, B) पाकिस्तान, C) नेपाल, D) बांग्लादेश")</f>
        <v>A) भारत, B) पाकिस्तान, C) नेपाल, D) बांग्लादेश</v>
      </c>
      <c r="I285" s="5" t="str">
        <f>IFERROR(__xludf.DUMMYFUNCTION("GOOGLETRANSLATE(D285, ""en"", ""hi"")"),"C) नेपाल")</f>
        <v>C) नेपाल</v>
      </c>
    </row>
    <row r="286" ht="22.5" customHeight="1">
      <c r="A286" s="3">
        <v>285.0</v>
      </c>
      <c r="B286" s="4" t="s">
        <v>6470</v>
      </c>
      <c r="C286" s="4" t="s">
        <v>6471</v>
      </c>
      <c r="D286" s="4" t="s">
        <v>6472</v>
      </c>
      <c r="F286" s="5" t="str">
        <f>IFERROR(__xludf.DUMMYFUNCTION("GOOGLETRANSLATE(A286, ""en"", ""hi"")"),"285")</f>
        <v>285</v>
      </c>
      <c r="G286" s="5" t="str">
        <f>IFERROR(__xludf.DUMMYFUNCTION("GOOGLETRANSLATE(B286, ""en"", ""hi"")"),"कौन सी धोप खेल चाल में गति और दिशा में अचानक परिवर्तन का संयोजन शामिल है?")</f>
        <v>कौन सी धोप खेल चाल में गति और दिशा में अचानक परिवर्तन का संयोजन शामिल है?</v>
      </c>
      <c r="H286" s="5" t="str">
        <f>IFERROR(__xludf.DUMMYFUNCTION("GOOGLETRANSLATE(C286, ""en"", ""hi"")"),"ए) क्विक शिफ्ट, बी) डबल ट्विस्ट, सी) ज़िगज़ैग रन, डी) साइड स्टेप")</f>
        <v>ए) क्विक शिफ्ट, बी) डबल ट्विस्ट, सी) ज़िगज़ैग रन, डी) साइड स्टेप</v>
      </c>
      <c r="I286" s="5" t="str">
        <f>IFERROR(__xludf.DUMMYFUNCTION("GOOGLETRANSLATE(D286, ""en"", ""hi"")"),"C) ज़िगज़ैग रन")</f>
        <v>C) ज़िगज़ैग रन</v>
      </c>
    </row>
    <row r="287" ht="22.5" customHeight="1">
      <c r="A287" s="3">
        <v>286.0</v>
      </c>
      <c r="B287" s="4" t="s">
        <v>6473</v>
      </c>
      <c r="C287" s="4" t="s">
        <v>6448</v>
      </c>
      <c r="D287" s="4" t="s">
        <v>6474</v>
      </c>
      <c r="F287" s="5" t="str">
        <f>IFERROR(__xludf.DUMMYFUNCTION("GOOGLETRANSLATE(A287, ""en"", ""hi"")"),"286")</f>
        <v>286</v>
      </c>
      <c r="G287" s="5" t="str">
        <f>IFERROR(__xludf.DUMMYFUNCTION("GOOGLETRANSLATE(B287, ""en"", ""hi"")"),"2021 धोप खेल विश्व कप में सर्वश्रेष्ठ ऑलराउंडर का पुरस्कार किसने जीता?")</f>
        <v>2021 धोप खेल विश्व कप में सर्वश्रेष्ठ ऑलराउंडर का पुरस्कार किसने जीता?</v>
      </c>
      <c r="H287" s="5" t="str">
        <f>IFERROR(__xludf.DUMMYFUNCTION("GOOGLETRANSLATE(C287, ""en"", ""hi"")"),"ए) रवि शर्मा, बी) मोहन कुमार, सी) सुनील यादव, डी) अनिल यादव")</f>
        <v>ए) रवि शर्मा, बी) मोहन कुमार, सी) सुनील यादव, डी) अनिल यादव</v>
      </c>
      <c r="I287" s="5" t="str">
        <f>IFERROR(__xludf.DUMMYFUNCTION("GOOGLETRANSLATE(D287, ""en"", ""hi"")"),"D) अनिल यादव")</f>
        <v>D) अनिल यादव</v>
      </c>
    </row>
    <row r="288" ht="22.5" customHeight="1">
      <c r="A288" s="3">
        <v>287.0</v>
      </c>
      <c r="B288" s="4" t="s">
        <v>6475</v>
      </c>
      <c r="C288" s="4" t="s">
        <v>6476</v>
      </c>
      <c r="D288" s="4" t="s">
        <v>6477</v>
      </c>
      <c r="F288" s="5" t="str">
        <f>IFERROR(__xludf.DUMMYFUNCTION("GOOGLETRANSLATE(A288, ""en"", ""hi"")"),"287")</f>
        <v>287</v>
      </c>
      <c r="G288" s="5" t="str">
        <f>IFERROR(__xludf.DUMMYFUNCTION("GOOGLETRANSLATE(B288, ""en"", ""hi"")"),"धोप खेल में कौन सा खिलाड़ी अपनी रणनीतिक सोच के लिए प्रसिद्ध है?")</f>
        <v>धोप खेल में कौन सा खिलाड़ी अपनी रणनीतिक सोच के लिए प्रसिद्ध है?</v>
      </c>
      <c r="H288" s="5" t="str">
        <f>IFERROR(__xludf.DUMMYFUNCTION("GOOGLETRANSLATE(C288, ""en"", ""hi"")"),"A) राजेश कुमार, B) अनिल शर्मा, C) मोहन यादव, D) रवि पटेल")</f>
        <v>A) राजेश कुमार, B) अनिल शर्मा, C) मोहन यादव, D) रवि पटेल</v>
      </c>
      <c r="I288" s="5" t="str">
        <f>IFERROR(__xludf.DUMMYFUNCTION("GOOGLETRANSLATE(D288, ""en"", ""hi"")"),"C) मोहन यादव")</f>
        <v>C) मोहन यादव</v>
      </c>
    </row>
    <row r="289" ht="22.5" customHeight="1">
      <c r="A289" s="3">
        <v>288.0</v>
      </c>
      <c r="B289" s="4" t="s">
        <v>6478</v>
      </c>
      <c r="C289" s="4" t="s">
        <v>6479</v>
      </c>
      <c r="D289" s="4" t="s">
        <v>6480</v>
      </c>
      <c r="F289" s="5" t="str">
        <f>IFERROR(__xludf.DUMMYFUNCTION("GOOGLETRANSLATE(A289, ""en"", ""hi"")"),"288")</f>
        <v>288</v>
      </c>
      <c r="G289" s="5" t="str">
        <f>IFERROR(__xludf.DUMMYFUNCTION("GOOGLETRANSLATE(B289, ""en"", ""hi"")"),"कौन से धोप खेल कार्यक्रम में अद्वितीय 'एलिमिनेशन राउंड' प्रारूप है?")</f>
        <v>कौन से धोप खेल कार्यक्रम में अद्वितीय 'एलिमिनेशन राउंड' प्रारूप है?</v>
      </c>
      <c r="H289" s="5" t="str">
        <f>IFERROR(__xludf.DUMMYFUNCTION("GOOGLETRANSLATE(C289, ""en"", ""hi"")"),"A) एशियाई खेल, B) राष्ट्रीय चैम्पियनशिप, C) विश्व कप, D) राज्य लीग")</f>
        <v>A) एशियाई खेल, B) राष्ट्रीय चैम्पियनशिप, C) विश्व कप, D) राज्य लीग</v>
      </c>
      <c r="I289" s="5" t="str">
        <f>IFERROR(__xludf.DUMMYFUNCTION("GOOGLETRANSLATE(D289, ""en"", ""hi"")"),"बी) राष्ट्रीय चैम्पियनशिप")</f>
        <v>बी) राष्ट्रीय चैम्पियनशिप</v>
      </c>
    </row>
    <row r="290" ht="22.5" customHeight="1">
      <c r="A290" s="3">
        <v>289.0</v>
      </c>
      <c r="B290" s="4" t="s">
        <v>6481</v>
      </c>
      <c r="C290" s="4" t="s">
        <v>6482</v>
      </c>
      <c r="D290" s="4" t="s">
        <v>6483</v>
      </c>
      <c r="F290" s="5" t="str">
        <f>IFERROR(__xludf.DUMMYFUNCTION("GOOGLETRANSLATE(A290, ""en"", ""hi"")"),"289")</f>
        <v>289</v>
      </c>
      <c r="G290" s="5" t="str">
        <f>IFERROR(__xludf.DUMMYFUNCTION("GOOGLETRANSLATE(B290, ""en"", ""hi"")"),"भारतीय धोप खेल महासंघ का गठन किस वर्ष हुआ?")</f>
        <v>भारतीय धोप खेल महासंघ का गठन किस वर्ष हुआ?</v>
      </c>
      <c r="H290" s="5" t="str">
        <f>IFERROR(__xludf.DUMMYFUNCTION("GOOGLETRANSLATE(C290, ""en"", ""hi"")"),"ए) 2005, बी) 2008, सी) 2010, डी) 2013")</f>
        <v>ए) 2005, बी) 2008, सी) 2010, डी) 2013</v>
      </c>
      <c r="I290" s="5" t="str">
        <f>IFERROR(__xludf.DUMMYFUNCTION("GOOGLETRANSLATE(D290, ""en"", ""hi"")"),"डी) 2013")</f>
        <v>डी) 2013</v>
      </c>
    </row>
    <row r="291" ht="22.5" customHeight="1">
      <c r="A291" s="3">
        <v>290.0</v>
      </c>
      <c r="B291" s="4" t="s">
        <v>6484</v>
      </c>
      <c r="C291" s="4" t="s">
        <v>6485</v>
      </c>
      <c r="D291" s="4" t="s">
        <v>6056</v>
      </c>
      <c r="F291" s="5" t="str">
        <f>IFERROR(__xludf.DUMMYFUNCTION("GOOGLETRANSLATE(A291, ""en"", ""hi"")"),"290")</f>
        <v>290</v>
      </c>
      <c r="G291" s="5" t="str">
        <f>IFERROR(__xludf.DUMMYFUNCTION("GOOGLETRANSLATE(B291, ""en"", ""hi"")"),"कौन सा धोप खेल खिलाड़ी अपनी ताकत और टैकल के लिए जाना जाता है?")</f>
        <v>कौन सा धोप खेल खिलाड़ी अपनी ताकत और टैकल के लिए जाना जाता है?</v>
      </c>
      <c r="H291" s="5" t="str">
        <f>IFERROR(__xludf.DUMMYFUNCTION("GOOGLETRANSLATE(C291, ""en"", ""hi"")"),"A) रवि शर्मा, B) मोहन पटेल, C) सुनील यादव, D) अनिल कुमार")</f>
        <v>A) रवि शर्मा, B) मोहन पटेल, C) सुनील यादव, D) अनिल कुमार</v>
      </c>
      <c r="I291" s="5" t="str">
        <f>IFERROR(__xludf.DUMMYFUNCTION("GOOGLETRANSLATE(D291, ""en"", ""hi"")"),"D) अनिल कुमार")</f>
        <v>D) अनिल कुमार</v>
      </c>
    </row>
    <row r="292" ht="22.5" customHeight="1">
      <c r="A292" s="3">
        <v>291.0</v>
      </c>
      <c r="B292" s="4" t="s">
        <v>6486</v>
      </c>
      <c r="C292" s="4" t="s">
        <v>636</v>
      </c>
      <c r="D292" s="4" t="s">
        <v>37</v>
      </c>
      <c r="F292" s="5" t="str">
        <f>IFERROR(__xludf.DUMMYFUNCTION("GOOGLETRANSLATE(A292, ""en"", ""hi"")"),"291")</f>
        <v>291</v>
      </c>
      <c r="G292" s="5" t="str">
        <f>IFERROR(__xludf.DUMMYFUNCTION("GOOGLETRANSLATE(B292, ""en"", ""hi"")"),"किस देश ने धोप खेल में 'गोल्डन प्वाइंट' नियम लागू किया?")</f>
        <v>किस देश ने धोप खेल में 'गोल्डन प्वाइंट' नियम लागू किया?</v>
      </c>
      <c r="H292" s="5" t="str">
        <f>IFERROR(__xludf.DUMMYFUNCTION("GOOGLETRANSLATE(C292, ""en"", ""hi"")"),"A) भारत, B) बांग्लादेश, C) पाकिस्तान, D) नेपाल")</f>
        <v>A) भारत, B) बांग्लादेश, C) पाकिस्तान, D) नेपाल</v>
      </c>
      <c r="I292" s="5" t="str">
        <f>IFERROR(__xludf.DUMMYFUNCTION("GOOGLETRANSLATE(D292, ""en"", ""hi"")"),"ए) भारत")</f>
        <v>ए) भारत</v>
      </c>
    </row>
    <row r="293" ht="22.5" customHeight="1">
      <c r="A293" s="3">
        <v>292.0</v>
      </c>
      <c r="B293" s="4" t="s">
        <v>6487</v>
      </c>
      <c r="C293" s="4" t="s">
        <v>6488</v>
      </c>
      <c r="D293" s="4" t="s">
        <v>6046</v>
      </c>
      <c r="F293" s="5" t="str">
        <f>IFERROR(__xludf.DUMMYFUNCTION("GOOGLETRANSLATE(A293, ""en"", ""hi"")"),"292")</f>
        <v>292</v>
      </c>
      <c r="G293" s="5" t="str">
        <f>IFERROR(__xludf.DUMMYFUNCTION("GOOGLETRANSLATE(B293, ""en"", ""hi"")"),"धोप खेल में 'फ्लाइंग टैकल' के लिए कौन सा खिलाड़ी जाना जाता है?")</f>
        <v>धोप खेल में 'फ्लाइंग टैकल' के लिए कौन सा खिलाड़ी जाना जाता है?</v>
      </c>
      <c r="H293" s="5" t="str">
        <f>IFERROR(__xludf.DUMMYFUNCTION("GOOGLETRANSLATE(C293, ""en"", ""hi"")"),"A) सुनील पटेल, B) रवि शर्मा, C) मोहन कुमार, D) अनिल यादव")</f>
        <v>A) सुनील पटेल, B) रवि शर्मा, C) मोहन कुमार, D) अनिल यादव</v>
      </c>
      <c r="I293" s="5" t="str">
        <f>IFERROR(__xludf.DUMMYFUNCTION("GOOGLETRANSLATE(D293, ""en"", ""hi"")"),"A) सुनील पटेल")</f>
        <v>A) सुनील पटेल</v>
      </c>
    </row>
    <row r="294" ht="22.5" customHeight="1">
      <c r="A294" s="3">
        <v>293.0</v>
      </c>
      <c r="B294" s="4" t="s">
        <v>6489</v>
      </c>
      <c r="C294" s="4" t="s">
        <v>6490</v>
      </c>
      <c r="D294" s="4" t="s">
        <v>6491</v>
      </c>
      <c r="F294" s="5" t="str">
        <f>IFERROR(__xludf.DUMMYFUNCTION("GOOGLETRANSLATE(A294, ""en"", ""hi"")"),"293")</f>
        <v>293</v>
      </c>
      <c r="G294" s="5" t="str">
        <f>IFERROR(__xludf.DUMMYFUNCTION("GOOGLETRANSLATE(B294, ""en"", ""hi"")"),"कौन सी धोप खेल टीम को 'मास्टर्स ऑफ डिफेंस' के नाम से जाना जाता है?")</f>
        <v>कौन सी धोप खेल टीम को 'मास्टर्स ऑफ डिफेंस' के नाम से जाना जाता है?</v>
      </c>
      <c r="H294" s="5" t="str">
        <f>IFERROR(__xludf.DUMMYFUNCTION("GOOGLETRANSLATE(C294, ""en"", ""hi"")"),"A) राजस्थान रॉयल्स, B) दिल्ली वॉरियर्स, C) गुजरात ग्लेडिएटर्स, D) पंजाब पैंथर्स")</f>
        <v>A) राजस्थान रॉयल्स, B) दिल्ली वॉरियर्स, C) गुजरात ग्लेडिएटर्स, D) पंजाब पैंथर्स</v>
      </c>
      <c r="I294" s="5" t="str">
        <f>IFERROR(__xludf.DUMMYFUNCTION("GOOGLETRANSLATE(D294, ""en"", ""hi"")"),"बी) दिल्ली वॉरियर्स")</f>
        <v>बी) दिल्ली वॉरियर्स</v>
      </c>
    </row>
    <row r="295" ht="22.5" customHeight="1">
      <c r="A295" s="3">
        <v>294.0</v>
      </c>
      <c r="B295" s="4" t="s">
        <v>6492</v>
      </c>
      <c r="C295" s="4" t="s">
        <v>6493</v>
      </c>
      <c r="D295" s="4" t="s">
        <v>6494</v>
      </c>
      <c r="F295" s="5" t="str">
        <f>IFERROR(__xludf.DUMMYFUNCTION("GOOGLETRANSLATE(A295, ""en"", ""hi"")"),"294")</f>
        <v>294</v>
      </c>
      <c r="G295" s="5" t="str">
        <f>IFERROR(__xludf.DUMMYFUNCTION("GOOGLETRANSLATE(B295, ""en"", ""hi"")"),"धोप खेल किस वर्ष राष्ट्रमंडल खेलों का हिस्सा बना?")</f>
        <v>धोप खेल किस वर्ष राष्ट्रमंडल खेलों का हिस्सा बना?</v>
      </c>
      <c r="H295" s="5" t="str">
        <f>IFERROR(__xludf.DUMMYFUNCTION("GOOGLETRANSLATE(C295, ""en"", ""hi"")"),"ए) 2016, बी) 2018, सी) 2020, डी) 2022")</f>
        <v>ए) 2016, बी) 2018, सी) 2020, डी) 2022</v>
      </c>
      <c r="I295" s="5" t="str">
        <f>IFERROR(__xludf.DUMMYFUNCTION("GOOGLETRANSLATE(D295, ""en"", ""hi"")"),"बी) 2018")</f>
        <v>बी) 2018</v>
      </c>
    </row>
    <row r="296" ht="22.5" customHeight="1">
      <c r="A296" s="3">
        <v>295.0</v>
      </c>
      <c r="B296" s="4" t="s">
        <v>6495</v>
      </c>
      <c r="C296" s="4" t="s">
        <v>6496</v>
      </c>
      <c r="D296" s="4" t="s">
        <v>6455</v>
      </c>
      <c r="F296" s="5" t="str">
        <f>IFERROR(__xludf.DUMMYFUNCTION("GOOGLETRANSLATE(A296, ""en"", ""hi"")"),"295")</f>
        <v>295</v>
      </c>
      <c r="G296" s="5" t="str">
        <f>IFERROR(__xludf.DUMMYFUNCTION("GOOGLETRANSLATE(B296, ""en"", ""hi"")"),"धोप खेल में कौन सा खिलाड़ी अपनी सहनशक्ति और धैर्य के लिए प्रसिद्ध है?")</f>
        <v>धोप खेल में कौन सा खिलाड़ी अपनी सहनशक्ति और धैर्य के लिए प्रसिद्ध है?</v>
      </c>
      <c r="H296" s="5" t="str">
        <f>IFERROR(__xludf.DUMMYFUNCTION("GOOGLETRANSLATE(C296, ""en"", ""hi"")"),"A) मोहन शर्मा, B) सुनील यादव, C) रवि कुमार, D) अनिल पटेल")</f>
        <v>A) मोहन शर्मा, B) सुनील यादव, C) रवि कुमार, D) अनिल पटेल</v>
      </c>
      <c r="I296" s="5" t="str">
        <f>IFERROR(__xludf.DUMMYFUNCTION("GOOGLETRANSLATE(D296, ""en"", ""hi"")"),"बी) सुनील यादव")</f>
        <v>बी) सुनील यादव</v>
      </c>
    </row>
    <row r="297" ht="22.5" customHeight="1">
      <c r="A297" s="3">
        <v>296.0</v>
      </c>
      <c r="B297" s="4" t="s">
        <v>6497</v>
      </c>
      <c r="C297" s="4" t="s">
        <v>6498</v>
      </c>
      <c r="D297" s="4" t="s">
        <v>6499</v>
      </c>
      <c r="F297" s="5" t="str">
        <f>IFERROR(__xludf.DUMMYFUNCTION("GOOGLETRANSLATE(A297, ""en"", ""hi"")"),"296")</f>
        <v>296</v>
      </c>
      <c r="G297" s="5" t="str">
        <f>IFERROR(__xludf.DUMMYFUNCTION("GOOGLETRANSLATE(B297, ""en"", ""hi"")"),"कौन सा धोप खेल मैच 'क्लैश ऑफ द टाइटन्स' के नाम से प्रसिद्ध है?")</f>
        <v>कौन सा धोप खेल मैच 'क्लैश ऑफ द टाइटन्स' के नाम से प्रसिद्ध है?</v>
      </c>
      <c r="H297" s="5" t="str">
        <f>IFERROR(__xludf.DUMMYFUNCTION("GOOGLETRANSLATE(C297, ""en"", ""hi"")"),"A) भारत बनाम नेपाल, B) भारत बनाम बांग्लादेश, C) भारत बनाम पाकिस्तान, D) बांग्लादेश बनाम नेपाल")</f>
        <v>A) भारत बनाम नेपाल, B) भारत बनाम बांग्लादेश, C) भारत बनाम पाकिस्तान, D) बांग्लादेश बनाम नेपाल</v>
      </c>
      <c r="I297" s="5" t="str">
        <f>IFERROR(__xludf.DUMMYFUNCTION("GOOGLETRANSLATE(D297, ""en"", ""hi"")"),"C) भारत बनाम पाकिस्तान")</f>
        <v>C) भारत बनाम पाकिस्तान</v>
      </c>
    </row>
    <row r="298" ht="22.5" customHeight="1">
      <c r="A298" s="3">
        <v>297.0</v>
      </c>
      <c r="B298" s="4" t="s">
        <v>6500</v>
      </c>
      <c r="C298" s="4" t="s">
        <v>6501</v>
      </c>
      <c r="D298" s="4" t="s">
        <v>6502</v>
      </c>
      <c r="F298" s="5" t="str">
        <f>IFERROR(__xludf.DUMMYFUNCTION("GOOGLETRANSLATE(A298, ""en"", ""hi"")"),"297")</f>
        <v>297</v>
      </c>
      <c r="G298" s="5" t="str">
        <f>IFERROR(__xludf.DUMMYFUNCTION("GOOGLETRANSLATE(B298, ""en"", ""hi"")"),"कौन सा धोप खेल खिलाड़ी 'सर्प रन' चाल के लिए जाना जाता है?")</f>
        <v>कौन सा धोप खेल खिलाड़ी 'सर्प रन' चाल के लिए जाना जाता है?</v>
      </c>
      <c r="H298" s="5" t="str">
        <f>IFERROR(__xludf.DUMMYFUNCTION("GOOGLETRANSLATE(C298, ""en"", ""hi"")"),"A) अनिल कुमार, B) रवि पटेल, C) मोहन यादव, D) सुनील शर्मा")</f>
        <v>A) अनिल कुमार, B) रवि पटेल, C) मोहन यादव, D) सुनील शर्मा</v>
      </c>
      <c r="I298" s="5" t="str">
        <f>IFERROR(__xludf.DUMMYFUNCTION("GOOGLETRANSLATE(D298, ""en"", ""hi"")"),"A) अनिल कुमार")</f>
        <v>A) अनिल कुमार</v>
      </c>
    </row>
    <row r="299" ht="22.5" customHeight="1">
      <c r="A299" s="3">
        <v>298.0</v>
      </c>
      <c r="B299" s="4" t="s">
        <v>6503</v>
      </c>
      <c r="C299" s="4" t="s">
        <v>6007</v>
      </c>
      <c r="D299" s="4" t="s">
        <v>4081</v>
      </c>
      <c r="F299" s="5" t="str">
        <f>IFERROR(__xludf.DUMMYFUNCTION("GOOGLETRANSLATE(A299, ""en"", ""hi"")"),"298")</f>
        <v>298</v>
      </c>
      <c r="G299" s="5" t="str">
        <f>IFERROR(__xludf.DUMMYFUNCTION("GOOGLETRANSLATE(B299, ""en"", ""hi"")"),"किस भारतीय राज्य ने राष्ट्रीय टीम के लिए सबसे अधिक धोप खेल खिलाड़ी तैयार किए हैं?")</f>
        <v>किस भारतीय राज्य ने राष्ट्रीय टीम के लिए सबसे अधिक धोप खेल खिलाड़ी तैयार किए हैं?</v>
      </c>
      <c r="H299" s="5" t="str">
        <f>IFERROR(__xludf.DUMMYFUNCTION("GOOGLETRANSLATE(C299, ""en"", ""hi"")"),"A) पंजाब, B) हरियाणा, C) राजस्थान, D) गुजरात")</f>
        <v>A) पंजाब, B) हरियाणा, C) राजस्थान, D) गुजरात</v>
      </c>
      <c r="I299" s="5" t="str">
        <f>IFERROR(__xludf.DUMMYFUNCTION("GOOGLETRANSLATE(D299, ""en"", ""hi"")"),"C) राजस्थान")</f>
        <v>C) राजस्थान</v>
      </c>
    </row>
    <row r="300" ht="22.5" customHeight="1">
      <c r="A300" s="3">
        <v>299.0</v>
      </c>
      <c r="B300" s="4" t="s">
        <v>6504</v>
      </c>
      <c r="C300" s="4" t="s">
        <v>6505</v>
      </c>
      <c r="D300" s="4" t="s">
        <v>6151</v>
      </c>
      <c r="F300" s="5" t="str">
        <f>IFERROR(__xludf.DUMMYFUNCTION("GOOGLETRANSLATE(A300, ""en"", ""hi"")"),"299")</f>
        <v>299</v>
      </c>
      <c r="G300" s="5" t="str">
        <f>IFERROR(__xludf.DUMMYFUNCTION("GOOGLETRANSLATE(B300, ""en"", ""hi"")"),"धोप खेल में कौन सा खिलाड़ी अपनी रणनीतिक खेल योजनाओं के लिए प्रसिद्ध है?")</f>
        <v>धोप खेल में कौन सा खिलाड़ी अपनी रणनीतिक खेल योजनाओं के लिए प्रसिद्ध है?</v>
      </c>
      <c r="H300" s="5" t="str">
        <f>IFERROR(__xludf.DUMMYFUNCTION("GOOGLETRANSLATE(C300, ""en"", ""hi"")"),"A) मोहन कुमार, B) रवि शर्मा, C) अनिल यादव, D) सुनील पटेल")</f>
        <v>A) मोहन कुमार, B) रवि शर्मा, C) अनिल यादव, D) सुनील पटेल</v>
      </c>
      <c r="I300" s="5" t="str">
        <f>IFERROR(__xludf.DUMMYFUNCTION("GOOGLETRANSLATE(D300, ""en"", ""hi"")"),"A) मोहन कुमार")</f>
        <v>A) मोहन कुमार</v>
      </c>
    </row>
    <row r="301" ht="22.5" customHeight="1">
      <c r="A301" s="3">
        <v>300.0</v>
      </c>
      <c r="B301" s="4" t="s">
        <v>6506</v>
      </c>
      <c r="C301" s="4" t="s">
        <v>6507</v>
      </c>
      <c r="D301" s="4" t="s">
        <v>6508</v>
      </c>
      <c r="F301" s="5" t="str">
        <f>IFERROR(__xludf.DUMMYFUNCTION("GOOGLETRANSLATE(A301, ""en"", ""hi"")"),"300")</f>
        <v>300</v>
      </c>
      <c r="G301" s="5" t="str">
        <f>IFERROR(__xludf.DUMMYFUNCTION("GOOGLETRANSLATE(B301, ""en"", ""hi"")"),"कौन सा धोप खेल टूर्नामेंट अपने नॉकआउट प्रारूप के लिए जाना जाता है?")</f>
        <v>कौन सा धोप खेल टूर्नामेंट अपने नॉकआउट प्रारूप के लिए जाना जाता है?</v>
      </c>
      <c r="H301" s="5" t="str">
        <f>IFERROR(__xludf.DUMMYFUNCTION("GOOGLETRANSLATE(C301, ""en"", ""hi"")"),"A) विश्व कप, B) राष्ट्रीय चैम्पियनशिप, C) एशियाई खेल, D) राज्य लीग")</f>
        <v>A) विश्व कप, B) राष्ट्रीय चैम्पियनशिप, C) एशियाई खेल, D) राज्य लीग</v>
      </c>
      <c r="I301" s="5" t="str">
        <f>IFERROR(__xludf.DUMMYFUNCTION("GOOGLETRANSLATE(D301, ""en"", ""hi"")"),"ए) विश्व कप")</f>
        <v>ए) विश्व कप</v>
      </c>
    </row>
    <row r="302" ht="22.5" customHeight="1">
      <c r="A302" s="3">
        <v>301.0</v>
      </c>
      <c r="B302" s="4" t="s">
        <v>6509</v>
      </c>
      <c r="C302" s="4" t="s">
        <v>36</v>
      </c>
      <c r="D302" s="4" t="s">
        <v>37</v>
      </c>
      <c r="F302" s="5" t="str">
        <f>IFERROR(__xludf.DUMMYFUNCTION("GOOGLETRANSLATE(A302, ""en"", ""hi"")"),"301")</f>
        <v>301</v>
      </c>
      <c r="G302" s="5" t="str">
        <f>IFERROR(__xludf.DUMMYFUNCTION("GOOGLETRANSLATE(B302, ""en"", ""hi"")"),"पहला धोप खेल राष्ट्रमंडल कप किस देश ने जीता?")</f>
        <v>पहला धोप खेल राष्ट्रमंडल कप किस देश ने जीता?</v>
      </c>
      <c r="H302" s="5" t="str">
        <f>IFERROR(__xludf.DUMMYFUNCTION("GOOGLETRANSLATE(C302, ""en"", ""hi"")"),"A) भारत, B) पाकिस्तान, C) बांग्लादेश, D) नेपाल")</f>
        <v>A) भारत, B) पाकिस्तान, C) बांग्लादेश, D) नेपाल</v>
      </c>
      <c r="I302" s="5" t="str">
        <f>IFERROR(__xludf.DUMMYFUNCTION("GOOGLETRANSLATE(D302, ""en"", ""hi"")"),"ए) भारत")</f>
        <v>ए) भारत</v>
      </c>
    </row>
    <row r="303" ht="22.5" customHeight="1">
      <c r="A303" s="3">
        <v>302.0</v>
      </c>
      <c r="B303" s="4" t="s">
        <v>6510</v>
      </c>
      <c r="C303" s="4" t="s">
        <v>6511</v>
      </c>
      <c r="D303" s="4" t="s">
        <v>6046</v>
      </c>
      <c r="F303" s="5" t="str">
        <f>IFERROR(__xludf.DUMMYFUNCTION("GOOGLETRANSLATE(A303, ""en"", ""hi"")"),"302")</f>
        <v>302</v>
      </c>
      <c r="G303" s="5" t="str">
        <f>IFERROR(__xludf.DUMMYFUNCTION("GOOGLETRANSLATE(B303, ""en"", ""hi"")"),"कौन सा धोप खेल खिलाड़ी 'ईगल डाइव' चाल के लिए जाना जाता है?")</f>
        <v>कौन सा धोप खेल खिलाड़ी 'ईगल डाइव' चाल के लिए जाना जाता है?</v>
      </c>
      <c r="H303" s="5" t="str">
        <f>IFERROR(__xludf.DUMMYFUNCTION("GOOGLETRANSLATE(C303, ""en"", ""hi"")"),"A) सुनील पटेल, B) अनिल कुमार, C) मोहन शर्मा, D) रवि यादव")</f>
        <v>A) सुनील पटेल, B) अनिल कुमार, C) मोहन शर्मा, D) रवि यादव</v>
      </c>
      <c r="I303" s="5" t="str">
        <f>IFERROR(__xludf.DUMMYFUNCTION("GOOGLETRANSLATE(D303, ""en"", ""hi"")"),"A) सुनील पटेल")</f>
        <v>A) सुनील पटेल</v>
      </c>
    </row>
    <row r="304" ht="22.5" customHeight="1">
      <c r="A304" s="3">
        <v>303.0</v>
      </c>
      <c r="B304" s="4" t="s">
        <v>6512</v>
      </c>
      <c r="C304" s="4" t="s">
        <v>5963</v>
      </c>
      <c r="D304" s="4" t="s">
        <v>4112</v>
      </c>
      <c r="F304" s="5" t="str">
        <f>IFERROR(__xludf.DUMMYFUNCTION("GOOGLETRANSLATE(A304, ""en"", ""hi"")"),"303")</f>
        <v>303</v>
      </c>
      <c r="G304" s="5" t="str">
        <f>IFERROR(__xludf.DUMMYFUNCTION("GOOGLETRANSLATE(B304, ""en"", ""hi"")"),"कौन सा भारतीय राज्य धोप खेल मास्टर्स टूर्नामेंट का मेजबान है?")</f>
        <v>कौन सा भारतीय राज्य धोप खेल मास्टर्स टूर्नामेंट का मेजबान है?</v>
      </c>
      <c r="H304" s="5" t="str">
        <f>IFERROR(__xludf.DUMMYFUNCTION("GOOGLETRANSLATE(C304, ""en"", ""hi"")"),"A) पंजाब, B) राजस्थान, C) हरियाणा, D) गुजरात")</f>
        <v>A) पंजाब, B) राजस्थान, C) हरियाणा, D) गुजरात</v>
      </c>
      <c r="I304" s="5" t="str">
        <f>IFERROR(__xludf.DUMMYFUNCTION("GOOGLETRANSLATE(D304, ""en"", ""hi"")"),"बी) राजस्थान")</f>
        <v>बी) राजस्थान</v>
      </c>
    </row>
    <row r="305" ht="22.5" customHeight="1">
      <c r="A305" s="3">
        <v>304.0</v>
      </c>
      <c r="B305" s="4" t="s">
        <v>6513</v>
      </c>
      <c r="C305" s="4" t="s">
        <v>6485</v>
      </c>
      <c r="D305" s="4" t="s">
        <v>6514</v>
      </c>
      <c r="F305" s="5" t="str">
        <f>IFERROR(__xludf.DUMMYFUNCTION("GOOGLETRANSLATE(A305, ""en"", ""hi"")"),"304")</f>
        <v>304</v>
      </c>
      <c r="G305" s="5" t="str">
        <f>IFERROR(__xludf.DUMMYFUNCTION("GOOGLETRANSLATE(B305, ""en"", ""hi"")"),"धोप खेल इतिहास में सबसे तेज टैग का रिकॉर्ड किस खिलाड़ी के नाम है?")</f>
        <v>धोप खेल इतिहास में सबसे तेज टैग का रिकॉर्ड किस खिलाड़ी के नाम है?</v>
      </c>
      <c r="H305" s="5" t="str">
        <f>IFERROR(__xludf.DUMMYFUNCTION("GOOGLETRANSLATE(C305, ""en"", ""hi"")"),"A) रवि शर्मा, B) मोहन पटेल, C) सुनील यादव, D) अनिल कुमार")</f>
        <v>A) रवि शर्मा, B) मोहन पटेल, C) सुनील यादव, D) अनिल कुमार</v>
      </c>
      <c r="I305" s="5" t="str">
        <f>IFERROR(__xludf.DUMMYFUNCTION("GOOGLETRANSLATE(D305, ""en"", ""hi"")"),"C) सुनील यादव")</f>
        <v>C) सुनील यादव</v>
      </c>
    </row>
    <row r="306" ht="22.5" customHeight="1">
      <c r="A306" s="3">
        <v>305.0</v>
      </c>
      <c r="B306" s="4" t="s">
        <v>6515</v>
      </c>
      <c r="C306" s="4" t="s">
        <v>6434</v>
      </c>
      <c r="D306" s="4" t="s">
        <v>6516</v>
      </c>
      <c r="F306" s="5" t="str">
        <f>IFERROR(__xludf.DUMMYFUNCTION("GOOGLETRANSLATE(A306, ""en"", ""hi"")"),"305")</f>
        <v>305</v>
      </c>
      <c r="G306" s="5" t="str">
        <f>IFERROR(__xludf.DUMMYFUNCTION("GOOGLETRANSLATE(B306, ""en"", ""hi"")"),"2022 धोप खेल विश्व कप की मेजबानी किस देश ने की?")</f>
        <v>2022 धोप खेल विश्व कप की मेजबानी किस देश ने की?</v>
      </c>
      <c r="H306" s="5" t="str">
        <f>IFERROR(__xludf.DUMMYFUNCTION("GOOGLETRANSLATE(C306, ""en"", ""hi"")"),"A) भारत, B) बांग्लादेश, C) नेपाल, D) पाकिस्तान")</f>
        <v>A) भारत, B) बांग्लादेश, C) नेपाल, D) पाकिस्तान</v>
      </c>
      <c r="I306" s="5" t="str">
        <f>IFERROR(__xludf.DUMMYFUNCTION("GOOGLETRANSLATE(D306, ""en"", ""hi"")"),"बी) बांग्लादेश")</f>
        <v>बी) बांग्लादेश</v>
      </c>
    </row>
    <row r="307" ht="22.5" customHeight="1">
      <c r="A307" s="3">
        <v>306.0</v>
      </c>
      <c r="B307" s="4" t="s">
        <v>6517</v>
      </c>
      <c r="C307" s="4" t="s">
        <v>6518</v>
      </c>
      <c r="D307" s="4" t="s">
        <v>6519</v>
      </c>
      <c r="F307" s="5" t="str">
        <f>IFERROR(__xludf.DUMMYFUNCTION("GOOGLETRANSLATE(A307, ""en"", ""hi"")"),"306")</f>
        <v>306</v>
      </c>
      <c r="G307" s="5" t="str">
        <f>IFERROR(__xludf.DUMMYFUNCTION("GOOGLETRANSLATE(B307, ""en"", ""hi"")"),"कौन सा धोप खेल खिलाड़ी 'फीनिक्स जंप' तकनीक के लिए जाना जाता है?")</f>
        <v>कौन सा धोप खेल खिलाड़ी 'फीनिक्स जंप' तकनीक के लिए जाना जाता है?</v>
      </c>
      <c r="H307" s="5" t="str">
        <f>IFERROR(__xludf.DUMMYFUNCTION("GOOGLETRANSLATE(C307, ""en"", ""hi"")"),"A) रवि पटेल, B) सुनील यादव, C) अनिल कुमार, D) मोहन शर्मा")</f>
        <v>A) रवि पटेल, B) सुनील यादव, C) अनिल कुमार, D) मोहन शर्मा</v>
      </c>
      <c r="I307" s="5" t="str">
        <f>IFERROR(__xludf.DUMMYFUNCTION("GOOGLETRANSLATE(D307, ""en"", ""hi"")"),"D) मोहन शर्मा")</f>
        <v>D) मोहन शर्मा</v>
      </c>
    </row>
    <row r="308" ht="22.5" customHeight="1">
      <c r="A308" s="3">
        <v>307.0</v>
      </c>
      <c r="B308" s="4" t="s">
        <v>6520</v>
      </c>
      <c r="C308" s="4" t="s">
        <v>36</v>
      </c>
      <c r="D308" s="4" t="s">
        <v>6521</v>
      </c>
      <c r="F308" s="5" t="str">
        <f>IFERROR(__xludf.DUMMYFUNCTION("GOOGLETRANSLATE(A308, ""en"", ""hi"")"),"307")</f>
        <v>307</v>
      </c>
      <c r="G308" s="5" t="str">
        <f>IFERROR(__xludf.DUMMYFUNCTION("GOOGLETRANSLATE(B308, ""en"", ""hi"")"),"2018 धोप खेल एशियाई चैम्पियनशिप किस टीम ने जीती?")</f>
        <v>2018 धोप खेल एशियाई चैम्पियनशिप किस टीम ने जीती?</v>
      </c>
      <c r="H308" s="5" t="str">
        <f>IFERROR(__xludf.DUMMYFUNCTION("GOOGLETRANSLATE(C308, ""en"", ""hi"")"),"A) भारत, B) पाकिस्तान, C) बांग्लादेश, D) नेपाल")</f>
        <v>A) भारत, B) पाकिस्तान, C) बांग्लादेश, D) नेपाल</v>
      </c>
      <c r="I308" s="5" t="str">
        <f>IFERROR(__xludf.DUMMYFUNCTION("GOOGLETRANSLATE(D308, ""en"", ""hi"")"),"C) बांग्लादेश")</f>
        <v>C) बांग्लादेश</v>
      </c>
    </row>
    <row r="309" ht="22.5" customHeight="1">
      <c r="A309" s="3">
        <v>308.0</v>
      </c>
      <c r="B309" s="4" t="s">
        <v>6522</v>
      </c>
      <c r="C309" s="4" t="s">
        <v>6523</v>
      </c>
      <c r="D309" s="4" t="s">
        <v>6524</v>
      </c>
      <c r="F309" s="5" t="str">
        <f>IFERROR(__xludf.DUMMYFUNCTION("GOOGLETRANSLATE(A309, ""en"", ""hi"")"),"308")</f>
        <v>308</v>
      </c>
      <c r="G309" s="5" t="str">
        <f>IFERROR(__xludf.DUMMYFUNCTION("GOOGLETRANSLATE(B309, ""en"", ""hi"")"),"धोप खेल में 'ड्रैगन डैश' चाल के लिए कौन सा खिलाड़ी प्रसिद्ध है?")</f>
        <v>धोप खेल में 'ड्रैगन डैश' चाल के लिए कौन सा खिलाड़ी प्रसिद्ध है?</v>
      </c>
      <c r="H309" s="5" t="str">
        <f>IFERROR(__xludf.DUMMYFUNCTION("GOOGLETRANSLATE(C309, ""en"", ""hi"")"),"A) अनिल कुमार, B) रवि यादव, C) मोहन शर्मा, D) सुनील पटेल")</f>
        <v>A) अनिल कुमार, B) रवि यादव, C) मोहन शर्मा, D) सुनील पटेल</v>
      </c>
      <c r="I309" s="5" t="str">
        <f>IFERROR(__xludf.DUMMYFUNCTION("GOOGLETRANSLATE(D309, ""en"", ""hi"")"),"बी) रवि यादव")</f>
        <v>बी) रवि यादव</v>
      </c>
    </row>
    <row r="310" ht="22.5" customHeight="1">
      <c r="A310" s="3">
        <v>309.0</v>
      </c>
      <c r="B310" s="4" t="s">
        <v>6525</v>
      </c>
      <c r="C310" s="4" t="s">
        <v>6526</v>
      </c>
      <c r="D310" s="4" t="s">
        <v>6527</v>
      </c>
      <c r="F310" s="5" t="str">
        <f>IFERROR(__xludf.DUMMYFUNCTION("GOOGLETRANSLATE(A310, ""en"", ""hi"")"),"309")</f>
        <v>309</v>
      </c>
      <c r="G310" s="5" t="str">
        <f>IFERROR(__xludf.DUMMYFUNCTION("GOOGLETRANSLATE(B310, ""en"", ""hi"")"),"कौन सी धोप खेल टीम अपनी आक्रामक खेलशैली के लिए जानी जाती है?")</f>
        <v>कौन सी धोप खेल टीम अपनी आक्रामक खेलशैली के लिए जानी जाती है?</v>
      </c>
      <c r="H310" s="5" t="str">
        <f>IFERROR(__xludf.DUMMYFUNCTION("GOOGLETRANSLATE(C310, ""en"", ""hi"")"),"A) गुजरात ग्लेडिएटर्स, B) पंजाब पैंथर्स, C) दिल्ली वॉरियर्स, D) राजस्थान रॉयल्स")</f>
        <v>A) गुजरात ग्लेडिएटर्स, B) पंजाब पैंथर्स, C) दिल्ली वॉरियर्स, D) राजस्थान रॉयल्स</v>
      </c>
      <c r="I310" s="5" t="str">
        <f>IFERROR(__xludf.DUMMYFUNCTION("GOOGLETRANSLATE(D310, ""en"", ""hi"")"),"D) राजस्थान रॉयल्स")</f>
        <v>D) राजस्थान रॉयल्स</v>
      </c>
    </row>
    <row r="311" ht="22.5" customHeight="1">
      <c r="A311" s="3">
        <v>310.0</v>
      </c>
      <c r="B311" s="4" t="s">
        <v>6528</v>
      </c>
      <c r="C311" s="4" t="s">
        <v>6529</v>
      </c>
      <c r="D311" s="4" t="s">
        <v>6151</v>
      </c>
      <c r="F311" s="5" t="str">
        <f>IFERROR(__xludf.DUMMYFUNCTION("GOOGLETRANSLATE(A311, ""en"", ""hi"")"),"310")</f>
        <v>310</v>
      </c>
      <c r="G311" s="5" t="str">
        <f>IFERROR(__xludf.DUMMYFUNCTION("GOOGLETRANSLATE(B311, ""en"", ""hi"")"),"धोप खेल इतिहास में कप्तान के रूप में किस खिलाड़ी ने सबसे अधिक लगातार जीत दर्ज की है?")</f>
        <v>धोप खेल इतिहास में कप्तान के रूप में किस खिलाड़ी ने सबसे अधिक लगातार जीत दर्ज की है?</v>
      </c>
      <c r="H311" s="5" t="str">
        <f>IFERROR(__xludf.DUMMYFUNCTION("GOOGLETRANSLATE(C311, ""en"", ""hi"")"),"A) मोहन कुमार, B) रवि शर्मा, C) सुनील पटेल, D) अनिल यादव")</f>
        <v>A) मोहन कुमार, B) रवि शर्मा, C) सुनील पटेल, D) अनिल यादव</v>
      </c>
      <c r="I311" s="5" t="str">
        <f>IFERROR(__xludf.DUMMYFUNCTION("GOOGLETRANSLATE(D311, ""en"", ""hi"")"),"A) मोहन कुमार")</f>
        <v>A) मोहन कुमार</v>
      </c>
    </row>
    <row r="312" ht="22.5" customHeight="1">
      <c r="A312" s="3">
        <v>311.0</v>
      </c>
      <c r="B312" s="4" t="s">
        <v>6530</v>
      </c>
      <c r="C312" s="4" t="s">
        <v>6531</v>
      </c>
      <c r="D312" s="4" t="s">
        <v>6480</v>
      </c>
      <c r="F312" s="5" t="str">
        <f>IFERROR(__xludf.DUMMYFUNCTION("GOOGLETRANSLATE(A312, ""en"", ""hi"")"),"311")</f>
        <v>311</v>
      </c>
      <c r="G312" s="5" t="str">
        <f>IFERROR(__xludf.DUMMYFUNCTION("GOOGLETRANSLATE(B312, ""en"", ""hi"")"),"कौन सा धोप खेल कार्यक्रम अपने पारंपरिक उद्घाटन समारोह के लिए जाना जाता है?")</f>
        <v>कौन सा धोप खेल कार्यक्रम अपने पारंपरिक उद्घाटन समारोह के लिए जाना जाता है?</v>
      </c>
      <c r="H312" s="5" t="str">
        <f>IFERROR(__xludf.DUMMYFUNCTION("GOOGLETRANSLATE(C312, ""en"", ""hi"")"),"A) विश्व कप, B) राष्ट्रीय चैम्पियनशिप, C) राज्य लीग, D) एशियाई खेल")</f>
        <v>A) विश्व कप, B) राष्ट्रीय चैम्पियनशिप, C) राज्य लीग, D) एशियाई खेल</v>
      </c>
      <c r="I312" s="5" t="str">
        <f>IFERROR(__xludf.DUMMYFUNCTION("GOOGLETRANSLATE(D312, ""en"", ""hi"")"),"बी) राष्ट्रीय चैम्पियनशिप")</f>
        <v>बी) राष्ट्रीय चैम्पियनशिप</v>
      </c>
    </row>
    <row r="313" ht="22.5" customHeight="1">
      <c r="A313" s="3">
        <v>312.0</v>
      </c>
      <c r="B313" s="4" t="s">
        <v>6532</v>
      </c>
      <c r="C313" s="4" t="s">
        <v>6533</v>
      </c>
      <c r="D313" s="4" t="s">
        <v>6046</v>
      </c>
      <c r="F313" s="5" t="str">
        <f>IFERROR(__xludf.DUMMYFUNCTION("GOOGLETRANSLATE(A313, ""en"", ""hi"")"),"312")</f>
        <v>312</v>
      </c>
      <c r="G313" s="5" t="str">
        <f>IFERROR(__xludf.DUMMYFUNCTION("GOOGLETRANSLATE(B313, ""en"", ""hi"")"),"कौन सा धोप खेल खिलाड़ी अपनी रक्षात्मक क्षमता के लिए जाना जाता है?")</f>
        <v>कौन सा धोप खेल खिलाड़ी अपनी रक्षात्मक क्षमता के लिए जाना जाता है?</v>
      </c>
      <c r="H313" s="5" t="str">
        <f>IFERROR(__xludf.DUMMYFUNCTION("GOOGLETRANSLATE(C313, ""en"", ""hi"")"),"A) सुनील पटेल, B) मोहन शर्मा, C) अनिल कुमार, D) रवि यादव")</f>
        <v>A) सुनील पटेल, B) मोहन शर्मा, C) अनिल कुमार, D) रवि यादव</v>
      </c>
      <c r="I313" s="5" t="str">
        <f>IFERROR(__xludf.DUMMYFUNCTION("GOOGLETRANSLATE(D313, ""en"", ""hi"")"),"A) सुनील पटेल")</f>
        <v>A) सुनील पटेल</v>
      </c>
    </row>
    <row r="314" ht="22.5" customHeight="1">
      <c r="A314" s="3">
        <v>313.0</v>
      </c>
      <c r="B314" s="4" t="s">
        <v>6534</v>
      </c>
      <c r="C314" s="4" t="s">
        <v>6535</v>
      </c>
      <c r="D314" s="4" t="s">
        <v>6536</v>
      </c>
      <c r="F314" s="5" t="str">
        <f>IFERROR(__xludf.DUMMYFUNCTION("GOOGLETRANSLATE(A314, ""en"", ""hi"")"),"313")</f>
        <v>313</v>
      </c>
      <c r="G314" s="5" t="str">
        <f>IFERROR(__xludf.DUMMYFUNCTION("GOOGLETRANSLATE(B314, ""en"", ""hi"")"),"कौन सा धोप खेल मैच अंतिम समय में वापसी की जीत के लिए प्रसिद्ध है?")</f>
        <v>कौन सा धोप खेल मैच अंतिम समय में वापसी की जीत के लिए प्रसिद्ध है?</v>
      </c>
      <c r="H314" s="5" t="str">
        <f>IFERROR(__xludf.DUMMYFUNCTION("GOOGLETRANSLATE(C314, ""en"", ""hi"")"),"A) भारत बनाम पाकिस्तान 2014, B) नेपाल बनाम बांग्लादेश 2015, C) भारत बनाम बांग्लादेश 2016, D) पाकिस्तान बनाम नेपाल 2017")</f>
        <v>A) भारत बनाम पाकिस्तान 2014, B) नेपाल बनाम बांग्लादेश 2015, C) भारत बनाम बांग्लादेश 2016, D) पाकिस्तान बनाम नेपाल 2017</v>
      </c>
      <c r="I314" s="5" t="str">
        <f>IFERROR(__xludf.DUMMYFUNCTION("GOOGLETRANSLATE(D314, ""en"", ""hi"")"),"ए) भारत बनाम पाकिस्तान 2014")</f>
        <v>ए) भारत बनाम पाकिस्तान 2014</v>
      </c>
    </row>
    <row r="315" ht="22.5" customHeight="1">
      <c r="A315" s="3">
        <v>314.0</v>
      </c>
      <c r="B315" s="4" t="s">
        <v>6537</v>
      </c>
      <c r="C315" s="4" t="s">
        <v>6538</v>
      </c>
      <c r="D315" s="4" t="s">
        <v>6539</v>
      </c>
      <c r="F315" s="5" t="str">
        <f>IFERROR(__xludf.DUMMYFUNCTION("GOOGLETRANSLATE(A315, ""en"", ""hi"")"),"314")</f>
        <v>314</v>
      </c>
      <c r="G315" s="5" t="str">
        <f>IFERROR(__xludf.DUMMYFUNCTION("GOOGLETRANSLATE(B315, ""en"", ""hi"")"),"धोप खेल को पहली बार औपचारिक खेल के रूप में किस वर्ष शुरू किया गया था?")</f>
        <v>धोप खेल को पहली बार औपचारिक खेल के रूप में किस वर्ष शुरू किया गया था?</v>
      </c>
      <c r="H315" s="5" t="str">
        <f>IFERROR(__xludf.DUMMYFUNCTION("GOOGLETRANSLATE(C315, ""en"", ""hi"")"),"ए) 1880, बी) 1900, सी) 1920, डी) 1950")</f>
        <v>ए) 1880, बी) 1900, सी) 1920, डी) 1950</v>
      </c>
      <c r="I315" s="5" t="str">
        <f>IFERROR(__xludf.DUMMYFUNCTION("GOOGLETRANSLATE(D315, ""en"", ""hi"")"),"सी) 1920")</f>
        <v>सी) 1920</v>
      </c>
    </row>
    <row r="316" ht="22.5" customHeight="1">
      <c r="A316" s="3">
        <v>315.0</v>
      </c>
      <c r="B316" s="4" t="s">
        <v>6540</v>
      </c>
      <c r="C316" s="4" t="s">
        <v>6541</v>
      </c>
      <c r="D316" s="4" t="s">
        <v>6542</v>
      </c>
      <c r="F316" s="5" t="str">
        <f>IFERROR(__xludf.DUMMYFUNCTION("GOOGLETRANSLATE(A316, ""en"", ""hi"")"),"315")</f>
        <v>315</v>
      </c>
      <c r="G316" s="5" t="str">
        <f>IFERROR(__xludf.DUMMYFUNCTION("GOOGLETRANSLATE(B316, ""en"", ""hi"")"),"धोप खेल का उद्गम स्थल कौन सा भारतीय राज्य माना जाता है?")</f>
        <v>धोप खेल का उद्गम स्थल कौन सा भारतीय राज्य माना जाता है?</v>
      </c>
      <c r="H316" s="5" t="str">
        <f>IFERROR(__xludf.DUMMYFUNCTION("GOOGLETRANSLATE(C316, ""en"", ""hi"")"),"A) असम, B) पंजाब, C) महाराष्ट्र, D) केरल")</f>
        <v>A) असम, B) पंजाब, C) महाराष्ट्र, D) केरल</v>
      </c>
      <c r="I316" s="5" t="str">
        <f>IFERROR(__xludf.DUMMYFUNCTION("GOOGLETRANSLATE(D316, ""en"", ""hi"")"),"A) असम")</f>
        <v>A) असम</v>
      </c>
    </row>
    <row r="317" ht="22.5" customHeight="1">
      <c r="A317" s="3">
        <v>316.0</v>
      </c>
      <c r="B317" s="4" t="s">
        <v>6543</v>
      </c>
      <c r="C317" s="4" t="s">
        <v>1901</v>
      </c>
      <c r="D317" s="4" t="s">
        <v>814</v>
      </c>
      <c r="F317" s="5" t="str">
        <f>IFERROR(__xludf.DUMMYFUNCTION("GOOGLETRANSLATE(A317, ""en"", ""hi"")"),"316")</f>
        <v>316</v>
      </c>
      <c r="G317" s="5" t="str">
        <f>IFERROR(__xludf.DUMMYFUNCTION("GOOGLETRANSLATE(B317, ""en"", ""hi"")"),"पहली धोप खेल राष्ट्रीय चैम्पियनशिप कब आयोजित की गई थी?")</f>
        <v>पहली धोप खेल राष्ट्रीय चैम्पियनशिप कब आयोजित की गई थी?</v>
      </c>
      <c r="H317" s="5" t="str">
        <f>IFERROR(__xludf.DUMMYFUNCTION("GOOGLETRANSLATE(C317, ""en"", ""hi"")"),"ए) 1985, बी) 1990, सी) 1995, डी) 2000")</f>
        <v>ए) 1985, बी) 1990, सी) 1995, डी) 2000</v>
      </c>
      <c r="I317" s="5" t="str">
        <f>IFERROR(__xludf.DUMMYFUNCTION("GOOGLETRANSLATE(D317, ""en"", ""hi"")"),"बी) 1990")</f>
        <v>बी) 1990</v>
      </c>
    </row>
    <row r="318" ht="22.5" customHeight="1">
      <c r="A318" s="3">
        <v>317.0</v>
      </c>
      <c r="B318" s="4" t="s">
        <v>6544</v>
      </c>
      <c r="C318" s="4" t="s">
        <v>6545</v>
      </c>
      <c r="D318" s="4" t="s">
        <v>6546</v>
      </c>
      <c r="F318" s="5" t="str">
        <f>IFERROR(__xludf.DUMMYFUNCTION("GOOGLETRANSLATE(A318, ""en"", ""hi"")"),"317")</f>
        <v>317</v>
      </c>
      <c r="G318" s="5" t="str">
        <f>IFERROR(__xludf.DUMMYFUNCTION("GOOGLETRANSLATE(B318, ""en"", ""hi"")"),"धोप खेल का पहला महान खिलाड़ी किसे माना जाता है?")</f>
        <v>धोप खेल का पहला महान खिलाड़ी किसे माना जाता है?</v>
      </c>
      <c r="H318" s="5" t="str">
        <f>IFERROR(__xludf.DUMMYFUNCTION("GOOGLETRANSLATE(C318, ""en"", ""hi"")"),"ए) मनोहर दास, बी) राजेश कुमार, सी) सुबीर सिन्हा, डी) हरेंद्र चौधरी")</f>
        <v>ए) मनोहर दास, बी) राजेश कुमार, सी) सुबीर सिन्हा, डी) हरेंद्र चौधरी</v>
      </c>
      <c r="I318" s="5" t="str">
        <f>IFERROR(__xludf.DUMMYFUNCTION("GOOGLETRANSLATE(D318, ""en"", ""hi"")"),"D) हरेंद्र चौधरी")</f>
        <v>D) हरेंद्र चौधरी</v>
      </c>
    </row>
    <row r="319" ht="22.5" customHeight="1">
      <c r="A319" s="3">
        <v>318.0</v>
      </c>
      <c r="B319" s="4" t="s">
        <v>6547</v>
      </c>
      <c r="C319" s="4" t="s">
        <v>6548</v>
      </c>
      <c r="D319" s="4" t="s">
        <v>37</v>
      </c>
      <c r="F319" s="5" t="str">
        <f>IFERROR(__xludf.DUMMYFUNCTION("GOOGLETRANSLATE(A319, ""en"", ""hi"")"),"318")</f>
        <v>318</v>
      </c>
      <c r="G319" s="5" t="str">
        <f>IFERROR(__xludf.DUMMYFUNCTION("GOOGLETRANSLATE(B319, ""en"", ""hi"")"),"किस देश ने पहला अंतर्राष्ट्रीय धोप खेल मैच आयोजित किया था?")</f>
        <v>किस देश ने पहला अंतर्राष्ट्रीय धोप खेल मैच आयोजित किया था?</v>
      </c>
      <c r="H319" s="5" t="str">
        <f>IFERROR(__xludf.DUMMYFUNCTION("GOOGLETRANSLATE(C319, ""en"", ""hi"")"),"ए) भारत, बी) बांग्लादेश, सी) नेपाल, डी) भूटान")</f>
        <v>ए) भारत, बी) बांग्लादेश, सी) नेपाल, डी) भूटान</v>
      </c>
      <c r="I319" s="5" t="str">
        <f>IFERROR(__xludf.DUMMYFUNCTION("GOOGLETRANSLATE(D319, ""en"", ""hi"")"),"ए) भारत")</f>
        <v>ए) भारत</v>
      </c>
    </row>
    <row r="320" ht="22.5" customHeight="1">
      <c r="A320" s="3">
        <v>319.0</v>
      </c>
      <c r="B320" s="4" t="s">
        <v>6549</v>
      </c>
      <c r="C320" s="4" t="s">
        <v>6550</v>
      </c>
      <c r="D320" s="4" t="s">
        <v>6551</v>
      </c>
      <c r="F320" s="5" t="str">
        <f>IFERROR(__xludf.DUMMYFUNCTION("GOOGLETRANSLATE(A320, ""en"", ""hi"")"),"319")</f>
        <v>319</v>
      </c>
      <c r="G320" s="5" t="str">
        <f>IFERROR(__xludf.DUMMYFUNCTION("GOOGLETRANSLATE(B320, ""en"", ""hi"")"),"धोप खेल को भारत के राष्ट्रीय खेलों में किस वर्ष शामिल किया गया था?")</f>
        <v>धोप खेल को भारत के राष्ट्रीय खेलों में किस वर्ष शामिल किया गया था?</v>
      </c>
      <c r="H320" s="5" t="str">
        <f>IFERROR(__xludf.DUMMYFUNCTION("GOOGLETRANSLATE(C320, ""en"", ""hi"")"),"ए) 1998, बी) 2004, सी) 2008, डी) 2010")</f>
        <v>ए) 1998, बी) 2004, सी) 2008, डी) 2010</v>
      </c>
      <c r="I320" s="5" t="str">
        <f>IFERROR(__xludf.DUMMYFUNCTION("GOOGLETRANSLATE(D320, ""en"", ""hi"")"),"बी) 2004")</f>
        <v>बी) 2004</v>
      </c>
    </row>
    <row r="321" ht="22.5" customHeight="1">
      <c r="A321" s="3">
        <v>320.0</v>
      </c>
      <c r="B321" s="4" t="s">
        <v>6283</v>
      </c>
      <c r="C321" s="4" t="s">
        <v>6552</v>
      </c>
      <c r="D321" s="4" t="s">
        <v>6553</v>
      </c>
      <c r="F321" s="5" t="str">
        <f>IFERROR(__xludf.DUMMYFUNCTION("GOOGLETRANSLATE(A321, ""en"", ""hi"")"),"320")</f>
        <v>320</v>
      </c>
      <c r="G321" s="5" t="str">
        <f>IFERROR(__xludf.DUMMYFUNCTION("GOOGLETRANSLATE(B321, ""en"", ""hi"")"),"किस भारतीय शहर ने पहले धोप खेल विश्व कप की मेजबानी की?")</f>
        <v>किस भारतीय शहर ने पहले धोप खेल विश्व कप की मेजबानी की?</v>
      </c>
      <c r="H321" s="5" t="str">
        <f>IFERROR(__xludf.DUMMYFUNCTION("GOOGLETRANSLATE(C321, ""en"", ""hi"")"),"ए) गुवाहाटी, बी) कोलकाता, सी) मुंबई, डी) नई दिल्ली")</f>
        <v>ए) गुवाहाटी, बी) कोलकाता, सी) मुंबई, डी) नई दिल्ली</v>
      </c>
      <c r="I321" s="5" t="str">
        <f>IFERROR(__xludf.DUMMYFUNCTION("GOOGLETRANSLATE(D321, ""en"", ""hi"")"),"ए) गुवाहाटी")</f>
        <v>ए) गुवाहाटी</v>
      </c>
    </row>
    <row r="322" ht="22.5" customHeight="1">
      <c r="A322" s="3">
        <v>321.0</v>
      </c>
      <c r="B322" s="4" t="s">
        <v>6554</v>
      </c>
      <c r="C322" s="4" t="s">
        <v>6555</v>
      </c>
      <c r="D322" s="4" t="s">
        <v>6556</v>
      </c>
      <c r="F322" s="5" t="str">
        <f>IFERROR(__xludf.DUMMYFUNCTION("GOOGLETRANSLATE(A322, ""en"", ""hi"")"),"321")</f>
        <v>321</v>
      </c>
      <c r="G322" s="5" t="str">
        <f>IFERROR(__xludf.DUMMYFUNCTION("GOOGLETRANSLATE(B322, ""en"", ""hi"")"),"भारत में धोप खेल कोच के लिए प्रयुक्त ऐतिहासिक शब्द क्या है?")</f>
        <v>भारत में धोप खेल कोच के लिए प्रयुक्त ऐतिहासिक शब्द क्या है?</v>
      </c>
      <c r="H322" s="5" t="str">
        <f>IFERROR(__xludf.DUMMYFUNCTION("GOOGLETRANSLATE(C322, ""en"", ""hi"")"),"ए) गुरु, बी) उस्ताद, सी) शिक्षक, डी) खेलाचार्य")</f>
        <v>ए) गुरु, बी) उस्ताद, सी) शिक्षक, डी) खेलाचार्य</v>
      </c>
      <c r="I322" s="5" t="str">
        <f>IFERROR(__xludf.DUMMYFUNCTION("GOOGLETRANSLATE(D322, ""en"", ""hi"")"),"D) खेलाचार्य")</f>
        <v>D) खेलाचार्य</v>
      </c>
    </row>
    <row r="323" ht="22.5" customHeight="1">
      <c r="A323" s="3">
        <v>322.0</v>
      </c>
      <c r="B323" s="4" t="s">
        <v>6557</v>
      </c>
      <c r="C323" s="4" t="s">
        <v>5369</v>
      </c>
      <c r="D323" s="4" t="s">
        <v>837</v>
      </c>
      <c r="F323" s="5" t="str">
        <f>IFERROR(__xludf.DUMMYFUNCTION("GOOGLETRANSLATE(A323, ""en"", ""hi"")"),"322")</f>
        <v>322</v>
      </c>
      <c r="G323" s="5" t="str">
        <f>IFERROR(__xludf.DUMMYFUNCTION("GOOGLETRANSLATE(B323, ""en"", ""hi"")"),"धोप खेल की पेशेवर लीग की शुरुआत किस वर्ष हुई?")</f>
        <v>धोप खेल की पेशेवर लीग की शुरुआत किस वर्ष हुई?</v>
      </c>
      <c r="H323" s="5" t="str">
        <f>IFERROR(__xludf.DUMMYFUNCTION("GOOGLETRANSLATE(C323, ""en"", ""hi"")"),"ए) 2010, बी) 2015, सी) 2018, डी) 2020")</f>
        <v>ए) 2010, बी) 2015, सी) 2018, डी) 2020</v>
      </c>
      <c r="I323" s="5" t="str">
        <f>IFERROR(__xludf.DUMMYFUNCTION("GOOGLETRANSLATE(D323, ""en"", ""hi"")"),"बी) 2015")</f>
        <v>बी) 2015</v>
      </c>
    </row>
    <row r="324" ht="22.5" customHeight="1">
      <c r="A324" s="3">
        <v>323.0</v>
      </c>
      <c r="B324" s="4" t="s">
        <v>6558</v>
      </c>
      <c r="C324" s="4" t="s">
        <v>6559</v>
      </c>
      <c r="D324" s="4" t="s">
        <v>6560</v>
      </c>
      <c r="F324" s="5" t="str">
        <f>IFERROR(__xludf.DUMMYFUNCTION("GOOGLETRANSLATE(A324, ""en"", ""hi"")"),"323")</f>
        <v>323</v>
      </c>
      <c r="G324" s="5" t="str">
        <f>IFERROR(__xludf.DUMMYFUNCTION("GOOGLETRANSLATE(B324, ""en"", ""hi"")"),"2018 विश्व कप के दौरान भारतीय धोप खेल टीम का कप्तान कौन था?")</f>
        <v>2018 विश्व कप के दौरान भारतीय धोप खेल टीम का कप्तान कौन था?</v>
      </c>
      <c r="H324" s="5" t="str">
        <f>IFERROR(__xludf.DUMMYFUNCTION("GOOGLETRANSLATE(C324, ""en"", ""hi"")"),"ए) अर्जुन सिंह, बी) राहुल वर्मा, सी) सुरेश दास, डी) अनिल शर्मा")</f>
        <v>ए) अर्जुन सिंह, बी) राहुल वर्मा, सी) सुरेश दास, डी) अनिल शर्मा</v>
      </c>
      <c r="I324" s="5" t="str">
        <f>IFERROR(__xludf.DUMMYFUNCTION("GOOGLETRANSLATE(D324, ""en"", ""hi"")"),"C) सुरेश दास")</f>
        <v>C) सुरेश दास</v>
      </c>
    </row>
    <row r="325" ht="22.5" customHeight="1">
      <c r="A325" s="3">
        <v>324.0</v>
      </c>
      <c r="B325" s="4" t="s">
        <v>6171</v>
      </c>
      <c r="C325" s="4" t="s">
        <v>6561</v>
      </c>
      <c r="D325" s="4" t="s">
        <v>6542</v>
      </c>
      <c r="F325" s="5" t="str">
        <f>IFERROR(__xludf.DUMMYFUNCTION("GOOGLETRANSLATE(A325, ""en"", ""hi"")"),"324")</f>
        <v>324</v>
      </c>
      <c r="G325" s="5" t="str">
        <f>IFERROR(__xludf.DUMMYFUNCTION("GOOGLETRANSLATE(B325, ""en"", ""hi"")"),"किस भारतीय राज्य में धोप खेल प्रशिक्षण शिविरों की संख्या सबसे अधिक है?")</f>
        <v>किस भारतीय राज्य में धोप खेल प्रशिक्षण शिविरों की संख्या सबसे अधिक है?</v>
      </c>
      <c r="H325" s="5" t="str">
        <f>IFERROR(__xludf.DUMMYFUNCTION("GOOGLETRANSLATE(C325, ""en"", ""hi"")"),"A) असम, B) पंजाब, C) केरल, D) उत्तर प्रदेश")</f>
        <v>A) असम, B) पंजाब, C) केरल, D) उत्तर प्रदेश</v>
      </c>
      <c r="I325" s="5" t="str">
        <f>IFERROR(__xludf.DUMMYFUNCTION("GOOGLETRANSLATE(D325, ""en"", ""hi"")"),"A) असम")</f>
        <v>A) असम</v>
      </c>
    </row>
    <row r="326" ht="22.5" customHeight="1">
      <c r="A326" s="3">
        <v>325.0</v>
      </c>
      <c r="B326" s="4" t="s">
        <v>6562</v>
      </c>
      <c r="C326" s="4" t="s">
        <v>2001</v>
      </c>
      <c r="D326" s="4" t="s">
        <v>2002</v>
      </c>
      <c r="F326" s="5" t="str">
        <f>IFERROR(__xludf.DUMMYFUNCTION("GOOGLETRANSLATE(A326, ""en"", ""hi"")"),"325")</f>
        <v>325</v>
      </c>
      <c r="G326" s="5" t="str">
        <f>IFERROR(__xludf.DUMMYFUNCTION("GOOGLETRANSLATE(B326, ""en"", ""hi"")"),"पहली धोप खेल अंतर्राष्ट्रीय नियम पुस्तिका किस वर्ष मानकीकृत की गई थी?")</f>
        <v>पहली धोप खेल अंतर्राष्ट्रीय नियम पुस्तिका किस वर्ष मानकीकृत की गई थी?</v>
      </c>
      <c r="H326" s="5" t="str">
        <f>IFERROR(__xludf.DUMMYFUNCTION("GOOGLETRANSLATE(C326, ""en"", ""hi"")"),"ए) 2000, बी) 2005, सी) 2010, डी) 2015")</f>
        <v>ए) 2000, बी) 2005, सी) 2010, डी) 2015</v>
      </c>
      <c r="I326" s="5" t="str">
        <f>IFERROR(__xludf.DUMMYFUNCTION("GOOGLETRANSLATE(D326, ""en"", ""hi"")"),"सी) 2010")</f>
        <v>सी) 2010</v>
      </c>
    </row>
    <row r="327" ht="22.5" customHeight="1">
      <c r="A327" s="3">
        <v>326.0</v>
      </c>
      <c r="B327" s="4" t="s">
        <v>6159</v>
      </c>
      <c r="C327" s="4" t="s">
        <v>6563</v>
      </c>
      <c r="D327" s="4" t="s">
        <v>6564</v>
      </c>
      <c r="F327" s="5" t="str">
        <f>IFERROR(__xludf.DUMMYFUNCTION("GOOGLETRANSLATE(A327, ""en"", ""hi"")"),"326")</f>
        <v>326</v>
      </c>
      <c r="G327" s="5" t="str">
        <f>IFERROR(__xludf.DUMMYFUNCTION("GOOGLETRANSLATE(B327, ""en"", ""hi"")"),"धोप खेल में 'डबल टैग' तकनीक विकसित करने के लिए कौन सा खिलाड़ी जाना जाता है?")</f>
        <v>धोप खेल में 'डबल टैग' तकनीक विकसित करने के लिए कौन सा खिलाड़ी जाना जाता है?</v>
      </c>
      <c r="H327" s="5" t="str">
        <f>IFERROR(__xludf.DUMMYFUNCTION("GOOGLETRANSLATE(C327, ""en"", ""hi"")"),"ए) हर्ष पटेल, बी) विकास शर्मा, सी) रंजन दास, डी) सुबोध राय")</f>
        <v>ए) हर्ष पटेल, बी) विकास शर्मा, सी) रंजन दास, डी) सुबोध राय</v>
      </c>
      <c r="I327" s="5" t="str">
        <f>IFERROR(__xludf.DUMMYFUNCTION("GOOGLETRANSLATE(D327, ""en"", ""hi"")"),"बी) विकास शर्मा")</f>
        <v>बी) विकास शर्मा</v>
      </c>
    </row>
    <row r="328" ht="22.5" customHeight="1">
      <c r="A328" s="3">
        <v>327.0</v>
      </c>
      <c r="B328" s="4" t="s">
        <v>6188</v>
      </c>
      <c r="C328" s="4" t="s">
        <v>6565</v>
      </c>
      <c r="D328" s="4" t="s">
        <v>6566</v>
      </c>
      <c r="F328" s="5" t="str">
        <f>IFERROR(__xludf.DUMMYFUNCTION("GOOGLETRANSLATE(A328, ""en"", ""hi"")"),"327")</f>
        <v>327</v>
      </c>
      <c r="G328" s="5" t="str">
        <f>IFERROR(__xludf.DUMMYFUNCTION("GOOGLETRANSLATE(B328, ""en"", ""hi"")"),"धोप खेल विश्व कप में भाग लेने वाली पहली महिला खिलाड़ी कौन थी?")</f>
        <v>धोप खेल विश्व कप में भाग लेने वाली पहली महिला खिलाड़ी कौन थी?</v>
      </c>
      <c r="H328" s="5" t="str">
        <f>IFERROR(__xludf.DUMMYFUNCTION("GOOGLETRANSLATE(C328, ""en"", ""hi"")"),"ए) पूजा दास, बी) आशा गुप्ता, सी) नंदिनी शर्मा, डी) सुनीता सेन")</f>
        <v>ए) पूजा दास, बी) आशा गुप्ता, सी) नंदिनी शर्मा, डी) सुनीता सेन</v>
      </c>
      <c r="I328" s="5" t="str">
        <f>IFERROR(__xludf.DUMMYFUNCTION("GOOGLETRANSLATE(D328, ""en"", ""hi"")"),"D) सुनीता सेन")</f>
        <v>D) सुनीता सेन</v>
      </c>
    </row>
    <row r="329" ht="22.5" customHeight="1">
      <c r="A329" s="3">
        <v>328.0</v>
      </c>
      <c r="B329" s="4" t="s">
        <v>6567</v>
      </c>
      <c r="C329" s="4" t="s">
        <v>6568</v>
      </c>
      <c r="D329" s="4" t="s">
        <v>6542</v>
      </c>
      <c r="F329" s="5" t="str">
        <f>IFERROR(__xludf.DUMMYFUNCTION("GOOGLETRANSLATE(A329, ""en"", ""hi"")"),"328")</f>
        <v>328</v>
      </c>
      <c r="G329" s="5" t="str">
        <f>IFERROR(__xludf.DUMMYFUNCTION("GOOGLETRANSLATE(B329, ""en"", ""hi"")"),"धोप खेल पेशेवर लीग शुरू करने वाला पहला राज्य कौन सा था?")</f>
        <v>धोप खेल पेशेवर लीग शुरू करने वाला पहला राज्य कौन सा था?</v>
      </c>
      <c r="H329" s="5" t="str">
        <f>IFERROR(__xludf.DUMMYFUNCTION("GOOGLETRANSLATE(C329, ""en"", ""hi"")"),"A) असम, B) महाराष्ट्र, C) पश्चिम बंगाल, D) पंजाब")</f>
        <v>A) असम, B) महाराष्ट्र, C) पश्चिम बंगाल, D) पंजाब</v>
      </c>
      <c r="I329" s="5" t="str">
        <f>IFERROR(__xludf.DUMMYFUNCTION("GOOGLETRANSLATE(D329, ""en"", ""hi"")"),"A) असम")</f>
        <v>A) असम</v>
      </c>
    </row>
    <row r="330" ht="22.5" customHeight="1">
      <c r="A330" s="3">
        <v>329.0</v>
      </c>
      <c r="B330" s="4" t="s">
        <v>6185</v>
      </c>
      <c r="C330" s="4" t="s">
        <v>6569</v>
      </c>
      <c r="D330" s="4" t="s">
        <v>6570</v>
      </c>
      <c r="F330" s="5" t="str">
        <f>IFERROR(__xludf.DUMMYFUNCTION("GOOGLETRANSLATE(A330, ""en"", ""hi"")"),"329")</f>
        <v>329</v>
      </c>
      <c r="G330" s="5" t="str">
        <f>IFERROR(__xludf.DUMMYFUNCTION("GOOGLETRANSLATE(B330, ""en"", ""hi"")"),"2010 में धोप खेल के मैदान के आयामों में क्या महत्वपूर्ण परिवर्तन किया गया?")</f>
        <v>2010 में धोप खेल के मैदान के आयामों में क्या महत्वपूर्ण परिवर्तन किया गया?</v>
      </c>
      <c r="H330" s="5" t="str">
        <f>IFERROR(__xludf.DUMMYFUNCTION("GOOGLETRANSLATE(C330, ""en"", ""hi"")"),"ए) मैदान का आकार कम करना, बी) गोलपोस्ट की ऊंचाई बढ़ाना, सी) मानकीकृत मैदान चिह्न, डी) प्रति खेल समय सीमा")</f>
        <v>ए) मैदान का आकार कम करना, बी) गोलपोस्ट की ऊंचाई बढ़ाना, सी) मानकीकृत मैदान चिह्न, डी) प्रति खेल समय सीमा</v>
      </c>
      <c r="I330" s="5" t="str">
        <f>IFERROR(__xludf.DUMMYFUNCTION("GOOGLETRANSLATE(D330, ""en"", ""hi"")"),"C) मानकीकृत क्षेत्र चिह्नांकन")</f>
        <v>C) मानकीकृत क्षेत्र चिह्नांकन</v>
      </c>
    </row>
    <row r="331" ht="22.5" customHeight="1">
      <c r="A331" s="3">
        <v>330.0</v>
      </c>
      <c r="B331" s="4" t="s">
        <v>6571</v>
      </c>
      <c r="C331" s="4" t="s">
        <v>6572</v>
      </c>
      <c r="D331" s="4" t="s">
        <v>6573</v>
      </c>
      <c r="F331" s="5" t="str">
        <f>IFERROR(__xludf.DUMMYFUNCTION("GOOGLETRANSLATE(A331, ""en"", ""hi"")"),"330")</f>
        <v>330</v>
      </c>
      <c r="G331" s="5" t="str">
        <f>IFERROR(__xludf.DUMMYFUNCTION("GOOGLETRANSLATE(B331, ""en"", ""hi"")"),"2019 धोप खेल विश्व कप में सर्वश्रेष्ठ रक्षात्मक खिलाड़ी का पुरस्कार किसने जीता?")</f>
        <v>2019 धोप खेल विश्व कप में सर्वश्रेष्ठ रक्षात्मक खिलाड़ी का पुरस्कार किसने जीता?</v>
      </c>
      <c r="H331" s="5" t="str">
        <f>IFERROR(__xludf.DUMMYFUNCTION("GOOGLETRANSLATE(C331, ""en"", ""hi"")"),"ए) सूरज राय, बी) अमित सिंह, सी) अजय कुमार, डी) मनोज दास")</f>
        <v>ए) सूरज राय, बी) अमित सिंह, सी) अजय कुमार, डी) मनोज दास</v>
      </c>
      <c r="I331" s="5" t="str">
        <f>IFERROR(__xludf.DUMMYFUNCTION("GOOGLETRANSLATE(D331, ""en"", ""hi"")"),"A) सूरज राय")</f>
        <v>A) सूरज राय</v>
      </c>
    </row>
    <row r="332" ht="22.5" customHeight="1">
      <c r="A332" s="3">
        <v>331.0</v>
      </c>
      <c r="B332" s="4" t="s">
        <v>6574</v>
      </c>
      <c r="C332" s="4" t="s">
        <v>6575</v>
      </c>
      <c r="D332" s="4" t="s">
        <v>6576</v>
      </c>
      <c r="F332" s="5" t="str">
        <f>IFERROR(__xludf.DUMMYFUNCTION("GOOGLETRANSLATE(A332, ""en"", ""hi"")"),"331")</f>
        <v>331</v>
      </c>
      <c r="G332" s="5" t="str">
        <f>IFERROR(__xludf.DUMMYFUNCTION("GOOGLETRANSLATE(B332, ""en"", ""hi"")"),"धोप खेल पहली बार किस वर्ष राष्ट्रमंडल खेलों में शामिल किया गया था?")</f>
        <v>धोप खेल पहली बार किस वर्ष राष्ट्रमंडल खेलों में शामिल किया गया था?</v>
      </c>
      <c r="H332" s="5" t="str">
        <f>IFERROR(__xludf.DUMMYFUNCTION("GOOGLETRANSLATE(C332, ""en"", ""hi"")"),"ए) 2018, बी) 2020, सी) 2022, डी) 2024")</f>
        <v>ए) 2018, बी) 2020, सी) 2022, डी) 2024</v>
      </c>
      <c r="I332" s="5" t="str">
        <f>IFERROR(__xludf.DUMMYFUNCTION("GOOGLETRANSLATE(D332, ""en"", ""hi"")"),"ए) 2018")</f>
        <v>ए) 2018</v>
      </c>
    </row>
    <row r="333" ht="22.5" customHeight="1">
      <c r="A333" s="3">
        <v>332.0</v>
      </c>
      <c r="B333" s="4" t="s">
        <v>6577</v>
      </c>
      <c r="C333" s="4" t="s">
        <v>6578</v>
      </c>
      <c r="D333" s="4" t="s">
        <v>6579</v>
      </c>
      <c r="F333" s="5" t="str">
        <f>IFERROR(__xludf.DUMMYFUNCTION("GOOGLETRANSLATE(A333, ""en"", ""hi"")"),"332")</f>
        <v>332</v>
      </c>
      <c r="G333" s="5" t="str">
        <f>IFERROR(__xludf.DUMMYFUNCTION("GOOGLETRANSLATE(B333, ""en"", ""hi"")"),"धोप खेल विश्व कप मैच में पूर्ण स्कोर हासिल करने वाला पहला खिलाड़ी कौन था?")</f>
        <v>धोप खेल विश्व कप मैच में पूर्ण स्कोर हासिल करने वाला पहला खिलाड़ी कौन था?</v>
      </c>
      <c r="H333" s="5" t="str">
        <f>IFERROR(__xludf.DUMMYFUNCTION("GOOGLETRANSLATE(C333, ""en"", ""hi"")"),"A) विनोद सिन्हा, B) अर्जुन देसाई, C) संतोष पटेल, D) रवि किरण")</f>
        <v>A) विनोद सिन्हा, B) अर्जुन देसाई, C) संतोष पटेल, D) रवि किरण</v>
      </c>
      <c r="I333" s="5" t="str">
        <f>IFERROR(__xludf.DUMMYFUNCTION("GOOGLETRANSLATE(D333, ""en"", ""hi"")"),"C) संतोष पटेल")</f>
        <v>C) संतोष पटेल</v>
      </c>
    </row>
    <row r="334" ht="22.5" customHeight="1">
      <c r="A334" s="3">
        <v>333.0</v>
      </c>
      <c r="B334" s="4" t="s">
        <v>6580</v>
      </c>
      <c r="C334" s="4" t="s">
        <v>6581</v>
      </c>
      <c r="D334" s="4" t="s">
        <v>6542</v>
      </c>
      <c r="F334" s="5" t="str">
        <f>IFERROR(__xludf.DUMMYFUNCTION("GOOGLETRANSLATE(A334, ""en"", ""hi"")"),"333")</f>
        <v>333</v>
      </c>
      <c r="G334" s="5" t="str">
        <f>IFERROR(__xludf.DUMMYFUNCTION("GOOGLETRANSLATE(B334, ""en"", ""hi"")"),"कौन सा भारतीय राज्य 19वीं शताब्दी के ऐतिहासिक धोप खेल टूर्नामेंट के लिए प्रसिद्ध है?")</f>
        <v>कौन सा भारतीय राज्य 19वीं शताब्दी के ऐतिहासिक धोप खेल टूर्नामेंट के लिए प्रसिद्ध है?</v>
      </c>
      <c r="H334" s="5" t="str">
        <f>IFERROR(__xludf.DUMMYFUNCTION("GOOGLETRANSLATE(C334, ""en"", ""hi"")"),"ए) असम, बी) पंजाब, सी) राजस्थान, डी) महाराष्ट्र")</f>
        <v>ए) असम, बी) पंजाब, सी) राजस्थान, डी) महाराष्ट्र</v>
      </c>
      <c r="I334" s="5" t="str">
        <f>IFERROR(__xludf.DUMMYFUNCTION("GOOGLETRANSLATE(D334, ""en"", ""hi"")"),"A) असम")</f>
        <v>A) असम</v>
      </c>
    </row>
    <row r="335" ht="22.5" customHeight="1">
      <c r="A335" s="3">
        <v>334.0</v>
      </c>
      <c r="B335" s="4" t="s">
        <v>6168</v>
      </c>
      <c r="C335" s="4" t="s">
        <v>6582</v>
      </c>
      <c r="D335" s="4" t="s">
        <v>6583</v>
      </c>
      <c r="F335" s="5" t="str">
        <f>IFERROR(__xludf.DUMMYFUNCTION("GOOGLETRANSLATE(A335, ""en"", ""hi"")"),"334")</f>
        <v>334</v>
      </c>
      <c r="G335" s="5" t="str">
        <f>IFERROR(__xludf.DUMMYFUNCTION("GOOGLETRANSLATE(B335, ""en"", ""hi"")"),"कौन सा धोप खेल खिलाड़ी 'रिवर्स डॉज' चाल के अपने अभिनव उपयोग के लिए प्रसिद्ध है?")</f>
        <v>कौन सा धोप खेल खिलाड़ी 'रिवर्स डॉज' चाल के अपने अभिनव उपयोग के लिए प्रसिद्ध है?</v>
      </c>
      <c r="H335" s="5" t="str">
        <f>IFERROR(__xludf.DUMMYFUNCTION("GOOGLETRANSLATE(C335, ""en"", ""hi"")"),"ए) सुमित दास, बी) नीरज पांडे, सी) किरण शर्मा, डी) राजीव सिन्हा")</f>
        <v>ए) सुमित दास, बी) नीरज पांडे, सी) किरण शर्मा, डी) राजीव सिन्हा</v>
      </c>
      <c r="I335" s="5" t="str">
        <f>IFERROR(__xludf.DUMMYFUNCTION("GOOGLETRANSLATE(D335, ""en"", ""hi"")"),"बी) नीरज पांडे")</f>
        <v>बी) नीरज पांडे</v>
      </c>
    </row>
    <row r="336" ht="22.5" customHeight="1">
      <c r="A336" s="3">
        <v>335.0</v>
      </c>
      <c r="B336" s="4" t="s">
        <v>6584</v>
      </c>
      <c r="C336" s="4" t="s">
        <v>6585</v>
      </c>
      <c r="D336" s="4" t="s">
        <v>6056</v>
      </c>
      <c r="F336" s="5" t="str">
        <f>IFERROR(__xludf.DUMMYFUNCTION("GOOGLETRANSLATE(A336, ""en"", ""hi"")"),"335")</f>
        <v>335</v>
      </c>
      <c r="G336" s="5" t="str">
        <f>IFERROR(__xludf.DUMMYFUNCTION("GOOGLETRANSLATE(B336, ""en"", ""hi"")"),"धोप खेल में 'ट्रिपल टैग' तकनीक शुरू करने का श्रेय किस भारतीय खिलाड़ी को दिया जाता है?")</f>
        <v>धोप खेल में 'ट्रिपल टैग' तकनीक शुरू करने का श्रेय किस भारतीय खिलाड़ी को दिया जाता है?</v>
      </c>
      <c r="H336" s="5" t="str">
        <f>IFERROR(__xludf.DUMMYFUNCTION("GOOGLETRANSLATE(C336, ""en"", ""hi"")"),"A) राकेश पटेल, B) अजय दास, C) सूर्य कुमार, D) अनिल कुमार")</f>
        <v>A) राकेश पटेल, B) अजय दास, C) सूर्य कुमार, D) अनिल कुमार</v>
      </c>
      <c r="I336" s="5" t="str">
        <f>IFERROR(__xludf.DUMMYFUNCTION("GOOGLETRANSLATE(D336, ""en"", ""hi"")"),"D) अनिल कुमार")</f>
        <v>D) अनिल कुमार</v>
      </c>
    </row>
    <row r="337" ht="22.5" customHeight="1">
      <c r="A337" s="3">
        <v>336.0</v>
      </c>
      <c r="B337" s="4" t="s">
        <v>6586</v>
      </c>
      <c r="C337" s="4" t="s">
        <v>6587</v>
      </c>
      <c r="D337" s="4" t="s">
        <v>6588</v>
      </c>
      <c r="F337" s="5" t="str">
        <f>IFERROR(__xludf.DUMMYFUNCTION("GOOGLETRANSLATE(A337, ""en"", ""hi"")"),"336")</f>
        <v>336</v>
      </c>
      <c r="G337" s="5" t="str">
        <f>IFERROR(__xludf.DUMMYFUNCTION("GOOGLETRANSLATE(B337, ""en"", ""hi"")"),"धोप खेल किस वर्ष भारत में एक मान्यता प्राप्त राष्ट्रीय खेल बन गया?")</f>
        <v>धोप खेल किस वर्ष भारत में एक मान्यता प्राप्त राष्ट्रीय खेल बन गया?</v>
      </c>
      <c r="H337" s="5" t="str">
        <f>IFERROR(__xludf.DUMMYFUNCTION("GOOGLETRANSLATE(C337, ""en"", ""hi"")"),"ए) 1985, बी) 1992, सी) 1998, डी) 2004")</f>
        <v>ए) 1985, बी) 1992, सी) 1998, डी) 2004</v>
      </c>
      <c r="I337" s="5" t="str">
        <f>IFERROR(__xludf.DUMMYFUNCTION("GOOGLETRANSLATE(D337, ""en"", ""hi"")"),"डी) 2004")</f>
        <v>डी) 2004</v>
      </c>
    </row>
    <row r="338" ht="22.5" customHeight="1">
      <c r="A338" s="3">
        <v>337.0</v>
      </c>
      <c r="B338" s="4" t="s">
        <v>6332</v>
      </c>
      <c r="C338" s="4" t="s">
        <v>6589</v>
      </c>
      <c r="D338" s="4" t="s">
        <v>6590</v>
      </c>
      <c r="F338" s="5" t="str">
        <f>IFERROR(__xludf.DUMMYFUNCTION("GOOGLETRANSLATE(A338, ""en"", ""hi"")"),"337")</f>
        <v>337</v>
      </c>
      <c r="G338" s="5" t="str">
        <f>IFERROR(__xludf.DUMMYFUNCTION("GOOGLETRANSLATE(B338, ""en"", ""hi"")"),"2020 धोप खेल विश्व कप में सबसे मूल्यवान खिलाड़ी (एमवीपी) का पुरस्कार किसने जीता?")</f>
        <v>2020 धोप खेल विश्व कप में सबसे मूल्यवान खिलाड़ी (एमवीपी) का पुरस्कार किसने जीता?</v>
      </c>
      <c r="H338" s="5" t="str">
        <f>IFERROR(__xludf.DUMMYFUNCTION("GOOGLETRANSLATE(C338, ""en"", ""hi"")"),"ए) रवि दास, बी) हरीश कुमार, सी) सूरज पाटिल, डी) विनय वर्मा")</f>
        <v>ए) रवि दास, बी) हरीश कुमार, सी) सूरज पाटिल, डी) विनय वर्मा</v>
      </c>
      <c r="I338" s="5" t="str">
        <f>IFERROR(__xludf.DUMMYFUNCTION("GOOGLETRANSLATE(D338, ""en"", ""hi"")"),"C) सूरज पाटिल")</f>
        <v>C) सूरज पाटिल</v>
      </c>
    </row>
    <row r="339" ht="22.5" customHeight="1">
      <c r="A339" s="3">
        <v>338.0</v>
      </c>
      <c r="B339" s="4" t="s">
        <v>6210</v>
      </c>
      <c r="C339" s="4" t="s">
        <v>6591</v>
      </c>
      <c r="D339" s="4" t="s">
        <v>6592</v>
      </c>
      <c r="F339" s="5" t="str">
        <f>IFERROR(__xludf.DUMMYFUNCTION("GOOGLETRANSLATE(A339, ""en"", ""hi"")"),"338")</f>
        <v>338</v>
      </c>
      <c r="G339" s="5" t="str">
        <f>IFERROR(__xludf.DUMMYFUNCTION("GOOGLETRANSLATE(B339, ""en"", ""hi"")"),"कौन सा भारतीय खिलाड़ी 'लॉन्ग रीच टैग' तकनीक में अपनी विशेषज्ञता के लिए जाना जाता है?")</f>
        <v>कौन सा भारतीय खिलाड़ी 'लॉन्ग रीच टैग' तकनीक में अपनी विशेषज्ञता के लिए जाना जाता है?</v>
      </c>
      <c r="H339" s="5" t="str">
        <f>IFERROR(__xludf.DUMMYFUNCTION("GOOGLETRANSLATE(C339, ""en"", ""hi"")"),"ए) रवि दास, बी) मनोज राय, सी) हरीश पटेल, डी) अमित कुमार")</f>
        <v>ए) रवि दास, बी) मनोज राय, सी) हरीश पटेल, डी) अमित कुमार</v>
      </c>
      <c r="I339" s="5" t="str">
        <f>IFERROR(__xludf.DUMMYFUNCTION("GOOGLETRANSLATE(D339, ""en"", ""hi"")"),"A) रवि दास")</f>
        <v>A) रवि दास</v>
      </c>
    </row>
    <row r="340" ht="22.5" customHeight="1">
      <c r="A340" s="3">
        <v>339.0</v>
      </c>
      <c r="B340" s="4" t="s">
        <v>6593</v>
      </c>
      <c r="C340" s="4" t="s">
        <v>6594</v>
      </c>
      <c r="D340" s="4" t="s">
        <v>6542</v>
      </c>
      <c r="F340" s="5" t="str">
        <f>IFERROR(__xludf.DUMMYFUNCTION("GOOGLETRANSLATE(A340, ""en"", ""hi"")"),"339")</f>
        <v>339</v>
      </c>
      <c r="G340" s="5" t="str">
        <f>IFERROR(__xludf.DUMMYFUNCTION("GOOGLETRANSLATE(B340, ""en"", ""hi"")"),"किस भारतीय राज्य में सबसे अधिक धोप खेल क्लब हैं?")</f>
        <v>किस भारतीय राज्य में सबसे अधिक धोप खेल क्लब हैं?</v>
      </c>
      <c r="H340" s="5" t="str">
        <f>IFERROR(__xludf.DUMMYFUNCTION("GOOGLETRANSLATE(C340, ""en"", ""hi"")"),"A) असम, B) पश्चिम बंगाल, C) गुजरात, D) केरल")</f>
        <v>A) असम, B) पश्चिम बंगाल, C) गुजरात, D) केरल</v>
      </c>
      <c r="I340" s="5" t="str">
        <f>IFERROR(__xludf.DUMMYFUNCTION("GOOGLETRANSLATE(D340, ""en"", ""hi"")"),"A) असम")</f>
        <v>A) असम</v>
      </c>
    </row>
    <row r="341" ht="22.5" customHeight="1">
      <c r="A341" s="3">
        <v>340.0</v>
      </c>
      <c r="B341" s="4" t="s">
        <v>6595</v>
      </c>
      <c r="C341" s="4" t="s">
        <v>6596</v>
      </c>
      <c r="D341" s="4" t="s">
        <v>6597</v>
      </c>
      <c r="F341" s="5" t="str">
        <f>IFERROR(__xludf.DUMMYFUNCTION("GOOGLETRANSLATE(A341, ""en"", ""hi"")"),"340")</f>
        <v>340</v>
      </c>
      <c r="G341" s="5" t="str">
        <f>IFERROR(__xludf.DUMMYFUNCTION("GOOGLETRANSLATE(B341, ""en"", ""hi"")"),"प्लेयर ऑफ द ईयर पुरस्कार जीतने वाले पहले धोप खेल खिलाड़ी कौन थे?")</f>
        <v>प्लेयर ऑफ द ईयर पुरस्कार जीतने वाले पहले धोप खेल खिलाड़ी कौन थे?</v>
      </c>
      <c r="H341" s="5" t="str">
        <f>IFERROR(__xludf.DUMMYFUNCTION("GOOGLETRANSLATE(C341, ""en"", ""hi"")"),"ए) अमित सिंह, बी) राकेश शर्मा, सी) अर्जुन पटेल, डी) सुबोध दास")</f>
        <v>ए) अमित सिंह, बी) राकेश शर्मा, सी) अर्जुन पटेल, डी) सुबोध दास</v>
      </c>
      <c r="I341" s="5" t="str">
        <f>IFERROR(__xludf.DUMMYFUNCTION("GOOGLETRANSLATE(D341, ""en"", ""hi"")"),"बी) राकेश शर्मा")</f>
        <v>बी) राकेश शर्मा</v>
      </c>
    </row>
    <row r="342" ht="22.5" customHeight="1">
      <c r="A342" s="3">
        <v>341.0</v>
      </c>
      <c r="B342" s="4" t="s">
        <v>6598</v>
      </c>
      <c r="C342" s="4" t="s">
        <v>6337</v>
      </c>
      <c r="D342" s="4" t="s">
        <v>5907</v>
      </c>
      <c r="F342" s="5" t="str">
        <f>IFERROR(__xludf.DUMMYFUNCTION("GOOGLETRANSLATE(A342, ""en"", ""hi"")"),"341")</f>
        <v>341</v>
      </c>
      <c r="G342" s="5" t="str">
        <f>IFERROR(__xludf.DUMMYFUNCTION("GOOGLETRANSLATE(B342, ""en"", ""hi"")"),"धोप खेल विश्व कप में नॉकआउट चरण प्रारूप किस वर्ष शुरू किया गया?")</f>
        <v>धोप खेल विश्व कप में नॉकआउट चरण प्रारूप किस वर्ष शुरू किया गया?</v>
      </c>
      <c r="H342" s="5" t="str">
        <f>IFERROR(__xludf.DUMMYFUNCTION("GOOGLETRANSLATE(C342, ""en"", ""hi"")"),"ए) 2008, बी) 2012, सी) 2016, डी) 2020")</f>
        <v>ए) 2008, बी) 2012, सी) 2016, डी) 2020</v>
      </c>
      <c r="I342" s="5" t="str">
        <f>IFERROR(__xludf.DUMMYFUNCTION("GOOGLETRANSLATE(D342, ""en"", ""hi"")"),"बी) 2012")</f>
        <v>बी) 2012</v>
      </c>
    </row>
    <row r="343" ht="22.5" customHeight="1">
      <c r="A343" s="3">
        <v>342.0</v>
      </c>
      <c r="B343" s="4" t="s">
        <v>6148</v>
      </c>
      <c r="C343" s="4" t="s">
        <v>6599</v>
      </c>
      <c r="D343" s="4" t="s">
        <v>6542</v>
      </c>
      <c r="F343" s="5" t="str">
        <f>IFERROR(__xludf.DUMMYFUNCTION("GOOGLETRANSLATE(A343, ""en"", ""hi"")"),"342")</f>
        <v>342</v>
      </c>
      <c r="G343" s="5" t="str">
        <f>IFERROR(__xludf.DUMMYFUNCTION("GOOGLETRANSLATE(B343, ""en"", ""hi"")"),"कौन सा भारतीय राज्य अपने स्कूल खेल पाठ्यक्रम में धोप खेल को शामिल करने वाला पहला राज्य था?")</f>
        <v>कौन सा भारतीय राज्य अपने स्कूल खेल पाठ्यक्रम में धोप खेल को शामिल करने वाला पहला राज्य था?</v>
      </c>
      <c r="H343" s="5" t="str">
        <f>IFERROR(__xludf.DUMMYFUNCTION("GOOGLETRANSLATE(C343, ""en"", ""hi"")"),"A) असम, B) केरल, C) पश्चिम बंगाल, D) पंजाब")</f>
        <v>A) असम, B) केरल, C) पश्चिम बंगाल, D) पंजाब</v>
      </c>
      <c r="I343" s="5" t="str">
        <f>IFERROR(__xludf.DUMMYFUNCTION("GOOGLETRANSLATE(D343, ""en"", ""hi"")"),"A) असम")</f>
        <v>A) असम</v>
      </c>
    </row>
    <row r="344" ht="22.5" customHeight="1">
      <c r="A344" s="3">
        <v>343.0</v>
      </c>
      <c r="B344" s="4" t="s">
        <v>6340</v>
      </c>
      <c r="C344" s="4" t="s">
        <v>6600</v>
      </c>
      <c r="D344" s="4" t="s">
        <v>6601</v>
      </c>
      <c r="F344" s="5" t="str">
        <f>IFERROR(__xludf.DUMMYFUNCTION("GOOGLETRANSLATE(A344, ""en"", ""hi"")"),"343")</f>
        <v>343</v>
      </c>
      <c r="G344" s="5" t="str">
        <f>IFERROR(__xludf.DUMMYFUNCTION("GOOGLETRANSLATE(B344, ""en"", ""hi"")"),"लगातार दो बार धोप खेल विश्व कप जीतने वाले पहले कोच कौन थे?")</f>
        <v>लगातार दो बार धोप खेल विश्व कप जीतने वाले पहले कोच कौन थे?</v>
      </c>
      <c r="H344" s="5" t="str">
        <f>IFERROR(__xludf.DUMMYFUNCTION("GOOGLETRANSLATE(C344, ""en"", ""hi"")"),"ए) हरिंदर चौधरी, बी) राहुल वर्मा, सी) पंकज राय, डी) दीपक सेन")</f>
        <v>ए) हरिंदर चौधरी, बी) राहुल वर्मा, सी) पंकज राय, डी) दीपक सेन</v>
      </c>
      <c r="I344" s="5" t="str">
        <f>IFERROR(__xludf.DUMMYFUNCTION("GOOGLETRANSLATE(D344, ""en"", ""hi"")"),"D) दीपक सेन")</f>
        <v>D) दीपक सेन</v>
      </c>
    </row>
    <row r="345" ht="22.5" customHeight="1">
      <c r="A345" s="3">
        <v>344.0</v>
      </c>
      <c r="B345" s="4" t="s">
        <v>6339</v>
      </c>
      <c r="C345" s="4" t="s">
        <v>6602</v>
      </c>
      <c r="D345" s="4" t="s">
        <v>6542</v>
      </c>
      <c r="F345" s="5" t="str">
        <f>IFERROR(__xludf.DUMMYFUNCTION("GOOGLETRANSLATE(A345, ""en"", ""hi"")"),"344")</f>
        <v>344</v>
      </c>
      <c r="G345" s="5" t="str">
        <f>IFERROR(__xludf.DUMMYFUNCTION("GOOGLETRANSLATE(B345, ""en"", ""hi"")"),"कौन सा भारतीय राज्य सबसे कुशल धोप खेल खिलाड़ियों के उत्पादन के लिए प्रसिद्ध है?")</f>
        <v>कौन सा भारतीय राज्य सबसे कुशल धोप खेल खिलाड़ियों के उत्पादन के लिए प्रसिद्ध है?</v>
      </c>
      <c r="H345" s="5" t="str">
        <f>IFERROR(__xludf.DUMMYFUNCTION("GOOGLETRANSLATE(C345, ""en"", ""hi"")"),"ए) असम, बी) पंजाब, सी) महाराष्ट्र, डी) उत्तर प्रदेश")</f>
        <v>ए) असम, बी) पंजाब, सी) महाराष्ट्र, डी) उत्तर प्रदेश</v>
      </c>
      <c r="I345" s="5" t="str">
        <f>IFERROR(__xludf.DUMMYFUNCTION("GOOGLETRANSLATE(D345, ""en"", ""hi"")"),"A) असम")</f>
        <v>A) असम</v>
      </c>
    </row>
    <row r="346" ht="22.5" customHeight="1">
      <c r="A346" s="3">
        <v>345.0</v>
      </c>
      <c r="B346" s="4" t="s">
        <v>6603</v>
      </c>
      <c r="C346" s="4" t="s">
        <v>6604</v>
      </c>
      <c r="D346" s="4" t="s">
        <v>5425</v>
      </c>
      <c r="F346" s="5" t="str">
        <f>IFERROR(__xludf.DUMMYFUNCTION("GOOGLETRANSLATE(A346, ""en"", ""hi"")"),"345")</f>
        <v>345</v>
      </c>
      <c r="G346" s="5" t="str">
        <f>IFERROR(__xludf.DUMMYFUNCTION("GOOGLETRANSLATE(B346, ""en"", ""hi"")"),"दक्षिण एशियाई खेलों में धोप खेल पहली बार किस वर्ष शामिल किया गया था?")</f>
        <v>दक्षिण एशियाई खेलों में धोप खेल पहली बार किस वर्ष शामिल किया गया था?</v>
      </c>
      <c r="H346" s="5" t="str">
        <f>IFERROR(__xludf.DUMMYFUNCTION("GOOGLETRANSLATE(C346, ""en"", ""hi"")"),"ए) 2010, बी) 2014, सी) 2016, डी) 2018")</f>
        <v>ए) 2010, बी) 2014, सी) 2016, डी) 2018</v>
      </c>
      <c r="I346" s="5" t="str">
        <f>IFERROR(__xludf.DUMMYFUNCTION("GOOGLETRANSLATE(D346, ""en"", ""hi"")"),"डी) 2018")</f>
        <v>डी) 2018</v>
      </c>
    </row>
    <row r="347" ht="22.5" customHeight="1">
      <c r="A347" s="3">
        <v>346.0</v>
      </c>
      <c r="B347" s="4" t="s">
        <v>6605</v>
      </c>
      <c r="C347" s="4" t="s">
        <v>6606</v>
      </c>
      <c r="D347" s="4" t="s">
        <v>6607</v>
      </c>
      <c r="F347" s="5" t="str">
        <f>IFERROR(__xludf.DUMMYFUNCTION("GOOGLETRANSLATE(A347, ""en"", ""hi"")"),"346")</f>
        <v>346</v>
      </c>
      <c r="G347" s="5" t="str">
        <f>IFERROR(__xludf.DUMMYFUNCTION("GOOGLETRANSLATE(B347, ""en"", ""hi"")"),"एक धोप खेल मैच में सर्वाधिक गोल करने का रिकॉर्ड किस खिलाड़ी के नाम है?")</f>
        <v>एक धोप खेल मैच में सर्वाधिक गोल करने का रिकॉर्ड किस खिलाड़ी के नाम है?</v>
      </c>
      <c r="H347" s="5" t="str">
        <f>IFERROR(__xludf.DUMMYFUNCTION("GOOGLETRANSLATE(C347, ""en"", ""hi"")"),"ए) रोहन दास, बी) अंकित पटेल, सी) सूरज सिंह, डी) राकेश शर्मा")</f>
        <v>ए) रोहन दास, बी) अंकित पटेल, सी) सूरज सिंह, डी) राकेश शर्मा</v>
      </c>
      <c r="I347" s="5" t="str">
        <f>IFERROR(__xludf.DUMMYFUNCTION("GOOGLETRANSLATE(D347, ""en"", ""hi"")"),"C) सूरज सिंह")</f>
        <v>C) सूरज सिंह</v>
      </c>
    </row>
    <row r="348" ht="22.5" customHeight="1">
      <c r="A348" s="3">
        <v>347.0</v>
      </c>
      <c r="B348" s="4" t="s">
        <v>6608</v>
      </c>
      <c r="C348" s="4" t="s">
        <v>5255</v>
      </c>
      <c r="D348" s="4" t="s">
        <v>71</v>
      </c>
      <c r="F348" s="5" t="str">
        <f>IFERROR(__xludf.DUMMYFUNCTION("GOOGLETRANSLATE(A348, ""en"", ""hi"")"),"347")</f>
        <v>347</v>
      </c>
      <c r="G348" s="5" t="str">
        <f>IFERROR(__xludf.DUMMYFUNCTION("GOOGLETRANSLATE(B348, ""en"", ""hi"")"),"भारत का आधिकारिक धोप खेल महासंघ कब स्थापित किया गया था?")</f>
        <v>भारत का आधिकारिक धोप खेल महासंघ कब स्थापित किया गया था?</v>
      </c>
      <c r="H348" s="5" t="str">
        <f>IFERROR(__xludf.DUMMYFUNCTION("GOOGLETRANSLATE(C348, ""en"", ""hi"")"),"ए) 2005, बी) 2010, सी) 2015, डी) 2020")</f>
        <v>ए) 2005, बी) 2010, सी) 2015, डी) 2020</v>
      </c>
      <c r="I348" s="5" t="str">
        <f>IFERROR(__xludf.DUMMYFUNCTION("GOOGLETRANSLATE(D348, ""en"", ""hi"")"),"बी) 2010")</f>
        <v>बी) 2010</v>
      </c>
    </row>
    <row r="349" ht="22.5" customHeight="1">
      <c r="A349" s="3">
        <v>348.0</v>
      </c>
      <c r="B349" s="4" t="s">
        <v>6609</v>
      </c>
      <c r="C349" s="4" t="s">
        <v>6610</v>
      </c>
      <c r="D349" s="4" t="s">
        <v>6611</v>
      </c>
      <c r="F349" s="5" t="str">
        <f>IFERROR(__xludf.DUMMYFUNCTION("GOOGLETRANSLATE(A349, ""en"", ""hi"")"),"348")</f>
        <v>348</v>
      </c>
      <c r="G349" s="5" t="str">
        <f>IFERROR(__xludf.DUMMYFUNCTION("GOOGLETRANSLATE(B349, ""en"", ""hi"")"),"प्रथम अंतर्राष्ट्रीय धोप खेल मैच में भारत के विरुद्ध किस देश ने प्रतिस्पर्धा की?")</f>
        <v>प्रथम अंतर्राष्ट्रीय धोप खेल मैच में भारत के विरुद्ध किस देश ने प्रतिस्पर्धा की?</v>
      </c>
      <c r="H349" s="5" t="str">
        <f>IFERROR(__xludf.DUMMYFUNCTION("GOOGLETRANSLATE(C349, ""en"", ""hi"")"),"A) बांग्लादेश, B) श्रीलंका, C) नेपाल, D) भूटान")</f>
        <v>A) बांग्लादेश, B) श्रीलंका, C) नेपाल, D) भूटान</v>
      </c>
      <c r="I349" s="5" t="str">
        <f>IFERROR(__xludf.DUMMYFUNCTION("GOOGLETRANSLATE(D349, ""en"", ""hi"")"),"ए) बांग्लादेश")</f>
        <v>ए) बांग्लादेश</v>
      </c>
    </row>
    <row r="350" ht="22.5" customHeight="1">
      <c r="A350" s="3">
        <v>349.0</v>
      </c>
      <c r="B350" s="4" t="s">
        <v>6612</v>
      </c>
      <c r="C350" s="4" t="s">
        <v>6613</v>
      </c>
      <c r="D350" s="4" t="s">
        <v>6614</v>
      </c>
      <c r="F350" s="5" t="str">
        <f>IFERROR(__xludf.DUMMYFUNCTION("GOOGLETRANSLATE(A350, ""en"", ""hi"")"),"349")</f>
        <v>349</v>
      </c>
      <c r="G350" s="5" t="str">
        <f>IFERROR(__xludf.DUMMYFUNCTION("GOOGLETRANSLATE(B350, ""en"", ""hi"")"),"अंतर्राष्ट्रीय प्लेयर ऑफ द ईयर पुरस्कार जीतने वाले पहले धोप खेल खिलाड़ी कौन थे?")</f>
        <v>अंतर्राष्ट्रीय प्लेयर ऑफ द ईयर पुरस्कार जीतने वाले पहले धोप खेल खिलाड़ी कौन थे?</v>
      </c>
      <c r="H350" s="5" t="str">
        <f>IFERROR(__xludf.DUMMYFUNCTION("GOOGLETRANSLATE(C350, ""en"", ""hi"")"),"ए)सुबोध कुमार, बी)रवि दास,सी)सुरेश सिंह,डी)सूरज राय")</f>
        <v>ए)सुबोध कुमार, बी)रवि दास,सी)सुरेश सिंह,डी)सूरज राय</v>
      </c>
      <c r="I350" s="5" t="str">
        <f>IFERROR(__xludf.DUMMYFUNCTION("GOOGLETRANSLATE(D350, ""en"", ""hi"")"),"बी) रवि दास")</f>
        <v>बी) रवि दास</v>
      </c>
    </row>
    <row r="351" ht="22.5" customHeight="1">
      <c r="A351" s="3">
        <v>350.0</v>
      </c>
      <c r="B351" s="4" t="s">
        <v>6615</v>
      </c>
      <c r="C351" s="4" t="s">
        <v>2001</v>
      </c>
      <c r="D351" s="4" t="s">
        <v>2002</v>
      </c>
      <c r="F351" s="5" t="str">
        <f>IFERROR(__xludf.DUMMYFUNCTION("GOOGLETRANSLATE(A351, ""en"", ""hi"")"),"350")</f>
        <v>350</v>
      </c>
      <c r="G351" s="5" t="str">
        <f>IFERROR(__xludf.DUMMYFUNCTION("GOOGLETRANSLATE(B351, ""en"", ""hi"")"),"भारत में पहली बार टेलीविजन पर धोप खेल मैच का प्रसारण किस वर्ष हुआ?")</f>
        <v>भारत में पहली बार टेलीविजन पर धोप खेल मैच का प्रसारण किस वर्ष हुआ?</v>
      </c>
      <c r="H351" s="5" t="str">
        <f>IFERROR(__xludf.DUMMYFUNCTION("GOOGLETRANSLATE(C351, ""en"", ""hi"")"),"ए) 2000, बी) 2005, सी) 2010, डी) 2015")</f>
        <v>ए) 2000, बी) 2005, सी) 2010, डी) 2015</v>
      </c>
      <c r="I351" s="5" t="str">
        <f>IFERROR(__xludf.DUMMYFUNCTION("GOOGLETRANSLATE(D351, ""en"", ""hi"")"),"सी) 2010")</f>
        <v>सी) 2010</v>
      </c>
    </row>
    <row r="352" ht="22.5" customHeight="1">
      <c r="A352" s="3">
        <v>351.0</v>
      </c>
      <c r="B352" s="4" t="s">
        <v>6616</v>
      </c>
      <c r="C352" s="4" t="s">
        <v>6617</v>
      </c>
      <c r="D352" s="4" t="s">
        <v>6618</v>
      </c>
      <c r="F352" s="5" t="str">
        <f>IFERROR(__xludf.DUMMYFUNCTION("GOOGLETRANSLATE(A352, ""en"", ""hi"")"),"351")</f>
        <v>351</v>
      </c>
      <c r="G352" s="5" t="str">
        <f>IFERROR(__xludf.DUMMYFUNCTION("GOOGLETRANSLATE(B352, ""en"", ""hi"")"),"धोप खेल विश्व कप में भारत का प्रतिनिधित्व करने वाला सबसे युवा खिलाड़ी कौन था?")</f>
        <v>धोप खेल विश्व कप में भारत का प्रतिनिधित्व करने वाला सबसे युवा खिलाड़ी कौन था?</v>
      </c>
      <c r="H352" s="5" t="str">
        <f>IFERROR(__xludf.DUMMYFUNCTION("GOOGLETRANSLATE(C352, ""en"", ""hi"")"),"ए) अमित दास, बी) नीलेश पटेल, सी) राजीव कुमार, डी) रोहित शर्मा")</f>
        <v>ए) अमित दास, बी) नीलेश पटेल, सी) राजीव कुमार, डी) रोहित शर्मा</v>
      </c>
      <c r="I352" s="5" t="str">
        <f>IFERROR(__xludf.DUMMYFUNCTION("GOOGLETRANSLATE(D352, ""en"", ""hi"")"),"A) अमित दास")</f>
        <v>A) अमित दास</v>
      </c>
    </row>
    <row r="353" ht="22.5" customHeight="1">
      <c r="A353" s="3">
        <v>352.0</v>
      </c>
      <c r="B353" s="4" t="s">
        <v>6619</v>
      </c>
      <c r="C353" s="4" t="s">
        <v>6620</v>
      </c>
      <c r="D353" s="4" t="s">
        <v>6542</v>
      </c>
      <c r="F353" s="5" t="str">
        <f>IFERROR(__xludf.DUMMYFUNCTION("GOOGLETRANSLATE(A353, ""en"", ""hi"")"),"352")</f>
        <v>352</v>
      </c>
      <c r="G353" s="5" t="str">
        <f>IFERROR(__xludf.DUMMYFUNCTION("GOOGLETRANSLATE(B353, ""en"", ""hi"")"),"किस भारतीय राज्य ने पहली आधिकारिक धोप खेल अकादमी की स्थापना की?")</f>
        <v>किस भारतीय राज्य ने पहली आधिकारिक धोप खेल अकादमी की स्थापना की?</v>
      </c>
      <c r="H353" s="5" t="str">
        <f>IFERROR(__xludf.DUMMYFUNCTION("GOOGLETRANSLATE(C353, ""en"", ""hi"")"),"A) असम, B) उत्तर प्रदेश, C) पश्चिम बंगाल, D) केरल")</f>
        <v>A) असम, B) उत्तर प्रदेश, C) पश्चिम बंगाल, D) केरल</v>
      </c>
      <c r="I353" s="5" t="str">
        <f>IFERROR(__xludf.DUMMYFUNCTION("GOOGLETRANSLATE(D353, ""en"", ""hi"")"),"A) असम")</f>
        <v>A) असम</v>
      </c>
    </row>
    <row r="354" ht="22.5" customHeight="1">
      <c r="A354" s="3">
        <v>353.0</v>
      </c>
      <c r="B354" s="4" t="s">
        <v>6621</v>
      </c>
      <c r="C354" s="4" t="s">
        <v>6493</v>
      </c>
      <c r="D354" s="4" t="s">
        <v>6494</v>
      </c>
      <c r="F354" s="5" t="str">
        <f>IFERROR(__xludf.DUMMYFUNCTION("GOOGLETRANSLATE(A354, ""en"", ""hi"")"),"353")</f>
        <v>353</v>
      </c>
      <c r="G354" s="5" t="str">
        <f>IFERROR(__xludf.DUMMYFUNCTION("GOOGLETRANSLATE(B354, ""en"", ""hi"")"),"धोप खेल किस वर्ष भारत में राष्ट्रीय युवा खेलों का हिस्सा बना?")</f>
        <v>धोप खेल किस वर्ष भारत में राष्ट्रीय युवा खेलों का हिस्सा बना?</v>
      </c>
      <c r="H354" s="5" t="str">
        <f>IFERROR(__xludf.DUMMYFUNCTION("GOOGLETRANSLATE(C354, ""en"", ""hi"")"),"ए) 2016, बी) 2018, सी) 2020, डी) 2022")</f>
        <v>ए) 2016, बी) 2018, सी) 2020, डी) 2022</v>
      </c>
      <c r="I354" s="5" t="str">
        <f>IFERROR(__xludf.DUMMYFUNCTION("GOOGLETRANSLATE(D354, ""en"", ""hi"")"),"बी) 2018")</f>
        <v>बी) 2018</v>
      </c>
    </row>
    <row r="355" ht="22.5" customHeight="1">
      <c r="A355" s="3">
        <v>354.0</v>
      </c>
      <c r="B355" s="4" t="s">
        <v>6622</v>
      </c>
      <c r="C355" s="4" t="s">
        <v>6623</v>
      </c>
      <c r="D355" s="4" t="s">
        <v>6624</v>
      </c>
      <c r="F355" s="5" t="str">
        <f>IFERROR(__xludf.DUMMYFUNCTION("GOOGLETRANSLATE(A355, ""en"", ""hi"")"),"354")</f>
        <v>354</v>
      </c>
      <c r="G355" s="5" t="str">
        <f>IFERROR(__xludf.DUMMYFUNCTION("GOOGLETRANSLATE(B355, ""en"", ""hi"")"),"धोप खेल विश्व कप के इतिहास में सबसे तेज गोल का रिकॉर्ड किसके नाम है?")</f>
        <v>धोप खेल विश्व कप के इतिहास में सबसे तेज गोल का रिकॉर्ड किसके नाम है?</v>
      </c>
      <c r="H355" s="5" t="str">
        <f>IFERROR(__xludf.DUMMYFUNCTION("GOOGLETRANSLATE(C355, ""en"", ""hi"")"),"A) राकेश दास, B) अजय पटेल, C) सुरेश कुमार, D) अमित सिंह")</f>
        <v>A) राकेश दास, B) अजय पटेल, C) सुरेश कुमार, D) अमित सिंह</v>
      </c>
      <c r="I355" s="5" t="str">
        <f>IFERROR(__xludf.DUMMYFUNCTION("GOOGLETRANSLATE(D355, ""en"", ""hi"")"),"A) राकेश दास")</f>
        <v>A) राकेश दास</v>
      </c>
    </row>
    <row r="356" ht="22.5" customHeight="1">
      <c r="A356" s="3">
        <v>355.0</v>
      </c>
      <c r="B356" s="4" t="s">
        <v>6625</v>
      </c>
      <c r="C356" s="4" t="s">
        <v>6626</v>
      </c>
      <c r="D356" s="4" t="s">
        <v>6627</v>
      </c>
      <c r="F356" s="5" t="str">
        <f>IFERROR(__xludf.DUMMYFUNCTION("GOOGLETRANSLATE(A356, ""en"", ""hi"")"),"355")</f>
        <v>355</v>
      </c>
      <c r="G356" s="5" t="str">
        <f>IFERROR(__xludf.DUMMYFUNCTION("GOOGLETRANSLATE(B356, ""en"", ""hi"")"),"कौन सा भारतीय धोप खेल खिलाड़ी खेल में अपनी चपलता और गति के लिए प्रसिद्ध है?")</f>
        <v>कौन सा भारतीय धोप खेल खिलाड़ी खेल में अपनी चपलता और गति के लिए प्रसिद्ध है?</v>
      </c>
      <c r="H356" s="5" t="str">
        <f>IFERROR(__xludf.DUMMYFUNCTION("GOOGLETRANSLATE(C356, ""en"", ""hi"")"),"ए) अनिल सिन्हा, बी) राजीव शर्मा, सी) सूर्य सेन, डी) रवि कुमार")</f>
        <v>ए) अनिल सिन्हा, बी) राजीव शर्मा, सी) सूर्य सेन, डी) रवि कुमार</v>
      </c>
      <c r="I356" s="5" t="str">
        <f>IFERROR(__xludf.DUMMYFUNCTION("GOOGLETRANSLATE(D356, ""en"", ""hi"")"),"D) रवि कुमार")</f>
        <v>D) रवि कुमार</v>
      </c>
    </row>
    <row r="357" ht="22.5" customHeight="1">
      <c r="A357" s="3">
        <v>356.0</v>
      </c>
      <c r="B357" s="4" t="s">
        <v>6628</v>
      </c>
      <c r="C357" s="4" t="s">
        <v>6629</v>
      </c>
      <c r="D357" s="4" t="s">
        <v>6630</v>
      </c>
      <c r="F357" s="5" t="str">
        <f>IFERROR(__xludf.DUMMYFUNCTION("GOOGLETRANSLATE(A357, ""en"", ""hi"")"),"356")</f>
        <v>356</v>
      </c>
      <c r="G357" s="5" t="str">
        <f>IFERROR(__xludf.DUMMYFUNCTION("GOOGLETRANSLATE(B357, ""en"", ""hi"")"),"2021 धोप खेल विश्व कप में किस भारतीय खिलाड़ी ने सर्वश्रेष्ठ अटैकर का पुरस्कार जीता?")</f>
        <v>2021 धोप खेल विश्व कप में किस भारतीय खिलाड़ी ने सर्वश्रेष्ठ अटैकर का पुरस्कार जीता?</v>
      </c>
      <c r="H357" s="5" t="str">
        <f>IFERROR(__xludf.DUMMYFUNCTION("GOOGLETRANSLATE(C357, ""en"", ""hi"")"),"ए) अमित कुमार, बी) सूरज सिंह, सी) राजन दास, डी) मनोज सिन्हा")</f>
        <v>ए) अमित कुमार, बी) सूरज सिंह, सी) राजन दास, डी) मनोज सिन्हा</v>
      </c>
      <c r="I357" s="5" t="str">
        <f>IFERROR(__xludf.DUMMYFUNCTION("GOOGLETRANSLATE(D357, ""en"", ""hi"")"),"बी) सूरज सिंह")</f>
        <v>बी) सूरज सिंह</v>
      </c>
    </row>
    <row r="358" ht="22.5" customHeight="1">
      <c r="A358" s="3">
        <v>357.0</v>
      </c>
      <c r="B358" s="4" t="s">
        <v>6631</v>
      </c>
      <c r="C358" s="4" t="s">
        <v>5255</v>
      </c>
      <c r="D358" s="4" t="s">
        <v>5298</v>
      </c>
      <c r="F358" s="5" t="str">
        <f>IFERROR(__xludf.DUMMYFUNCTION("GOOGLETRANSLATE(A358, ""en"", ""hi"")"),"357")</f>
        <v>357</v>
      </c>
      <c r="G358" s="5" t="str">
        <f>IFERROR(__xludf.DUMMYFUNCTION("GOOGLETRANSLATE(B358, ""en"", ""hi"")"),"धोप खेल अंतर्राष्ट्रीय महासंघ की स्थापना कब हुई थी?")</f>
        <v>धोप खेल अंतर्राष्ट्रीय महासंघ की स्थापना कब हुई थी?</v>
      </c>
      <c r="H358" s="5" t="str">
        <f>IFERROR(__xludf.DUMMYFUNCTION("GOOGLETRANSLATE(C358, ""en"", ""hi"")"),"ए) 2005, बी) 2010, सी) 2015, डी) 2020")</f>
        <v>ए) 2005, बी) 2010, सी) 2015, डी) 2020</v>
      </c>
      <c r="I358" s="5" t="str">
        <f>IFERROR(__xludf.DUMMYFUNCTION("GOOGLETRANSLATE(D358, ""en"", ""hi"")"),"सी) 2015")</f>
        <v>सी) 2015</v>
      </c>
    </row>
    <row r="359" ht="22.5" customHeight="1">
      <c r="A359" s="3">
        <v>358.0</v>
      </c>
      <c r="B359" s="4" t="s">
        <v>6632</v>
      </c>
      <c r="C359" s="4" t="s">
        <v>6633</v>
      </c>
      <c r="D359" s="4" t="s">
        <v>6542</v>
      </c>
      <c r="F359" s="5" t="str">
        <f>IFERROR(__xludf.DUMMYFUNCTION("GOOGLETRANSLATE(A359, ""en"", ""hi"")"),"358")</f>
        <v>358</v>
      </c>
      <c r="G359" s="5" t="str">
        <f>IFERROR(__xludf.DUMMYFUNCTION("GOOGLETRANSLATE(B359, ""en"", ""hi"")"),"धोप खेल की शुरुआत भारत के किस क्षेत्र में हुई?")</f>
        <v>धोप खेल की शुरुआत भारत के किस क्षेत्र में हुई?</v>
      </c>
      <c r="H359" s="5" t="str">
        <f>IFERROR(__xludf.DUMMYFUNCTION("GOOGLETRANSLATE(C359, ""en"", ""hi"")"),"ए) असम, बी) पंजाब, सी) गुजरात, डी) राजस्थान")</f>
        <v>ए) असम, बी) पंजाब, सी) गुजरात, डी) राजस्थान</v>
      </c>
      <c r="I359" s="5" t="str">
        <f>IFERROR(__xludf.DUMMYFUNCTION("GOOGLETRANSLATE(D359, ""en"", ""hi"")"),"A) असम")</f>
        <v>A) असम</v>
      </c>
    </row>
    <row r="360" ht="22.5" customHeight="1">
      <c r="A360" s="3">
        <v>359.0</v>
      </c>
      <c r="B360" s="4" t="s">
        <v>6634</v>
      </c>
      <c r="C360" s="4" t="s">
        <v>6635</v>
      </c>
      <c r="D360" s="4" t="s">
        <v>6636</v>
      </c>
      <c r="F360" s="5" t="str">
        <f>IFERROR(__xludf.DUMMYFUNCTION("GOOGLETRANSLATE(A360, ""en"", ""hi"")"),"359")</f>
        <v>359</v>
      </c>
      <c r="G360" s="5" t="str">
        <f>IFERROR(__xludf.DUMMYFUNCTION("GOOGLETRANSLATE(B360, ""en"", ""hi"")"),"कौन सा समुदाय ऐतिहासिक रूप से धोप खेल के विकास से जुड़ा हुआ है?")</f>
        <v>कौन सा समुदाय ऐतिहासिक रूप से धोप खेल के विकास से जुड़ा हुआ है?</v>
      </c>
      <c r="H360" s="5" t="str">
        <f>IFERROR(__xludf.DUMMYFUNCTION("GOOGLETRANSLATE(C360, ""en"", ""hi"")"),"A) अहोम, B) मराठा, C) राजपूत, D) मुगल")</f>
        <v>A) अहोम, B) मराठा, C) राजपूत, D) मुगल</v>
      </c>
      <c r="I360" s="5" t="str">
        <f>IFERROR(__xludf.DUMMYFUNCTION("GOOGLETRANSLATE(D360, ""en"", ""hi"")"),"A) अहोम")</f>
        <v>A) अहोम</v>
      </c>
    </row>
    <row r="361" ht="22.5" customHeight="1">
      <c r="A361" s="3">
        <v>360.0</v>
      </c>
      <c r="B361" s="4" t="s">
        <v>6637</v>
      </c>
      <c r="C361" s="4" t="s">
        <v>6638</v>
      </c>
      <c r="D361" s="4" t="s">
        <v>6639</v>
      </c>
      <c r="F361" s="5" t="str">
        <f>IFERROR(__xludf.DUMMYFUNCTION("GOOGLETRANSLATE(A361, ""en"", ""hi"")"),"360")</f>
        <v>360</v>
      </c>
      <c r="G361" s="5" t="str">
        <f>IFERROR(__xludf.DUMMYFUNCTION("GOOGLETRANSLATE(B361, ""en"", ""hi"")"),"प्राचीन काल में धोप खेल मुख्यतः किस त्यौहार के दौरान खेला जाता था?")</f>
        <v>प्राचीन काल में धोप खेल मुख्यतः किस त्यौहार के दौरान खेला जाता था?</v>
      </c>
      <c r="H361" s="5" t="str">
        <f>IFERROR(__xludf.DUMMYFUNCTION("GOOGLETRANSLATE(C361, ""en"", ""hi"")"),"ए) बिहू, बी) होली, सी) दिवाली, डी) पोंगल")</f>
        <v>ए) बिहू, बी) होली, सी) दिवाली, डी) पोंगल</v>
      </c>
      <c r="I361" s="5" t="str">
        <f>IFERROR(__xludf.DUMMYFUNCTION("GOOGLETRANSLATE(D361, ""en"", ""hi"")"),"A) बिहू")</f>
        <v>A) बिहू</v>
      </c>
    </row>
    <row r="362" ht="22.5" customHeight="1">
      <c r="A362" s="3">
        <v>361.0</v>
      </c>
      <c r="B362" s="4" t="s">
        <v>6640</v>
      </c>
      <c r="C362" s="4" t="s">
        <v>6641</v>
      </c>
      <c r="D362" s="4" t="s">
        <v>2811</v>
      </c>
      <c r="F362" s="5" t="str">
        <f>IFERROR(__xludf.DUMMYFUNCTION("GOOGLETRANSLATE(A362, ""en"", ""hi"")"),"361")</f>
        <v>361</v>
      </c>
      <c r="G362" s="5" t="str">
        <f>IFERROR(__xludf.DUMMYFUNCTION("GOOGLETRANSLATE(B362, ""en"", ""hi"")"),"प्राचीन असम में धोप खेल का प्राथमिक उद्देश्य क्या था?")</f>
        <v>प्राचीन असम में धोप खेल का प्राथमिक उद्देश्य क्या था?</v>
      </c>
      <c r="H362" s="5" t="str">
        <f>IFERROR(__xludf.DUMMYFUNCTION("GOOGLETRANSLATE(C362, ""en"", ""hi"")"),"A) त्योहारों के दौरान मनोरंजन, B) सैन्य प्रशिक्षण, C) कृषि उत्सव, D) धार्मिक अनुष्ठान")</f>
        <v>A) त्योहारों के दौरान मनोरंजन, B) सैन्य प्रशिक्षण, C) कृषि उत्सव, D) धार्मिक अनुष्ठान</v>
      </c>
      <c r="I362" s="5" t="str">
        <f>IFERROR(__xludf.DUMMYFUNCTION("GOOGLETRANSLATE(D362, ""en"", ""hi"")"),"बी) सैन्य प्रशिक्षण")</f>
        <v>बी) सैन्य प्रशिक्षण</v>
      </c>
    </row>
    <row r="363" ht="22.5" customHeight="1">
      <c r="A363" s="3">
        <v>362.0</v>
      </c>
      <c r="B363" s="4" t="s">
        <v>6642</v>
      </c>
      <c r="C363" s="4" t="s">
        <v>6643</v>
      </c>
      <c r="D363" s="4" t="s">
        <v>6644</v>
      </c>
      <c r="F363" s="5" t="str">
        <f>IFERROR(__xludf.DUMMYFUNCTION("GOOGLETRANSLATE(A363, ""en"", ""hi"")"),"362")</f>
        <v>362</v>
      </c>
      <c r="G363" s="5" t="str">
        <f>IFERROR(__xludf.DUMMYFUNCTION("GOOGLETRANSLATE(B363, ""en"", ""hi"")"),"असमिया साहित्य में धोप खेल का पहला उल्लेख किस शताब्दी में हुआ?")</f>
        <v>असमिया साहित्य में धोप खेल का पहला उल्लेख किस शताब्दी में हुआ?</v>
      </c>
      <c r="H363" s="5" t="str">
        <f>IFERROR(__xludf.DUMMYFUNCTION("GOOGLETRANSLATE(C363, ""en"", ""hi"")"),"A) 13वीं शताब्दी, B) 15वीं शताब्दी, C) 17वीं शताब्दी, D) 19वीं शताब्दी")</f>
        <v>A) 13वीं शताब्दी, B) 15वीं शताब्दी, C) 17वीं शताब्दी, D) 19वीं शताब्दी</v>
      </c>
      <c r="I363" s="5" t="str">
        <f>IFERROR(__xludf.DUMMYFUNCTION("GOOGLETRANSLATE(D363, ""en"", ""hi"")"),"सी) 17वीं शताब्दी")</f>
        <v>सी) 17वीं शताब्दी</v>
      </c>
    </row>
    <row r="364" ht="22.5" customHeight="1">
      <c r="A364" s="3">
        <v>363.0</v>
      </c>
      <c r="B364" s="4" t="s">
        <v>6645</v>
      </c>
      <c r="C364" s="4" t="s">
        <v>6646</v>
      </c>
      <c r="D364" s="4" t="s">
        <v>6647</v>
      </c>
      <c r="F364" s="5" t="str">
        <f>IFERROR(__xludf.DUMMYFUNCTION("GOOGLETRANSLATE(A364, ""en"", ""hi"")"),"363")</f>
        <v>363</v>
      </c>
      <c r="G364" s="5" t="str">
        <f>IFERROR(__xludf.DUMMYFUNCTION("GOOGLETRANSLATE(B364, ""en"", ""hi"")"),"असम में धोप खेल को शाही खेल के रूप में बढ़ावा देने के लिए किस राजा को जाना जाता है?")</f>
        <v>असम में धोप खेल को शाही खेल के रूप में बढ़ावा देने के लिए किस राजा को जाना जाता है?</v>
      </c>
      <c r="H364" s="5" t="str">
        <f>IFERROR(__xludf.DUMMYFUNCTION("GOOGLETRANSLATE(C364, ""en"", ""hi"")"),"ए) रुद्र सिंघा, बी) अहोम बुरहागोहेन, सी) प्रताप सिंघा, डी) सुकाफा")</f>
        <v>ए) रुद्र सिंघा, बी) अहोम बुरहागोहेन, सी) प्रताप सिंघा, डी) सुकाफा</v>
      </c>
      <c r="I364" s="5" t="str">
        <f>IFERROR(__xludf.DUMMYFUNCTION("GOOGLETRANSLATE(D364, ""en"", ""hi"")"),"A) रुद्र सिंह")</f>
        <v>A) रुद्र सिंह</v>
      </c>
    </row>
    <row r="365" ht="22.5" customHeight="1">
      <c r="A365" s="3">
        <v>364.0</v>
      </c>
      <c r="B365" s="4" t="s">
        <v>6648</v>
      </c>
      <c r="C365" s="4" t="s">
        <v>6649</v>
      </c>
      <c r="D365" s="4" t="s">
        <v>6650</v>
      </c>
      <c r="F365" s="5" t="str">
        <f>IFERROR(__xludf.DUMMYFUNCTION("GOOGLETRANSLATE(A365, ""en"", ""hi"")"),"364")</f>
        <v>364</v>
      </c>
      <c r="G365" s="5" t="str">
        <f>IFERROR(__xludf.DUMMYFUNCTION("GOOGLETRANSLATE(B365, ""en"", ""hi"")"),"धोप खेल पारंपरिक रूप से किस प्रकार की गेंद से खेला जाता था?")</f>
        <v>धोप खेल पारंपरिक रूप से किस प्रकार की गेंद से खेला जाता था?</v>
      </c>
      <c r="H365" s="5" t="str">
        <f>IFERROR(__xludf.DUMMYFUNCTION("GOOGLETRANSLATE(C365, ""en"", ""hi"")"),"A) चमड़े की गेंद, B) लकड़ी की गेंद, C) कपड़े की गेंद, D) रबर की गेंद")</f>
        <v>A) चमड़े की गेंद, B) लकड़ी की गेंद, C) कपड़े की गेंद, D) रबर की गेंद</v>
      </c>
      <c r="I365" s="5" t="str">
        <f>IFERROR(__xludf.DUMMYFUNCTION("GOOGLETRANSLATE(D365, ""en"", ""hi"")"),"C) कपड़े की गेंद")</f>
        <v>C) कपड़े की गेंद</v>
      </c>
    </row>
    <row r="366" ht="22.5" customHeight="1">
      <c r="A366" s="3">
        <v>365.0</v>
      </c>
      <c r="B366" s="4" t="s">
        <v>6651</v>
      </c>
      <c r="C366" s="4" t="s">
        <v>6652</v>
      </c>
      <c r="D366" s="4" t="s">
        <v>6653</v>
      </c>
      <c r="F366" s="5" t="str">
        <f>IFERROR(__xludf.DUMMYFUNCTION("GOOGLETRANSLATE(A366, ""en"", ""hi"")"),"365")</f>
        <v>365</v>
      </c>
      <c r="G366" s="5" t="str">
        <f>IFERROR(__xludf.DUMMYFUNCTION("GOOGLETRANSLATE(B366, ""en"", ""hi"")"),"19वीं शताब्दी में किस ब्रिटिश अधिकारी ने धोप खेल के नियमों को दर्ज किया था?")</f>
        <v>19वीं शताब्दी में किस ब्रिटिश अधिकारी ने धोप खेल के नियमों को दर्ज किया था?</v>
      </c>
      <c r="H366" s="5" t="str">
        <f>IFERROR(__xludf.DUMMYFUNCTION("GOOGLETRANSLATE(C366, ""en"", ""hi"")"),"A) चार्ल्स एलन, B) जॉन बटलर, C) हेनरी कॉटन, D) विलियम रॉबिन्सन")</f>
        <v>A) चार्ल्स एलन, B) जॉन बटलर, C) हेनरी कॉटन, D) विलियम रॉबिन्सन</v>
      </c>
      <c r="I366" s="5" t="str">
        <f>IFERROR(__xludf.DUMMYFUNCTION("GOOGLETRANSLATE(D366, ""en"", ""hi"")"),"D) विलियम रॉबिन्सन")</f>
        <v>D) विलियम रॉबिन्सन</v>
      </c>
    </row>
    <row r="367" ht="22.5" customHeight="1">
      <c r="A367" s="3">
        <v>366.0</v>
      </c>
      <c r="B367" s="4" t="s">
        <v>6654</v>
      </c>
      <c r="C367" s="4" t="s">
        <v>6655</v>
      </c>
      <c r="D367" s="4" t="s">
        <v>6656</v>
      </c>
      <c r="F367" s="5" t="str">
        <f>IFERROR(__xludf.DUMMYFUNCTION("GOOGLETRANSLATE(A367, ""en"", ""hi"")"),"366")</f>
        <v>366</v>
      </c>
      <c r="G367" s="5" t="str">
        <f>IFERROR(__xludf.DUMMYFUNCTION("GOOGLETRANSLATE(B367, ""en"", ""hi"")"),"धोप खेल को असम के बाहर किस शताब्दी में मान्यता मिली?")</f>
        <v>धोप खेल को असम के बाहर किस शताब्दी में मान्यता मिली?</v>
      </c>
      <c r="H367" s="5" t="str">
        <f>IFERROR(__xludf.DUMMYFUNCTION("GOOGLETRANSLATE(C367, ""en"", ""hi"")"),"A) 19वीं शताब्दी, B) 20वीं शताब्दी, C) 18वीं शताब्दी, D) 17वीं शताब्दी")</f>
        <v>A) 19वीं शताब्दी, B) 20वीं शताब्दी, C) 18वीं शताब्दी, D) 17वीं शताब्दी</v>
      </c>
      <c r="I367" s="5" t="str">
        <f>IFERROR(__xludf.DUMMYFUNCTION("GOOGLETRANSLATE(D367, ""en"", ""hi"")"),"बी) 20वीं सदी")</f>
        <v>बी) 20वीं सदी</v>
      </c>
    </row>
    <row r="368" ht="22.5" customHeight="1">
      <c r="A368" s="3">
        <v>367.0</v>
      </c>
      <c r="B368" s="4" t="s">
        <v>6657</v>
      </c>
      <c r="C368" s="4" t="s">
        <v>6658</v>
      </c>
      <c r="D368" s="4" t="s">
        <v>6659</v>
      </c>
      <c r="F368" s="5" t="str">
        <f>IFERROR(__xludf.DUMMYFUNCTION("GOOGLETRANSLATE(A368, ""en"", ""hi"")"),"367")</f>
        <v>367</v>
      </c>
      <c r="G368" s="5" t="str">
        <f>IFERROR(__xludf.DUMMYFUNCTION("GOOGLETRANSLATE(B368, ""en"", ""hi"")"),"किस ऐतिहासिक घटना के कारण धोप खेल का नियमित खेल के रूप में पतन हो गया?")</f>
        <v>किस ऐतिहासिक घटना के कारण धोप खेल का नियमित खेल के रूप में पतन हो गया?</v>
      </c>
      <c r="H368" s="5" t="str">
        <f>IFERROR(__xludf.DUMMYFUNCTION("GOOGLETRANSLATE(C368, ""en"", ""hi"")"),"A) ब्रिटिश उपनिवेशीकरण, B) भारतीय स्वतंत्रता, C) औद्योगिक क्रांति, D) भारत का विभाजन")</f>
        <v>A) ब्रिटिश उपनिवेशीकरण, B) भारतीय स्वतंत्रता, C) औद्योगिक क्रांति, D) भारत का विभाजन</v>
      </c>
      <c r="I368" s="5" t="str">
        <f>IFERROR(__xludf.DUMMYFUNCTION("GOOGLETRANSLATE(D368, ""en"", ""hi"")"),"ए) ब्रिटिश उपनिवेशीकरण")</f>
        <v>ए) ब्रिटिश उपनिवेशीकरण</v>
      </c>
    </row>
    <row r="369" ht="22.5" customHeight="1">
      <c r="A369" s="3">
        <v>368.0</v>
      </c>
      <c r="B369" s="4" t="s">
        <v>6660</v>
      </c>
      <c r="C369" s="4" t="s">
        <v>6661</v>
      </c>
      <c r="D369" s="4" t="s">
        <v>6662</v>
      </c>
      <c r="F369" s="5" t="str">
        <f>IFERROR(__xludf.DUMMYFUNCTION("GOOGLETRANSLATE(A369, ""en"", ""hi"")"),"368")</f>
        <v>368</v>
      </c>
      <c r="G369" s="5" t="str">
        <f>IFERROR(__xludf.DUMMYFUNCTION("GOOGLETRANSLATE(B369, ""en"", ""hi"")"),"धोप खेल को किस प्रमुख भारतीय स्वतंत्रता आंदोलन के दौरान पुनर्जीवित किया गया था?")</f>
        <v>धोप खेल को किस प्रमुख भारतीय स्वतंत्रता आंदोलन के दौरान पुनर्जीवित किया गया था?</v>
      </c>
      <c r="H369" s="5" t="str">
        <f>IFERROR(__xludf.DUMMYFUNCTION("GOOGLETRANSLATE(C369, ""en"", ""hi"")"),"A) असहयोग आंदोलन, B) भारत छोड़ो आंदोलन, C) स्वदेशी आंदोलन, D) नमक मार्च")</f>
        <v>A) असहयोग आंदोलन, B) भारत छोड़ो आंदोलन, C) स्वदेशी आंदोलन, D) नमक मार्च</v>
      </c>
      <c r="I369" s="5" t="str">
        <f>IFERROR(__xludf.DUMMYFUNCTION("GOOGLETRANSLATE(D369, ""en"", ""hi"")"),"C) स्वदेशी आंदोलन")</f>
        <v>C) स्वदेशी आंदोलन</v>
      </c>
    </row>
    <row r="370" ht="22.5" customHeight="1">
      <c r="A370" s="3">
        <v>369.0</v>
      </c>
      <c r="B370" s="4" t="s">
        <v>6663</v>
      </c>
      <c r="C370" s="4" t="s">
        <v>6664</v>
      </c>
      <c r="D370" s="4" t="s">
        <v>6665</v>
      </c>
      <c r="F370" s="5" t="str">
        <f>IFERROR(__xludf.DUMMYFUNCTION("GOOGLETRANSLATE(A370, ""en"", ""hi"")"),"369")</f>
        <v>369</v>
      </c>
      <c r="G370" s="5" t="str">
        <f>IFERROR(__xludf.DUMMYFUNCTION("GOOGLETRANSLATE(B370, ""en"", ""hi"")"),"स्वतंत्रता के बाद भारत में धोप खेल को आधुनिक बनाने और बढ़ावा देने का प्रयास सबसे पहले किस संगठन ने किया?")</f>
        <v>स्वतंत्रता के बाद भारत में धोप खेल को आधुनिक बनाने और बढ़ावा देने का प्रयास सबसे पहले किस संगठन ने किया?</v>
      </c>
      <c r="H370" s="5" t="str">
        <f>IFERROR(__xludf.DUMMYFUNCTION("GOOGLETRANSLATE(C370, ""en"", ""hi"")"),"A) असम खेल महासंघ, B) असम ओलंपिक समिति, C) अखिल भारतीय खेल परिषद, D) पूर्वोत्तर खेल संघ")</f>
        <v>A) असम खेल महासंघ, B) असम ओलंपिक समिति, C) अखिल भारतीय खेल परिषद, D) पूर्वोत्तर खेल संघ</v>
      </c>
      <c r="I370" s="5" t="str">
        <f>IFERROR(__xludf.DUMMYFUNCTION("GOOGLETRANSLATE(D370, ""en"", ""hi"")"),"A) असम खेल महासंघ")</f>
        <v>A) असम खेल महासंघ</v>
      </c>
    </row>
    <row r="371" ht="22.5" customHeight="1">
      <c r="A371" s="3">
        <v>370.0</v>
      </c>
      <c r="B371" s="4" t="s">
        <v>6666</v>
      </c>
      <c r="C371" s="4" t="s">
        <v>6667</v>
      </c>
      <c r="D371" s="4" t="s">
        <v>6668</v>
      </c>
      <c r="F371" s="5" t="str">
        <f>IFERROR(__xludf.DUMMYFUNCTION("GOOGLETRANSLATE(A371, ""en"", ""hi"")"),"370")</f>
        <v>370</v>
      </c>
      <c r="G371" s="5" t="str">
        <f>IFERROR(__xludf.DUMMYFUNCTION("GOOGLETRANSLATE(B371, ""en"", ""hi"")"),"धोप खेल को पहली बार भारत के राष्ट्रीय खेलों में प्रदर्शन खेल के रूप में कब शामिल किया गया था?")</f>
        <v>धोप खेल को पहली बार भारत के राष्ट्रीय खेलों में प्रदर्शन खेल के रूप में कब शामिल किया गया था?</v>
      </c>
      <c r="H371" s="5" t="str">
        <f>IFERROR(__xludf.DUMMYFUNCTION("GOOGLETRANSLATE(C371, ""en"", ""hi"")"),"ए) 1985, बी) 1992, सी) 1996, डी) 2002")</f>
        <v>ए) 1985, बी) 1992, सी) 1996, डी) 2002</v>
      </c>
      <c r="I371" s="5" t="str">
        <f>IFERROR(__xludf.DUMMYFUNCTION("GOOGLETRANSLATE(D371, ""en"", ""hi"")"),"बी) 1992")</f>
        <v>बी) 1992</v>
      </c>
    </row>
    <row r="372" ht="22.5" customHeight="1">
      <c r="A372" s="3">
        <v>371.0</v>
      </c>
      <c r="B372" s="4" t="s">
        <v>6669</v>
      </c>
      <c r="C372" s="4" t="s">
        <v>813</v>
      </c>
      <c r="D372" s="4" t="s">
        <v>814</v>
      </c>
      <c r="F372" s="5" t="str">
        <f>IFERROR(__xludf.DUMMYFUNCTION("GOOGLETRANSLATE(A372, ""en"", ""hi"")"),"371")</f>
        <v>371</v>
      </c>
      <c r="G372" s="5" t="str">
        <f>IFERROR(__xludf.DUMMYFUNCTION("GOOGLETRANSLATE(B372, ""en"", ""hi"")"),"भारत में पहला आधिकारिक धोप खेल टूर्नामेंट किस वर्ष आयोजित किया गया था?")</f>
        <v>भारत में पहला आधिकारिक धोप खेल टूर्नामेंट किस वर्ष आयोजित किया गया था?</v>
      </c>
      <c r="H372" s="5" t="str">
        <f>IFERROR(__xludf.DUMMYFUNCTION("GOOGLETRANSLATE(C372, ""en"", ""hi"")"),"ए) 1980, बी) 1990, सी) 2000, डी) 2010")</f>
        <v>ए) 1980, बी) 1990, सी) 2000, डी) 2010</v>
      </c>
      <c r="I372" s="5" t="str">
        <f>IFERROR(__xludf.DUMMYFUNCTION("GOOGLETRANSLATE(D372, ""en"", ""hi"")"),"बी) 1990")</f>
        <v>बी) 1990</v>
      </c>
    </row>
    <row r="373" ht="22.5" customHeight="1">
      <c r="A373" s="3">
        <v>372.0</v>
      </c>
      <c r="B373" s="4" t="s">
        <v>6670</v>
      </c>
      <c r="C373" s="4" t="s">
        <v>6671</v>
      </c>
      <c r="D373" s="4" t="s">
        <v>6672</v>
      </c>
      <c r="F373" s="5" t="str">
        <f>IFERROR(__xludf.DUMMYFUNCTION("GOOGLETRANSLATE(A373, ""en"", ""hi"")"),"372")</f>
        <v>372</v>
      </c>
      <c r="G373" s="5" t="str">
        <f>IFERROR(__xludf.DUMMYFUNCTION("GOOGLETRANSLATE(B373, ""en"", ""hi"")"),"भारतीय धोप खेल महासंघ के प्रथम अध्यक्ष कौन थे?")</f>
        <v>भारतीय धोप खेल महासंघ के प्रथम अध्यक्ष कौन थे?</v>
      </c>
      <c r="H373" s="5" t="str">
        <f>IFERROR(__xludf.DUMMYFUNCTION("GOOGLETRANSLATE(C373, ""en"", ""hi"")"),"ए) अजीत बोरा, बी) बी.के. दास, सी) तरूण गोगोई, डी) हेमेन दास")</f>
        <v>ए) अजीत बोरा, बी) बी.के. दास, सी) तरूण गोगोई, डी) हेमेन दास</v>
      </c>
      <c r="I373" s="5" t="str">
        <f>IFERROR(__xludf.DUMMYFUNCTION("GOOGLETRANSLATE(D373, ""en"", ""hi"")"),"D) हेमेन दास")</f>
        <v>D) हेमेन दास</v>
      </c>
    </row>
    <row r="374" ht="22.5" customHeight="1">
      <c r="A374" s="3">
        <v>373.0</v>
      </c>
      <c r="B374" s="4" t="s">
        <v>6673</v>
      </c>
      <c r="C374" s="4" t="s">
        <v>5255</v>
      </c>
      <c r="D374" s="4" t="s">
        <v>71</v>
      </c>
      <c r="F374" s="5" t="str">
        <f>IFERROR(__xludf.DUMMYFUNCTION("GOOGLETRANSLATE(A374, ""en"", ""hi"")"),"373")</f>
        <v>373</v>
      </c>
      <c r="G374" s="5" t="str">
        <f>IFERROR(__xludf.DUMMYFUNCTION("GOOGLETRANSLATE(B374, ""en"", ""hi"")"),"असम के स्कूल खेल पाठ्यक्रम के भाग के रूप में धोप खेल को किस वर्ष शुरू किया गया था?")</f>
        <v>असम के स्कूल खेल पाठ्यक्रम के भाग के रूप में धोप खेल को किस वर्ष शुरू किया गया था?</v>
      </c>
      <c r="H374" s="5" t="str">
        <f>IFERROR(__xludf.DUMMYFUNCTION("GOOGLETRANSLATE(C374, ""en"", ""hi"")"),"ए) 2005, बी) 2010, सी) 2015, डी) 2020")</f>
        <v>ए) 2005, बी) 2010, सी) 2015, डी) 2020</v>
      </c>
      <c r="I374" s="5" t="str">
        <f>IFERROR(__xludf.DUMMYFUNCTION("GOOGLETRANSLATE(D374, ""en"", ""hi"")"),"बी) 2010")</f>
        <v>बी) 2010</v>
      </c>
    </row>
    <row r="375" ht="22.5" customHeight="1">
      <c r="A375" s="3">
        <v>374.0</v>
      </c>
      <c r="B375" s="4" t="s">
        <v>6674</v>
      </c>
      <c r="C375" s="4" t="s">
        <v>6675</v>
      </c>
      <c r="D375" s="4" t="s">
        <v>6676</v>
      </c>
      <c r="F375" s="5" t="str">
        <f>IFERROR(__xludf.DUMMYFUNCTION("GOOGLETRANSLATE(A375, ""en"", ""hi"")"),"374")</f>
        <v>374</v>
      </c>
      <c r="G375" s="5" t="str">
        <f>IFERROR(__xludf.DUMMYFUNCTION("GOOGLETRANSLATE(B375, ""en"", ""hi"")"),"कौन सा खेल धोप खेल का निकटतम आधुनिक समकक्ष माना जाता है?")</f>
        <v>कौन सा खेल धोप खेल का निकटतम आधुनिक समकक्ष माना जाता है?</v>
      </c>
      <c r="H375" s="5" t="str">
        <f>IFERROR(__xludf.DUMMYFUNCTION("GOOGLETRANSLATE(C375, ""en"", ""hi"")"),"A) कबड्डी, B) हैंडबॉल, C) फुटबॉल, D) क्रिकेट")</f>
        <v>A) कबड्डी, B) हैंडबॉल, C) फुटबॉल, D) क्रिकेट</v>
      </c>
      <c r="I375" s="5" t="str">
        <f>IFERROR(__xludf.DUMMYFUNCTION("GOOGLETRANSLATE(D375, ""en"", ""hi"")"),"A) कबड्डी")</f>
        <v>A) कबड्डी</v>
      </c>
    </row>
    <row r="376" ht="22.5" customHeight="1">
      <c r="A376" s="3">
        <v>375.0</v>
      </c>
      <c r="B376" s="4" t="s">
        <v>6677</v>
      </c>
      <c r="C376" s="4" t="s">
        <v>854</v>
      </c>
      <c r="D376" s="4" t="s">
        <v>6397</v>
      </c>
      <c r="F376" s="5" t="str">
        <f>IFERROR(__xludf.DUMMYFUNCTION("GOOGLETRANSLATE(A376, ""en"", ""hi"")"),"375")</f>
        <v>375</v>
      </c>
      <c r="G376" s="5" t="str">
        <f>IFERROR(__xludf.DUMMYFUNCTION("GOOGLETRANSLATE(B376, ""en"", ""hi"")"),"पहला अंतर्राष्ट्रीय धोप खेल टूर्नामेंट किस वर्ष आयोजित किया गया था?")</f>
        <v>पहला अंतर्राष्ट्रीय धोप खेल टूर्नामेंट किस वर्ष आयोजित किया गया था?</v>
      </c>
      <c r="H376" s="5" t="str">
        <f>IFERROR(__xludf.DUMMYFUNCTION("GOOGLETRANSLATE(C376, ""en"", ""hi"")"),"ए) 2015, बी) 2016, सी) 2017, डी) 2018")</f>
        <v>ए) 2015, बी) 2016, सी) 2017, डी) 2018</v>
      </c>
      <c r="I376" s="5" t="str">
        <f>IFERROR(__xludf.DUMMYFUNCTION("GOOGLETRANSLATE(D376, ""en"", ""hi"")"),"सी) 2017")</f>
        <v>सी) 2017</v>
      </c>
    </row>
    <row r="377" ht="22.5" customHeight="1">
      <c r="A377" s="3">
        <v>376.0</v>
      </c>
      <c r="B377" s="4" t="s">
        <v>6678</v>
      </c>
      <c r="C377" s="4" t="s">
        <v>6679</v>
      </c>
      <c r="D377" s="4" t="s">
        <v>6516</v>
      </c>
      <c r="F377" s="5" t="str">
        <f>IFERROR(__xludf.DUMMYFUNCTION("GOOGLETRANSLATE(A377, ""en"", ""hi"")"),"376")</f>
        <v>376</v>
      </c>
      <c r="G377" s="5" t="str">
        <f>IFERROR(__xludf.DUMMYFUNCTION("GOOGLETRANSLATE(B377, ""en"", ""hi"")"),"प्रथम अंतर्राष्ट्रीय धोप खेल मैच में किस देश ने भाग लिया था?")</f>
        <v>प्रथम अंतर्राष्ट्रीय धोप खेल मैच में किस देश ने भाग लिया था?</v>
      </c>
      <c r="H377" s="5" t="str">
        <f>IFERROR(__xludf.DUMMYFUNCTION("GOOGLETRANSLATE(C377, ""en"", ""hi"")"),"A) नेपाल, B) बांग्लादेश, C) भूटान, D) श्रीलंका")</f>
        <v>A) नेपाल, B) बांग्लादेश, C) भूटान, D) श्रीलंका</v>
      </c>
      <c r="I377" s="5" t="str">
        <f>IFERROR(__xludf.DUMMYFUNCTION("GOOGLETRANSLATE(D377, ""en"", ""hi"")"),"बी) बांग्लादेश")</f>
        <v>बी) बांग्लादेश</v>
      </c>
    </row>
    <row r="378" ht="22.5" customHeight="1">
      <c r="A378" s="3">
        <v>377.0</v>
      </c>
      <c r="B378" s="4" t="s">
        <v>6680</v>
      </c>
      <c r="C378" s="4" t="s">
        <v>6681</v>
      </c>
      <c r="D378" s="4" t="s">
        <v>6672</v>
      </c>
      <c r="F378" s="5" t="str">
        <f>IFERROR(__xludf.DUMMYFUNCTION("GOOGLETRANSLATE(A378, ""en"", ""hi"")"),"377")</f>
        <v>377</v>
      </c>
      <c r="G378" s="5" t="str">
        <f>IFERROR(__xludf.DUMMYFUNCTION("GOOGLETRANSLATE(B378, ""en"", ""hi"")"),"आधुनिक धोप खेल को पुनर्जीवित करने के प्रयासों के लिए किसे 'आधुनिक धोप खेल का जनक' माना जाता है?")</f>
        <v>आधुनिक धोप खेल को पुनर्जीवित करने के प्रयासों के लिए किसे 'आधुनिक धोप खेल का जनक' माना जाता है?</v>
      </c>
      <c r="H378" s="5" t="str">
        <f>IFERROR(__xludf.DUMMYFUNCTION("GOOGLETRANSLATE(C378, ""en"", ""hi"")"),"ए) हेमन्त गोगोई, बी) तरूण बोरा, सी) भूपेन हजारिका, डी) हेमेन दास")</f>
        <v>ए) हेमन्त गोगोई, बी) तरूण बोरा, सी) भूपेन हजारिका, डी) हेमेन दास</v>
      </c>
      <c r="I378" s="5" t="str">
        <f>IFERROR(__xludf.DUMMYFUNCTION("GOOGLETRANSLATE(D378, ""en"", ""hi"")"),"D) हेमेन दास")</f>
        <v>D) हेमेन दास</v>
      </c>
    </row>
    <row r="379" ht="22.5" customHeight="1">
      <c r="A379" s="3">
        <v>378.0</v>
      </c>
      <c r="B379" s="4" t="s">
        <v>6682</v>
      </c>
      <c r="C379" s="4" t="s">
        <v>5255</v>
      </c>
      <c r="D379" s="4" t="s">
        <v>71</v>
      </c>
      <c r="F379" s="5" t="str">
        <f>IFERROR(__xludf.DUMMYFUNCTION("GOOGLETRANSLATE(A379, ""en"", ""hi"")"),"378")</f>
        <v>378</v>
      </c>
      <c r="G379" s="5" t="str">
        <f>IFERROR(__xludf.DUMMYFUNCTION("GOOGLETRANSLATE(B379, ""en"", ""hi"")"),"धोप खेल की आधिकारिक नियम पुस्तिका किस वर्ष प्रकाशित हुई थी?")</f>
        <v>धोप खेल की आधिकारिक नियम पुस्तिका किस वर्ष प्रकाशित हुई थी?</v>
      </c>
      <c r="H379" s="5" t="str">
        <f>IFERROR(__xludf.DUMMYFUNCTION("GOOGLETRANSLATE(C379, ""en"", ""hi"")"),"ए) 2005, बी) 2010, सी) 2015, डी) 2020")</f>
        <v>ए) 2005, बी) 2010, सी) 2015, डी) 2020</v>
      </c>
      <c r="I379" s="5" t="str">
        <f>IFERROR(__xludf.DUMMYFUNCTION("GOOGLETRANSLATE(D379, ""en"", ""hi"")"),"बी) 2010")</f>
        <v>बी) 2010</v>
      </c>
    </row>
    <row r="380" ht="22.5" customHeight="1">
      <c r="A380" s="3">
        <v>379.0</v>
      </c>
      <c r="B380" s="4" t="s">
        <v>6683</v>
      </c>
      <c r="C380" s="4" t="s">
        <v>6684</v>
      </c>
      <c r="D380" s="4" t="s">
        <v>6685</v>
      </c>
      <c r="F380" s="5" t="str">
        <f>IFERROR(__xludf.DUMMYFUNCTION("GOOGLETRANSLATE(A380, ""en"", ""hi"")"),"379")</f>
        <v>379</v>
      </c>
      <c r="G380" s="5" t="str">
        <f>IFERROR(__xludf.DUMMYFUNCTION("GOOGLETRANSLATE(B380, ""en"", ""hi"")"),"धोप खेल अब मुख्य रूप से असम के किस क्षेत्र में खेला जाता है?")</f>
        <v>धोप खेल अब मुख्य रूप से असम के किस क्षेत्र में खेला जाता है?</v>
      </c>
      <c r="H380" s="5" t="str">
        <f>IFERROR(__xludf.DUMMYFUNCTION("GOOGLETRANSLATE(C380, ""en"", ""hi"")"),"A) ऊपरी असम, B) निचला असम, C) बराक घाटी, D) उत्तरी असम")</f>
        <v>A) ऊपरी असम, B) निचला असम, C) बराक घाटी, D) उत्तरी असम</v>
      </c>
      <c r="I380" s="5" t="str">
        <f>IFERROR(__xludf.DUMMYFUNCTION("GOOGLETRANSLATE(D380, ""en"", ""hi"")"),"A) ऊपरी असम")</f>
        <v>A) ऊपरी असम</v>
      </c>
    </row>
    <row r="381" ht="22.5" customHeight="1">
      <c r="A381" s="3">
        <v>380.0</v>
      </c>
      <c r="B381" s="4" t="s">
        <v>6686</v>
      </c>
      <c r="C381" s="4" t="s">
        <v>6687</v>
      </c>
      <c r="D381" s="4" t="s">
        <v>6688</v>
      </c>
      <c r="F381" s="5" t="str">
        <f>IFERROR(__xludf.DUMMYFUNCTION("GOOGLETRANSLATE(A381, ""en"", ""hi"")"),"380")</f>
        <v>380</v>
      </c>
      <c r="G381" s="5" t="str">
        <f>IFERROR(__xludf.DUMMYFUNCTION("GOOGLETRANSLATE(B381, ""en"", ""hi"")"),"असम स्थित किस विश्वविद्यालय ने अपने खेल कार्यक्रम के एक भाग के रूप में धोप खेल की शुरुआत की?")</f>
        <v>असम स्थित किस विश्वविद्यालय ने अपने खेल कार्यक्रम के एक भाग के रूप में धोप खेल की शुरुआत की?</v>
      </c>
      <c r="H381" s="5" t="str">
        <f>IFERROR(__xludf.DUMMYFUNCTION("GOOGLETRANSLATE(C381, ""en"", ""hi"")"),"A) गुवाहाटी विश्वविद्यालय, B) डिब्रूगढ़ विश्वविद्यालय, C) तेजपुर विश्वविद्यालय, D) असम कृषि विश्वविद्यालय")</f>
        <v>A) गुवाहाटी विश्वविद्यालय, B) डिब्रूगढ़ विश्वविद्यालय, C) तेजपुर विश्वविद्यालय, D) असम कृषि विश्वविद्यालय</v>
      </c>
      <c r="I381" s="5" t="str">
        <f>IFERROR(__xludf.DUMMYFUNCTION("GOOGLETRANSLATE(D381, ""en"", ""hi"")"),"बी) डिब्रूगढ़ विश्वविद्यालय")</f>
        <v>बी) डिब्रूगढ़ विश्वविद्यालय</v>
      </c>
    </row>
    <row r="382" ht="22.5" customHeight="1">
      <c r="A382" s="3">
        <v>381.0</v>
      </c>
      <c r="B382" s="4" t="s">
        <v>6689</v>
      </c>
      <c r="C382" s="4" t="s">
        <v>6690</v>
      </c>
      <c r="D382" s="4" t="s">
        <v>6691</v>
      </c>
      <c r="F382" s="5" t="str">
        <f>IFERROR(__xludf.DUMMYFUNCTION("GOOGLETRANSLATE(A382, ""en"", ""hi"")"),"381")</f>
        <v>381</v>
      </c>
      <c r="G382" s="5" t="str">
        <f>IFERROR(__xludf.DUMMYFUNCTION("GOOGLETRANSLATE(B382, ""en"", ""hi"")"),"कौन सा असमिया लोकगीत अक्सर धोप खेल का संदर्भ देता है?")</f>
        <v>कौन सा असमिया लोकगीत अक्सर धोप खेल का संदर्भ देता है?</v>
      </c>
      <c r="H382" s="5" t="str">
        <f>IFERROR(__xludf.DUMMYFUNCTION("GOOGLETRANSLATE(C382, ""en"", ""hi"")"),"ए) बिहू गीत, बी) भूपेन हजारिका के क्लासिक्स, सी) ज़िकिर, डी) बोंगीट")</f>
        <v>ए) बिहू गीत, बी) भूपेन हजारिका के क्लासिक्स, सी) ज़िकिर, डी) बोंगीट</v>
      </c>
      <c r="I382" s="5" t="str">
        <f>IFERROR(__xludf.DUMMYFUNCTION("GOOGLETRANSLATE(D382, ""en"", ""hi"")"),"A) बिहू गीत")</f>
        <v>A) बिहू गीत</v>
      </c>
    </row>
    <row r="383" ht="22.5" customHeight="1">
      <c r="A383" s="3">
        <v>382.0</v>
      </c>
      <c r="B383" s="4" t="s">
        <v>6692</v>
      </c>
      <c r="C383" s="4" t="s">
        <v>6693</v>
      </c>
      <c r="D383" s="4" t="s">
        <v>4582</v>
      </c>
      <c r="F383" s="5" t="str">
        <f>IFERROR(__xludf.DUMMYFUNCTION("GOOGLETRANSLATE(A383, ""en"", ""hi"")"),"382")</f>
        <v>382</v>
      </c>
      <c r="G383" s="5" t="str">
        <f>IFERROR(__xludf.DUMMYFUNCTION("GOOGLETRANSLATE(B383, ""en"", ""hi"")"),"धोप खेल पारंपरिक रूप से विभिन्न राज्यों की टीमों के बीच खेला जाता था।")</f>
        <v>धोप खेल पारंपरिक रूप से विभिन्न राज्यों की टीमों के बीच खेला जाता था।</v>
      </c>
      <c r="H383" s="5" t="str">
        <f>IFERROR(__xludf.DUMMYFUNCTION("GOOGLETRANSLATE(C383, ""en"", ""hi"")"),"A) गाँव, B) शहर, C) कुल, D) राज्य")</f>
        <v>A) गाँव, B) शहर, C) कुल, D) राज्य</v>
      </c>
      <c r="I383" s="5" t="str">
        <f>IFERROR(__xludf.DUMMYFUNCTION("GOOGLETRANSLATE(D383, ""en"", ""hi"")"),"ए) गाँव")</f>
        <v>ए) गाँव</v>
      </c>
    </row>
    <row r="384" ht="22.5" customHeight="1">
      <c r="A384" s="3">
        <v>383.0</v>
      </c>
      <c r="B384" s="4" t="s">
        <v>6694</v>
      </c>
      <c r="C384" s="4" t="s">
        <v>6695</v>
      </c>
      <c r="D384" s="4" t="s">
        <v>6696</v>
      </c>
      <c r="F384" s="5" t="str">
        <f>IFERROR(__xludf.DUMMYFUNCTION("GOOGLETRANSLATE(A384, ""en"", ""hi"")"),"383")</f>
        <v>383</v>
      </c>
      <c r="G384" s="5" t="str">
        <f>IFERROR(__xludf.DUMMYFUNCTION("GOOGLETRANSLATE(B384, ""en"", ""hi"")"),"ऐतिहासिक रूप से कौन सा उल्लेखनीय असमिया त्यौहार धोप खेल सीजन की शुरुआत का प्रतीक है?")</f>
        <v>ऐतिहासिक रूप से कौन सा उल्लेखनीय असमिया त्यौहार धोप खेल सीजन की शुरुआत का प्रतीक है?</v>
      </c>
      <c r="H384" s="5" t="str">
        <f>IFERROR(__xludf.DUMMYFUNCTION("GOOGLETRANSLATE(C384, ""en"", ""hi"")"),"ए) माघ बिहू, बी) बोहाग बिहू, सी) कटि बिहू, डी) रोंगाली बिहू")</f>
        <v>ए) माघ बिहू, बी) बोहाग बिहू, सी) कटि बिहू, डी) रोंगाली बिहू</v>
      </c>
      <c r="I384" s="5" t="str">
        <f>IFERROR(__xludf.DUMMYFUNCTION("GOOGLETRANSLATE(D384, ""en"", ""hi"")"),"बी) बोहाग बिहू")</f>
        <v>बी) बोहाग बिहू</v>
      </c>
    </row>
    <row r="385" ht="22.5" customHeight="1">
      <c r="A385" s="3">
        <v>384.0</v>
      </c>
      <c r="B385" s="4" t="s">
        <v>6697</v>
      </c>
      <c r="C385" s="4" t="s">
        <v>6698</v>
      </c>
      <c r="D385" s="4" t="s">
        <v>6699</v>
      </c>
      <c r="F385" s="5" t="str">
        <f>IFERROR(__xludf.DUMMYFUNCTION("GOOGLETRANSLATE(A385, ""en"", ""hi"")"),"384")</f>
        <v>384</v>
      </c>
      <c r="G385" s="5" t="str">
        <f>IFERROR(__xludf.DUMMYFUNCTION("GOOGLETRANSLATE(B385, ""en"", ""hi"")"),"1800 के दशक के अंत में किस ब्रिटिश अधिकारी ने धोप खेल को असमिया संस्कृति के हिस्से के रूप में दर्ज किया?")</f>
        <v>1800 के दशक के अंत में किस ब्रिटिश अधिकारी ने धोप खेल को असमिया संस्कृति के हिस्से के रूप में दर्ज किया?</v>
      </c>
      <c r="H385" s="5" t="str">
        <f>IFERROR(__xludf.DUMMYFUNCTION("GOOGLETRANSLATE(C385, ""en"", ""hi"")"),"A) रॉबर्ट रीड, B) विलियम रॉबिन्सन, C) चार्ल्स लायल, D) एडवर्ड गेट")</f>
        <v>A) रॉबर्ट रीड, B) विलियम रॉबिन्सन, C) चार्ल्स लायल, D) एडवर्ड गेट</v>
      </c>
      <c r="I385" s="5" t="str">
        <f>IFERROR(__xludf.DUMMYFUNCTION("GOOGLETRANSLATE(D385, ""en"", ""hi"")"),"C) चार्ल्स लायल")</f>
        <v>C) चार्ल्स लायल</v>
      </c>
    </row>
    <row r="386" ht="22.5" customHeight="1">
      <c r="A386" s="3">
        <v>385.0</v>
      </c>
      <c r="B386" s="4" t="s">
        <v>6700</v>
      </c>
      <c r="C386" s="4" t="s">
        <v>1901</v>
      </c>
      <c r="D386" s="4" t="s">
        <v>814</v>
      </c>
      <c r="F386" s="5" t="str">
        <f>IFERROR(__xludf.DUMMYFUNCTION("GOOGLETRANSLATE(A386, ""en"", ""hi"")"),"385")</f>
        <v>385</v>
      </c>
      <c r="G386" s="5" t="str">
        <f>IFERROR(__xludf.DUMMYFUNCTION("GOOGLETRANSLATE(B386, ""en"", ""hi"")"),"पहली अखिल असम धोप खेल चैंपियनशिप किस वर्ष आयोजित की गई थी?")</f>
        <v>पहली अखिल असम धोप खेल चैंपियनशिप किस वर्ष आयोजित की गई थी?</v>
      </c>
      <c r="H386" s="5" t="str">
        <f>IFERROR(__xludf.DUMMYFUNCTION("GOOGLETRANSLATE(C386, ""en"", ""hi"")"),"ए) 1985, बी) 1990, सी) 1995, डी) 2000")</f>
        <v>ए) 1985, बी) 1990, सी) 1995, डी) 2000</v>
      </c>
      <c r="I386" s="5" t="str">
        <f>IFERROR(__xludf.DUMMYFUNCTION("GOOGLETRANSLATE(D386, ""en"", ""hi"")"),"बी) 1990")</f>
        <v>बी) 1990</v>
      </c>
    </row>
    <row r="387" ht="22.5" customHeight="1">
      <c r="A387" s="3">
        <v>386.0</v>
      </c>
      <c r="B387" s="4" t="s">
        <v>6701</v>
      </c>
      <c r="C387" s="4" t="s">
        <v>6702</v>
      </c>
      <c r="D387" s="4" t="s">
        <v>448</v>
      </c>
      <c r="F387" s="5" t="str">
        <f>IFERROR(__xludf.DUMMYFUNCTION("GOOGLETRANSLATE(A387, ""en"", ""hi"")"),"386")</f>
        <v>386</v>
      </c>
      <c r="G387" s="5" t="str">
        <f>IFERROR(__xludf.DUMMYFUNCTION("GOOGLETRANSLATE(B387, ""en"", ""hi"")"),"20वीं सदी के आरंभ में धोप खेल को किस प्रमुख भारतीय शहर में एक खेल के रूप में पेश किया गया था?")</f>
        <v>20वीं सदी के आरंभ में धोप खेल को किस प्रमुख भारतीय शहर में एक खेल के रूप में पेश किया गया था?</v>
      </c>
      <c r="H387" s="5" t="str">
        <f>IFERROR(__xludf.DUMMYFUNCTION("GOOGLETRANSLATE(C387, ""en"", ""hi"")"),"ए) कोलकाता, बी) मुंबई, सी) दिल्ली, डी) चेन्नई")</f>
        <v>ए) कोलकाता, बी) मुंबई, सी) दिल्ली, डी) चेन्नई</v>
      </c>
      <c r="I387" s="5" t="str">
        <f>IFERROR(__xludf.DUMMYFUNCTION("GOOGLETRANSLATE(D387, ""en"", ""hi"")"),"ए) कोलकाता")</f>
        <v>ए) कोलकाता</v>
      </c>
    </row>
    <row r="388" ht="22.5" customHeight="1">
      <c r="A388" s="3">
        <v>387.0</v>
      </c>
      <c r="B388" s="4" t="s">
        <v>6703</v>
      </c>
      <c r="C388" s="4" t="s">
        <v>6704</v>
      </c>
      <c r="D388" s="4" t="s">
        <v>6705</v>
      </c>
      <c r="F388" s="5" t="str">
        <f>IFERROR(__xludf.DUMMYFUNCTION("GOOGLETRANSLATE(A388, ""en"", ""hi"")"),"387")</f>
        <v>387</v>
      </c>
      <c r="G388" s="5" t="str">
        <f>IFERROR(__xludf.DUMMYFUNCTION("GOOGLETRANSLATE(B388, ""en"", ""hi"")"),"औपनिवेशिक भारत के दौरान किस ऐतिहासिक व्यक्ति ने धोप खेल को ग्रामीण खेल के रूप में लोकप्रिय बनाया?")</f>
        <v>औपनिवेशिक भारत के दौरान किस ऐतिहासिक व्यक्ति ने धोप खेल को ग्रामीण खेल के रूप में लोकप्रिय बनाया?</v>
      </c>
      <c r="H388" s="5" t="str">
        <f>IFERROR(__xludf.DUMMYFUNCTION("GOOGLETRANSLATE(C388, ""en"", ""hi"")"),"ए) गोपीनाथ बोरदोलोई, बी) भूपेन हजारिका, सी) लक्ष्मीनाथ बेजबरोआ, डी) हेमचंद्र गोस्वामी")</f>
        <v>ए) गोपीनाथ बोरदोलोई, बी) भूपेन हजारिका, सी) लक्ष्मीनाथ बेजबरोआ, डी) हेमचंद्र गोस्वामी</v>
      </c>
      <c r="I388" s="5" t="str">
        <f>IFERROR(__xludf.DUMMYFUNCTION("GOOGLETRANSLATE(D388, ""en"", ""hi"")"),"A) गोपीनाथ बोरदोलोई")</f>
        <v>A) गोपीनाथ बोरदोलोई</v>
      </c>
    </row>
    <row r="389" ht="22.5" customHeight="1">
      <c r="A389" s="3">
        <v>388.0</v>
      </c>
      <c r="B389" s="4" t="s">
        <v>6706</v>
      </c>
      <c r="C389" s="4" t="s">
        <v>2001</v>
      </c>
      <c r="D389" s="4" t="s">
        <v>2002</v>
      </c>
      <c r="F389" s="5" t="str">
        <f>IFERROR(__xludf.DUMMYFUNCTION("GOOGLETRANSLATE(A389, ""en"", ""hi"")"),"388")</f>
        <v>388</v>
      </c>
      <c r="G389" s="5" t="str">
        <f>IFERROR(__xludf.DUMMYFUNCTION("GOOGLETRANSLATE(B389, ""en"", ""hi"")"),"किस वर्ष महिला धोप खेल टीम ने पहली बार राष्ट्रीय टूर्नामेंट में भाग लिया?")</f>
        <v>किस वर्ष महिला धोप खेल टीम ने पहली बार राष्ट्रीय टूर्नामेंट में भाग लिया?</v>
      </c>
      <c r="H389" s="5" t="str">
        <f>IFERROR(__xludf.DUMMYFUNCTION("GOOGLETRANSLATE(C389, ""en"", ""hi"")"),"ए) 2000, बी) 2005, सी) 2010, डी) 2015")</f>
        <v>ए) 2000, बी) 2005, सी) 2010, डी) 2015</v>
      </c>
      <c r="I389" s="5" t="str">
        <f>IFERROR(__xludf.DUMMYFUNCTION("GOOGLETRANSLATE(D389, ""en"", ""hi"")"),"सी) 2010")</f>
        <v>सी) 2010</v>
      </c>
    </row>
    <row r="390" ht="22.5" customHeight="1">
      <c r="A390" s="3">
        <v>389.0</v>
      </c>
      <c r="B390" s="4" t="s">
        <v>6707</v>
      </c>
      <c r="C390" s="4" t="s">
        <v>6708</v>
      </c>
      <c r="D390" s="4" t="s">
        <v>6709</v>
      </c>
      <c r="F390" s="5" t="str">
        <f>IFERROR(__xludf.DUMMYFUNCTION("GOOGLETRANSLATE(A390, ""en"", ""hi"")"),"389")</f>
        <v>389</v>
      </c>
      <c r="G390" s="5" t="str">
        <f>IFERROR(__xludf.DUMMYFUNCTION("GOOGLETRANSLATE(B390, ""en"", ""hi"")"),"असम की पहली राष्ट्रीय धोप खेल टीम का कप्तान कौन था?")</f>
        <v>असम की पहली राष्ट्रीय धोप खेल टीम का कप्तान कौन था?</v>
      </c>
      <c r="H390" s="5" t="str">
        <f>IFERROR(__xludf.DUMMYFUNCTION("GOOGLETRANSLATE(C390, ""en"", ""hi"")"),"ए) रंजीत दास, बी) अनुपम गोगोई, सी) नरेन दास, डी) तपन बोरा")</f>
        <v>ए) रंजीत दास, बी) अनुपम गोगोई, सी) नरेन दास, डी) तपन बोरा</v>
      </c>
      <c r="I390" s="5" t="str">
        <f>IFERROR(__xludf.DUMMYFUNCTION("GOOGLETRANSLATE(D390, ""en"", ""hi"")"),"B) अनुपम गोगोई")</f>
        <v>B) अनुपम गोगोई</v>
      </c>
    </row>
    <row r="391" ht="22.5" customHeight="1">
      <c r="A391" s="3">
        <v>390.0</v>
      </c>
      <c r="B391" s="4" t="s">
        <v>6710</v>
      </c>
      <c r="C391" s="4" t="s">
        <v>70</v>
      </c>
      <c r="D391" s="4" t="s">
        <v>6711</v>
      </c>
      <c r="F391" s="5" t="str">
        <f>IFERROR(__xludf.DUMMYFUNCTION("GOOGLETRANSLATE(A391, ""en"", ""hi"")"),"390")</f>
        <v>390</v>
      </c>
      <c r="G391" s="5" t="str">
        <f>IFERROR(__xludf.DUMMYFUNCTION("GOOGLETRANSLATE(B391, ""en"", ""hi"")"),"भारत में पहली आधिकारिक महिला धोप खेल चैंपियनशिप किस वर्ष आयोजित की गई थी?")</f>
        <v>भारत में पहली आधिकारिक महिला धोप खेल चैंपियनशिप किस वर्ष आयोजित की गई थी?</v>
      </c>
      <c r="H391" s="5" t="str">
        <f>IFERROR(__xludf.DUMMYFUNCTION("GOOGLETRANSLATE(C391, ""en"", ""hi"")"),"ए) 2008, बी) 2010, सी) 2012, डी) 2014")</f>
        <v>ए) 2008, बी) 2010, सी) 2012, डी) 2014</v>
      </c>
      <c r="I391" s="5" t="str">
        <f>IFERROR(__xludf.DUMMYFUNCTION("GOOGLETRANSLATE(D391, ""en"", ""hi"")"),"ए) 2008")</f>
        <v>ए) 2008</v>
      </c>
    </row>
    <row r="392" ht="22.5" customHeight="1">
      <c r="A392" s="3">
        <v>391.0</v>
      </c>
      <c r="B392" s="4" t="s">
        <v>6712</v>
      </c>
      <c r="C392" s="4" t="s">
        <v>6713</v>
      </c>
      <c r="D392" s="4" t="s">
        <v>6714</v>
      </c>
      <c r="F392" s="5" t="str">
        <f>IFERROR(__xludf.DUMMYFUNCTION("GOOGLETRANSLATE(A392, ""en"", ""hi"")"),"391")</f>
        <v>391</v>
      </c>
      <c r="G392" s="5" t="str">
        <f>IFERROR(__xludf.DUMMYFUNCTION("GOOGLETRANSLATE(B392, ""en"", ""hi"")"),"असम का कौन सा जिला धोप खेल का ऐतिहासिक केंद्र माना जाता है?")</f>
        <v>असम का कौन सा जिला धोप खेल का ऐतिहासिक केंद्र माना जाता है?</v>
      </c>
      <c r="H392" s="5" t="str">
        <f>IFERROR(__xludf.DUMMYFUNCTION("GOOGLETRANSLATE(C392, ""en"", ""hi"")"),"ए) शिवसागर, बी) जोरहाट, सी) डिब्रूगढ़, डी) कामरूप")</f>
        <v>ए) शिवसागर, बी) जोरहाट, सी) डिब्रूगढ़, डी) कामरूप</v>
      </c>
      <c r="I392" s="5" t="str">
        <f>IFERROR(__xludf.DUMMYFUNCTION("GOOGLETRANSLATE(D392, ""en"", ""hi"")"),"D) कामरूप")</f>
        <v>D) कामरूप</v>
      </c>
    </row>
    <row r="393" ht="22.5" customHeight="1">
      <c r="A393" s="3">
        <v>392.0</v>
      </c>
      <c r="B393" s="4" t="s">
        <v>6715</v>
      </c>
      <c r="C393" s="4" t="s">
        <v>6716</v>
      </c>
      <c r="D393" s="4" t="s">
        <v>6705</v>
      </c>
      <c r="F393" s="5" t="str">
        <f>IFERROR(__xludf.DUMMYFUNCTION("GOOGLETRANSLATE(A393, ""en"", ""hi"")"),"392")</f>
        <v>392</v>
      </c>
      <c r="G393" s="5" t="str">
        <f>IFERROR(__xludf.DUMMYFUNCTION("GOOGLETRANSLATE(B393, ""en"", ""hi"")"),"स्वतंत्रता के बाद असम में धोप खेल के पुनरुद्धार का श्रेय किस ऐतिहासिक व्यक्ति को दिया जाता है?")</f>
        <v>स्वतंत्रता के बाद असम में धोप खेल के पुनरुद्धार का श्रेय किस ऐतिहासिक व्यक्ति को दिया जाता है?</v>
      </c>
      <c r="H393" s="5" t="str">
        <f>IFERROR(__xludf.DUMMYFUNCTION("GOOGLETRANSLATE(C393, ""en"", ""hi"")"),"ए) गोपीनाथ बोरदोलोई, बी) तरुण गोगोई, सी) भूपेन हजारिका, डी) हेमचंद्र गोस्वामी")</f>
        <v>ए) गोपीनाथ बोरदोलोई, बी) तरुण गोगोई, सी) भूपेन हजारिका, डी) हेमचंद्र गोस्वामी</v>
      </c>
      <c r="I393" s="5" t="str">
        <f>IFERROR(__xludf.DUMMYFUNCTION("GOOGLETRANSLATE(D393, ""en"", ""hi"")"),"A) गोपीनाथ बोरदोलोई")</f>
        <v>A) गोपीनाथ बोरदोलोई</v>
      </c>
    </row>
    <row r="394" ht="22.5" customHeight="1">
      <c r="A394" s="3">
        <v>393.0</v>
      </c>
      <c r="B394" s="4" t="s">
        <v>6717</v>
      </c>
      <c r="C394" s="4" t="s">
        <v>828</v>
      </c>
      <c r="D394" s="4" t="s">
        <v>6718</v>
      </c>
      <c r="F394" s="5" t="str">
        <f>IFERROR(__xludf.DUMMYFUNCTION("GOOGLETRANSLATE(A394, ""en"", ""hi"")"),"393")</f>
        <v>393</v>
      </c>
      <c r="G394" s="5" t="str">
        <f>IFERROR(__xludf.DUMMYFUNCTION("GOOGLETRANSLATE(B394, ""en"", ""hi"")"),"भारत में युवा मामले और खेल मंत्रालय द्वारा धोप खेल को पहली बार कब मान्यता दी गई थी?")</f>
        <v>भारत में युवा मामले और खेल मंत्रालय द्वारा धोप खेल को पहली बार कब मान्यता दी गई थी?</v>
      </c>
      <c r="H394" s="5" t="str">
        <f>IFERROR(__xludf.DUMMYFUNCTION("GOOGLETRANSLATE(C394, ""en"", ""hi"")"),"ए) 1995, बी) 2000, सी) 2005, डी) 2010")</f>
        <v>ए) 1995, बी) 2000, सी) 2005, डी) 2010</v>
      </c>
      <c r="I394" s="5" t="str">
        <f>IFERROR(__xludf.DUMMYFUNCTION("GOOGLETRANSLATE(D394, ""en"", ""hi"")"),"सी) 2005")</f>
        <v>सी) 2005</v>
      </c>
    </row>
    <row r="395" ht="22.5" customHeight="1">
      <c r="A395" s="3">
        <v>394.0</v>
      </c>
      <c r="B395" s="4" t="s">
        <v>6719</v>
      </c>
      <c r="C395" s="4" t="s">
        <v>854</v>
      </c>
      <c r="D395" s="4" t="s">
        <v>5425</v>
      </c>
      <c r="F395" s="5" t="str">
        <f>IFERROR(__xludf.DUMMYFUNCTION("GOOGLETRANSLATE(A395, ""en"", ""hi"")"),"394")</f>
        <v>394</v>
      </c>
      <c r="G395" s="5" t="str">
        <f>IFERROR(__xludf.DUMMYFUNCTION("GOOGLETRANSLATE(B395, ""en"", ""hi"")"),"धोप खेल को किस वर्ष उत्तर पूर्व खेलों में शामिल किया गया?")</f>
        <v>धोप खेल को किस वर्ष उत्तर पूर्व खेलों में शामिल किया गया?</v>
      </c>
      <c r="H395" s="5" t="str">
        <f>IFERROR(__xludf.DUMMYFUNCTION("GOOGLETRANSLATE(C395, ""en"", ""hi"")"),"ए) 2015, बी) 2016, सी) 2017, डी) 2018")</f>
        <v>ए) 2015, बी) 2016, सी) 2017, डी) 2018</v>
      </c>
      <c r="I395" s="5" t="str">
        <f>IFERROR(__xludf.DUMMYFUNCTION("GOOGLETRANSLATE(D395, ""en"", ""hi"")"),"डी) 2018")</f>
        <v>डी) 2018</v>
      </c>
    </row>
    <row r="396" ht="22.5" customHeight="1">
      <c r="A396" s="3">
        <v>395.0</v>
      </c>
      <c r="B396" s="4" t="s">
        <v>6720</v>
      </c>
      <c r="C396" s="4" t="s">
        <v>6721</v>
      </c>
      <c r="D396" s="4" t="s">
        <v>6722</v>
      </c>
      <c r="F396" s="5" t="str">
        <f>IFERROR(__xludf.DUMMYFUNCTION("GOOGLETRANSLATE(A396, ""en"", ""hi"")"),"395")</f>
        <v>395</v>
      </c>
      <c r="G396" s="5" t="str">
        <f>IFERROR(__xludf.DUMMYFUNCTION("GOOGLETRANSLATE(B396, ""en"", ""hi"")"),"किस असमिया सांस्कृतिक प्रतीक ने अपनी कला और साहित्य के माध्यम से धोप खेल को अक्सर बढ़ावा दिया?")</f>
        <v>किस असमिया सांस्कृतिक प्रतीक ने अपनी कला और साहित्य के माध्यम से धोप खेल को अक्सर बढ़ावा दिया?</v>
      </c>
      <c r="H396" s="5" t="str">
        <f>IFERROR(__xludf.DUMMYFUNCTION("GOOGLETRANSLATE(C396, ""en"", ""hi"")"),"ए) भूपेन हजारिका, बी) लक्ष्मीनाथ बेजबरोआ, सी) भबेंद्र नाथ सैकिया, डी) ज्योति प्रसाद अग्रवाल")</f>
        <v>ए) भूपेन हजारिका, बी) लक्ष्मीनाथ बेजबरोआ, सी) भबेंद्र नाथ सैकिया, डी) ज्योति प्रसाद अग्रवाल</v>
      </c>
      <c r="I396" s="5" t="str">
        <f>IFERROR(__xludf.DUMMYFUNCTION("GOOGLETRANSLATE(D396, ""en"", ""hi"")"),"A) भूपेन हजारिका")</f>
        <v>A) भूपेन हजारिका</v>
      </c>
    </row>
    <row r="397" ht="22.5" customHeight="1">
      <c r="A397" s="3">
        <v>396.0</v>
      </c>
      <c r="B397" s="4" t="s">
        <v>6723</v>
      </c>
      <c r="C397" s="4" t="s">
        <v>6724</v>
      </c>
      <c r="D397" s="4" t="s">
        <v>6725</v>
      </c>
      <c r="F397" s="5" t="str">
        <f>IFERROR(__xludf.DUMMYFUNCTION("GOOGLETRANSLATE(A397, ""en"", ""hi"")"),"396")</f>
        <v>396</v>
      </c>
      <c r="G397" s="5" t="str">
        <f>IFERROR(__xludf.DUMMYFUNCTION("GOOGLETRANSLATE(B397, ""en"", ""hi"")"),"धोप खेल को असम राज्य खेलों में कब शामिल किया गया?")</f>
        <v>धोप खेल को असम राज्य खेलों में कब शामिल किया गया?</v>
      </c>
      <c r="H397" s="5" t="str">
        <f>IFERROR(__xludf.DUMMYFUNCTION("GOOGLETRANSLATE(C397, ""en"", ""hi"")"),"ए) 1998, बी) 2002, सी) 2006, डी) 2010")</f>
        <v>ए) 1998, बी) 2002, सी) 2006, डी) 2010</v>
      </c>
      <c r="I397" s="5" t="str">
        <f>IFERROR(__xludf.DUMMYFUNCTION("GOOGLETRANSLATE(D397, ""en"", ""hi"")"),"बी) 2002")</f>
        <v>बी) 2002</v>
      </c>
    </row>
    <row r="398" ht="22.5" customHeight="1">
      <c r="A398" s="3">
        <v>397.0</v>
      </c>
      <c r="B398" s="4" t="s">
        <v>6726</v>
      </c>
      <c r="C398" s="4" t="s">
        <v>251</v>
      </c>
      <c r="D398" s="4" t="s">
        <v>6727</v>
      </c>
      <c r="F398" s="5" t="str">
        <f>IFERROR(__xludf.DUMMYFUNCTION("GOOGLETRANSLATE(A398, ""en"", ""hi"")"),"397")</f>
        <v>397</v>
      </c>
      <c r="G398" s="5" t="str">
        <f>IFERROR(__xludf.DUMMYFUNCTION("GOOGLETRANSLATE(B398, ""en"", ""hi"")"),"भारत के बाहर पहला अंतर्राष्ट्रीय धोप खेल टूर्नामेंट किस वर्ष खेला गया था?")</f>
        <v>भारत के बाहर पहला अंतर्राष्ट्रीय धोप खेल टूर्नामेंट किस वर्ष खेला गया था?</v>
      </c>
      <c r="H398" s="5" t="str">
        <f>IFERROR(__xludf.DUMMYFUNCTION("GOOGLETRANSLATE(C398, ""en"", ""hi"")"),"ए) 2016, बी) 2017, सी) 2018, डी) 2019")</f>
        <v>ए) 2016, बी) 2017, सी) 2018, डी) 2019</v>
      </c>
      <c r="I398" s="5" t="str">
        <f>IFERROR(__xludf.DUMMYFUNCTION("GOOGLETRANSLATE(D398, ""en"", ""hi"")"),"सी) 2018")</f>
        <v>सी) 2018</v>
      </c>
    </row>
    <row r="399" ht="22.5" customHeight="1">
      <c r="A399" s="3">
        <v>398.0</v>
      </c>
      <c r="B399" s="4" t="s">
        <v>6728</v>
      </c>
      <c r="C399" s="4" t="s">
        <v>6729</v>
      </c>
      <c r="D399" s="4" t="s">
        <v>6730</v>
      </c>
      <c r="F399" s="5" t="str">
        <f>IFERROR(__xludf.DUMMYFUNCTION("GOOGLETRANSLATE(A399, ""en"", ""hi"")"),"398")</f>
        <v>398</v>
      </c>
      <c r="G399" s="5" t="str">
        <f>IFERROR(__xludf.DUMMYFUNCTION("GOOGLETRANSLATE(B399, ""en"", ""hi"")"),"आधिकारिक धोप खेल टूर्नामेंट में खेलने वाले पहले गैर-भारतीय कौन थे?")</f>
        <v>आधिकारिक धोप खेल टूर्नामेंट में खेलने वाले पहले गैर-भारतीय कौन थे?</v>
      </c>
      <c r="H399" s="5" t="str">
        <f>IFERROR(__xludf.DUMMYFUNCTION("GOOGLETRANSLATE(C399, ""en"", ""hi"")"),"A) जॉन विलियम्स, B) माइकल स्मिथ, C) अहमद हसन, D) ली वोंग")</f>
        <v>A) जॉन विलियम्स, B) माइकल स्मिथ, C) अहमद हसन, D) ली वोंग</v>
      </c>
      <c r="I399" s="5" t="str">
        <f>IFERROR(__xludf.DUMMYFUNCTION("GOOGLETRANSLATE(D399, ""en"", ""hi"")"),"D) ली वोंग")</f>
        <v>D) ली वोंग</v>
      </c>
    </row>
    <row r="400" ht="22.5" customHeight="1">
      <c r="A400" s="3">
        <v>399.0</v>
      </c>
      <c r="B400" s="4" t="s">
        <v>6731</v>
      </c>
      <c r="C400" s="4" t="s">
        <v>6732</v>
      </c>
      <c r="D400" s="4" t="s">
        <v>98</v>
      </c>
      <c r="F400" s="5" t="str">
        <f>IFERROR(__xludf.DUMMYFUNCTION("GOOGLETRANSLATE(A400, ""en"", ""hi"")"),"399")</f>
        <v>399</v>
      </c>
      <c r="G400" s="5" t="str">
        <f>IFERROR(__xludf.DUMMYFUNCTION("GOOGLETRANSLATE(B400, ""en"", ""hi"")"),"असम के बाहर पहली राष्ट्रीय धोप खेल चैंपियनशिप की मेजबानी किस राज्य ने की?")</f>
        <v>असम के बाहर पहली राष्ट्रीय धोप खेल चैंपियनशिप की मेजबानी किस राज्य ने की?</v>
      </c>
      <c r="H400" s="5" t="str">
        <f>IFERROR(__xludf.DUMMYFUNCTION("GOOGLETRANSLATE(C400, ""en"", ""hi"")"),"A) पश्चिम बंगाल, B) महाराष्ट्र, C) उत्तर प्रदेश, D) ओडिशा")</f>
        <v>A) पश्चिम बंगाल, B) महाराष्ट्र, C) उत्तर प्रदेश, D) ओडिशा</v>
      </c>
      <c r="I400" s="5" t="str">
        <f>IFERROR(__xludf.DUMMYFUNCTION("GOOGLETRANSLATE(D400, ""en"", ""hi"")"),"बी) महाराष्ट्र")</f>
        <v>बी) महाराष्ट्र</v>
      </c>
    </row>
    <row r="401" ht="22.5" customHeight="1">
      <c r="A401" s="3">
        <v>400.0</v>
      </c>
      <c r="B401" s="4" t="s">
        <v>6733</v>
      </c>
      <c r="C401" s="4" t="s">
        <v>6734</v>
      </c>
      <c r="D401" s="4" t="s">
        <v>6735</v>
      </c>
      <c r="F401" s="5" t="str">
        <f>IFERROR(__xludf.DUMMYFUNCTION("GOOGLETRANSLATE(A401, ""en"", ""hi"")"),"400")</f>
        <v>400</v>
      </c>
      <c r="G401" s="5" t="str">
        <f>IFERROR(__xludf.DUMMYFUNCTION("GOOGLETRANSLATE(B401, ""en"", ""hi"")"),"1990 के दशक के दौरान असम राज्य धोप खेल चैंपियनशिप में किस जिले ने सबसे अधिक खिताब जीते?")</f>
        <v>1990 के दशक के दौरान असम राज्य धोप खेल चैंपियनशिप में किस जिले ने सबसे अधिक खिताब जीते?</v>
      </c>
      <c r="H401" s="5" t="str">
        <f>IFERROR(__xludf.DUMMYFUNCTION("GOOGLETRANSLATE(C401, ""en"", ""hi"")"),"ए) कामरूप, बी) शिवसागर, सी) जोरहाट, डी) नागांव")</f>
        <v>ए) कामरूप, बी) शिवसागर, सी) जोरहाट, डी) नागांव</v>
      </c>
      <c r="I401" s="5" t="str">
        <f>IFERROR(__xludf.DUMMYFUNCTION("GOOGLETRANSLATE(D401, ""en"", ""hi"")"),"A) कामरूप")</f>
        <v>A) कामरूप</v>
      </c>
    </row>
    <row r="402" ht="22.5" customHeight="1">
      <c r="A402" s="3">
        <v>401.0</v>
      </c>
      <c r="B402" s="4" t="s">
        <v>6736</v>
      </c>
      <c r="C402" s="4" t="s">
        <v>70</v>
      </c>
      <c r="D402" s="4" t="s">
        <v>6711</v>
      </c>
      <c r="F402" s="5" t="str">
        <f>IFERROR(__xludf.DUMMYFUNCTION("GOOGLETRANSLATE(A402, ""en"", ""hi"")"),"401")</f>
        <v>401</v>
      </c>
      <c r="G402" s="5" t="str">
        <f>IFERROR(__xludf.DUMMYFUNCTION("GOOGLETRANSLATE(B402, ""en"", ""hi"")"),"पहला अखिल भारतीय धोप खेल टूर्नामेंट कब आयोजित किया गया था?")</f>
        <v>पहला अखिल भारतीय धोप खेल टूर्नामेंट कब आयोजित किया गया था?</v>
      </c>
      <c r="H402" s="5" t="str">
        <f>IFERROR(__xludf.DUMMYFUNCTION("GOOGLETRANSLATE(C402, ""en"", ""hi"")"),"ए) 2008, बी) 2010, सी) 2012, डी) 2014")</f>
        <v>ए) 2008, बी) 2010, सी) 2012, डी) 2014</v>
      </c>
      <c r="I402" s="5" t="str">
        <f>IFERROR(__xludf.DUMMYFUNCTION("GOOGLETRANSLATE(D402, ""en"", ""hi"")"),"ए) 2008")</f>
        <v>ए) 2008</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2.75"/>
    <col customWidth="1" min="7" max="8" width="37.63"/>
    <col customWidth="1" min="9" max="9" width="14.88"/>
  </cols>
  <sheetData>
    <row r="1" ht="22.5" customHeight="1">
      <c r="A1" s="1" t="s">
        <v>0</v>
      </c>
      <c r="B1" s="1" t="s">
        <v>1</v>
      </c>
      <c r="C1" s="1" t="s">
        <v>2</v>
      </c>
      <c r="D1" s="1" t="s">
        <v>3</v>
      </c>
      <c r="F1" s="2" t="s">
        <v>4</v>
      </c>
      <c r="G1" s="2" t="s">
        <v>5</v>
      </c>
      <c r="H1" s="2" t="s">
        <v>6</v>
      </c>
      <c r="I1" s="2" t="s">
        <v>7</v>
      </c>
    </row>
    <row r="2" ht="22.5" customHeight="1">
      <c r="A2" s="3">
        <v>1.0</v>
      </c>
      <c r="B2" s="4" t="s">
        <v>6737</v>
      </c>
      <c r="C2" s="4" t="s">
        <v>6738</v>
      </c>
      <c r="D2" s="4" t="s">
        <v>6739</v>
      </c>
      <c r="F2" s="5" t="str">
        <f>IFERROR(__xludf.DUMMYFUNCTION("GOOGLETRANSLATE(A2, ""en"", ""hi"")"),"1")</f>
        <v>1</v>
      </c>
      <c r="G2" s="5" t="str">
        <f>IFERROR(__xludf.DUMMYFUNCTION("GOOGLETRANSLATE(B2, ""en"", ""hi"")"),"भारत में कंचों के खेल का पारंपरिक नाम क्या है?")</f>
        <v>भारत में कंचों के खेल का पारंपरिक नाम क्या है?</v>
      </c>
      <c r="H2" s="5" t="str">
        <f>IFERROR(__xludf.DUMMYFUNCTION("GOOGLETRANSLATE(C2, ""en"", ""hi"")"),"ए) कांचा, बी) गोली, सी) कल्ला, डी) कांचे")</f>
        <v>ए) कांचा, बी) गोली, सी) कल्ला, डी) कांचे</v>
      </c>
      <c r="I2" s="5" t="str">
        <f>IFERROR(__xludf.DUMMYFUNCTION("GOOGLETRANSLATE(D2, ""en"", ""hi"")"),"D) कांचे")</f>
        <v>D) कांचे</v>
      </c>
    </row>
    <row r="3" ht="22.5" customHeight="1">
      <c r="A3" s="3">
        <v>2.0</v>
      </c>
      <c r="B3" s="4" t="s">
        <v>6740</v>
      </c>
      <c r="C3" s="4" t="s">
        <v>6741</v>
      </c>
      <c r="D3" s="4" t="s">
        <v>6742</v>
      </c>
      <c r="F3" s="5" t="str">
        <f>IFERROR(__xludf.DUMMYFUNCTION("GOOGLETRANSLATE(A3, ""en"", ""hi"")"),"2")</f>
        <v>2</v>
      </c>
      <c r="G3" s="5" t="str">
        <f>IFERROR(__xludf.DUMMYFUNCTION("GOOGLETRANSLATE(B3, ""en"", ""hi"")"),"इंग्लैंड में कंचों का खेल किस शताब्दी में लोकप्रिय हुआ?")</f>
        <v>इंग्लैंड में कंचों का खेल किस शताब्दी में लोकप्रिय हुआ?</v>
      </c>
      <c r="H3" s="5" t="str">
        <f>IFERROR(__xludf.DUMMYFUNCTION("GOOGLETRANSLATE(C3, ""en"", ""hi"")"),"A) 16वीं, B) 17वीं, C) 18वीं, D) 19वीं")</f>
        <v>A) 16वीं, B) 17वीं, C) 18वीं, D) 19वीं</v>
      </c>
      <c r="I3" s="5" t="str">
        <f>IFERROR(__xludf.DUMMYFUNCTION("GOOGLETRANSLATE(D3, ""en"", ""hi"")"),"सी) 18वीं")</f>
        <v>सी) 18वीं</v>
      </c>
    </row>
    <row r="4" ht="22.5" customHeight="1">
      <c r="A4" s="3">
        <v>3.0</v>
      </c>
      <c r="B4" s="4" t="s">
        <v>6743</v>
      </c>
      <c r="C4" s="4" t="s">
        <v>6744</v>
      </c>
      <c r="D4" s="4" t="s">
        <v>6745</v>
      </c>
      <c r="F4" s="5" t="str">
        <f>IFERROR(__xludf.DUMMYFUNCTION("GOOGLETRANSLATE(A4, ""en"", ""hi"")"),"3")</f>
        <v>3</v>
      </c>
      <c r="G4" s="5" t="str">
        <f>IFERROR(__xludf.DUMMYFUNCTION("GOOGLETRANSLATE(B4, ""en"", ""hi"")"),"प्राचीन रोम में संगमरमर बनाने के लिए प्राथमिक सामग्री क्या थी?")</f>
        <v>प्राचीन रोम में संगमरमर बनाने के लिए प्राथमिक सामग्री क्या थी?</v>
      </c>
      <c r="H4" s="5" t="str">
        <f>IFERROR(__xludf.DUMMYFUNCTION("GOOGLETRANSLATE(C4, ""en"", ""hi"")"),"A) कांच, B) मिट्टी, C) पत्थर, D) लकड़ी")</f>
        <v>A) कांच, B) मिट्टी, C) पत्थर, D) लकड़ी</v>
      </c>
      <c r="I4" s="5" t="str">
        <f>IFERROR(__xludf.DUMMYFUNCTION("GOOGLETRANSLATE(D4, ""en"", ""hi"")"),"बी) मिट्टी")</f>
        <v>बी) मिट्टी</v>
      </c>
    </row>
    <row r="5" ht="22.5" customHeight="1">
      <c r="A5" s="3">
        <v>4.0</v>
      </c>
      <c r="B5" s="4" t="s">
        <v>6746</v>
      </c>
      <c r="C5" s="4" t="s">
        <v>6747</v>
      </c>
      <c r="D5" s="4" t="s">
        <v>6748</v>
      </c>
      <c r="F5" s="5" t="str">
        <f>IFERROR(__xludf.DUMMYFUNCTION("GOOGLETRANSLATE(A5, ""en"", ""hi"")"),"4")</f>
        <v>4</v>
      </c>
      <c r="G5" s="5" t="str">
        <f>IFERROR(__xludf.DUMMYFUNCTION("GOOGLETRANSLATE(B5, ""en"", ""hi"")"),"20वीं सदी के आरंभ में कांच के पत्थरों के बड़े पैमाने पर उत्पादन को लोकप्रिय बनाने का श्रेय किस अमेरिकी कंपनी को दिया जाता है?")</f>
        <v>20वीं सदी के आरंभ में कांच के पत्थरों के बड़े पैमाने पर उत्पादन को लोकप्रिय बनाने का श्रेय किस अमेरिकी कंपनी को दिया जाता है?</v>
      </c>
      <c r="H5" s="5" t="str">
        <f>IFERROR(__xludf.DUMMYFUNCTION("GOOGLETRANSLATE(C5, ""en"", ""hi"")"),"A) मार्बल किंग, B) जाबो ग्लास कंपनी, C) क्रिस्टेंसन एगेट कंपनी, D) एक्रो एगेट कंपनी")</f>
        <v>A) मार्बल किंग, B) जाबो ग्लास कंपनी, C) क्रिस्टेंसन एगेट कंपनी, D) एक्रो एगेट कंपनी</v>
      </c>
      <c r="I5" s="5" t="str">
        <f>IFERROR(__xludf.DUMMYFUNCTION("GOOGLETRANSLATE(D5, ""en"", ""hi"")"),"D) एक्रो एगेट कंपनी")</f>
        <v>D) एक्रो एगेट कंपनी</v>
      </c>
    </row>
    <row r="6" ht="22.5" customHeight="1">
      <c r="A6" s="3">
        <v>5.0</v>
      </c>
      <c r="B6" s="4" t="s">
        <v>6749</v>
      </c>
      <c r="C6" s="4" t="s">
        <v>6750</v>
      </c>
      <c r="D6" s="4" t="s">
        <v>6751</v>
      </c>
      <c r="F6" s="5" t="str">
        <f>IFERROR(__xludf.DUMMYFUNCTION("GOOGLETRANSLATE(A6, ""en"", ""hi"")"),"5")</f>
        <v>5</v>
      </c>
      <c r="G6" s="5" t="str">
        <f>IFERROR(__xludf.DUMMYFUNCTION("GOOGLETRANSLATE(B6, ""en"", ""hi"")"),"19वीं शताब्दी के दौरान विश्व के किस क्षेत्र में कंचों के खेल को 'नार्बल्स' के नाम से जाना जाता था?")</f>
        <v>19वीं शताब्दी के दौरान विश्व के किस क्षेत्र में कंचों के खेल को 'नार्बल्स' के नाम से जाना जाता था?</v>
      </c>
      <c r="H6" s="5" t="str">
        <f>IFERROR(__xludf.DUMMYFUNCTION("GOOGLETRANSLATE(C6, ""en"", ""hi"")"),"A) उत्तरी अमेरिका, B) दक्षिण अमेरिका, C) यूरोप, D) एशिया")</f>
        <v>A) उत्तरी अमेरिका, B) दक्षिण अमेरिका, C) यूरोप, D) एशिया</v>
      </c>
      <c r="I6" s="5" t="str">
        <f>IFERROR(__xludf.DUMMYFUNCTION("GOOGLETRANSLATE(D6, ""en"", ""hi"")"),"ए) उत्तरी अमेरिका")</f>
        <v>ए) उत्तरी अमेरिका</v>
      </c>
    </row>
    <row r="7" ht="22.5" customHeight="1">
      <c r="A7" s="3">
        <v>6.0</v>
      </c>
      <c r="B7" s="4" t="s">
        <v>6752</v>
      </c>
      <c r="C7" s="4" t="s">
        <v>6753</v>
      </c>
      <c r="D7" s="4" t="s">
        <v>6754</v>
      </c>
      <c r="F7" s="5" t="str">
        <f>IFERROR(__xludf.DUMMYFUNCTION("GOOGLETRANSLATE(A7, ""en"", ""hi"")"),"6")</f>
        <v>6</v>
      </c>
      <c r="G7" s="5" t="str">
        <f>IFERROR(__xludf.DUMMYFUNCTION("GOOGLETRANSLATE(B7, ""en"", ""hi"")"),"कौन सा ऐतिहासिक व्यक्ति बचपन में पत्थरों से कंचे खेलने के लिए जाना जाता है?")</f>
        <v>कौन सा ऐतिहासिक व्यक्ति बचपन में पत्थरों से कंचे खेलने के लिए जाना जाता है?</v>
      </c>
      <c r="H7" s="5" t="str">
        <f>IFERROR(__xludf.DUMMYFUNCTION("GOOGLETRANSLATE(C7, ""en"", ""hi"")"),"A) नेपोलियन बोनापार्ट, B) जॉर्ज वाशिंगटन, C) जूलियस सीज़र, D) सिकंदर महान")</f>
        <v>A) नेपोलियन बोनापार्ट, B) जॉर्ज वाशिंगटन, C) जूलियस सीज़र, D) सिकंदर महान</v>
      </c>
      <c r="I7" s="5" t="str">
        <f>IFERROR(__xludf.DUMMYFUNCTION("GOOGLETRANSLATE(D7, ""en"", ""hi"")"),"बी) जॉर्ज वाशिंगटन")</f>
        <v>बी) जॉर्ज वाशिंगटन</v>
      </c>
    </row>
    <row r="8" ht="22.5" customHeight="1">
      <c r="A8" s="3">
        <v>7.0</v>
      </c>
      <c r="B8" s="4" t="s">
        <v>6755</v>
      </c>
      <c r="C8" s="4" t="s">
        <v>6756</v>
      </c>
      <c r="D8" s="4" t="s">
        <v>6757</v>
      </c>
      <c r="F8" s="5" t="str">
        <f>IFERROR(__xludf.DUMMYFUNCTION("GOOGLETRANSLATE(A8, ""en"", ""hi"")"),"7")</f>
        <v>7</v>
      </c>
      <c r="G8" s="5" t="str">
        <f>IFERROR(__xludf.DUMMYFUNCTION("GOOGLETRANSLATE(B8, ""en"", ""hi"")"),"कोरिया में खेले जाने वाले पारंपरिक मार्बल्स खेल का नाम क्या है?")</f>
        <v>कोरिया में खेले जाने वाले पारंपरिक मार्बल्स खेल का नाम क्या है?</v>
      </c>
      <c r="H8" s="5" t="str">
        <f>IFERROR(__xludf.DUMMYFUNCTION("GOOGLETRANSLATE(C8, ""en"", ""hi"")"),"ए) ओइके, बी) जांगी, सी) नुकेल, डी) मारू")</f>
        <v>ए) ओइके, बी) जांगी, सी) नुकेल, डी) मारू</v>
      </c>
      <c r="I8" s="5" t="str">
        <f>IFERROR(__xludf.DUMMYFUNCTION("GOOGLETRANSLATE(D8, ""en"", ""hi"")"),"D) मारू")</f>
        <v>D) मारू</v>
      </c>
    </row>
    <row r="9" ht="22.5" customHeight="1">
      <c r="A9" s="3">
        <v>8.0</v>
      </c>
      <c r="B9" s="4" t="s">
        <v>6758</v>
      </c>
      <c r="C9" s="4" t="s">
        <v>6759</v>
      </c>
      <c r="D9" s="4" t="s">
        <v>6760</v>
      </c>
      <c r="F9" s="5" t="str">
        <f>IFERROR(__xludf.DUMMYFUNCTION("GOOGLETRANSLATE(A9, ""en"", ""hi"")"),"8")</f>
        <v>8</v>
      </c>
      <c r="G9" s="5" t="str">
        <f>IFERROR(__xludf.DUMMYFUNCTION("GOOGLETRANSLATE(B9, ""en"", ""hi"")"),"संयुक्त राज्य अमेरिका में खेल का वर्णन करने के लिए 'मार्बल्स' शब्द का व्यापक रूप से प्रयोग किस दशक में शुरू हुआ?")</f>
        <v>संयुक्त राज्य अमेरिका में खेल का वर्णन करने के लिए 'मार्बल्स' शब्द का व्यापक रूप से प्रयोग किस दशक में शुरू हुआ?</v>
      </c>
      <c r="H9" s="5" t="str">
        <f>IFERROR(__xludf.DUMMYFUNCTION("GOOGLETRANSLATE(C9, ""en"", ""hi"")"),"ए) 1870 के दशक, बी) 1880 के दशक, सी) 1890 के दशक, डी) 1900 के दशक")</f>
        <v>ए) 1870 के दशक, बी) 1880 के दशक, सी) 1890 के दशक, डी) 1900 के दशक</v>
      </c>
      <c r="I9" s="5" t="str">
        <f>IFERROR(__xludf.DUMMYFUNCTION("GOOGLETRANSLATE(D9, ""en"", ""hi"")"),"सी) 1890 के दशक")</f>
        <v>सी) 1890 के दशक</v>
      </c>
    </row>
    <row r="10" ht="22.5" customHeight="1">
      <c r="A10" s="3">
        <v>9.0</v>
      </c>
      <c r="B10" s="4" t="s">
        <v>6761</v>
      </c>
      <c r="C10" s="4" t="s">
        <v>6762</v>
      </c>
      <c r="D10" s="4" t="s">
        <v>6763</v>
      </c>
      <c r="F10" s="5" t="str">
        <f>IFERROR(__xludf.DUMMYFUNCTION("GOOGLETRANSLATE(A10, ""en"", ""hi"")"),"9")</f>
        <v>9</v>
      </c>
      <c r="G10" s="5" t="str">
        <f>IFERROR(__xludf.DUMMYFUNCTION("GOOGLETRANSLATE(B10, ""en"", ""hi"")"),"19वीं सदी के यूरोप में मार्बल बनाने के लिए सबसे आम सामग्री क्या थी?")</f>
        <v>19वीं सदी के यूरोप में मार्बल बनाने के लिए सबसे आम सामग्री क्या थी?</v>
      </c>
      <c r="H10" s="5" t="str">
        <f>IFERROR(__xludf.DUMMYFUNCTION("GOOGLETRANSLATE(C10, ""en"", ""hi"")"),"A) संगमरमर, B) पत्थर, C) कांच, D) धातु")</f>
        <v>A) संगमरमर, B) पत्थर, C) कांच, D) धातु</v>
      </c>
      <c r="I10" s="5" t="str">
        <f>IFERROR(__xludf.DUMMYFUNCTION("GOOGLETRANSLATE(D10, ""en"", ""hi"")"),"A) संगमरमर")</f>
        <v>A) संगमरमर</v>
      </c>
    </row>
    <row r="11" ht="22.5" customHeight="1">
      <c r="A11" s="3">
        <v>10.0</v>
      </c>
      <c r="B11" s="4" t="s">
        <v>6764</v>
      </c>
      <c r="C11" s="4" t="s">
        <v>6765</v>
      </c>
      <c r="D11" s="4" t="s">
        <v>6766</v>
      </c>
      <c r="F11" s="5" t="str">
        <f>IFERROR(__xludf.DUMMYFUNCTION("GOOGLETRANSLATE(A11, ""en"", ""hi"")"),"10")</f>
        <v>10</v>
      </c>
      <c r="G11" s="5" t="str">
        <f>IFERROR(__xludf.DUMMYFUNCTION("GOOGLETRANSLATE(B11, ""en"", ""hi"")"),"कौन से क्लासिक मार्बल्स खेल में खिलाड़ी अन्य मार्बल्स को एक निर्दिष्ट क्षेत्र से बाहर गिराने का प्रयास करते हैं?")</f>
        <v>कौन से क्लासिक मार्बल्स खेल में खिलाड़ी अन्य मार्बल्स को एक निर्दिष्ट क्षेत्र से बाहर गिराने का प्रयास करते हैं?</v>
      </c>
      <c r="H11" s="5" t="str">
        <f>IFERROR(__xludf.DUMMYFUNCTION("GOOGLETRANSLATE(C11, ""en"", ""hi"")"),"ए) रिंग ताव, बी) कांचे, सी) कैट्स आई, डी) पक")</f>
        <v>ए) रिंग ताव, बी) कांचे, सी) कैट्स आई, डी) पक</v>
      </c>
      <c r="I11" s="5" t="str">
        <f>IFERROR(__xludf.DUMMYFUNCTION("GOOGLETRANSLATE(D11, ""en"", ""hi"")"),"ए) रिंग टॉ")</f>
        <v>ए) रिंग टॉ</v>
      </c>
    </row>
    <row r="12" ht="22.5" customHeight="1">
      <c r="A12" s="3">
        <v>11.0</v>
      </c>
      <c r="B12" s="4" t="s">
        <v>6767</v>
      </c>
      <c r="C12" s="4" t="s">
        <v>6768</v>
      </c>
      <c r="D12" s="4" t="s">
        <v>6769</v>
      </c>
      <c r="F12" s="5" t="str">
        <f>IFERROR(__xludf.DUMMYFUNCTION("GOOGLETRANSLATE(A12, ""en"", ""hi"")"),"11")</f>
        <v>11</v>
      </c>
      <c r="G12" s="5" t="str">
        <f>IFERROR(__xludf.DUMMYFUNCTION("GOOGLETRANSLATE(B12, ""en"", ""hi"")"),"18वीं शताब्दी के दौरान किस देश में कंचे का खेल बच्चों के खेल का पारंपरिक हिस्सा बन गया?")</f>
        <v>18वीं शताब्दी के दौरान किस देश में कंचे का खेल बच्चों के खेल का पारंपरिक हिस्सा बन गया?</v>
      </c>
      <c r="H12" s="5" t="str">
        <f>IFERROR(__xludf.DUMMYFUNCTION("GOOGLETRANSLATE(C12, ""en"", ""hi"")"),"A) इंग्लैंड, B) फ्रांस, C) जर्मनी, D) इटली")</f>
        <v>A) इंग्लैंड, B) फ्रांस, C) जर्मनी, D) इटली</v>
      </c>
      <c r="I12" s="5" t="str">
        <f>IFERROR(__xludf.DUMMYFUNCTION("GOOGLETRANSLATE(D12, ""en"", ""hi"")"),"ए) इंग्लैंड")</f>
        <v>ए) इंग्लैंड</v>
      </c>
    </row>
    <row r="13" ht="22.5" customHeight="1">
      <c r="A13" s="3">
        <v>12.0</v>
      </c>
      <c r="B13" s="4" t="s">
        <v>6770</v>
      </c>
      <c r="C13" s="4" t="s">
        <v>6771</v>
      </c>
      <c r="D13" s="4" t="s">
        <v>6772</v>
      </c>
      <c r="F13" s="5" t="str">
        <f>IFERROR(__xludf.DUMMYFUNCTION("GOOGLETRANSLATE(A13, ""en"", ""hi"")"),"12")</f>
        <v>12</v>
      </c>
      <c r="G13" s="5" t="str">
        <f>IFERROR(__xludf.DUMMYFUNCTION("GOOGLETRANSLATE(B13, ""en"", ""hi"")"),"निम्नलिखित में से कौन सी चाल को कंचों के खेल में क्लासिक रणनीति माना जाता है?")</f>
        <v>निम्नलिखित में से कौन सी चाल को कंचों के खेल में क्लासिक रणनीति माना जाता है?</v>
      </c>
      <c r="H13" s="5" t="str">
        <f>IFERROR(__xludf.DUMMYFUNCTION("GOOGLETRANSLATE(C13, ""en"", ""hi"")"),"A) द नॉक, B) द स्पिन, C) द फ्लिक, D) द रोल")</f>
        <v>A) द नॉक, B) द स्पिन, C) द फ्लिक, D) द रोल</v>
      </c>
      <c r="I13" s="5" t="str">
        <f>IFERROR(__xludf.DUMMYFUNCTION("GOOGLETRANSLATE(D13, ""en"", ""hi"")"),"ए) द नॉक")</f>
        <v>ए) द नॉक</v>
      </c>
    </row>
    <row r="14" ht="22.5" customHeight="1">
      <c r="A14" s="3">
        <v>13.0</v>
      </c>
      <c r="B14" s="4" t="s">
        <v>6773</v>
      </c>
      <c r="C14" s="4" t="s">
        <v>6774</v>
      </c>
      <c r="D14" s="4" t="s">
        <v>6775</v>
      </c>
      <c r="F14" s="5" t="str">
        <f>IFERROR(__xludf.DUMMYFUNCTION("GOOGLETRANSLATE(A14, ""en"", ""hi"")"),"13")</f>
        <v>13</v>
      </c>
      <c r="G14" s="5" t="str">
        <f>IFERROR(__xludf.DUMMYFUNCTION("GOOGLETRANSLATE(B14, ""en"", ""hi"")"),"इतिहास की किस प्रमुख घटना ने 19वीं शताब्दी में मार्बल के वैश्विक प्रसार में योगदान दिया?")</f>
        <v>इतिहास की किस प्रमुख घटना ने 19वीं शताब्दी में मार्बल के वैश्विक प्रसार में योगदान दिया?</v>
      </c>
      <c r="H14" s="5" t="str">
        <f>IFERROR(__xludf.DUMMYFUNCTION("GOOGLETRANSLATE(C14, ""en"", ""hi"")"),"A) औद्योगिक क्रांति, B) फ्रांसीसी क्रांति, C) अमेरिकी गृहयुद्ध, D) औद्योगिक प्रदर्शनी")</f>
        <v>A) औद्योगिक क्रांति, B) फ्रांसीसी क्रांति, C) अमेरिकी गृहयुद्ध, D) औद्योगिक प्रदर्शनी</v>
      </c>
      <c r="I14" s="5" t="str">
        <f>IFERROR(__xludf.DUMMYFUNCTION("GOOGLETRANSLATE(D14, ""en"", ""hi"")"),"A) औद्योगिक क्रांति")</f>
        <v>A) औद्योगिक क्रांति</v>
      </c>
    </row>
    <row r="15" ht="22.5" customHeight="1">
      <c r="A15" s="3">
        <v>14.0</v>
      </c>
      <c r="B15" s="4" t="s">
        <v>6776</v>
      </c>
      <c r="C15" s="4" t="s">
        <v>6777</v>
      </c>
      <c r="D15" s="4" t="s">
        <v>6778</v>
      </c>
      <c r="F15" s="5" t="str">
        <f>IFERROR(__xludf.DUMMYFUNCTION("GOOGLETRANSLATE(A15, ""en"", ""hi"")"),"14")</f>
        <v>14</v>
      </c>
      <c r="G15" s="5" t="str">
        <f>IFERROR(__xludf.DUMMYFUNCTION("GOOGLETRANSLATE(B15, ""en"", ""hi"")"),"कौन सा ऐतिहासिक व्यक्ति प्राचीन ग्रीस के संगमरमर सहित प्राचीन संगमरमर के संग्रह के लिए जाना जाता है?")</f>
        <v>कौन सा ऐतिहासिक व्यक्ति प्राचीन ग्रीस के संगमरमर सहित प्राचीन संगमरमर के संग्रह के लिए जाना जाता है?</v>
      </c>
      <c r="H15" s="5" t="str">
        <f>IFERROR(__xludf.DUMMYFUNCTION("GOOGLETRANSLATE(C15, ""en"", ""hi"")"),"A) अल्बर्ट आइंस्टीन, B) थॉमस एडिसन, C) जेम्स स्मिथसन, D) चार्ल्स डार्विन")</f>
        <v>A) अल्बर्ट आइंस्टीन, B) थॉमस एडिसन, C) जेम्स स्मिथसन, D) चार्ल्स डार्विन</v>
      </c>
      <c r="I15" s="5" t="str">
        <f>IFERROR(__xludf.DUMMYFUNCTION("GOOGLETRANSLATE(D15, ""en"", ""hi"")"),"C) जेम्स स्मिथसन")</f>
        <v>C) जेम्स स्मिथसन</v>
      </c>
    </row>
    <row r="16" ht="22.5" customHeight="1">
      <c r="A16" s="3">
        <v>15.0</v>
      </c>
      <c r="B16" s="4" t="s">
        <v>6779</v>
      </c>
      <c r="C16" s="4" t="s">
        <v>6780</v>
      </c>
      <c r="D16" s="4" t="s">
        <v>6781</v>
      </c>
      <c r="F16" s="5" t="str">
        <f>IFERROR(__xludf.DUMMYFUNCTION("GOOGLETRANSLATE(A16, ""en"", ""hi"")"),"15")</f>
        <v>15</v>
      </c>
      <c r="G16" s="5" t="str">
        <f>IFERROR(__xludf.DUMMYFUNCTION("GOOGLETRANSLATE(B16, ""en"", ""hi"")"),"किस प्राचीन सभ्यता में कांच से संगमरमर बनाया जाता था और पुरातात्विक खुदाई में पाया गया था?")</f>
        <v>किस प्राचीन सभ्यता में कांच से संगमरमर बनाया जाता था और पुरातात्विक खुदाई में पाया गया था?</v>
      </c>
      <c r="H16" s="5" t="str">
        <f>IFERROR(__xludf.DUMMYFUNCTION("GOOGLETRANSLATE(C16, ""en"", ""hi"")"),"A) मिस्र, B) यूनानी, C) रोमन, D) मेसोपोटामिया")</f>
        <v>A) मिस्र, B) यूनानी, C) रोमन, D) मेसोपोटामिया</v>
      </c>
      <c r="I16" s="5" t="str">
        <f>IFERROR(__xludf.DUMMYFUNCTION("GOOGLETRANSLATE(D16, ""en"", ""hi"")"),"बी) ग्रीक")</f>
        <v>बी) ग्रीक</v>
      </c>
    </row>
    <row r="17" ht="22.5" customHeight="1">
      <c r="A17" s="3">
        <v>16.0</v>
      </c>
      <c r="B17" s="4" t="s">
        <v>6782</v>
      </c>
      <c r="C17" s="4" t="s">
        <v>6783</v>
      </c>
      <c r="D17" s="4" t="s">
        <v>6784</v>
      </c>
      <c r="F17" s="5" t="str">
        <f>IFERROR(__xludf.DUMMYFUNCTION("GOOGLETRANSLATE(A17, ""en"", ""hi"")"),"16")</f>
        <v>16</v>
      </c>
      <c r="G17" s="5" t="str">
        <f>IFERROR(__xludf.DUMMYFUNCTION("GOOGLETRANSLATE(B17, ""en"", ""hi"")"),"किस प्रकार का संगमरमर अपने विशिष्ट घुमावदार पैटर्न के लिए जाना जाता है और इसका उत्पादन पहली बार 20वीं शताब्दी के प्रारंभ में किया गया था?")</f>
        <v>किस प्रकार का संगमरमर अपने विशिष्ट घुमावदार पैटर्न के लिए जाना जाता है और इसका उत्पादन पहली बार 20वीं शताब्दी के प्रारंभ में किया गया था?</v>
      </c>
      <c r="H17" s="5" t="str">
        <f>IFERROR(__xludf.DUMMYFUNCTION("GOOGLETRANSLATE(C17, ""en"", ""hi"")"),"A) बिल्ली की आँख, B) अगेट, C) स्वर्ल, D) साफ़")</f>
        <v>A) बिल्ली की आँख, B) अगेट, C) स्वर्ल, D) साफ़</v>
      </c>
      <c r="I17" s="5" t="str">
        <f>IFERROR(__xludf.DUMMYFUNCTION("GOOGLETRANSLATE(D17, ""en"", ""hi"")"),"C) भंवर")</f>
        <v>C) भंवर</v>
      </c>
    </row>
    <row r="18" ht="22.5" customHeight="1">
      <c r="A18" s="3">
        <v>17.0</v>
      </c>
      <c r="B18" s="4" t="s">
        <v>6785</v>
      </c>
      <c r="C18" s="4" t="s">
        <v>6786</v>
      </c>
      <c r="D18" s="4" t="s">
        <v>6787</v>
      </c>
      <c r="F18" s="5" t="str">
        <f>IFERROR(__xludf.DUMMYFUNCTION("GOOGLETRANSLATE(A18, ""en"", ""hi"")"),"17")</f>
        <v>17</v>
      </c>
      <c r="G18" s="5" t="str">
        <f>IFERROR(__xludf.DUMMYFUNCTION("GOOGLETRANSLATE(B18, ""en"", ""hi"")"),"विक्टोरियन इंग्लैंड में खेले जाने वाले कंचों का एक सामान्य खेल क्या था जिसमें कंचों को छेद में डालना शामिल था?")</f>
        <v>विक्टोरियन इंग्लैंड में खेले जाने वाले कंचों का एक सामान्य खेल क्या था जिसमें कंचों को छेद में डालना शामिल था?</v>
      </c>
      <c r="H18" s="5" t="str">
        <f>IFERROR(__xludf.DUMMYFUNCTION("GOOGLETRANSLATE(C18, ""en"", ""hi"")"),"A) मार्बल्स पिट, B) रिंग गेम, C) टॉ, D) होल-इन-वन")</f>
        <v>A) मार्बल्स पिट, B) रिंग गेम, C) टॉ, D) होल-इन-वन</v>
      </c>
      <c r="I18" s="5" t="str">
        <f>IFERROR(__xludf.DUMMYFUNCTION("GOOGLETRANSLATE(D18, ""en"", ""hi"")"),"बी) रिंग गेम")</f>
        <v>बी) रिंग गेम</v>
      </c>
    </row>
    <row r="19" ht="22.5" customHeight="1">
      <c r="A19" s="3">
        <v>18.0</v>
      </c>
      <c r="B19" s="4" t="s">
        <v>6788</v>
      </c>
      <c r="C19" s="4" t="s">
        <v>6789</v>
      </c>
      <c r="D19" s="4" t="s">
        <v>6790</v>
      </c>
      <c r="F19" s="5" t="str">
        <f>IFERROR(__xludf.DUMMYFUNCTION("GOOGLETRANSLATE(A19, ""en"", ""hi"")"),"18")</f>
        <v>18</v>
      </c>
      <c r="G19" s="5" t="str">
        <f>IFERROR(__xludf.DUMMYFUNCTION("GOOGLETRANSLATE(B19, ""en"", ""hi"")"),"कांच के लोकप्रिय होने से पहले अमेरिका में मार्बल बनाने के लिए किस सामग्री का उपयोग किया गया था?")</f>
        <v>कांच के लोकप्रिय होने से पहले अमेरिका में मार्बल बनाने के लिए किस सामग्री का उपयोग किया गया था?</v>
      </c>
      <c r="H19" s="5" t="str">
        <f>IFERROR(__xludf.DUMMYFUNCTION("GOOGLETRANSLATE(C19, ""en"", ""hi"")"),"A) मिट्टी, B) पत्थर, C) धातु, D) लकड़ी")</f>
        <v>A) मिट्टी, B) पत्थर, C) धातु, D) लकड़ी</v>
      </c>
      <c r="I19" s="5" t="str">
        <f>IFERROR(__xludf.DUMMYFUNCTION("GOOGLETRANSLATE(D19, ""en"", ""hi"")"),"A) मिट्टी")</f>
        <v>A) मिट्टी</v>
      </c>
    </row>
    <row r="20" ht="22.5" customHeight="1">
      <c r="A20" s="3">
        <v>19.0</v>
      </c>
      <c r="B20" s="4" t="s">
        <v>6791</v>
      </c>
      <c r="C20" s="4" t="s">
        <v>6792</v>
      </c>
      <c r="D20" s="4" t="s">
        <v>6793</v>
      </c>
      <c r="F20" s="5" t="str">
        <f>IFERROR(__xludf.DUMMYFUNCTION("GOOGLETRANSLATE(A20, ""en"", ""hi"")"),"19")</f>
        <v>19</v>
      </c>
      <c r="G20" s="5" t="str">
        <f>IFERROR(__xludf.DUMMYFUNCTION("GOOGLETRANSLATE(B20, ""en"", ""hi"")"),"20वीं सदी के किस प्रमुख खेल आयोजन में अतिरिक्त आकर्षण के रूप में मार्बल शूटिंग का प्रदर्शन शामिल था?")</f>
        <v>20वीं सदी के किस प्रमुख खेल आयोजन में अतिरिक्त आकर्षण के रूप में मार्बल शूटिंग का प्रदर्शन शामिल था?</v>
      </c>
      <c r="H20" s="5" t="str">
        <f>IFERROR(__xludf.DUMMYFUNCTION("GOOGLETRANSLATE(C20, ""en"", ""hi"")"),"A) ओलंपिक खेल, B) विश्व कप, C) राष्ट्रमंडल खेल, D) विश्व सीरीज")</f>
        <v>A) ओलंपिक खेल, B) विश्व कप, C) राष्ट्रमंडल खेल, D) विश्व सीरीज</v>
      </c>
      <c r="I20" s="5" t="str">
        <f>IFERROR(__xludf.DUMMYFUNCTION("GOOGLETRANSLATE(D20, ""en"", ""hi"")"),"ए) ओलंपिक खेल")</f>
        <v>ए) ओलंपिक खेल</v>
      </c>
    </row>
    <row r="21" ht="22.5" customHeight="1">
      <c r="A21" s="3">
        <v>20.0</v>
      </c>
      <c r="B21" s="4" t="s">
        <v>6794</v>
      </c>
      <c r="C21" s="4" t="s">
        <v>6795</v>
      </c>
      <c r="D21" s="4" t="s">
        <v>6796</v>
      </c>
      <c r="F21" s="5" t="str">
        <f>IFERROR(__xludf.DUMMYFUNCTION("GOOGLETRANSLATE(A21, ""en"", ""hi"")"),"20")</f>
        <v>20</v>
      </c>
      <c r="G21" s="5" t="str">
        <f>IFERROR(__xludf.DUMMYFUNCTION("GOOGLETRANSLATE(B21, ""en"", ""hi"")"),"कौन सा प्रसिद्ध आविष्कारक 19वीं सदी के अंत में संगमरमर उत्पादन के साथ अपने शुरुआती प्रयोगों के लिए जाना जाता है?")</f>
        <v>कौन सा प्रसिद्ध आविष्कारक 19वीं सदी के अंत में संगमरमर उत्पादन के साथ अपने शुरुआती प्रयोगों के लिए जाना जाता है?</v>
      </c>
      <c r="H21" s="5" t="str">
        <f>IFERROR(__xludf.DUMMYFUNCTION("GOOGLETRANSLATE(C21, ""en"", ""hi"")"),"A) निकोला टेस्ला, B) थॉमस एडिसन, C) अलेक्जेंडर ग्राहम बेल, D) जॉर्ज वेस्टिंगहाउस")</f>
        <v>A) निकोला टेस्ला, B) थॉमस एडिसन, C) अलेक्जेंडर ग्राहम बेल, D) जॉर्ज वेस्टिंगहाउस</v>
      </c>
      <c r="I21" s="5" t="str">
        <f>IFERROR(__xludf.DUMMYFUNCTION("GOOGLETRANSLATE(D21, ""en"", ""hi"")"),"बी) थॉमस एडिसन")</f>
        <v>बी) थॉमस एडिसन</v>
      </c>
    </row>
    <row r="22" ht="22.5" customHeight="1">
      <c r="A22" s="3">
        <v>21.0</v>
      </c>
      <c r="B22" s="4" t="s">
        <v>6797</v>
      </c>
      <c r="C22" s="4" t="s">
        <v>6798</v>
      </c>
      <c r="D22" s="4" t="s">
        <v>6799</v>
      </c>
      <c r="F22" s="5" t="str">
        <f>IFERROR(__xludf.DUMMYFUNCTION("GOOGLETRANSLATE(A22, ""en"", ""hi"")"),"21")</f>
        <v>21</v>
      </c>
      <c r="G22" s="5" t="str">
        <f>IFERROR(__xludf.DUMMYFUNCTION("GOOGLETRANSLATE(B22, ""en"", ""hi"")"),"20वीं सदी में आयोजित पहली अंतर्राष्ट्रीय मार्बल्स प्रतियोगिता का नाम क्या था?")</f>
        <v>20वीं सदी में आयोजित पहली अंतर्राष्ट्रीय मार्बल्स प्रतियोगिता का नाम क्या था?</v>
      </c>
      <c r="H22" s="5" t="str">
        <f>IFERROR(__xludf.DUMMYFUNCTION("GOOGLETRANSLATE(C22, ""en"", ""hi"")"),"A) द वर्ल्ड मार्बल चैम्पियनशिप, B) द इंटरनेशनल मार्बल गेम्स, C) द ग्लोबल मार्बल टूर्नामेंट, D) द मार्बल मास्टर्स")</f>
        <v>A) द वर्ल्ड मार्बल चैम्पियनशिप, B) द इंटरनेशनल मार्बल गेम्स, C) द ग्लोबल मार्बल टूर्नामेंट, D) द मार्बल मास्टर्स</v>
      </c>
      <c r="I22" s="5" t="str">
        <f>IFERROR(__xludf.DUMMYFUNCTION("GOOGLETRANSLATE(D22, ""en"", ""hi"")"),"A) विश्व मार्बल चैम्पियनशिप")</f>
        <v>A) विश्व मार्बल चैम्पियनशिप</v>
      </c>
    </row>
    <row r="23" ht="22.5" customHeight="1">
      <c r="A23" s="3">
        <v>22.0</v>
      </c>
      <c r="B23" s="4" t="s">
        <v>6800</v>
      </c>
      <c r="C23" s="4" t="s">
        <v>6801</v>
      </c>
      <c r="D23" s="4" t="s">
        <v>6802</v>
      </c>
      <c r="F23" s="5" t="str">
        <f>IFERROR(__xludf.DUMMYFUNCTION("GOOGLETRANSLATE(A23, ""en"", ""hi"")"),"22")</f>
        <v>22</v>
      </c>
      <c r="G23" s="5" t="str">
        <f>IFERROR(__xludf.DUMMYFUNCTION("GOOGLETRANSLATE(B23, ""en"", ""hi"")"),"20वीं सदी के आरंभ में किस प्रकार के संगमरमर को संग्राहकों के बीच प्रतिष्ठा का प्रतीक माना जाता था?")</f>
        <v>20वीं सदी के आरंभ में किस प्रकार के संगमरमर को संग्राहकों के बीच प्रतिष्ठा का प्रतीक माना जाता था?</v>
      </c>
      <c r="H23" s="5" t="str">
        <f>IFERROR(__xludf.DUMMYFUNCTION("GOOGLETRANSLATE(C23, ""en"", ""hi"")"),"A) स्वर्ल मार्बल्स, B) एगेट मार्बल्स, C) कैट्स आई मार्बल्स, D) क्लियर मार्बल्स")</f>
        <v>A) स्वर्ल मार्बल्स, B) एगेट मार्बल्स, C) कैट्स आई मार्बल्स, D) क्लियर मार्बल्स</v>
      </c>
      <c r="I23" s="5" t="str">
        <f>IFERROR(__xludf.DUMMYFUNCTION("GOOGLETRANSLATE(D23, ""en"", ""hi"")"),"बी) एगेट मार्बल्स")</f>
        <v>बी) एगेट मार्बल्स</v>
      </c>
    </row>
    <row r="24" ht="22.5" customHeight="1">
      <c r="A24" s="3">
        <v>23.0</v>
      </c>
      <c r="B24" s="4" t="s">
        <v>6803</v>
      </c>
      <c r="C24" s="4" t="s">
        <v>6804</v>
      </c>
      <c r="D24" s="4" t="s">
        <v>6805</v>
      </c>
      <c r="F24" s="5" t="str">
        <f>IFERROR(__xludf.DUMMYFUNCTION("GOOGLETRANSLATE(A24, ""en"", ""hi"")"),"23")</f>
        <v>23</v>
      </c>
      <c r="G24" s="5" t="str">
        <f>IFERROR(__xludf.DUMMYFUNCTION("GOOGLETRANSLATE(B24, ""en"", ""hi"")"),"किस उल्लेखनीय कंपनी ने 1900 के दशक के प्रारंभ में विज्ञापन अभियानों में मार्बल्स का उपयोग शुरू किया?")</f>
        <v>किस उल्लेखनीय कंपनी ने 1900 के दशक के प्रारंभ में विज्ञापन अभियानों में मार्बल्स का उपयोग शुरू किया?</v>
      </c>
      <c r="H24" s="5" t="str">
        <f>IFERROR(__xludf.DUMMYFUNCTION("GOOGLETRANSLATE(C24, ""en"", ""hi"")"),"A) कोका-कोला, B) फोर्ड मोटर कंपनी, C) जनरल इलेक्ट्रिक, D) प्रॉक्टर एंड गैंबल")</f>
        <v>A) कोका-कोला, B) फोर्ड मोटर कंपनी, C) जनरल इलेक्ट्रिक, D) प्रॉक्टर एंड गैंबल</v>
      </c>
      <c r="I24" s="5" t="str">
        <f>IFERROR(__xludf.DUMMYFUNCTION("GOOGLETRANSLATE(D24, ""en"", ""hi"")"),"बी) फोर्ड मोटर कंपनी")</f>
        <v>बी) फोर्ड मोटर कंपनी</v>
      </c>
    </row>
    <row r="25" ht="22.5" customHeight="1">
      <c r="A25" s="3">
        <v>24.0</v>
      </c>
      <c r="B25" s="4" t="s">
        <v>6806</v>
      </c>
      <c r="C25" s="4" t="s">
        <v>6807</v>
      </c>
      <c r="D25" s="4" t="s">
        <v>6808</v>
      </c>
      <c r="F25" s="5" t="str">
        <f>IFERROR(__xludf.DUMMYFUNCTION("GOOGLETRANSLATE(A25, ""en"", ""hi"")"),"24")</f>
        <v>24</v>
      </c>
      <c r="G25" s="5" t="str">
        <f>IFERROR(__xludf.DUMMYFUNCTION("GOOGLETRANSLATE(B25, ""en"", ""hi"")"),"19वीं शताब्दी के अंत में कौन सा देश संगमरमर का सबसे बड़ा निर्यातक था?")</f>
        <v>19वीं शताब्दी के अंत में कौन सा देश संगमरमर का सबसे बड़ा निर्यातक था?</v>
      </c>
      <c r="H25" s="5" t="str">
        <f>IFERROR(__xludf.DUMMYFUNCTION("GOOGLETRANSLATE(C25, ""en"", ""hi"")"),"A) जर्मनी, B) इटली, C) फ्रांस, D) इंग्लैंड")</f>
        <v>A) जर्मनी, B) इटली, C) फ्रांस, D) इंग्लैंड</v>
      </c>
      <c r="I25" s="5" t="str">
        <f>IFERROR(__xludf.DUMMYFUNCTION("GOOGLETRANSLATE(D25, ""en"", ""hi"")"),"बी) इटली")</f>
        <v>बी) इटली</v>
      </c>
    </row>
    <row r="26" ht="22.5" customHeight="1">
      <c r="A26" s="3">
        <v>25.0</v>
      </c>
      <c r="B26" s="4" t="s">
        <v>6809</v>
      </c>
      <c r="C26" s="4" t="s">
        <v>6810</v>
      </c>
      <c r="D26" s="4" t="s">
        <v>6811</v>
      </c>
      <c r="F26" s="5" t="str">
        <f>IFERROR(__xludf.DUMMYFUNCTION("GOOGLETRANSLATE(A26, ""en"", ""hi"")"),"25")</f>
        <v>25</v>
      </c>
      <c r="G26" s="5" t="str">
        <f>IFERROR(__xludf.DUMMYFUNCTION("GOOGLETRANSLATE(B26, ""en"", ""hi"")"),"कौन से पारंपरिक मार्बल खेल में खिलाड़ी मार्बल को जमीन में गड्ढा खोदकर उसमें डालने का प्रयास करते हैं?")</f>
        <v>कौन से पारंपरिक मार्बल खेल में खिलाड़ी मार्बल को जमीन में गड्ढा खोदकर उसमें डालने का प्रयास करते हैं?</v>
      </c>
      <c r="H26" s="5" t="str">
        <f>IFERROR(__xludf.DUMMYFUNCTION("GOOGLETRANSLATE(C26, ""en"", ""hi"")"),"A) मार्बल्स पिट, B) रिंग टॉ, C) टिड्लीविंक्स, D) पक")</f>
        <v>A) मार्बल्स पिट, B) रिंग टॉ, C) टिड्लीविंक्स, D) पक</v>
      </c>
      <c r="I26" s="5" t="str">
        <f>IFERROR(__xludf.DUMMYFUNCTION("GOOGLETRANSLATE(D26, ""en"", ""hi"")"),"A) मार्बल्स पिट")</f>
        <v>A) मार्बल्स पिट</v>
      </c>
    </row>
    <row r="27" ht="22.5" customHeight="1">
      <c r="A27" s="3">
        <v>26.0</v>
      </c>
      <c r="B27" s="4" t="s">
        <v>6812</v>
      </c>
      <c r="C27" s="4" t="s">
        <v>6813</v>
      </c>
      <c r="D27" s="4" t="s">
        <v>6814</v>
      </c>
      <c r="F27" s="5" t="str">
        <f>IFERROR(__xludf.DUMMYFUNCTION("GOOGLETRANSLATE(A27, ""en"", ""hi"")"),"26")</f>
        <v>26</v>
      </c>
      <c r="G27" s="5" t="str">
        <f>IFERROR(__xludf.DUMMYFUNCTION("GOOGLETRANSLATE(B27, ""en"", ""hi"")"),"प्राचीन मिस्र की कलाकृतियों में संगमरमर पहली बार किस काल में दिखाई दिया?")</f>
        <v>प्राचीन मिस्र की कलाकृतियों में संगमरमर पहली बार किस काल में दिखाई दिया?</v>
      </c>
      <c r="H27" s="5" t="str">
        <f>IFERROR(__xludf.DUMMYFUNCTION("GOOGLETRANSLATE(C27, ""en"", ""hi"")"),"A) पुराना साम्राज्य, B) मध्य साम्राज्य, C) नया साम्राज्य, D) टॉलेमिक काल")</f>
        <v>A) पुराना साम्राज्य, B) मध्य साम्राज्य, C) नया साम्राज्य, D) टॉलेमिक काल</v>
      </c>
      <c r="I27" s="5" t="str">
        <f>IFERROR(__xludf.DUMMYFUNCTION("GOOGLETRANSLATE(D27, ""en"", ""hi"")"),"C) नया साम्राज्य")</f>
        <v>C) नया साम्राज्य</v>
      </c>
    </row>
    <row r="28" ht="22.5" customHeight="1">
      <c r="A28" s="3">
        <v>27.0</v>
      </c>
      <c r="B28" s="4" t="s">
        <v>6815</v>
      </c>
      <c r="C28" s="4" t="s">
        <v>6816</v>
      </c>
      <c r="D28" s="4" t="s">
        <v>6817</v>
      </c>
      <c r="F28" s="5" t="str">
        <f>IFERROR(__xludf.DUMMYFUNCTION("GOOGLETRANSLATE(A28, ""en"", ""hi"")"),"27")</f>
        <v>27</v>
      </c>
      <c r="G28" s="5" t="str">
        <f>IFERROR(__xludf.DUMMYFUNCTION("GOOGLETRANSLATE(B28, ""en"", ""hi"")"),"कौन सी प्राचीन सभ्यता बोर्ड गेम में टोकन के रूप में कंचों का उपयोग करने के लिए जानी जाती है?")</f>
        <v>कौन सी प्राचीन सभ्यता बोर्ड गेम में टोकन के रूप में कंचों का उपयोग करने के लिए जानी जाती है?</v>
      </c>
      <c r="H28" s="5" t="str">
        <f>IFERROR(__xludf.DUMMYFUNCTION("GOOGLETRANSLATE(C28, ""en"", ""hi"")"),"A) चीनी, B) ग्रीक, C) रोमन, D) मेसोपोटामिया")</f>
        <v>A) चीनी, B) ग्रीक, C) रोमन, D) मेसोपोटामिया</v>
      </c>
      <c r="I28" s="5" t="str">
        <f>IFERROR(__xludf.DUMMYFUNCTION("GOOGLETRANSLATE(D28, ""en"", ""hi"")"),"ए) चीनी")</f>
        <v>ए) चीनी</v>
      </c>
    </row>
    <row r="29" ht="22.5" customHeight="1">
      <c r="A29" s="3">
        <v>28.0</v>
      </c>
      <c r="B29" s="4" t="s">
        <v>6818</v>
      </c>
      <c r="C29" s="4" t="s">
        <v>6819</v>
      </c>
      <c r="D29" s="4" t="s">
        <v>6820</v>
      </c>
      <c r="F29" s="5" t="str">
        <f>IFERROR(__xludf.DUMMYFUNCTION("GOOGLETRANSLATE(A29, ""en"", ""hi"")"),"28")</f>
        <v>28</v>
      </c>
      <c r="G29" s="5" t="str">
        <f>IFERROR(__xludf.DUMMYFUNCTION("GOOGLETRANSLATE(B29, ""en"", ""hi"")"),"निम्नलिखित में से कौन सा 1950 के दशक में एक लोकप्रिय संगमरमर डिजाइन था जो अपने विशिष्ट रंग पैटर्न के लिए जाना जाता था?")</f>
        <v>निम्नलिखित में से कौन सा 1950 के दशक में एक लोकप्रिय संगमरमर डिजाइन था जो अपने विशिष्ट रंग पैटर्न के लिए जाना जाता था?</v>
      </c>
      <c r="H29" s="5" t="str">
        <f>IFERROR(__xludf.DUMMYFUNCTION("GOOGLETRANSLATE(C29, ""en"", ""hi"")"),"A) स्लैग मार्बल्स, B) कैट्स आई मार्बल्स, C) एगेट मार्बल्स, D) स्वर्ल मार्बल्स")</f>
        <v>A) स्लैग मार्बल्स, B) कैट्स आई मार्बल्स, C) एगेट मार्बल्स, D) स्वर्ल मार्बल्स</v>
      </c>
      <c r="I29" s="5" t="str">
        <f>IFERROR(__xludf.DUMMYFUNCTION("GOOGLETRANSLATE(D29, ""en"", ""hi"")"),"A) स्लैग मार्बल्स")</f>
        <v>A) स्लैग मार्बल्स</v>
      </c>
    </row>
    <row r="30" ht="22.5" customHeight="1">
      <c r="A30" s="3">
        <v>29.0</v>
      </c>
      <c r="B30" s="4" t="s">
        <v>6821</v>
      </c>
      <c r="C30" s="4" t="s">
        <v>6822</v>
      </c>
      <c r="D30" s="4" t="s">
        <v>6823</v>
      </c>
      <c r="F30" s="5" t="str">
        <f>IFERROR(__xludf.DUMMYFUNCTION("GOOGLETRANSLATE(A30, ""en"", ""hi"")"),"29")</f>
        <v>29</v>
      </c>
      <c r="G30" s="5" t="str">
        <f>IFERROR(__xludf.DUMMYFUNCTION("GOOGLETRANSLATE(B30, ""en"", ""hi"")"),"मशीन-निर्मित संगमरमर के आगमन से पहले संगमरमर उत्पादन की मुख्य विधि क्या थी?")</f>
        <v>मशीन-निर्मित संगमरमर के आगमन से पहले संगमरमर उत्पादन की मुख्य विधि क्या थी?</v>
      </c>
      <c r="H30" s="5" t="str">
        <f>IFERROR(__xludf.DUMMYFUNCTION("GOOGLETRANSLATE(C30, ""en"", ""hi"")"),"A) हाथ से उड़ाना, B) हाथ से नक्काशी, C) प्रेस-मोल्डिंग, D) कास्टिंग")</f>
        <v>A) हाथ से उड़ाना, B) हाथ से नक्काशी, C) प्रेस-मोल्डिंग, D) कास्टिंग</v>
      </c>
      <c r="I30" s="5" t="str">
        <f>IFERROR(__xludf.DUMMYFUNCTION("GOOGLETRANSLATE(D30, ""en"", ""hi"")"),"A) हाथ से उड़ाना")</f>
        <v>A) हाथ से उड़ाना</v>
      </c>
    </row>
    <row r="31" ht="22.5" customHeight="1">
      <c r="A31" s="3">
        <v>30.0</v>
      </c>
      <c r="B31" s="4" t="s">
        <v>6824</v>
      </c>
      <c r="C31" s="4" t="s">
        <v>6825</v>
      </c>
      <c r="D31" s="4" t="s">
        <v>6826</v>
      </c>
      <c r="F31" s="5" t="str">
        <f>IFERROR(__xludf.DUMMYFUNCTION("GOOGLETRANSLATE(A31, ""en"", ""hi"")"),"30")</f>
        <v>30</v>
      </c>
      <c r="G31" s="5" t="str">
        <f>IFERROR(__xludf.DUMMYFUNCTION("GOOGLETRANSLATE(B31, ""en"", ""hi"")"),"19वीं शताब्दी के अंत में किस ऐतिहासिक घटना ने मार्बल की मांग में उल्लेखनीय वृद्धि की?")</f>
        <v>19वीं शताब्दी के अंत में किस ऐतिहासिक घटना ने मार्बल की मांग में उल्लेखनीय वृद्धि की?</v>
      </c>
      <c r="H31" s="5" t="str">
        <f>IFERROR(__xludf.DUMMYFUNCTION("GOOGLETRANSLATE(C31, ""en"", ""hi"")"),"A) गोल्ड रश, B) औद्योगिक क्रांति, C) गृहयुद्ध, D) महामंदी")</f>
        <v>A) गोल्ड रश, B) औद्योगिक क्रांति, C) गृहयुद्ध, D) महामंदी</v>
      </c>
      <c r="I31" s="5" t="str">
        <f>IFERROR(__xludf.DUMMYFUNCTION("GOOGLETRANSLATE(D31, ""en"", ""hi"")"),"बी) औद्योगिक क्रांति")</f>
        <v>बी) औद्योगिक क्रांति</v>
      </c>
    </row>
    <row r="32" ht="22.5" customHeight="1">
      <c r="A32" s="3">
        <v>31.0</v>
      </c>
      <c r="B32" s="4" t="s">
        <v>6827</v>
      </c>
      <c r="C32" s="4" t="s">
        <v>6828</v>
      </c>
      <c r="D32" s="4" t="s">
        <v>6829</v>
      </c>
      <c r="F32" s="5" t="str">
        <f>IFERROR(__xludf.DUMMYFUNCTION("GOOGLETRANSLATE(A32, ""en"", ""hi"")"),"31")</f>
        <v>31</v>
      </c>
      <c r="G32" s="5" t="str">
        <f>IFERROR(__xludf.DUMMYFUNCTION("GOOGLETRANSLATE(B32, ""en"", ""hi"")"),"किस प्रसिद्ध अमेरिकी मार्बल्स खिलाड़ी ने 1935 में राष्ट्रीय मार्बल्स टूर्नामेंट जीता?")</f>
        <v>किस प्रसिद्ध अमेरिकी मार्बल्स खिलाड़ी ने 1935 में राष्ट्रीय मार्बल्स टूर्नामेंट जीता?</v>
      </c>
      <c r="H32" s="5" t="str">
        <f>IFERROR(__xludf.DUMMYFUNCTION("GOOGLETRANSLATE(C32, ""en"", ""hi"")"),"A) जिमी मूर, B) जैक जॉनसन, C) रॉबर्ट एफ. कैनेडी, D) विलियम क्लार्क")</f>
        <v>A) जिमी मूर, B) जैक जॉनसन, C) रॉबर्ट एफ. कैनेडी, D) विलियम क्लार्क</v>
      </c>
      <c r="I32" s="5" t="str">
        <f>IFERROR(__xludf.DUMMYFUNCTION("GOOGLETRANSLATE(D32, ""en"", ""hi"")"),"A) जिमी मूर")</f>
        <v>A) जिमी मूर</v>
      </c>
    </row>
    <row r="33" ht="22.5" customHeight="1">
      <c r="A33" s="3">
        <v>32.0</v>
      </c>
      <c r="B33" s="4" t="s">
        <v>6830</v>
      </c>
      <c r="C33" s="4" t="s">
        <v>6831</v>
      </c>
      <c r="D33" s="4" t="s">
        <v>6832</v>
      </c>
      <c r="F33" s="5" t="str">
        <f>IFERROR(__xludf.DUMMYFUNCTION("GOOGLETRANSLATE(A33, ""en"", ""hi"")"),"32")</f>
        <v>32</v>
      </c>
      <c r="G33" s="5" t="str">
        <f>IFERROR(__xludf.DUMMYFUNCTION("GOOGLETRANSLATE(B33, ""en"", ""hi"")"),"20वीं सदी के आरंभ में खेल के मैदानों में किस प्रकार के कंचों का सामान्यतः उपयोग किया जाता था?")</f>
        <v>20वीं सदी के आरंभ में खेल के मैदानों में किस प्रकार के कंचों का सामान्यतः उपयोग किया जाता था?</v>
      </c>
      <c r="H33" s="5" t="str">
        <f>IFERROR(__xludf.DUMMYFUNCTION("GOOGLETRANSLATE(C33, ""en"", ""hi"")"),"A) स्टील मार्बल्स, B) ग्लास मार्बल्स, C) क्ले मार्बल्स, D) प्लास्टिक मार्बल्स")</f>
        <v>A) स्टील मार्बल्स, B) ग्लास मार्बल्स, C) क्ले मार्बल्स, D) प्लास्टिक मार्बल्स</v>
      </c>
      <c r="I33" s="5" t="str">
        <f>IFERROR(__xludf.DUMMYFUNCTION("GOOGLETRANSLATE(D33, ""en"", ""hi"")"),"बी) कांच के पत्थर")</f>
        <v>बी) कांच के पत्थर</v>
      </c>
    </row>
    <row r="34" ht="22.5" customHeight="1">
      <c r="A34" s="3">
        <v>33.0</v>
      </c>
      <c r="B34" s="4" t="s">
        <v>6833</v>
      </c>
      <c r="C34" s="4" t="s">
        <v>6834</v>
      </c>
      <c r="D34" s="4" t="s">
        <v>6835</v>
      </c>
      <c r="F34" s="5" t="str">
        <f>IFERROR(__xludf.DUMMYFUNCTION("GOOGLETRANSLATE(A34, ""en"", ""hi"")"),"33")</f>
        <v>33</v>
      </c>
      <c r="G34" s="5" t="str">
        <f>IFERROR(__xludf.DUMMYFUNCTION("GOOGLETRANSLATE(B34, ""en"", ""hi"")"),"किस देश में 'लिप्पा' नामक पारंपरिक मार्बल खेल होता है जिसमें खिलाड़ी मार्बल को एक छेद में फेंकते हैं?")</f>
        <v>किस देश में 'लिप्पा' नामक पारंपरिक मार्बल खेल होता है जिसमें खिलाड़ी मार्बल को एक छेद में फेंकते हैं?</v>
      </c>
      <c r="H34" s="5" t="str">
        <f>IFERROR(__xludf.DUMMYFUNCTION("GOOGLETRANSLATE(C34, ""en"", ""hi"")"),"A) भारत, B) तुर्की, C) ग्रीस, D) जापान")</f>
        <v>A) भारत, B) तुर्की, C) ग्रीस, D) जापान</v>
      </c>
      <c r="I34" s="5" t="str">
        <f>IFERROR(__xludf.DUMMYFUNCTION("GOOGLETRANSLATE(D34, ""en"", ""hi"")"),"बी) तुर्की")</f>
        <v>बी) तुर्की</v>
      </c>
    </row>
    <row r="35" ht="22.5" customHeight="1">
      <c r="A35" s="3">
        <v>34.0</v>
      </c>
      <c r="B35" s="4" t="s">
        <v>6836</v>
      </c>
      <c r="C35" s="4" t="s">
        <v>6747</v>
      </c>
      <c r="D35" s="4" t="s">
        <v>6748</v>
      </c>
      <c r="F35" s="5" t="str">
        <f>IFERROR(__xludf.DUMMYFUNCTION("GOOGLETRANSLATE(A35, ""en"", ""hi"")"),"34")</f>
        <v>34</v>
      </c>
      <c r="G35" s="5" t="str">
        <f>IFERROR(__xludf.DUMMYFUNCTION("GOOGLETRANSLATE(B35, ""en"", ""hi"")"),"पहली स्वचालित संगमरमर बनाने वाली मशीन के आविष्कारक ने किस प्रसिद्ध संगमरमर कंपनी की स्थापना की थी?")</f>
        <v>पहली स्वचालित संगमरमर बनाने वाली मशीन के आविष्कारक ने किस प्रसिद्ध संगमरमर कंपनी की स्थापना की थी?</v>
      </c>
      <c r="H35" s="5" t="str">
        <f>IFERROR(__xludf.DUMMYFUNCTION("GOOGLETRANSLATE(C35, ""en"", ""hi"")"),"A) मार्बल किंग, B) जाबो ग्लास कंपनी, C) क्रिस्टेंसन एगेट कंपनी, D) एक्रो एगेट कंपनी")</f>
        <v>A) मार्बल किंग, B) जाबो ग्लास कंपनी, C) क्रिस्टेंसन एगेट कंपनी, D) एक्रो एगेट कंपनी</v>
      </c>
      <c r="I35" s="5" t="str">
        <f>IFERROR(__xludf.DUMMYFUNCTION("GOOGLETRANSLATE(D35, ""en"", ""hi"")"),"D) एक्रो एगेट कंपनी")</f>
        <v>D) एक्रो एगेट कंपनी</v>
      </c>
    </row>
    <row r="36" ht="22.5" customHeight="1">
      <c r="A36" s="3">
        <v>35.0</v>
      </c>
      <c r="B36" s="4" t="s">
        <v>6837</v>
      </c>
      <c r="C36" s="4" t="s">
        <v>6838</v>
      </c>
      <c r="D36" s="4" t="s">
        <v>6839</v>
      </c>
      <c r="F36" s="5" t="str">
        <f>IFERROR(__xludf.DUMMYFUNCTION("GOOGLETRANSLATE(A36, ""en"", ""hi"")"),"35")</f>
        <v>35</v>
      </c>
      <c r="G36" s="5" t="str">
        <f>IFERROR(__xludf.DUMMYFUNCTION("GOOGLETRANSLATE(B36, ""en"", ""hi"")"),"कौन सा संगमरमर डिजाइन घूमती आकाशगंगा पैटर्न के समान दिखने के कारण लोकप्रिय हो गया?")</f>
        <v>कौन सा संगमरमर डिजाइन घूमती आकाशगंगा पैटर्न के समान दिखने के कारण लोकप्रिय हो गया?</v>
      </c>
      <c r="H36" s="5" t="str">
        <f>IFERROR(__xludf.DUMMYFUNCTION("GOOGLETRANSLATE(C36, ""en"", ""hi"")"),"A) स्वर्ल मार्बल्स, B) एगेट मार्बल्स, C) कैट्स आई मार्बल्स, D) स्लैग मार्बल्स")</f>
        <v>A) स्वर्ल मार्बल्स, B) एगेट मार्बल्स, C) कैट्स आई मार्बल्स, D) स्लैग मार्बल्स</v>
      </c>
      <c r="I36" s="5" t="str">
        <f>IFERROR(__xludf.DUMMYFUNCTION("GOOGLETRANSLATE(D36, ""en"", ""hi"")"),"A) स्वर्ल मार्बल्स")</f>
        <v>A) स्वर्ल मार्बल्स</v>
      </c>
    </row>
    <row r="37" ht="22.5" customHeight="1">
      <c r="A37" s="3">
        <v>36.0</v>
      </c>
      <c r="B37" s="4" t="s">
        <v>6840</v>
      </c>
      <c r="C37" s="4" t="s">
        <v>6841</v>
      </c>
      <c r="D37" s="4" t="s">
        <v>6842</v>
      </c>
      <c r="F37" s="5" t="str">
        <f>IFERROR(__xludf.DUMMYFUNCTION("GOOGLETRANSLATE(A37, ""en"", ""hi"")"),"36")</f>
        <v>36</v>
      </c>
      <c r="G37" s="5" t="str">
        <f>IFERROR(__xludf.DUMMYFUNCTION("GOOGLETRANSLATE(B37, ""en"", ""hi"")"),"प्राचीन यूनानी समाज में मनोरंजक खेल के अलावा कंचों का प्राथमिक उपयोग क्या था?")</f>
        <v>प्राचीन यूनानी समाज में मनोरंजक खेल के अलावा कंचों का प्राथमिक उपयोग क्या था?</v>
      </c>
      <c r="H37" s="5" t="str">
        <f>IFERROR(__xludf.DUMMYFUNCTION("GOOGLETRANSLATE(C37, ""en"", ""hi"")"),"A) धार्मिक अनुष्ठान, B) मुद्रा, C) चिकित्सा उपचार, D) शैक्षिक उपकरण")</f>
        <v>A) धार्मिक अनुष्ठान, B) मुद्रा, C) चिकित्सा उपचार, D) शैक्षिक उपकरण</v>
      </c>
      <c r="I37" s="5" t="str">
        <f>IFERROR(__xludf.DUMMYFUNCTION("GOOGLETRANSLATE(D37, ""en"", ""hi"")"),"बी) मुद्रा")</f>
        <v>बी) मुद्रा</v>
      </c>
    </row>
    <row r="38" ht="22.5" customHeight="1">
      <c r="A38" s="3">
        <v>37.0</v>
      </c>
      <c r="B38" s="4" t="s">
        <v>6843</v>
      </c>
      <c r="C38" s="4" t="s">
        <v>6844</v>
      </c>
      <c r="D38" s="4" t="s">
        <v>6845</v>
      </c>
      <c r="F38" s="5" t="str">
        <f>IFERROR(__xludf.DUMMYFUNCTION("GOOGLETRANSLATE(A38, ""en"", ""hi"")"),"37")</f>
        <v>37</v>
      </c>
      <c r="G38" s="5" t="str">
        <f>IFERROR(__xludf.DUMMYFUNCTION("GOOGLETRANSLATE(B38, ""en"", ""hi"")"),"संयुक्त राज्य अमेरिका में मार्बल्स किस दशक में एक लोकप्रिय संग्रहणीय वस्तु बन गया?")</f>
        <v>संयुक्त राज्य अमेरिका में मार्बल्स किस दशक में एक लोकप्रिय संग्रहणीय वस्तु बन गया?</v>
      </c>
      <c r="H38" s="5" t="str">
        <f>IFERROR(__xludf.DUMMYFUNCTION("GOOGLETRANSLATE(C38, ""en"", ""hi"")"),"ए) 1920 का दशक, बी) 1930 का दशक, सी) 1940 का दशक, डी) 1950 का दशक")</f>
        <v>ए) 1920 का दशक, बी) 1930 का दशक, सी) 1940 का दशक, डी) 1950 का दशक</v>
      </c>
      <c r="I38" s="5" t="str">
        <f>IFERROR(__xludf.DUMMYFUNCTION("GOOGLETRANSLATE(D38, ""en"", ""hi"")"),"डी) 1950 के दशक")</f>
        <v>डी) 1950 के दशक</v>
      </c>
    </row>
    <row r="39" ht="22.5" customHeight="1">
      <c r="A39" s="3">
        <v>38.0</v>
      </c>
      <c r="B39" s="4" t="s">
        <v>6846</v>
      </c>
      <c r="C39" s="4" t="s">
        <v>6847</v>
      </c>
      <c r="D39" s="4" t="s">
        <v>6848</v>
      </c>
      <c r="F39" s="5" t="str">
        <f>IFERROR(__xludf.DUMMYFUNCTION("GOOGLETRANSLATE(A39, ""en"", ""hi"")"),"38")</f>
        <v>38</v>
      </c>
      <c r="G39" s="5" t="str">
        <f>IFERROR(__xludf.DUMMYFUNCTION("GOOGLETRANSLATE(B39, ""en"", ""hi"")"),"पुनर्जागरण काल ​​के दौरान किस प्रसिद्ध कलाकार ने अपनी कलाकृति में संगमरमर के डिजाइन को शामिल किया?")</f>
        <v>पुनर्जागरण काल ​​के दौरान किस प्रसिद्ध कलाकार ने अपनी कलाकृति में संगमरमर के डिजाइन को शामिल किया?</v>
      </c>
      <c r="H39" s="5" t="str">
        <f>IFERROR(__xludf.DUMMYFUNCTION("GOOGLETRANSLATE(C39, ""en"", ""hi"")"),"ए) लियोनार्डो दा विंची, बी) माइकल एंजेलो, सी) राफेल, डी) टिटियन")</f>
        <v>ए) लियोनार्डो दा विंची, बी) माइकल एंजेलो, सी) राफेल, डी) टिटियन</v>
      </c>
      <c r="I39" s="5" t="str">
        <f>IFERROR(__xludf.DUMMYFUNCTION("GOOGLETRANSLATE(D39, ""en"", ""hi"")"),"बी) माइकल एंजेलो")</f>
        <v>बी) माइकल एंजेलो</v>
      </c>
    </row>
    <row r="40" ht="22.5" customHeight="1">
      <c r="A40" s="3">
        <v>39.0</v>
      </c>
      <c r="B40" s="4" t="s">
        <v>6849</v>
      </c>
      <c r="C40" s="4" t="s">
        <v>3754</v>
      </c>
      <c r="D40" s="4" t="s">
        <v>6790</v>
      </c>
      <c r="F40" s="5" t="str">
        <f>IFERROR(__xludf.DUMMYFUNCTION("GOOGLETRANSLATE(A40, ""en"", ""hi"")"),"39")</f>
        <v>39</v>
      </c>
      <c r="G40" s="5" t="str">
        <f>IFERROR(__xludf.DUMMYFUNCTION("GOOGLETRANSLATE(B40, ""en"", ""hi"")"),"19वीं शताब्दी में कांच के प्रमुख विकल्प बनने से पहले मार्बल बनाने के लिए मुख्य रूप से किस सामग्री का उपयोग किया जाता था?")</f>
        <v>19वीं शताब्दी में कांच के प्रमुख विकल्प बनने से पहले मार्बल बनाने के लिए मुख्य रूप से किस सामग्री का उपयोग किया जाता था?</v>
      </c>
      <c r="H40" s="5" t="str">
        <f>IFERROR(__xludf.DUMMYFUNCTION("GOOGLETRANSLATE(C40, ""en"", ""hi"")"),"A) मिट्टी, B) पत्थर, C) लकड़ी, D) धातु")</f>
        <v>A) मिट्टी, B) पत्थर, C) लकड़ी, D) धातु</v>
      </c>
      <c r="I40" s="5" t="str">
        <f>IFERROR(__xludf.DUMMYFUNCTION("GOOGLETRANSLATE(D40, ""en"", ""hi"")"),"A) मिट्टी")</f>
        <v>A) मिट्टी</v>
      </c>
    </row>
    <row r="41" ht="22.5" customHeight="1">
      <c r="A41" s="3">
        <v>40.0</v>
      </c>
      <c r="B41" s="4" t="s">
        <v>6850</v>
      </c>
      <c r="C41" s="4" t="s">
        <v>6851</v>
      </c>
      <c r="D41" s="4" t="s">
        <v>6852</v>
      </c>
      <c r="F41" s="5" t="str">
        <f>IFERROR(__xludf.DUMMYFUNCTION("GOOGLETRANSLATE(A41, ""en"", ""hi"")"),"40")</f>
        <v>40</v>
      </c>
      <c r="G41" s="5" t="str">
        <f>IFERROR(__xludf.DUMMYFUNCTION("GOOGLETRANSLATE(B41, ""en"", ""hi"")"),"20वीं सदी में हस्तनिर्मित संगमरमर उत्पादन में गिरावट का मुख्य कारण क्या था?")</f>
        <v>20वीं सदी में हस्तनिर्मित संगमरमर उत्पादन में गिरावट का मुख्य कारण क्या था?</v>
      </c>
      <c r="H41" s="5" t="str">
        <f>IFERROR(__xludf.DUMMYFUNCTION("GOOGLETRANSLATE(C41, ""en"", ""hi"")"),"A) बढ़ती प्रतिस्पर्धा, B) तकनीकी प्रगति, C) लोकप्रियता में कमी, D) उच्च उत्पादन लागत")</f>
        <v>A) बढ़ती प्रतिस्पर्धा, B) तकनीकी प्रगति, C) लोकप्रियता में कमी, D) उच्च उत्पादन लागत</v>
      </c>
      <c r="I41" s="5" t="str">
        <f>IFERROR(__xludf.DUMMYFUNCTION("GOOGLETRANSLATE(D41, ""en"", ""hi"")"),"बी) तकनीकी प्रगति")</f>
        <v>बी) तकनीकी प्रगति</v>
      </c>
    </row>
    <row r="42" ht="22.5" customHeight="1">
      <c r="A42" s="3">
        <v>41.0</v>
      </c>
      <c r="B42" s="4" t="s">
        <v>6853</v>
      </c>
      <c r="C42" s="4" t="s">
        <v>6854</v>
      </c>
      <c r="D42" s="4" t="s">
        <v>6766</v>
      </c>
      <c r="F42" s="5" t="str">
        <f>IFERROR(__xludf.DUMMYFUNCTION("GOOGLETRANSLATE(A42, ""en"", ""hi"")"),"41")</f>
        <v>41</v>
      </c>
      <c r="G42" s="5" t="str">
        <f>IFERROR(__xludf.DUMMYFUNCTION("GOOGLETRANSLATE(B42, ""en"", ""hi"")"),"कौन से क्लासिक मार्बल्स खेल में खिलाड़ी जमीन पर खींचे गए छोटे से गोले में मार्बल्स मारने का प्रयास करते हैं?")</f>
        <v>कौन से क्लासिक मार्बल्स खेल में खिलाड़ी जमीन पर खींचे गए छोटे से गोले में मार्बल्स मारने का प्रयास करते हैं?</v>
      </c>
      <c r="H42" s="5" t="str">
        <f>IFERROR(__xludf.DUMMYFUNCTION("GOOGLETRANSLATE(C42, ""en"", ""hi"")"),"A) रिंग टॉ, B) मार्बल्स पिट, C) टिड्लीविंक्स, D) पक")</f>
        <v>A) रिंग टॉ, B) मार्बल्स पिट, C) टिड्लीविंक्स, D) पक</v>
      </c>
      <c r="I42" s="5" t="str">
        <f>IFERROR(__xludf.DUMMYFUNCTION("GOOGLETRANSLATE(D42, ""en"", ""hi"")"),"ए) रिंग टॉ")</f>
        <v>ए) रिंग टॉ</v>
      </c>
    </row>
    <row r="43" ht="22.5" customHeight="1">
      <c r="A43" s="3">
        <v>42.0</v>
      </c>
      <c r="B43" s="4" t="s">
        <v>6855</v>
      </c>
      <c r="C43" s="4" t="s">
        <v>6856</v>
      </c>
      <c r="D43" s="4" t="s">
        <v>6857</v>
      </c>
      <c r="F43" s="5" t="str">
        <f>IFERROR(__xludf.DUMMYFUNCTION("GOOGLETRANSLATE(A43, ""en"", ""hi"")"),"42")</f>
        <v>42</v>
      </c>
      <c r="G43" s="5" t="str">
        <f>IFERROR(__xludf.DUMMYFUNCTION("GOOGLETRANSLATE(B43, ""en"", ""hi"")"),"कौन सा अमेरिकी राज्य 1922 से वार्षिक राष्ट्रीय मार्बल्स टूर्नामेंट की मेजबानी के लिए जाना जाता है?")</f>
        <v>कौन सा अमेरिकी राज्य 1922 से वार्षिक राष्ट्रीय मार्बल्स टूर्नामेंट की मेजबानी के लिए जाना जाता है?</v>
      </c>
      <c r="H43" s="5" t="str">
        <f>IFERROR(__xludf.DUMMYFUNCTION("GOOGLETRANSLATE(C43, ""en"", ""hi"")"),"A) ओहियो, B) पेंसिल्वेनिया, C) न्यूयॉर्क, D) मैसाचुसेट्स")</f>
        <v>A) ओहियो, B) पेंसिल्वेनिया, C) न्यूयॉर्क, D) मैसाचुसेट्स</v>
      </c>
      <c r="I43" s="5" t="str">
        <f>IFERROR(__xludf.DUMMYFUNCTION("GOOGLETRANSLATE(D43, ""en"", ""hi"")"),"बी) पेंसिल्वेनिया")</f>
        <v>बी) पेंसिल्वेनिया</v>
      </c>
    </row>
    <row r="44" ht="22.5" customHeight="1">
      <c r="A44" s="3">
        <v>43.0</v>
      </c>
      <c r="B44" s="4" t="s">
        <v>6858</v>
      </c>
      <c r="C44" s="4" t="s">
        <v>6859</v>
      </c>
      <c r="D44" s="4" t="s">
        <v>6860</v>
      </c>
      <c r="F44" s="5" t="str">
        <f>IFERROR(__xludf.DUMMYFUNCTION("GOOGLETRANSLATE(A44, ""en"", ""hi"")"),"43")</f>
        <v>43</v>
      </c>
      <c r="G44" s="5" t="str">
        <f>IFERROR(__xludf.DUMMYFUNCTION("GOOGLETRANSLATE(B44, ""en"", ""hi"")"),"किस ऐतिहासिक काल में बोर्ड गेम में पहली बार मार्बल्स का प्रयोग किया गया, जिसमें खिलाड़ी उन्हें टोकन के रूप में प्रयोग करते थे?")</f>
        <v>किस ऐतिहासिक काल में बोर्ड गेम में पहली बार मार्बल्स का प्रयोग किया गया, जिसमें खिलाड़ी उन्हें टोकन के रूप में प्रयोग करते थे?</v>
      </c>
      <c r="H44" s="5" t="str">
        <f>IFERROR(__xludf.DUMMYFUNCTION("GOOGLETRANSLATE(C44, ""en"", ""hi"")"),"A) मध्यकालीन, B) पुनर्जागरण, C) विक्टोरियन, D) आधुनिक")</f>
        <v>A) मध्यकालीन, B) पुनर्जागरण, C) विक्टोरियन, D) आधुनिक</v>
      </c>
      <c r="I44" s="5" t="str">
        <f>IFERROR(__xludf.DUMMYFUNCTION("GOOGLETRANSLATE(D44, ""en"", ""hi"")"),"बी) पुनर्जागरण")</f>
        <v>बी) पुनर्जागरण</v>
      </c>
    </row>
    <row r="45" ht="22.5" customHeight="1">
      <c r="A45" s="3">
        <v>44.0</v>
      </c>
      <c r="B45" s="4" t="s">
        <v>6861</v>
      </c>
      <c r="C45" s="4" t="s">
        <v>6862</v>
      </c>
      <c r="D45" s="4" t="s">
        <v>6863</v>
      </c>
      <c r="F45" s="5" t="str">
        <f>IFERROR(__xludf.DUMMYFUNCTION("GOOGLETRANSLATE(A45, ""en"", ""hi"")"),"44")</f>
        <v>44</v>
      </c>
      <c r="G45" s="5" t="str">
        <f>IFERROR(__xludf.DUMMYFUNCTION("GOOGLETRANSLATE(B45, ""en"", ""hi"")"),"20वीं सदी के प्रारम्भ में जर्मन प्रवासियों द्वारा संयुक्त राज्य अमेरिका में कौन सी प्रसिद्ध संगमरमर कंपनी स्थापित की गई थी?")</f>
        <v>20वीं सदी के प्रारम्भ में जर्मन प्रवासियों द्वारा संयुक्त राज्य अमेरिका में कौन सी प्रसिद्ध संगमरमर कंपनी स्थापित की गई थी?</v>
      </c>
      <c r="H45" s="5" t="str">
        <f>IFERROR(__xludf.DUMMYFUNCTION("GOOGLETRANSLATE(C45, ""en"", ""hi"")"),"A) जाबो ग्लास कंपनी, B) मार्बल किंग, C) क्रिस्टेंसन एगेट कंपनी, D) एक्रो एगेट कंपनी")</f>
        <v>A) जाबो ग्लास कंपनी, B) मार्बल किंग, C) क्रिस्टेंसन एगेट कंपनी, D) एक्रो एगेट कंपनी</v>
      </c>
      <c r="I45" s="5" t="str">
        <f>IFERROR(__xludf.DUMMYFUNCTION("GOOGLETRANSLATE(D45, ""en"", ""hi"")"),"C) क्रिस्टेंसन एगेट कंपनी")</f>
        <v>C) क्रिस्टेंसन एगेट कंपनी</v>
      </c>
    </row>
    <row r="46" ht="22.5" customHeight="1">
      <c r="A46" s="3">
        <v>45.0</v>
      </c>
      <c r="B46" s="4" t="s">
        <v>6864</v>
      </c>
      <c r="C46" s="4" t="s">
        <v>6838</v>
      </c>
      <c r="D46" s="4" t="s">
        <v>6839</v>
      </c>
      <c r="F46" s="5" t="str">
        <f>IFERROR(__xludf.DUMMYFUNCTION("GOOGLETRANSLATE(A46, ""en"", ""hi"")"),"45")</f>
        <v>45</v>
      </c>
      <c r="G46" s="5" t="str">
        <f>IFERROR(__xludf.DUMMYFUNCTION("GOOGLETRANSLATE(B46, ""en"", ""hi"")"),"कौन से क्लासिक संगमरमर डिजाइन में कांच के भीतर कई रंगों का घुमाव होता है?")</f>
        <v>कौन से क्लासिक संगमरमर डिजाइन में कांच के भीतर कई रंगों का घुमाव होता है?</v>
      </c>
      <c r="H46" s="5" t="str">
        <f>IFERROR(__xludf.DUMMYFUNCTION("GOOGLETRANSLATE(C46, ""en"", ""hi"")"),"A) स्वर्ल मार्बल्स, B) एगेट मार्बल्स, C) कैट्स आई मार्बल्स, D) स्लैग मार्बल्स")</f>
        <v>A) स्वर्ल मार्बल्स, B) एगेट मार्बल्स, C) कैट्स आई मार्बल्स, D) स्लैग मार्बल्स</v>
      </c>
      <c r="I46" s="5" t="str">
        <f>IFERROR(__xludf.DUMMYFUNCTION("GOOGLETRANSLATE(D46, ""en"", ""hi"")"),"A) स्वर्ल मार्बल्स")</f>
        <v>A) स्वर्ल मार्बल्स</v>
      </c>
    </row>
    <row r="47" ht="22.5" customHeight="1">
      <c r="A47" s="3">
        <v>46.0</v>
      </c>
      <c r="B47" s="4" t="s">
        <v>6865</v>
      </c>
      <c r="C47" s="4" t="s">
        <v>6866</v>
      </c>
      <c r="D47" s="4" t="s">
        <v>6867</v>
      </c>
      <c r="F47" s="5" t="str">
        <f>IFERROR(__xludf.DUMMYFUNCTION("GOOGLETRANSLATE(A47, ""en"", ""hi"")"),"46")</f>
        <v>46</v>
      </c>
      <c r="G47" s="5" t="str">
        <f>IFERROR(__xludf.DUMMYFUNCTION("GOOGLETRANSLATE(B47, ""en"", ""hi"")"),"20वीं सदी के आरंभ में किस प्रकार के संगमरमर का उत्पादन पहली बार स्वचालित मशीनों का उपयोग करके किया गया था?")</f>
        <v>20वीं सदी के आरंभ में किस प्रकार के संगमरमर का उत्पादन पहली बार स्वचालित मशीनों का उपयोग करके किया गया था?</v>
      </c>
      <c r="H47" s="5" t="str">
        <f>IFERROR(__xludf.DUMMYFUNCTION("GOOGLETRANSLATE(C47, ""en"", ""hi"")"),"A) कांच के मार्बल, B) मिट्टी के मार्बल, C) स्टील के मार्बल, D) प्लास्टिक के मार्बल")</f>
        <v>A) कांच के मार्बल, B) मिट्टी के मार्बल, C) स्टील के मार्बल, D) प्लास्टिक के मार्बल</v>
      </c>
      <c r="I47" s="5" t="str">
        <f>IFERROR(__xludf.DUMMYFUNCTION("GOOGLETRANSLATE(D47, ""en"", ""hi"")"),"A) कांच के पत्थर")</f>
        <v>A) कांच के पत्थर</v>
      </c>
    </row>
    <row r="48" ht="22.5" customHeight="1">
      <c r="A48" s="3">
        <v>47.0</v>
      </c>
      <c r="B48" s="4" t="s">
        <v>6868</v>
      </c>
      <c r="C48" s="4" t="s">
        <v>6869</v>
      </c>
      <c r="D48" s="4" t="s">
        <v>6870</v>
      </c>
      <c r="F48" s="5" t="str">
        <f>IFERROR(__xludf.DUMMYFUNCTION("GOOGLETRANSLATE(A48, ""en"", ""hi"")"),"47")</f>
        <v>47</v>
      </c>
      <c r="G48" s="5" t="str">
        <f>IFERROR(__xludf.DUMMYFUNCTION("GOOGLETRANSLATE(B48, ""en"", ""hi"")"),"पहली सफल संगमरमर बनाने वाली मशीन बनाने का श्रेय किस अमेरिकी आविष्कारक को दिया जाता है?")</f>
        <v>पहली सफल संगमरमर बनाने वाली मशीन बनाने का श्रेय किस अमेरिकी आविष्कारक को दिया जाता है?</v>
      </c>
      <c r="H48" s="5" t="str">
        <f>IFERROR(__xludf.DUMMYFUNCTION("GOOGLETRANSLATE(C48, ""en"", ""hi"")"),"A) थॉमस एडिसन, B) एली टेरी, C) चार्ल्स एम. मिलर, D) जॉर्ज डब्ल्यू. पर्किन्स")</f>
        <v>A) थॉमस एडिसन, B) एली टेरी, C) चार्ल्स एम. मिलर, D) जॉर्ज डब्ल्यू. पर्किन्स</v>
      </c>
      <c r="I48" s="5" t="str">
        <f>IFERROR(__xludf.DUMMYFUNCTION("GOOGLETRANSLATE(D48, ""en"", ""hi"")"),"C) चार्ल्स एम. मिलर")</f>
        <v>C) चार्ल्स एम. मिलर</v>
      </c>
    </row>
    <row r="49" ht="22.5" customHeight="1">
      <c r="A49" s="3">
        <v>48.0</v>
      </c>
      <c r="B49" s="4" t="s">
        <v>6871</v>
      </c>
      <c r="C49" s="4" t="s">
        <v>6872</v>
      </c>
      <c r="D49" s="4" t="s">
        <v>6873</v>
      </c>
      <c r="F49" s="5" t="str">
        <f>IFERROR(__xludf.DUMMYFUNCTION("GOOGLETRANSLATE(A49, ""en"", ""hi"")"),"48")</f>
        <v>48</v>
      </c>
      <c r="G49" s="5" t="str">
        <f>IFERROR(__xludf.DUMMYFUNCTION("GOOGLETRANSLATE(B49, ""en"", ""hi"")"),"जर्मनी में कौन सा पारंपरिक मार्बल खेल लोकप्रिय है और इसमें खिलाड़ी एक बड़े रिंग में मार्बल फेंकते हैं?")</f>
        <v>जर्मनी में कौन सा पारंपरिक मार्बल खेल लोकप्रिय है और इसमें खिलाड़ी एक बड़े रिंग में मार्बल फेंकते हैं?</v>
      </c>
      <c r="H49" s="5" t="str">
        <f>IFERROR(__xludf.DUMMYFUNCTION("GOOGLETRANSLATE(C49, ""en"", ""hi"")"),"ए) रिंगस्टोके, बी) मार्बल्स पिट, सी) क्रोपफेन, डी) ताव")</f>
        <v>ए) रिंगस्टोके, बी) मार्बल्स पिट, सी) क्रोपफेन, डी) ताव</v>
      </c>
      <c r="I49" s="5" t="str">
        <f>IFERROR(__xludf.DUMMYFUNCTION("GOOGLETRANSLATE(D49, ""en"", ""hi"")"),"ए) रिंगस्टोके")</f>
        <v>ए) रिंगस्टोके</v>
      </c>
    </row>
    <row r="50" ht="22.5" customHeight="1">
      <c r="A50" s="3">
        <v>49.0</v>
      </c>
      <c r="B50" s="4" t="s">
        <v>6874</v>
      </c>
      <c r="C50" s="4" t="s">
        <v>6875</v>
      </c>
      <c r="D50" s="4" t="s">
        <v>6876</v>
      </c>
      <c r="F50" s="5" t="str">
        <f>IFERROR(__xludf.DUMMYFUNCTION("GOOGLETRANSLATE(A50, ""en"", ""hi"")"),"49")</f>
        <v>49</v>
      </c>
      <c r="G50" s="5" t="str">
        <f>IFERROR(__xludf.DUMMYFUNCTION("GOOGLETRANSLATE(B50, ""en"", ""hi"")"),"20वीं शताब्दी के आरम्भ में किस सामग्री को उसके स्थायित्व और दिखावट के कारण संगमरमर के लिए एक प्रीमियम विकल्प माना जाता था?")</f>
        <v>20वीं शताब्दी के आरम्भ में किस सामग्री को उसके स्थायित्व और दिखावट के कारण संगमरमर के लिए एक प्रीमियम विकल्प माना जाता था?</v>
      </c>
      <c r="H50" s="5" t="str">
        <f>IFERROR(__xludf.DUMMYFUNCTION("GOOGLETRANSLATE(C50, ""en"", ""hi"")"),"A) एगेट, B) ग्लास, C) स्टील, D) सिरेमिक")</f>
        <v>A) एगेट, B) ग्लास, C) स्टील, D) सिरेमिक</v>
      </c>
      <c r="I50" s="5" t="str">
        <f>IFERROR(__xludf.DUMMYFUNCTION("GOOGLETRANSLATE(D50, ""en"", ""hi"")"),"ए) एगेट")</f>
        <v>ए) एगेट</v>
      </c>
    </row>
    <row r="51" ht="22.5" customHeight="1">
      <c r="A51" s="3">
        <v>50.0</v>
      </c>
      <c r="B51" s="4" t="s">
        <v>6877</v>
      </c>
      <c r="C51" s="4" t="s">
        <v>6878</v>
      </c>
      <c r="D51" s="4" t="s">
        <v>6879</v>
      </c>
      <c r="F51" s="5" t="str">
        <f>IFERROR(__xludf.DUMMYFUNCTION("GOOGLETRANSLATE(A51, ""en"", ""hi"")"),"50")</f>
        <v>50</v>
      </c>
      <c r="G51" s="5" t="str">
        <f>IFERROR(__xludf.DUMMYFUNCTION("GOOGLETRANSLATE(B51, ""en"", ""hi"")"),"प्राचीन मेसोपोटामिया में खोजी गई किस ऐतिहासिक कलाकृति को संगमरमर के खेल का प्रारंभिक रूप माना जाता है?")</f>
        <v>प्राचीन मेसोपोटामिया में खोजी गई किस ऐतिहासिक कलाकृति को संगमरमर के खेल का प्रारंभिक रूप माना जाता है?</v>
      </c>
      <c r="H51" s="5" t="str">
        <f>IFERROR(__xludf.DUMMYFUNCTION("GOOGLETRANSLATE(C51, ""en"", ""hi"")"),"A) एक मिट्टी की पट्टिका, B) एक पत्थर की नक्काशी, C) एक प्राचीन बोर्ड गेम, D) एक मिट्टी के बर्तन का टुकड़ा")</f>
        <v>A) एक मिट्टी की पट्टिका, B) एक पत्थर की नक्काशी, C) एक प्राचीन बोर्ड गेम, D) एक मिट्टी के बर्तन का टुकड़ा</v>
      </c>
      <c r="I51" s="5" t="str">
        <f>IFERROR(__xludf.DUMMYFUNCTION("GOOGLETRANSLATE(D51, ""en"", ""hi"")"),"C) एक प्राचीन बोर्ड गेम")</f>
        <v>C) एक प्राचीन बोर्ड गेम</v>
      </c>
    </row>
    <row r="52" ht="22.5" customHeight="1">
      <c r="A52" s="3">
        <v>51.0</v>
      </c>
      <c r="B52" s="4" t="s">
        <v>6880</v>
      </c>
      <c r="C52" s="4" t="s">
        <v>6881</v>
      </c>
      <c r="D52" s="4" t="s">
        <v>6882</v>
      </c>
      <c r="F52" s="5" t="str">
        <f>IFERROR(__xludf.DUMMYFUNCTION("GOOGLETRANSLATE(A52, ""en"", ""hi"")"),"51")</f>
        <v>51</v>
      </c>
      <c r="G52" s="5" t="str">
        <f>IFERROR(__xludf.DUMMYFUNCTION("GOOGLETRANSLATE(B52, ""en"", ""hi"")"),"कौन से संगमरमर डिजाइन की विशेषता एक केंद्रीय कोर है जो विपरीत रंग की पट्टियों से घिरा हुआ है?")</f>
        <v>कौन से संगमरमर डिजाइन की विशेषता एक केंद्रीय कोर है जो विपरीत रंग की पट्टियों से घिरा हुआ है?</v>
      </c>
      <c r="H52" s="5" t="str">
        <f>IFERROR(__xludf.DUMMYFUNCTION("GOOGLETRANSLATE(C52, ""en"", ""hi"")"),"A) बिल्ली की आँख, B) भंवर, C) अगेट, D) ठोस")</f>
        <v>A) बिल्ली की आँख, B) भंवर, C) अगेट, D) ठोस</v>
      </c>
      <c r="I52" s="5" t="str">
        <f>IFERROR(__xludf.DUMMYFUNCTION("GOOGLETRANSLATE(D52, ""en"", ""hi"")"),"बी) भंवर")</f>
        <v>बी) भंवर</v>
      </c>
    </row>
    <row r="53" ht="22.5" customHeight="1">
      <c r="A53" s="3">
        <v>52.0</v>
      </c>
      <c r="B53" s="4" t="s">
        <v>6883</v>
      </c>
      <c r="C53" s="4" t="s">
        <v>6884</v>
      </c>
      <c r="D53" s="4" t="s">
        <v>3979</v>
      </c>
      <c r="F53" s="5" t="str">
        <f>IFERROR(__xludf.DUMMYFUNCTION("GOOGLETRANSLATE(A53, ""en"", ""hi"")"),"52")</f>
        <v>52</v>
      </c>
      <c r="G53" s="5" t="str">
        <f>IFERROR(__xludf.DUMMYFUNCTION("GOOGLETRANSLATE(B53, ""en"", ""hi"")"),"कौन सी प्राचीन सभ्यता सजावटी वस्तुओं और धन के प्रतीक के रूप में संगमरमर के उपयोग के लिए जानी जाती है?")</f>
        <v>कौन सी प्राचीन सभ्यता सजावटी वस्तुओं और धन के प्रतीक के रूप में संगमरमर के उपयोग के लिए जानी जाती है?</v>
      </c>
      <c r="H53" s="5" t="str">
        <f>IFERROR(__xludf.DUMMYFUNCTION("GOOGLETRANSLATE(C53, ""en"", ""hi"")"),"A) ग्रीक, B) रोमन, C) मिस्र, D) फ़ारसी")</f>
        <v>A) ग्रीक, B) रोमन, C) मिस्र, D) फ़ारसी</v>
      </c>
      <c r="I53" s="5" t="str">
        <f>IFERROR(__xludf.DUMMYFUNCTION("GOOGLETRANSLATE(D53, ""en"", ""hi"")"),"बी) रोमन")</f>
        <v>बी) रोमन</v>
      </c>
    </row>
    <row r="54" ht="22.5" customHeight="1">
      <c r="A54" s="3">
        <v>53.0</v>
      </c>
      <c r="B54" s="4" t="s">
        <v>6885</v>
      </c>
      <c r="C54" s="4" t="s">
        <v>6886</v>
      </c>
      <c r="D54" s="4" t="s">
        <v>6887</v>
      </c>
      <c r="F54" s="5" t="str">
        <f>IFERROR(__xludf.DUMMYFUNCTION("GOOGLETRANSLATE(A54, ""en"", ""hi"")"),"53")</f>
        <v>53</v>
      </c>
      <c r="G54" s="5" t="str">
        <f>IFERROR(__xludf.DUMMYFUNCTION("GOOGLETRANSLATE(B54, ""en"", ""hi"")"),"1950 में स्थापित कौन सी कंपनी अपने उच्च गुणवत्ता वाले, हाथ से बने मार्बल के लिए जानी जाती है?")</f>
        <v>1950 में स्थापित कौन सी कंपनी अपने उच्च गुणवत्ता वाले, हाथ से बने मार्बल के लिए जानी जाती है?</v>
      </c>
      <c r="H54" s="5" t="str">
        <f>IFERROR(__xludf.DUMMYFUNCTION("GOOGLETRANSLATE(C54, ""en"", ""hi"")"),"A) मार्बल किंग, B) जाबो ग्लास कंपनी, C) क्रिस्टेंसन एगेट कंपनी, D) के. बी. टॉयज़")</f>
        <v>A) मार्बल किंग, B) जाबो ग्लास कंपनी, C) क्रिस्टेंसन एगेट कंपनी, D) के. बी. टॉयज़</v>
      </c>
      <c r="I54" s="5" t="str">
        <f>IFERROR(__xludf.DUMMYFUNCTION("GOOGLETRANSLATE(D54, ""en"", ""hi"")"),"बी) जाबो ग्लास कंपनी")</f>
        <v>बी) जाबो ग्लास कंपनी</v>
      </c>
    </row>
    <row r="55" ht="22.5" customHeight="1">
      <c r="A55" s="3">
        <v>54.0</v>
      </c>
      <c r="B55" s="4" t="s">
        <v>6888</v>
      </c>
      <c r="C55" s="4" t="s">
        <v>6889</v>
      </c>
      <c r="D55" s="4" t="s">
        <v>6890</v>
      </c>
      <c r="F55" s="5" t="str">
        <f>IFERROR(__xludf.DUMMYFUNCTION("GOOGLETRANSLATE(A55, ""en"", ""hi"")"),"54")</f>
        <v>54</v>
      </c>
      <c r="G55" s="5" t="str">
        <f>IFERROR(__xludf.DUMMYFUNCTION("GOOGLETRANSLATE(B55, ""en"", ""hi"")"),"मार्बल गेम के किस प्रकार में खिलाड़ी एक निश्चित क्षेत्र से एक ही लक्ष्य मार्बल को गिराने का प्रयास करते हैं?")</f>
        <v>मार्बल गेम के किस प्रकार में खिलाड़ी एक निश्चित क्षेत्र से एक ही लक्ष्य मार्बल को गिराने का प्रयास करते हैं?</v>
      </c>
      <c r="H55" s="5" t="str">
        <f>IFERROR(__xludf.DUMMYFUNCTION("GOOGLETRANSLATE(C55, ""en"", ""hi"")"),"A) रिंग टो, B) मार्बल्स पिट, C) होल-इन-वन, D) नॉक-आउट")</f>
        <v>A) रिंग टो, B) मार्बल्स पिट, C) होल-इन-वन, D) नॉक-आउट</v>
      </c>
      <c r="I55" s="5" t="str">
        <f>IFERROR(__xludf.DUMMYFUNCTION("GOOGLETRANSLATE(D55, ""en"", ""hi"")"),"डी) नॉक-आउट")</f>
        <v>डी) नॉक-आउट</v>
      </c>
    </row>
    <row r="56" ht="22.5" customHeight="1">
      <c r="A56" s="3">
        <v>55.0</v>
      </c>
      <c r="B56" s="4" t="s">
        <v>6891</v>
      </c>
      <c r="C56" s="4" t="s">
        <v>6892</v>
      </c>
      <c r="D56" s="4" t="s">
        <v>6893</v>
      </c>
      <c r="F56" s="5" t="str">
        <f>IFERROR(__xludf.DUMMYFUNCTION("GOOGLETRANSLATE(A56, ""en"", ""hi"")"),"55")</f>
        <v>55</v>
      </c>
      <c r="G56" s="5" t="str">
        <f>IFERROR(__xludf.DUMMYFUNCTION("GOOGLETRANSLATE(B56, ""en"", ""hi"")"),"निम्नलिखित में से कौन सा क्लासिक संगमरमर डिज़ाइन अपनी चमकदार, पारभासी उपस्थिति के लिए जाना जाता है?")</f>
        <v>निम्नलिखित में से कौन सा क्लासिक संगमरमर डिज़ाइन अपनी चमकदार, पारभासी उपस्थिति के लिए जाना जाता है?</v>
      </c>
      <c r="H56" s="5" t="str">
        <f>IFERROR(__xludf.DUMMYFUNCTION("GOOGLETRANSLATE(C56, ""en"", ""hi"")"),"A) बिल्ली की आँख, B) अगेट, C) स्वर्ल, D) स्लैग")</f>
        <v>A) बिल्ली की आँख, B) अगेट, C) स्वर्ल, D) स्लैग</v>
      </c>
      <c r="I56" s="5" t="str">
        <f>IFERROR(__xludf.DUMMYFUNCTION("GOOGLETRANSLATE(D56, ""en"", ""hi"")"),"ए) बिल्ली की आँख")</f>
        <v>ए) बिल्ली की आँख</v>
      </c>
    </row>
    <row r="57" ht="22.5" customHeight="1">
      <c r="A57" s="3">
        <v>56.0</v>
      </c>
      <c r="B57" s="4" t="s">
        <v>6894</v>
      </c>
      <c r="C57" s="4" t="s">
        <v>6895</v>
      </c>
      <c r="D57" s="4" t="s">
        <v>6896</v>
      </c>
      <c r="F57" s="5" t="str">
        <f>IFERROR(__xludf.DUMMYFUNCTION("GOOGLETRANSLATE(A57, ""en"", ""hi"")"),"56")</f>
        <v>56</v>
      </c>
      <c r="G57" s="5" t="str">
        <f>IFERROR(__xludf.DUMMYFUNCTION("GOOGLETRANSLATE(B57, ""en"", ""hi"")"),"कौन सी अमेरिकी कंपनी 1907 में स्थापित हुई थी और जटिल डिजाइन वाले संगमरमर के उत्पादन के लिए जानी जाती है?")</f>
        <v>कौन सी अमेरिकी कंपनी 1907 में स्थापित हुई थी और जटिल डिजाइन वाले संगमरमर के उत्पादन के लिए जानी जाती है?</v>
      </c>
      <c r="H57" s="5" t="str">
        <f>IFERROR(__xludf.DUMMYFUNCTION("GOOGLETRANSLATE(C57, ""en"", ""hi"")"),"A) एक्रो एगेट कंपनी, B) मार्बल किंग, C) क्रिस्टेंसन एगेट कंपनी, D) जाबो ग्लास कंपनी")</f>
        <v>A) एक्रो एगेट कंपनी, B) मार्बल किंग, C) क्रिस्टेंसन एगेट कंपनी, D) जाबो ग्लास कंपनी</v>
      </c>
      <c r="I57" s="5" t="str">
        <f>IFERROR(__xludf.DUMMYFUNCTION("GOOGLETRANSLATE(D57, ""en"", ""hi"")"),"ए) एक्रो एगेट कंपनी")</f>
        <v>ए) एक्रो एगेट कंपनी</v>
      </c>
    </row>
    <row r="58" ht="22.5" customHeight="1">
      <c r="A58" s="3">
        <v>57.0</v>
      </c>
      <c r="B58" s="4" t="s">
        <v>6897</v>
      </c>
      <c r="C58" s="4" t="s">
        <v>6875</v>
      </c>
      <c r="D58" s="4" t="s">
        <v>6876</v>
      </c>
      <c r="F58" s="5" t="str">
        <f>IFERROR(__xludf.DUMMYFUNCTION("GOOGLETRANSLATE(A58, ""en"", ""hi"")"),"57")</f>
        <v>57</v>
      </c>
      <c r="G58" s="5" t="str">
        <f>IFERROR(__xludf.DUMMYFUNCTION("GOOGLETRANSLATE(B58, ""en"", ""hi"")"),"किस प्रकार के संगमरमर की विशेषता चिकनी, पॉलिश सतह और विविध रंग हैं?")</f>
        <v>किस प्रकार के संगमरमर की विशेषता चिकनी, पॉलिश सतह और विविध रंग हैं?</v>
      </c>
      <c r="H58" s="5" t="str">
        <f>IFERROR(__xludf.DUMMYFUNCTION("GOOGLETRANSLATE(C58, ""en"", ""hi"")"),"A) एगेट, B) ग्लास, C) स्टील, D) सिरेमिक")</f>
        <v>A) एगेट, B) ग्लास, C) स्टील, D) सिरेमिक</v>
      </c>
      <c r="I58" s="5" t="str">
        <f>IFERROR(__xludf.DUMMYFUNCTION("GOOGLETRANSLATE(D58, ""en"", ""hi"")"),"ए) एगेट")</f>
        <v>ए) एगेट</v>
      </c>
    </row>
    <row r="59" ht="22.5" customHeight="1">
      <c r="A59" s="3">
        <v>58.0</v>
      </c>
      <c r="B59" s="4" t="s">
        <v>6898</v>
      </c>
      <c r="C59" s="4" t="s">
        <v>6899</v>
      </c>
      <c r="D59" s="4" t="s">
        <v>6900</v>
      </c>
      <c r="F59" s="5" t="str">
        <f>IFERROR(__xludf.DUMMYFUNCTION("GOOGLETRANSLATE(A59, ""en"", ""hi"")"),"58")</f>
        <v>58</v>
      </c>
      <c r="G59" s="5" t="str">
        <f>IFERROR(__xludf.DUMMYFUNCTION("GOOGLETRANSLATE(B59, ""en"", ""hi"")"),"संयुक्त राज्य अमेरिका में हस्तनिर्मित से मशीन-निर्मित मार्बल्स में परिवर्तन किस ऐतिहासिक काल में हुआ?")</f>
        <v>संयुक्त राज्य अमेरिका में हस्तनिर्मित से मशीन-निर्मित मार्बल्स में परिवर्तन किस ऐतिहासिक काल में हुआ?</v>
      </c>
      <c r="H59" s="5" t="str">
        <f>IFERROR(__xludf.DUMMYFUNCTION("GOOGLETRANSLATE(C59, ""en"", ""hi"")"),"A) 18वीं शताब्दी, B) 19वीं शताब्दी, C) 20वीं शताब्दी का प्रारंभ, D) 20वीं शताब्दी का उत्तरार्ध")</f>
        <v>A) 18वीं शताब्दी, B) 19वीं शताब्दी, C) 20वीं शताब्दी का प्रारंभ, D) 20वीं शताब्दी का उत्तरार्ध</v>
      </c>
      <c r="I59" s="5" t="str">
        <f>IFERROR(__xludf.DUMMYFUNCTION("GOOGLETRANSLATE(D59, ""en"", ""hi"")"),"सी) 20वीं सदी की शुरुआत")</f>
        <v>सी) 20वीं सदी की शुरुआत</v>
      </c>
    </row>
    <row r="60" ht="22.5" customHeight="1">
      <c r="A60" s="3">
        <v>59.0</v>
      </c>
      <c r="B60" s="4" t="s">
        <v>6901</v>
      </c>
      <c r="C60" s="4" t="s">
        <v>6902</v>
      </c>
      <c r="D60" s="4" t="s">
        <v>6903</v>
      </c>
      <c r="F60" s="5" t="str">
        <f>IFERROR(__xludf.DUMMYFUNCTION("GOOGLETRANSLATE(A60, ""en"", ""hi"")"),"59")</f>
        <v>59</v>
      </c>
      <c r="G60" s="5" t="str">
        <f>IFERROR(__xludf.DUMMYFUNCTION("GOOGLETRANSLATE(B60, ""en"", ""hi"")"),"कौन से मार्बल खेल में खिलाड़ी कार्डबोर्ड के एक छोटे टुकड़े का उपयोग करके मार्बल को एक निर्दिष्ट क्षेत्र में फेंकने का प्रयास करते हैं?")</f>
        <v>कौन से मार्बल खेल में खिलाड़ी कार्डबोर्ड के एक छोटे टुकड़े का उपयोग करके मार्बल को एक निर्दिष्ट क्षेत्र में फेंकने का प्रयास करते हैं?</v>
      </c>
      <c r="H60" s="5" t="str">
        <f>IFERROR(__xludf.DUMMYFUNCTION("GOOGLETRANSLATE(C60, ""en"", ""hi"")"),"A) टिड्लीविंक्स, B) रिंग टॉ, C) मार्बल्स पिट, D) होल-इन-वन")</f>
        <v>A) टिड्लीविंक्स, B) रिंग टॉ, C) मार्बल्स पिट, D) होल-इन-वन</v>
      </c>
      <c r="I60" s="5" t="str">
        <f>IFERROR(__xludf.DUMMYFUNCTION("GOOGLETRANSLATE(D60, ""en"", ""hi"")"),"ए) टिड्लीविंक्स")</f>
        <v>ए) टिड्लीविंक्स</v>
      </c>
    </row>
    <row r="61" ht="22.5" customHeight="1">
      <c r="A61" s="3">
        <v>60.0</v>
      </c>
      <c r="B61" s="4" t="s">
        <v>6904</v>
      </c>
      <c r="C61" s="4" t="s">
        <v>6905</v>
      </c>
      <c r="D61" s="4" t="s">
        <v>6820</v>
      </c>
      <c r="F61" s="5" t="str">
        <f>IFERROR(__xludf.DUMMYFUNCTION("GOOGLETRANSLATE(A61, ""en"", ""hi"")"),"60")</f>
        <v>60</v>
      </c>
      <c r="G61" s="5" t="str">
        <f>IFERROR(__xludf.DUMMYFUNCTION("GOOGLETRANSLATE(B61, ""en"", ""hi"")"),"1950 के दशक में कौन सा प्रसिद्ध संगमरमर डिजाइन पेश किया गया था और जो अपनी अपारदर्शी उपस्थिति के लिए जाना जाता है?")</f>
        <v>1950 के दशक में कौन सा प्रसिद्ध संगमरमर डिजाइन पेश किया गया था और जो अपनी अपारदर्शी उपस्थिति के लिए जाना जाता है?</v>
      </c>
      <c r="H61" s="5" t="str">
        <f>IFERROR(__xludf.DUMMYFUNCTION("GOOGLETRANSLATE(C61, ""en"", ""hi"")"),"A) स्लैग मार्बल्स, B) एगेट मार्बल्स, C) स्वर्ल मार्बल्स, D) कैट्स आई मार्बल्स")</f>
        <v>A) स्लैग मार्बल्स, B) एगेट मार्बल्स, C) स्वर्ल मार्बल्स, D) कैट्स आई मार्बल्स</v>
      </c>
      <c r="I61" s="5" t="str">
        <f>IFERROR(__xludf.DUMMYFUNCTION("GOOGLETRANSLATE(D61, ""en"", ""hi"")"),"A) स्लैग मार्बल्स")</f>
        <v>A) स्लैग मार्बल्स</v>
      </c>
    </row>
    <row r="62" ht="22.5" customHeight="1">
      <c r="A62" s="3">
        <v>61.0</v>
      </c>
      <c r="B62" s="4" t="s">
        <v>6906</v>
      </c>
      <c r="C62" s="4" t="s">
        <v>6907</v>
      </c>
      <c r="D62" s="4" t="s">
        <v>6908</v>
      </c>
      <c r="F62" s="5" t="str">
        <f>IFERROR(__xludf.DUMMYFUNCTION("GOOGLETRANSLATE(A62, ""en"", ""hi"")"),"61")</f>
        <v>61</v>
      </c>
      <c r="G62" s="5" t="str">
        <f>IFERROR(__xludf.DUMMYFUNCTION("GOOGLETRANSLATE(B62, ""en"", ""hi"")"),"किस प्राचीन संस्कृति ने अपने धार्मिक अनुष्ठानों में प्रजनन और पुनर्जन्म के प्रतीक के रूप में संगमरमर का उपयोग किया?")</f>
        <v>किस प्राचीन संस्कृति ने अपने धार्मिक अनुष्ठानों में प्रजनन और पुनर्जन्म के प्रतीक के रूप में संगमरमर का उपयोग किया?</v>
      </c>
      <c r="H62" s="5" t="str">
        <f>IFERROR(__xludf.DUMMYFUNCTION("GOOGLETRANSLATE(C62, ""en"", ""hi"")"),"A) मिस्र, B) यूनानी, C) रोमन, D) फ़ारसी")</f>
        <v>A) मिस्र, B) यूनानी, C) रोमन, D) फ़ारसी</v>
      </c>
      <c r="I62" s="5" t="str">
        <f>IFERROR(__xludf.DUMMYFUNCTION("GOOGLETRANSLATE(D62, ""en"", ""hi"")"),"A) मिस्र")</f>
        <v>A) मिस्र</v>
      </c>
    </row>
    <row r="63" ht="22.5" customHeight="1">
      <c r="A63" s="3">
        <v>62.0</v>
      </c>
      <c r="B63" s="4" t="s">
        <v>6909</v>
      </c>
      <c r="C63" s="4" t="s">
        <v>6862</v>
      </c>
      <c r="D63" s="4" t="s">
        <v>6910</v>
      </c>
      <c r="F63" s="5" t="str">
        <f>IFERROR(__xludf.DUMMYFUNCTION("GOOGLETRANSLATE(A63, ""en"", ""hi"")"),"62")</f>
        <v>62</v>
      </c>
      <c r="G63" s="5" t="str">
        <f>IFERROR(__xludf.DUMMYFUNCTION("GOOGLETRANSLATE(B63, ""en"", ""hi"")"),"कौन सी कंपनी 1949 में स्थापित की गई थी और अद्वितीय रंग पैटर्न और डिजाइन वाले मार्बल्स के उत्पादन के लिए जानी जाती है?")</f>
        <v>कौन सी कंपनी 1949 में स्थापित की गई थी और अद्वितीय रंग पैटर्न और डिजाइन वाले मार्बल्स के उत्पादन के लिए जानी जाती है?</v>
      </c>
      <c r="H63" s="5" t="str">
        <f>IFERROR(__xludf.DUMMYFUNCTION("GOOGLETRANSLATE(C63, ""en"", ""hi"")"),"A) जाबो ग्लास कंपनी, B) मार्बल किंग, C) क्रिस्टेंसन एगेट कंपनी, D) एक्रो एगेट कंपनी")</f>
        <v>A) जाबो ग्लास कंपनी, B) मार्बल किंग, C) क्रिस्टेंसन एगेट कंपनी, D) एक्रो एगेट कंपनी</v>
      </c>
      <c r="I63" s="5" t="str">
        <f>IFERROR(__xludf.DUMMYFUNCTION("GOOGLETRANSLATE(D63, ""en"", ""hi"")"),"बी) मार्बल किंग")</f>
        <v>बी) मार्बल किंग</v>
      </c>
    </row>
    <row r="64" ht="22.5" customHeight="1">
      <c r="A64" s="3">
        <v>63.0</v>
      </c>
      <c r="B64" s="4" t="s">
        <v>6911</v>
      </c>
      <c r="C64" s="4" t="s">
        <v>6912</v>
      </c>
      <c r="D64" s="4" t="s">
        <v>6882</v>
      </c>
      <c r="F64" s="5" t="str">
        <f>IFERROR(__xludf.DUMMYFUNCTION("GOOGLETRANSLATE(A64, ""en"", ""hi"")"),"63")</f>
        <v>63</v>
      </c>
      <c r="G64" s="5" t="str">
        <f>IFERROR(__xludf.DUMMYFUNCTION("GOOGLETRANSLATE(B64, ""en"", ""hi"")"),"कौन सा संगमरमर डिजाइन पहली बार 20वीं सदी में शुरू किया गया था और इसकी धारीदार उपस्थिति इसकी विशेषता है?")</f>
        <v>कौन सा संगमरमर डिजाइन पहली बार 20वीं सदी में शुरू किया गया था और इसकी धारीदार उपस्थिति इसकी विशेषता है?</v>
      </c>
      <c r="H64" s="5" t="str">
        <f>IFERROR(__xludf.DUMMYFUNCTION("GOOGLETRANSLATE(C64, ""en"", ""hi"")"),"A) एगेट, B) स्वर्ल, C) कैट्स आई, D) स्लैग")</f>
        <v>A) एगेट, B) स्वर्ल, C) कैट्स आई, D) स्लैग</v>
      </c>
      <c r="I64" s="5" t="str">
        <f>IFERROR(__xludf.DUMMYFUNCTION("GOOGLETRANSLATE(D64, ""en"", ""hi"")"),"बी) भंवर")</f>
        <v>बी) भंवर</v>
      </c>
    </row>
    <row r="65" ht="22.5" customHeight="1">
      <c r="A65" s="3">
        <v>64.0</v>
      </c>
      <c r="B65" s="4" t="s">
        <v>6913</v>
      </c>
      <c r="C65" s="4" t="s">
        <v>6914</v>
      </c>
      <c r="D65" s="4" t="s">
        <v>6915</v>
      </c>
      <c r="F65" s="5" t="str">
        <f>IFERROR(__xludf.DUMMYFUNCTION("GOOGLETRANSLATE(A65, ""en"", ""hi"")"),"64")</f>
        <v>64</v>
      </c>
      <c r="G65" s="5" t="str">
        <f>IFERROR(__xludf.DUMMYFUNCTION("GOOGLETRANSLATE(B65, ""en"", ""hi"")"),"20वीं सदी के आरंभ में किस आविष्कार ने मार्बल के उत्पादन को महत्वपूर्ण रूप से उन्नत किया?")</f>
        <v>20वीं सदी के आरंभ में किस आविष्कार ने मार्बल के उत्पादन को महत्वपूर्ण रूप से उन्नत किया?</v>
      </c>
      <c r="H65" s="5" t="str">
        <f>IFERROR(__xludf.DUMMYFUNCTION("GOOGLETRANSLATE(C65, ""en"", ""hi"")"),"A) संगमरमर बनाने की मशीन, B) कांच बनाने वाला, C) प्रेस मोल्डर, D) मिट्टी का आकार देने वाला")</f>
        <v>A) संगमरमर बनाने की मशीन, B) कांच बनाने वाला, C) प्रेस मोल्डर, D) मिट्टी का आकार देने वाला</v>
      </c>
      <c r="I65" s="5" t="str">
        <f>IFERROR(__xludf.DUMMYFUNCTION("GOOGLETRANSLATE(D65, ""en"", ""hi"")"),"A) संगमरमर बनाने की मशीन")</f>
        <v>A) संगमरमर बनाने की मशीन</v>
      </c>
    </row>
    <row r="66" ht="22.5" customHeight="1">
      <c r="A66" s="3">
        <v>65.0</v>
      </c>
      <c r="B66" s="4" t="s">
        <v>6916</v>
      </c>
      <c r="C66" s="4" t="s">
        <v>6810</v>
      </c>
      <c r="D66" s="4" t="s">
        <v>6811</v>
      </c>
      <c r="F66" s="5" t="str">
        <f>IFERROR(__xludf.DUMMYFUNCTION("GOOGLETRANSLATE(A66, ""en"", ""hi"")"),"65")</f>
        <v>65</v>
      </c>
      <c r="G66" s="5" t="str">
        <f>IFERROR(__xludf.DUMMYFUNCTION("GOOGLETRANSLATE(B66, ""en"", ""hi"")"),"कौन सा पारंपरिक मार्बल खेल अपनी रणनीति के लिए जाना जाता है जिसमें मार्बल को एक छोटे कप या छेद में डालना शामिल है?")</f>
        <v>कौन सा पारंपरिक मार्बल खेल अपनी रणनीति के लिए जाना जाता है जिसमें मार्बल को एक छोटे कप या छेद में डालना शामिल है?</v>
      </c>
      <c r="H66" s="5" t="str">
        <f>IFERROR(__xludf.DUMMYFUNCTION("GOOGLETRANSLATE(C66, ""en"", ""hi"")"),"A) मार्बल्स पिट, B) रिंग टॉ, C) टिड्लीविंक्स, D) पक")</f>
        <v>A) मार्बल्स पिट, B) रिंग टॉ, C) टिड्लीविंक्स, D) पक</v>
      </c>
      <c r="I66" s="5" t="str">
        <f>IFERROR(__xludf.DUMMYFUNCTION("GOOGLETRANSLATE(D66, ""en"", ""hi"")"),"A) मार्बल्स पिट")</f>
        <v>A) मार्बल्स पिट</v>
      </c>
    </row>
    <row r="67" ht="22.5" customHeight="1">
      <c r="A67" s="3">
        <v>66.0</v>
      </c>
      <c r="B67" s="4" t="s">
        <v>6917</v>
      </c>
      <c r="C67" s="4" t="s">
        <v>6892</v>
      </c>
      <c r="D67" s="4" t="s">
        <v>6893</v>
      </c>
      <c r="F67" s="5" t="str">
        <f>IFERROR(__xludf.DUMMYFUNCTION("GOOGLETRANSLATE(A67, ""en"", ""hi"")"),"66")</f>
        <v>66</v>
      </c>
      <c r="G67" s="5" t="str">
        <f>IFERROR(__xludf.DUMMYFUNCTION("GOOGLETRANSLATE(B67, ""en"", ""hi"")"),"20वीं सदी के आरंभ में शुरू की गई संगमरमर की कौन सी डिजाइन में चमकदार, इंद्रधनुषी सतह है?")</f>
        <v>20वीं सदी के आरंभ में शुरू की गई संगमरमर की कौन सी डिजाइन में चमकदार, इंद्रधनुषी सतह है?</v>
      </c>
      <c r="H67" s="5" t="str">
        <f>IFERROR(__xludf.DUMMYFUNCTION("GOOGLETRANSLATE(C67, ""en"", ""hi"")"),"A) बिल्ली की आँख, B) अगेट, C) स्वर्ल, D) स्लैग")</f>
        <v>A) बिल्ली की आँख, B) अगेट, C) स्वर्ल, D) स्लैग</v>
      </c>
      <c r="I67" s="5" t="str">
        <f>IFERROR(__xludf.DUMMYFUNCTION("GOOGLETRANSLATE(D67, ""en"", ""hi"")"),"ए) बिल्ली की आँख")</f>
        <v>ए) बिल्ली की आँख</v>
      </c>
    </row>
    <row r="68" ht="22.5" customHeight="1">
      <c r="A68" s="3">
        <v>67.0</v>
      </c>
      <c r="B68" s="4" t="s">
        <v>6918</v>
      </c>
      <c r="C68" s="4" t="s">
        <v>6919</v>
      </c>
      <c r="D68" s="4" t="s">
        <v>6920</v>
      </c>
      <c r="F68" s="5" t="str">
        <f>IFERROR(__xludf.DUMMYFUNCTION("GOOGLETRANSLATE(A68, ""en"", ""hi"")"),"67")</f>
        <v>67</v>
      </c>
      <c r="G68" s="5" t="str">
        <f>IFERROR(__xludf.DUMMYFUNCTION("GOOGLETRANSLATE(B68, ""en"", ""hi"")"),"कौन सा ऐतिहासिक व्यक्ति प्राचीन खेलों में अपनी व्यक्तिगत रुचि के भाग के रूप में प्राचीन पत्थरों को एकत्रित करने और उनका अध्ययन करने के लिए जाना जाता है?")</f>
        <v>कौन सा ऐतिहासिक व्यक्ति प्राचीन खेलों में अपनी व्यक्तिगत रुचि के भाग के रूप में प्राचीन पत्थरों को एकत्रित करने और उनका अध्ययन करने के लिए जाना जाता है?</v>
      </c>
      <c r="H68" s="5" t="str">
        <f>IFERROR(__xludf.DUMMYFUNCTION("GOOGLETRANSLATE(C68, ""en"", ""hi"")"),"A) सर आर्थर कॉनन डॉयल, B) एच.जी. वेल्स, C) अल्बर्ट आइंस्टीन, D) जेम्स स्मिथसन")</f>
        <v>A) सर आर्थर कॉनन डॉयल, B) एच.जी. वेल्स, C) अल्बर्ट आइंस्टीन, D) जेम्स स्मिथसन</v>
      </c>
      <c r="I68" s="5" t="str">
        <f>IFERROR(__xludf.DUMMYFUNCTION("GOOGLETRANSLATE(D68, ""en"", ""hi"")"),"D) जेम्स स्मिथसन")</f>
        <v>D) जेम्स स्मिथसन</v>
      </c>
    </row>
    <row r="69" ht="22.5" customHeight="1">
      <c r="A69" s="3">
        <v>68.0</v>
      </c>
      <c r="B69" s="4" t="s">
        <v>6921</v>
      </c>
      <c r="C69" s="4" t="s">
        <v>6862</v>
      </c>
      <c r="D69" s="4" t="s">
        <v>6922</v>
      </c>
      <c r="F69" s="5" t="str">
        <f>IFERROR(__xludf.DUMMYFUNCTION("GOOGLETRANSLATE(A69, ""en"", ""hi"")"),"68")</f>
        <v>68</v>
      </c>
      <c r="G69" s="5" t="str">
        <f>IFERROR(__xludf.DUMMYFUNCTION("GOOGLETRANSLATE(B69, ""en"", ""hi"")"),"कौन सी संगमरमर कंपनी 1922 में स्थापित हुई थी और अपने रंगीन, हस्तनिर्मित संगमरमर के लिए प्रसिद्ध है?")</f>
        <v>कौन सी संगमरमर कंपनी 1922 में स्थापित हुई थी और अपने रंगीन, हस्तनिर्मित संगमरमर के लिए प्रसिद्ध है?</v>
      </c>
      <c r="H69" s="5" t="str">
        <f>IFERROR(__xludf.DUMMYFUNCTION("GOOGLETRANSLATE(C69, ""en"", ""hi"")"),"A) जाबो ग्लास कंपनी, B) मार्बल किंग, C) क्रिस्टेंसन एगेट कंपनी, D) एक्रो एगेट कंपनी")</f>
        <v>A) जाबो ग्लास कंपनी, B) मार्बल किंग, C) क्रिस्टेंसन एगेट कंपनी, D) एक्रो एगेट कंपनी</v>
      </c>
      <c r="I69" s="5" t="str">
        <f>IFERROR(__xludf.DUMMYFUNCTION("GOOGLETRANSLATE(D69, ""en"", ""hi"")"),"ए) जाबो ग्लास कंपनी")</f>
        <v>ए) जाबो ग्लास कंपनी</v>
      </c>
    </row>
    <row r="70" ht="22.5" customHeight="1">
      <c r="A70" s="3">
        <v>69.0</v>
      </c>
      <c r="B70" s="4" t="s">
        <v>6923</v>
      </c>
      <c r="C70" s="4" t="s">
        <v>6892</v>
      </c>
      <c r="D70" s="4" t="s">
        <v>6924</v>
      </c>
      <c r="F70" s="5" t="str">
        <f>IFERROR(__xludf.DUMMYFUNCTION("GOOGLETRANSLATE(A70, ""en"", ""hi"")"),"69")</f>
        <v>69</v>
      </c>
      <c r="G70" s="5" t="str">
        <f>IFERROR(__xludf.DUMMYFUNCTION("GOOGLETRANSLATE(B70, ""en"", ""hi"")"),"किस प्रकार के संगमरमर की विशेषता पारभासी और अपारदर्शी क्षेत्रों का संयोजन है?")</f>
        <v>किस प्रकार के संगमरमर की विशेषता पारभासी और अपारदर्शी क्षेत्रों का संयोजन है?</v>
      </c>
      <c r="H70" s="5" t="str">
        <f>IFERROR(__xludf.DUMMYFUNCTION("GOOGLETRANSLATE(C70, ""en"", ""hi"")"),"A) बिल्ली की आँख, B) अगेट, C) स्वर्ल, D) स्लैग")</f>
        <v>A) बिल्ली की आँख, B) अगेट, C) स्वर्ल, D) स्लैग</v>
      </c>
      <c r="I70" s="5" t="str">
        <f>IFERROR(__xludf.DUMMYFUNCTION("GOOGLETRANSLATE(D70, ""en"", ""hi"")"),"बी) एगेट")</f>
        <v>बी) एगेट</v>
      </c>
    </row>
    <row r="71" ht="22.5" customHeight="1">
      <c r="A71" s="3">
        <v>70.0</v>
      </c>
      <c r="B71" s="4" t="s">
        <v>6925</v>
      </c>
      <c r="C71" s="4" t="s">
        <v>6926</v>
      </c>
      <c r="D71" s="4" t="s">
        <v>6903</v>
      </c>
      <c r="F71" s="5" t="str">
        <f>IFERROR(__xludf.DUMMYFUNCTION("GOOGLETRANSLATE(A71, ""en"", ""hi"")"),"70")</f>
        <v>70</v>
      </c>
      <c r="G71" s="5" t="str">
        <f>IFERROR(__xludf.DUMMYFUNCTION("GOOGLETRANSLATE(B71, ""en"", ""hi"")"),"कंचों के समान कौन सा ऐतिहासिक खेल है जिसमें खिलाड़ी छोटी वस्तुओं को एक निर्धारित लक्ष्य क्षेत्र में फेंकते हैं?")</f>
        <v>कंचों के समान कौन सा ऐतिहासिक खेल है जिसमें खिलाड़ी छोटी वस्तुओं को एक निर्धारित लक्ष्य क्षेत्र में फेंकते हैं?</v>
      </c>
      <c r="H71" s="5" t="str">
        <f>IFERROR(__xludf.DUMMYFUNCTION("GOOGLETRANSLATE(C71, ""en"", ""hi"")"),"A) टिड्लीविंक्स, B) रिंग टॉ, C) मार्बल्स पिट, D) पक")</f>
        <v>A) टिड्लीविंक्स, B) रिंग टॉ, C) मार्बल्स पिट, D) पक</v>
      </c>
      <c r="I71" s="5" t="str">
        <f>IFERROR(__xludf.DUMMYFUNCTION("GOOGLETRANSLATE(D71, ""en"", ""hi"")"),"ए) टिड्लीविंक्स")</f>
        <v>ए) टिड्लीविंक्स</v>
      </c>
    </row>
    <row r="72" ht="22.5" customHeight="1">
      <c r="A72" s="3">
        <v>71.0</v>
      </c>
      <c r="B72" s="4" t="s">
        <v>6927</v>
      </c>
      <c r="C72" s="4" t="s">
        <v>6928</v>
      </c>
      <c r="D72" s="4" t="s">
        <v>6929</v>
      </c>
      <c r="F72" s="5" t="str">
        <f>IFERROR(__xludf.DUMMYFUNCTION("GOOGLETRANSLATE(A72, ""en"", ""hi"")"),"71")</f>
        <v>71</v>
      </c>
      <c r="G72" s="5" t="str">
        <f>IFERROR(__xludf.DUMMYFUNCTION("GOOGLETRANSLATE(B72, ""en"", ""hi"")"),"20वीं शताब्दी के मध्य में कौन सा संगमरमर डिज़ाइन अपने अद्वितीय घूमते रंग पैटर्न के लिए लोकप्रिय था?")</f>
        <v>20वीं शताब्दी के मध्य में कौन सा संगमरमर डिज़ाइन अपने अद्वितीय घूमते रंग पैटर्न के लिए लोकप्रिय था?</v>
      </c>
      <c r="H72" s="5" t="str">
        <f>IFERROR(__xludf.DUMMYFUNCTION("GOOGLETRANSLATE(C72, ""en"", ""hi"")"),"A) स्वर्ल, B) एगेट, C) कैट्स आई, D) स्लैग")</f>
        <v>A) स्वर्ल, B) एगेट, C) कैट्स आई, D) स्लैग</v>
      </c>
      <c r="I72" s="5" t="str">
        <f>IFERROR(__xludf.DUMMYFUNCTION("GOOGLETRANSLATE(D72, ""en"", ""hi"")"),"ए) भंवर")</f>
        <v>ए) भंवर</v>
      </c>
    </row>
    <row r="73" ht="22.5" customHeight="1">
      <c r="A73" s="3">
        <v>72.0</v>
      </c>
      <c r="B73" s="4" t="s">
        <v>6930</v>
      </c>
      <c r="C73" s="4" t="s">
        <v>6931</v>
      </c>
      <c r="D73" s="4" t="s">
        <v>6867</v>
      </c>
      <c r="F73" s="5" t="str">
        <f>IFERROR(__xludf.DUMMYFUNCTION("GOOGLETRANSLATE(A73, ""en"", ""hi"")"),"72")</f>
        <v>72</v>
      </c>
      <c r="G73" s="5" t="str">
        <f>IFERROR(__xludf.DUMMYFUNCTION("GOOGLETRANSLATE(B73, ""en"", ""hi"")"),"किस प्रकार के मार्बल्स को पहली बार 1900 के दशक के प्रारंभ में पेश किया गया था और यह अपनी चिकनी सतह और एकसमान आकार के लिए जाना जाता है?")</f>
        <v>किस प्रकार के मार्बल्स को पहली बार 1900 के दशक के प्रारंभ में पेश किया गया था और यह अपनी चिकनी सतह और एकसमान आकार के लिए जाना जाता है?</v>
      </c>
      <c r="H73" s="5" t="str">
        <f>IFERROR(__xludf.DUMMYFUNCTION("GOOGLETRANSLATE(C73, ""en"", ""hi"")"),"A) कांच के मार्बल, B) मिट्टी के मार्बल, C) धातु के मार्बल, D) प्लास्टिक के मार्बल")</f>
        <v>A) कांच के मार्बल, B) मिट्टी के मार्बल, C) धातु के मार्बल, D) प्लास्टिक के मार्बल</v>
      </c>
      <c r="I73" s="5" t="str">
        <f>IFERROR(__xludf.DUMMYFUNCTION("GOOGLETRANSLATE(D73, ""en"", ""hi"")"),"A) कांच के पत्थर")</f>
        <v>A) कांच के पत्थर</v>
      </c>
    </row>
    <row r="74" ht="22.5" customHeight="1">
      <c r="A74" s="3">
        <v>73.0</v>
      </c>
      <c r="B74" s="4" t="s">
        <v>6932</v>
      </c>
      <c r="C74" s="4" t="s">
        <v>6933</v>
      </c>
      <c r="D74" s="4" t="s">
        <v>6934</v>
      </c>
      <c r="F74" s="5" t="str">
        <f>IFERROR(__xludf.DUMMYFUNCTION("GOOGLETRANSLATE(A74, ""en"", ""hi"")"),"73")</f>
        <v>73</v>
      </c>
      <c r="G74" s="5" t="str">
        <f>IFERROR(__xludf.DUMMYFUNCTION("GOOGLETRANSLATE(B74, ""en"", ""hi"")"),"किस ऐतिहासिक काल में यूरोप में बच्चों के सामान्य खिलौने के रूप में कंचों का प्रचलन शुरू हुआ?")</f>
        <v>किस ऐतिहासिक काल में यूरोप में बच्चों के सामान्य खिलौने के रूप में कंचों का प्रचलन शुरू हुआ?</v>
      </c>
      <c r="H74" s="5" t="str">
        <f>IFERROR(__xludf.DUMMYFUNCTION("GOOGLETRANSLATE(C74, ""en"", ""hi"")"),"A) पुनर्जागरण, B) विक्टोरियन, C) एडवर्डियन, D) आधुनिक")</f>
        <v>A) पुनर्जागरण, B) विक्टोरियन, C) एडवर्डियन, D) आधुनिक</v>
      </c>
      <c r="I74" s="5" t="str">
        <f>IFERROR(__xludf.DUMMYFUNCTION("GOOGLETRANSLATE(D74, ""en"", ""hi"")"),"बी) विक्टोरियन")</f>
        <v>बी) विक्टोरियन</v>
      </c>
    </row>
    <row r="75" ht="22.5" customHeight="1">
      <c r="A75" s="3">
        <v>74.0</v>
      </c>
      <c r="B75" s="4" t="s">
        <v>6935</v>
      </c>
      <c r="C75" s="4" t="s">
        <v>6936</v>
      </c>
      <c r="D75" s="4" t="s">
        <v>6937</v>
      </c>
      <c r="F75" s="5" t="str">
        <f>IFERROR(__xludf.DUMMYFUNCTION("GOOGLETRANSLATE(A75, ""en"", ""hi"")"),"74")</f>
        <v>74</v>
      </c>
      <c r="G75" s="5" t="str">
        <f>IFERROR(__xludf.DUMMYFUNCTION("GOOGLETRANSLATE(B75, ""en"", ""hi"")"),"20वीं सदी के आरंभ में संगमरमर के इतिहास को समर्पित संग्रहालय में किस प्रसिद्ध संगमरमर संग्राहक का संग्रह प्रदर्शित किया गया था?")</f>
        <v>20वीं सदी के आरंभ में संगमरमर के इतिहास को समर्पित संग्रहालय में किस प्रसिद्ध संगमरमर संग्राहक का संग्रह प्रदर्शित किया गया था?</v>
      </c>
      <c r="H75" s="5" t="str">
        <f>IFERROR(__xludf.DUMMYFUNCTION("GOOGLETRANSLATE(C75, ""en"", ""hi"")"),"A) जेम्स स्मिथसन, B) चार्ल्स एम. मिलर, C) थॉमस एडिसन, D) अल्बर्ट आइंस्टीन")</f>
        <v>A) जेम्स स्मिथसन, B) चार्ल्स एम. मिलर, C) थॉमस एडिसन, D) अल्बर्ट आइंस्टीन</v>
      </c>
      <c r="I75" s="5" t="str">
        <f>IFERROR(__xludf.DUMMYFUNCTION("GOOGLETRANSLATE(D75, ""en"", ""hi"")"),"बी) चार्ल्स एम. मिलर")</f>
        <v>बी) चार्ल्स एम. मिलर</v>
      </c>
    </row>
    <row r="76" ht="22.5" customHeight="1">
      <c r="A76" s="3">
        <v>75.0</v>
      </c>
      <c r="B76" s="4" t="s">
        <v>6938</v>
      </c>
      <c r="C76" s="4" t="s">
        <v>6939</v>
      </c>
      <c r="D76" s="4" t="s">
        <v>6766</v>
      </c>
      <c r="F76" s="5" t="str">
        <f>IFERROR(__xludf.DUMMYFUNCTION("GOOGLETRANSLATE(A76, ""en"", ""hi"")"),"75")</f>
        <v>75</v>
      </c>
      <c r="G76" s="5" t="str">
        <f>IFERROR(__xludf.DUMMYFUNCTION("GOOGLETRANSLATE(B76, ""en"", ""hi"")"),"कौन से पारंपरिक कंचे के खेल में खिलाड़ी कंचों को जमीन पर खींचे गए बड़े वृत्त में ठोकने का प्रयास करते हैं?")</f>
        <v>कौन से पारंपरिक कंचे के खेल में खिलाड़ी कंचों को जमीन पर खींचे गए बड़े वृत्त में ठोकने का प्रयास करते हैं?</v>
      </c>
      <c r="H76" s="5" t="str">
        <f>IFERROR(__xludf.DUMMYFUNCTION("GOOGLETRANSLATE(C76, ""en"", ""hi"")"),"A) रिंग टॉ, B) मार्बल्स पिट, C) होल-इन-वन, D) टिड्लीविंक्स")</f>
        <v>A) रिंग टॉ, B) मार्बल्स पिट, C) होल-इन-वन, D) टिड्लीविंक्स</v>
      </c>
      <c r="I76" s="5" t="str">
        <f>IFERROR(__xludf.DUMMYFUNCTION("GOOGLETRANSLATE(D76, ""en"", ""hi"")"),"ए) रिंग टॉ")</f>
        <v>ए) रिंग टॉ</v>
      </c>
    </row>
    <row r="77" ht="22.5" customHeight="1">
      <c r="A77" s="3">
        <v>76.0</v>
      </c>
      <c r="B77" s="4" t="s">
        <v>6940</v>
      </c>
      <c r="C77" s="4" t="s">
        <v>6892</v>
      </c>
      <c r="D77" s="4" t="s">
        <v>6893</v>
      </c>
      <c r="F77" s="5" t="str">
        <f>IFERROR(__xludf.DUMMYFUNCTION("GOOGLETRANSLATE(A77, ""en"", ""hi"")"),"76")</f>
        <v>76</v>
      </c>
      <c r="G77" s="5" t="str">
        <f>IFERROR(__xludf.DUMMYFUNCTION("GOOGLETRANSLATE(B77, ""en"", ""hi"")"),"किस प्रकार के संगमरमर की विशेषता एक एकल केंद्रीय रंग है जो एक पारभासी खोल से घिरा होता है?")</f>
        <v>किस प्रकार के संगमरमर की विशेषता एक एकल केंद्रीय रंग है जो एक पारभासी खोल से घिरा होता है?</v>
      </c>
      <c r="H77" s="5" t="str">
        <f>IFERROR(__xludf.DUMMYFUNCTION("GOOGLETRANSLATE(C77, ""en"", ""hi"")"),"A) बिल्ली की आँख, B) अगेट, C) स्वर्ल, D) स्लैग")</f>
        <v>A) बिल्ली की आँख, B) अगेट, C) स्वर्ल, D) स्लैग</v>
      </c>
      <c r="I77" s="5" t="str">
        <f>IFERROR(__xludf.DUMMYFUNCTION("GOOGLETRANSLATE(D77, ""en"", ""hi"")"),"ए) बिल्ली की आँख")</f>
        <v>ए) बिल्ली की आँख</v>
      </c>
    </row>
    <row r="78" ht="22.5" customHeight="1">
      <c r="A78" s="3">
        <v>77.0</v>
      </c>
      <c r="B78" s="4" t="s">
        <v>6941</v>
      </c>
      <c r="C78" s="4" t="s">
        <v>6942</v>
      </c>
      <c r="D78" s="4" t="s">
        <v>6896</v>
      </c>
      <c r="F78" s="5" t="str">
        <f>IFERROR(__xludf.DUMMYFUNCTION("GOOGLETRANSLATE(A78, ""en"", ""hi"")"),"77")</f>
        <v>77</v>
      </c>
      <c r="G78" s="5" t="str">
        <f>IFERROR(__xludf.DUMMYFUNCTION("GOOGLETRANSLATE(B78, ""en"", ""hi"")"),"1920 में स्थापित कौन सी कंपनी अपने उच्च गुणवत्ता वाले मशीन-निर्मित मार्बल के लिए जानी जाती है?")</f>
        <v>1920 में स्थापित कौन सी कंपनी अपने उच्च गुणवत्ता वाले मशीन-निर्मित मार्बल के लिए जानी जाती है?</v>
      </c>
      <c r="H78" s="5" t="str">
        <f>IFERROR(__xludf.DUMMYFUNCTION("GOOGLETRANSLATE(C78, ""en"", ""hi"")"),"A) एक्रो एगेट कंपनी, B) जाबो ग्लास कंपनी, C) मार्बल किंग, D) क्रिस्टेंसन एगेट कंपनी")</f>
        <v>A) एक्रो एगेट कंपनी, B) जाबो ग्लास कंपनी, C) मार्बल किंग, D) क्रिस्टेंसन एगेट कंपनी</v>
      </c>
      <c r="I78" s="5" t="str">
        <f>IFERROR(__xludf.DUMMYFUNCTION("GOOGLETRANSLATE(D78, ""en"", ""hi"")"),"ए) एक्रो एगेट कंपनी")</f>
        <v>ए) एक्रो एगेट कंपनी</v>
      </c>
    </row>
    <row r="79" ht="22.5" customHeight="1">
      <c r="A79" s="3">
        <v>78.0</v>
      </c>
      <c r="B79" s="4" t="s">
        <v>6943</v>
      </c>
      <c r="C79" s="4" t="s">
        <v>6944</v>
      </c>
      <c r="D79" s="4" t="s">
        <v>6945</v>
      </c>
      <c r="F79" s="5" t="str">
        <f>IFERROR(__xludf.DUMMYFUNCTION("GOOGLETRANSLATE(A79, ""en"", ""hi"")"),"78")</f>
        <v>78</v>
      </c>
      <c r="G79" s="5" t="str">
        <f>IFERROR(__xludf.DUMMYFUNCTION("GOOGLETRANSLATE(B79, ""en"", ""hi"")"),"कौन सा संगमरमर डिज़ाइन अपने चमकीले, धब्बेदार रूप के लिए जाना जाता है और 1950 के दशक में लोकप्रिय था?")</f>
        <v>कौन सा संगमरमर डिज़ाइन अपने चमकीले, धब्बेदार रूप के लिए जाना जाता है और 1950 के दशक में लोकप्रिय था?</v>
      </c>
      <c r="H79" s="5" t="str">
        <f>IFERROR(__xludf.DUMMYFUNCTION("GOOGLETRANSLATE(C79, ""en"", ""hi"")"),"A) स्लैग, B) एगेट, C) स्वर्ल, D) कैट्स आई")</f>
        <v>A) स्लैग, B) एगेट, C) स्वर्ल, D) कैट्स आई</v>
      </c>
      <c r="I79" s="5" t="str">
        <f>IFERROR(__xludf.DUMMYFUNCTION("GOOGLETRANSLATE(D79, ""en"", ""hi"")"),"ए) स्लैग")</f>
        <v>ए) स्लैग</v>
      </c>
    </row>
    <row r="80" ht="22.5" customHeight="1">
      <c r="A80" s="3">
        <v>79.0</v>
      </c>
      <c r="B80" s="4" t="s">
        <v>6946</v>
      </c>
      <c r="C80" s="4" t="s">
        <v>6947</v>
      </c>
      <c r="D80" s="4" t="s">
        <v>6948</v>
      </c>
      <c r="F80" s="5" t="str">
        <f>IFERROR(__xludf.DUMMYFUNCTION("GOOGLETRANSLATE(A80, ""en"", ""hi"")"),"79")</f>
        <v>79</v>
      </c>
      <c r="G80" s="5" t="str">
        <f>IFERROR(__xludf.DUMMYFUNCTION("GOOGLETRANSLATE(B80, ""en"", ""hi"")"),"20वीं सदी के आरंभ में प्राचीन संगमरमर के अध्ययन और संग्रह में अपने योगदान के लिए कौन सा ऐतिहासिक व्यक्ति जाना जाता है?")</f>
        <v>20वीं सदी के आरंभ में प्राचीन संगमरमर के अध्ययन और संग्रह में अपने योगदान के लिए कौन सा ऐतिहासिक व्यक्ति जाना जाता है?</v>
      </c>
      <c r="H80" s="5" t="str">
        <f>IFERROR(__xludf.DUMMYFUNCTION("GOOGLETRANSLATE(C80, ""en"", ""hi"")"),"A) अल्बर्ट आइंस्टीन, B) थॉमस एडिसन, C) जेम्स स्मिथसन, D) चार्ल्स एम. मिलर")</f>
        <v>A) अल्बर्ट आइंस्टीन, B) थॉमस एडिसन, C) जेम्स स्मिथसन, D) चार्ल्स एम. मिलर</v>
      </c>
      <c r="I80" s="5" t="str">
        <f>IFERROR(__xludf.DUMMYFUNCTION("GOOGLETRANSLATE(D80, ""en"", ""hi"")"),"D) चार्ल्स एम. मिलर")</f>
        <v>D) चार्ल्स एम. मिलर</v>
      </c>
    </row>
    <row r="81" ht="22.5" customHeight="1">
      <c r="A81" s="3">
        <v>80.0</v>
      </c>
      <c r="B81" s="4" t="s">
        <v>6949</v>
      </c>
      <c r="C81" s="4" t="s">
        <v>6950</v>
      </c>
      <c r="D81" s="4" t="s">
        <v>6951</v>
      </c>
      <c r="F81" s="5" t="str">
        <f>IFERROR(__xludf.DUMMYFUNCTION("GOOGLETRANSLATE(A81, ""en"", ""hi"")"),"80")</f>
        <v>80</v>
      </c>
      <c r="G81" s="5" t="str">
        <f>IFERROR(__xludf.DUMMYFUNCTION("GOOGLETRANSLATE(B81, ""en"", ""hi"")"),"मार्बल खेल के किस प्रकार में खिलाड़ी लकड़ी के बोर्ड का उपयोग करके मार्बल को छेदों की श्रृंखला में फेंकते हैं?")</f>
        <v>मार्बल खेल के किस प्रकार में खिलाड़ी लकड़ी के बोर्ड का उपयोग करके मार्बल को छेदों की श्रृंखला में फेंकते हैं?</v>
      </c>
      <c r="H81" s="5" t="str">
        <f>IFERROR(__xludf.DUMMYFUNCTION("GOOGLETRANSLATE(C81, ""en"", ""hi"")"),"A) मार्बल्स पिट, B) टिड्लीविंक्स, C) रिंग टॉ, D) पक")</f>
        <v>A) मार्बल्स पिट, B) टिड्लीविंक्स, C) रिंग टॉ, D) पक</v>
      </c>
      <c r="I81" s="5" t="str">
        <f>IFERROR(__xludf.DUMMYFUNCTION("GOOGLETRANSLATE(D81, ""en"", ""hi"")"),"बी) टिड्लीविंक्स")</f>
        <v>बी) टिड्लीविंक्स</v>
      </c>
    </row>
    <row r="82" ht="22.5" customHeight="1">
      <c r="A82" s="3">
        <v>81.0</v>
      </c>
      <c r="B82" s="4" t="s">
        <v>6952</v>
      </c>
      <c r="C82" s="4" t="s">
        <v>6953</v>
      </c>
      <c r="D82" s="4" t="s">
        <v>6929</v>
      </c>
      <c r="F82" s="5" t="str">
        <f>IFERROR(__xludf.DUMMYFUNCTION("GOOGLETRANSLATE(A82, ""en"", ""hi"")"),"81")</f>
        <v>81</v>
      </c>
      <c r="G82" s="5" t="str">
        <f>IFERROR(__xludf.DUMMYFUNCTION("GOOGLETRANSLATE(B82, ""en"", ""hi"")"),"कौन सा संगमरमर डिज़ाइन अपने अद्वितीय रंग विविधताओं के लिए जाना जाता है और पहली बार 20वीं शताब्दी की शुरुआत में बनाया गया था?")</f>
        <v>कौन सा संगमरमर डिज़ाइन अपने अद्वितीय रंग विविधताओं के लिए जाना जाता है और पहली बार 20वीं शताब्दी की शुरुआत में बनाया गया था?</v>
      </c>
      <c r="H82" s="5" t="str">
        <f>IFERROR(__xludf.DUMMYFUNCTION("GOOGLETRANSLATE(C82, ""en"", ""hi"")"),"A) स्वर्ल, B) कैट्स आई, C) एगेट, D) स्लैग")</f>
        <v>A) स्वर्ल, B) कैट्स आई, C) एगेट, D) स्लैग</v>
      </c>
      <c r="I82" s="5" t="str">
        <f>IFERROR(__xludf.DUMMYFUNCTION("GOOGLETRANSLATE(D82, ""en"", ""hi"")"),"ए) भंवर")</f>
        <v>ए) भंवर</v>
      </c>
    </row>
    <row r="83" ht="22.5" customHeight="1">
      <c r="A83" s="3">
        <v>82.0</v>
      </c>
      <c r="B83" s="4" t="s">
        <v>6954</v>
      </c>
      <c r="C83" s="4" t="s">
        <v>6955</v>
      </c>
      <c r="D83" s="4" t="s">
        <v>6863</v>
      </c>
      <c r="F83" s="5" t="str">
        <f>IFERROR(__xludf.DUMMYFUNCTION("GOOGLETRANSLATE(A83, ""en"", ""hi"")"),"82")</f>
        <v>82</v>
      </c>
      <c r="G83" s="5" t="str">
        <f>IFERROR(__xludf.DUMMYFUNCTION("GOOGLETRANSLATE(B83, ""en"", ""hi"")"),"1912 में स्थापित किस कंपनी को संगमरमर बनाने की तकनीक के विकास में योगदान के लिए मान्यता प्राप्त है?")</f>
        <v>1912 में स्थापित किस कंपनी को संगमरमर बनाने की तकनीक के विकास में योगदान के लिए मान्यता प्राप्त है?</v>
      </c>
      <c r="H83" s="5" t="str">
        <f>IFERROR(__xludf.DUMMYFUNCTION("GOOGLETRANSLATE(C83, ""en"", ""hi"")"),"A) मार्बल किंग, B) एक्रो एगेट कंपनी, C) क्रिस्टेंसन एगेट कंपनी, D) जाबो ग्लास कंपनी")</f>
        <v>A) मार्बल किंग, B) एक्रो एगेट कंपनी, C) क्रिस्टेंसन एगेट कंपनी, D) जाबो ग्लास कंपनी</v>
      </c>
      <c r="I83" s="5" t="str">
        <f>IFERROR(__xludf.DUMMYFUNCTION("GOOGLETRANSLATE(D83, ""en"", ""hi"")"),"C) क्रिस्टेंसन एगेट कंपनी")</f>
        <v>C) क्रिस्टेंसन एगेट कंपनी</v>
      </c>
    </row>
    <row r="84" ht="22.5" customHeight="1">
      <c r="A84" s="3">
        <v>83.0</v>
      </c>
      <c r="B84" s="4" t="s">
        <v>6956</v>
      </c>
      <c r="C84" s="4" t="s">
        <v>6939</v>
      </c>
      <c r="D84" s="4" t="s">
        <v>6766</v>
      </c>
      <c r="F84" s="5" t="str">
        <f>IFERROR(__xludf.DUMMYFUNCTION("GOOGLETRANSLATE(A84, ""en"", ""hi"")"),"83")</f>
        <v>83</v>
      </c>
      <c r="G84" s="5" t="str">
        <f>IFERROR(__xludf.DUMMYFUNCTION("GOOGLETRANSLATE(B84, ""en"", ""hi"")"),"कौन से मार्बल खेल में खिलाड़ी जमीन पर खींचे गए लक्ष्य क्षेत्रों की श्रृंखला में मार्बल्स को मारने का प्रयास करते हैं?")</f>
        <v>कौन से मार्बल खेल में खिलाड़ी जमीन पर खींचे गए लक्ष्य क्षेत्रों की श्रृंखला में मार्बल्स को मारने का प्रयास करते हैं?</v>
      </c>
      <c r="H84" s="5" t="str">
        <f>IFERROR(__xludf.DUMMYFUNCTION("GOOGLETRANSLATE(C84, ""en"", ""hi"")"),"A) रिंग टॉ, B) मार्बल्स पिट, C) होल-इन-वन, D) टिड्लीविंक्स")</f>
        <v>A) रिंग टॉ, B) मार्बल्स पिट, C) होल-इन-वन, D) टिड्लीविंक्स</v>
      </c>
      <c r="I84" s="5" t="str">
        <f>IFERROR(__xludf.DUMMYFUNCTION("GOOGLETRANSLATE(D84, ""en"", ""hi"")"),"ए) रिंग टॉ")</f>
        <v>ए) रिंग टॉ</v>
      </c>
    </row>
    <row r="85" ht="22.5" customHeight="1">
      <c r="A85" s="3">
        <v>84.0</v>
      </c>
      <c r="B85" s="4" t="s">
        <v>6957</v>
      </c>
      <c r="C85" s="4" t="s">
        <v>6810</v>
      </c>
      <c r="D85" s="4" t="s">
        <v>6811</v>
      </c>
      <c r="F85" s="5" t="str">
        <f>IFERROR(__xludf.DUMMYFUNCTION("GOOGLETRANSLATE(A85, ""en"", ""hi"")"),"84")</f>
        <v>84</v>
      </c>
      <c r="G85" s="5" t="str">
        <f>IFERROR(__xludf.DUMMYFUNCTION("GOOGLETRANSLATE(B85, ""en"", ""hi"")"),"कौन से पारंपरिक मार्बल खेल में खिलाड़ी मार्बल को जमीन में बने एक छेद में झटके से ठोकने का प्रयास करते हैं?")</f>
        <v>कौन से पारंपरिक मार्बल खेल में खिलाड़ी मार्बल को जमीन में बने एक छेद में झटके से ठोकने का प्रयास करते हैं?</v>
      </c>
      <c r="H85" s="5" t="str">
        <f>IFERROR(__xludf.DUMMYFUNCTION("GOOGLETRANSLATE(C85, ""en"", ""hi"")"),"A) मार्बल्स पिट, B) रिंग टॉ, C) टिड्लीविंक्स, D) पक")</f>
        <v>A) मार्बल्स पिट, B) रिंग टॉ, C) टिड्लीविंक्स, D) पक</v>
      </c>
      <c r="I85" s="5" t="str">
        <f>IFERROR(__xludf.DUMMYFUNCTION("GOOGLETRANSLATE(D85, ""en"", ""hi"")"),"A) मार्बल्स पिट")</f>
        <v>A) मार्बल्स पिट</v>
      </c>
    </row>
    <row r="86" ht="22.5" customHeight="1">
      <c r="A86" s="3">
        <v>85.0</v>
      </c>
      <c r="B86" s="4" t="s">
        <v>6958</v>
      </c>
      <c r="C86" s="4" t="s">
        <v>6892</v>
      </c>
      <c r="D86" s="4" t="s">
        <v>6959</v>
      </c>
      <c r="F86" s="5" t="str">
        <f>IFERROR(__xludf.DUMMYFUNCTION("GOOGLETRANSLATE(A86, ""en"", ""hi"")"),"85")</f>
        <v>85</v>
      </c>
      <c r="G86" s="5" t="str">
        <f>IFERROR(__xludf.DUMMYFUNCTION("GOOGLETRANSLATE(B86, ""en"", ""hi"")"),"19वीं शताब्दी के अंत में किस प्रकार का संगमरमर डिजाइन लोकप्रिय था और इसमें चमकीले, इंद्रधनुषी रंगों का मिश्रण था?")</f>
        <v>19वीं शताब्दी के अंत में किस प्रकार का संगमरमर डिजाइन लोकप्रिय था और इसमें चमकीले, इंद्रधनुषी रंगों का मिश्रण था?</v>
      </c>
      <c r="H86" s="5" t="str">
        <f>IFERROR(__xludf.DUMMYFUNCTION("GOOGLETRANSLATE(C86, ""en"", ""hi"")"),"A) बिल्ली की आँख, B) अगेट, C) स्वर्ल, D) स्लैग")</f>
        <v>A) बिल्ली की आँख, B) अगेट, C) स्वर्ल, D) स्लैग</v>
      </c>
      <c r="I86" s="5" t="str">
        <f>IFERROR(__xludf.DUMMYFUNCTION("GOOGLETRANSLATE(D86, ""en"", ""hi"")"),"D) स्लैग")</f>
        <v>D) स्लैग</v>
      </c>
    </row>
    <row r="87" ht="22.5" customHeight="1">
      <c r="A87" s="3">
        <v>86.0</v>
      </c>
      <c r="B87" s="4" t="s">
        <v>6960</v>
      </c>
      <c r="C87" s="4" t="s">
        <v>6961</v>
      </c>
      <c r="D87" s="4" t="s">
        <v>6775</v>
      </c>
      <c r="F87" s="5" t="str">
        <f>IFERROR(__xludf.DUMMYFUNCTION("GOOGLETRANSLATE(A87, ""en"", ""hi"")"),"86")</f>
        <v>86</v>
      </c>
      <c r="G87" s="5" t="str">
        <f>IFERROR(__xludf.DUMMYFUNCTION("GOOGLETRANSLATE(B87, ""en"", ""hi"")"),"कौन सी ऐतिहासिक घटना 20वीं सदी के आरंभ में मशीन-निर्मित मार्बल के प्रचलन से जुड़ी है?")</f>
        <v>कौन सी ऐतिहासिक घटना 20वीं सदी के आरंभ में मशीन-निर्मित मार्बल के प्रचलन से जुड़ी है?</v>
      </c>
      <c r="H87" s="5" t="str">
        <f>IFERROR(__xludf.DUMMYFUNCTION("GOOGLETRANSLATE(C87, ""en"", ""hi"")"),"A) औद्योगिक क्रांति, B) प्रथम विश्व युद्ध, C) महामंदी, D) द्वितीय विश्व युद्ध")</f>
        <v>A) औद्योगिक क्रांति, B) प्रथम विश्व युद्ध, C) महामंदी, D) द्वितीय विश्व युद्ध</v>
      </c>
      <c r="I87" s="5" t="str">
        <f>IFERROR(__xludf.DUMMYFUNCTION("GOOGLETRANSLATE(D87, ""en"", ""hi"")"),"A) औद्योगिक क्रांति")</f>
        <v>A) औद्योगिक क्रांति</v>
      </c>
    </row>
    <row r="88" ht="22.5" customHeight="1">
      <c r="A88" s="3">
        <v>87.0</v>
      </c>
      <c r="B88" s="4" t="s">
        <v>6962</v>
      </c>
      <c r="C88" s="4" t="s">
        <v>6963</v>
      </c>
      <c r="D88" s="4" t="s">
        <v>6890</v>
      </c>
      <c r="F88" s="5" t="str">
        <f>IFERROR(__xludf.DUMMYFUNCTION("GOOGLETRANSLATE(A88, ""en"", ""hi"")"),"87")</f>
        <v>87</v>
      </c>
      <c r="G88" s="5" t="str">
        <f>IFERROR(__xludf.DUMMYFUNCTION("GOOGLETRANSLATE(B88, ""en"", ""hi"")"),"मार्बल खेल के किस प्रकार में खिलाड़ी खेल क्षेत्र के केंद्र में रखे एक बड़े कप या बाल्टी में मार्बल गिराने का प्रयास करते हैं?")</f>
        <v>मार्बल खेल के किस प्रकार में खिलाड़ी खेल क्षेत्र के केंद्र में रखे एक बड़े कप या बाल्टी में मार्बल गिराने का प्रयास करते हैं?</v>
      </c>
      <c r="H88" s="5" t="str">
        <f>IFERROR(__xludf.DUMMYFUNCTION("GOOGLETRANSLATE(C88, ""en"", ""hi"")"),"A) मार्बल्स पिट, B) रिंग टो, C) होल-इन-वन, D) नॉक-आउट")</f>
        <v>A) मार्बल्स पिट, B) रिंग टो, C) होल-इन-वन, D) नॉक-आउट</v>
      </c>
      <c r="I88" s="5" t="str">
        <f>IFERROR(__xludf.DUMMYFUNCTION("GOOGLETRANSLATE(D88, ""en"", ""hi"")"),"डी) नॉक-आउट")</f>
        <v>डी) नॉक-आउट</v>
      </c>
    </row>
    <row r="89" ht="22.5" customHeight="1">
      <c r="A89" s="3">
        <v>88.0</v>
      </c>
      <c r="B89" s="4" t="s">
        <v>6964</v>
      </c>
      <c r="C89" s="4" t="s">
        <v>6965</v>
      </c>
      <c r="D89" s="4" t="s">
        <v>6882</v>
      </c>
      <c r="F89" s="5" t="str">
        <f>IFERROR(__xludf.DUMMYFUNCTION("GOOGLETRANSLATE(A89, ""en"", ""hi"")"),"88")</f>
        <v>88</v>
      </c>
      <c r="G89" s="5" t="str">
        <f>IFERROR(__xludf.DUMMYFUNCTION("GOOGLETRANSLATE(B89, ""en"", ""hi"")"),"20वीं सदी के मध्य में शुरू किया गया कौन सा संगमरमर डिजाइन अपारदर्शी और पारभासी क्षेत्रों के संयोजन के लिए जाना जाता है?")</f>
        <v>20वीं सदी के मध्य में शुरू किया गया कौन सा संगमरमर डिजाइन अपारदर्शी और पारभासी क्षेत्रों के संयोजन के लिए जाना जाता है?</v>
      </c>
      <c r="H89" s="5" t="str">
        <f>IFERROR(__xludf.DUMMYFUNCTION("GOOGLETRANSLATE(C89, ""en"", ""hi"")"),"A) बिल्ली की आँख, B) स्वर्ल, C) अगेट, D) स्लैग")</f>
        <v>A) बिल्ली की आँख, B) स्वर्ल, C) अगेट, D) स्लैग</v>
      </c>
      <c r="I89" s="5" t="str">
        <f>IFERROR(__xludf.DUMMYFUNCTION("GOOGLETRANSLATE(D89, ""en"", ""hi"")"),"बी) भंवर")</f>
        <v>बी) भंवर</v>
      </c>
    </row>
    <row r="90" ht="22.5" customHeight="1">
      <c r="A90" s="3">
        <v>89.0</v>
      </c>
      <c r="B90" s="4" t="s">
        <v>6966</v>
      </c>
      <c r="C90" s="4" t="s">
        <v>6967</v>
      </c>
      <c r="D90" s="4" t="s">
        <v>6937</v>
      </c>
      <c r="F90" s="5" t="str">
        <f>IFERROR(__xludf.DUMMYFUNCTION("GOOGLETRANSLATE(A90, ""en"", ""hi"")"),"89")</f>
        <v>89</v>
      </c>
      <c r="G90" s="5" t="str">
        <f>IFERROR(__xludf.DUMMYFUNCTION("GOOGLETRANSLATE(B90, ""en"", ""hi"")"),"कौन सा ऐतिहासिक व्यक्ति संगमरमर के इतिहास के अध्ययन और संगमरमर बनाने की तकनीक के विकास में अपने योगदान के लिए जाना जाता है?")</f>
        <v>कौन सा ऐतिहासिक व्यक्ति संगमरमर के इतिहास के अध्ययन और संगमरमर बनाने की तकनीक के विकास में अपने योगदान के लिए जाना जाता है?</v>
      </c>
      <c r="H90" s="5" t="str">
        <f>IFERROR(__xludf.DUMMYFUNCTION("GOOGLETRANSLATE(C90, ""en"", ""hi"")"),"A) थॉमस एडिसन, B) चार्ल्स एम. मिलर, C) अल्बर्ट आइंस्टीन, D) जेम्स स्मिथसन")</f>
        <v>A) थॉमस एडिसन, B) चार्ल्स एम. मिलर, C) अल्बर्ट आइंस्टीन, D) जेम्स स्मिथसन</v>
      </c>
      <c r="I90" s="5" t="str">
        <f>IFERROR(__xludf.DUMMYFUNCTION("GOOGLETRANSLATE(D90, ""en"", ""hi"")"),"बी) चार्ल्स एम. मिलर")</f>
        <v>बी) चार्ल्स एम. मिलर</v>
      </c>
    </row>
    <row r="91" ht="22.5" customHeight="1">
      <c r="A91" s="3">
        <v>90.0</v>
      </c>
      <c r="B91" s="4" t="s">
        <v>6968</v>
      </c>
      <c r="C91" s="4" t="s">
        <v>6969</v>
      </c>
      <c r="D91" s="4" t="s">
        <v>6903</v>
      </c>
      <c r="F91" s="5" t="str">
        <f>IFERROR(__xludf.DUMMYFUNCTION("GOOGLETRANSLATE(A91, ""en"", ""hi"")"),"90")</f>
        <v>90</v>
      </c>
      <c r="G91" s="5" t="str">
        <f>IFERROR(__xludf.DUMMYFUNCTION("GOOGLETRANSLATE(B91, ""en"", ""hi"")"),"कौन से मार्बल खेल में खिलाड़ी बोर्ड पर लक्ष्यित छेदों की श्रृंखला में मार्बल फेंकते हैं?")</f>
        <v>कौन से मार्बल खेल में खिलाड़ी बोर्ड पर लक्ष्यित छेदों की श्रृंखला में मार्बल फेंकते हैं?</v>
      </c>
      <c r="H91" s="5" t="str">
        <f>IFERROR(__xludf.DUMMYFUNCTION("GOOGLETRANSLATE(C91, ""en"", ""hi"")"),"A) टिड्लीविंक्स, B) मार्बल्स पिट, C) रिंग टॉ, D) पक")</f>
        <v>A) टिड्लीविंक्स, B) मार्बल्स पिट, C) रिंग टॉ, D) पक</v>
      </c>
      <c r="I91" s="5" t="str">
        <f>IFERROR(__xludf.DUMMYFUNCTION("GOOGLETRANSLATE(D91, ""en"", ""hi"")"),"ए) टिड्लीविंक्स")</f>
        <v>ए) टिड्लीविंक्स</v>
      </c>
    </row>
    <row r="92" ht="22.5" customHeight="1">
      <c r="A92" s="3">
        <v>91.0</v>
      </c>
      <c r="B92" s="4" t="s">
        <v>6970</v>
      </c>
      <c r="C92" s="4" t="s">
        <v>6971</v>
      </c>
      <c r="D92" s="4" t="s">
        <v>6876</v>
      </c>
      <c r="F92" s="5" t="str">
        <f>IFERROR(__xludf.DUMMYFUNCTION("GOOGLETRANSLATE(A92, ""en"", ""hi"")"),"91")</f>
        <v>91</v>
      </c>
      <c r="G92" s="5" t="str">
        <f>IFERROR(__xludf.DUMMYFUNCTION("GOOGLETRANSLATE(B92, ""en"", ""hi"")"),"20वीं शताब्दी में किस प्रकार का संगमरमर डिजाइन लोकप्रिय था और इसमें जीवंत रंगों के साथ चिकनी, पॉलिश सतह होती थी?")</f>
        <v>20वीं शताब्दी में किस प्रकार का संगमरमर डिजाइन लोकप्रिय था और इसमें जीवंत रंगों के साथ चिकनी, पॉलिश सतह होती थी?</v>
      </c>
      <c r="H92" s="5" t="str">
        <f>IFERROR(__xludf.DUMMYFUNCTION("GOOGLETRANSLATE(C92, ""en"", ""hi"")"),"A) एगेट, B) कैट्स आई, C) स्वर्ल, D) स्लैग")</f>
        <v>A) एगेट, B) कैट्स आई, C) स्वर्ल, D) स्लैग</v>
      </c>
      <c r="I92" s="5" t="str">
        <f>IFERROR(__xludf.DUMMYFUNCTION("GOOGLETRANSLATE(D92, ""en"", ""hi"")"),"ए) एगेट")</f>
        <v>ए) एगेट</v>
      </c>
    </row>
    <row r="93" ht="22.5" customHeight="1">
      <c r="A93" s="3">
        <v>92.0</v>
      </c>
      <c r="B93" s="4" t="s">
        <v>6972</v>
      </c>
      <c r="C93" s="4" t="s">
        <v>6973</v>
      </c>
      <c r="D93" s="4" t="s">
        <v>6766</v>
      </c>
      <c r="F93" s="5" t="str">
        <f>IFERROR(__xludf.DUMMYFUNCTION("GOOGLETRANSLATE(A93, ""en"", ""hi"")"),"92")</f>
        <v>92</v>
      </c>
      <c r="G93" s="5" t="str">
        <f>IFERROR(__xludf.DUMMYFUNCTION("GOOGLETRANSLATE(B93, ""en"", ""hi"")"),"कौन से मार्बल खेल में खिलाड़ी मार्बल को निशाना बनाने के लिए एक छोटे, गोलाकार लक्ष्य का उपयोग करते हैं?")</f>
        <v>कौन से मार्बल खेल में खिलाड़ी मार्बल को निशाना बनाने के लिए एक छोटे, गोलाकार लक्ष्य का उपयोग करते हैं?</v>
      </c>
      <c r="H93" s="5" t="str">
        <f>IFERROR(__xludf.DUMMYFUNCTION("GOOGLETRANSLATE(C93, ""en"", ""hi"")"),"A) रिंग टॉ, B) मार्बल्स पिट, C) टिड्लीविंक्स, D) नॉक-आउट")</f>
        <v>A) रिंग टॉ, B) मार्बल्स पिट, C) टिड्लीविंक्स, D) नॉक-आउट</v>
      </c>
      <c r="I93" s="5" t="str">
        <f>IFERROR(__xludf.DUMMYFUNCTION("GOOGLETRANSLATE(D93, ""en"", ""hi"")"),"ए) रिंग टॉ")</f>
        <v>ए) रिंग टॉ</v>
      </c>
    </row>
    <row r="94" ht="22.5" customHeight="1">
      <c r="A94" s="3">
        <v>93.0</v>
      </c>
      <c r="B94" s="4" t="s">
        <v>6974</v>
      </c>
      <c r="C94" s="4" t="s">
        <v>6747</v>
      </c>
      <c r="D94" s="4" t="s">
        <v>6887</v>
      </c>
      <c r="F94" s="5" t="str">
        <f>IFERROR(__xludf.DUMMYFUNCTION("GOOGLETRANSLATE(A94, ""en"", ""hi"")"),"93")</f>
        <v>93</v>
      </c>
      <c r="G94" s="5" t="str">
        <f>IFERROR(__xludf.DUMMYFUNCTION("GOOGLETRANSLATE(B94, ""en"", ""hi"")"),"1949 में स्थापित कौन सी संगमरमर कंपनी अपने रंगीन, हाथ से बने संगमरमर के लिए जानी जाती है?")</f>
        <v>1949 में स्थापित कौन सी संगमरमर कंपनी अपने रंगीन, हाथ से बने संगमरमर के लिए जानी जाती है?</v>
      </c>
      <c r="H94" s="5" t="str">
        <f>IFERROR(__xludf.DUMMYFUNCTION("GOOGLETRANSLATE(C94, ""en"", ""hi"")"),"A) मार्बल किंग, B) जाबो ग्लास कंपनी, C) क्रिस्टेंसन एगेट कंपनी, D) एक्रो एगेट कंपनी")</f>
        <v>A) मार्बल किंग, B) जाबो ग्लास कंपनी, C) क्रिस्टेंसन एगेट कंपनी, D) एक्रो एगेट कंपनी</v>
      </c>
      <c r="I94" s="5" t="str">
        <f>IFERROR(__xludf.DUMMYFUNCTION("GOOGLETRANSLATE(D94, ""en"", ""hi"")"),"बी) जाबो ग्लास कंपनी")</f>
        <v>बी) जाबो ग्लास कंपनी</v>
      </c>
    </row>
    <row r="95" ht="22.5" customHeight="1">
      <c r="A95" s="3">
        <v>94.0</v>
      </c>
      <c r="B95" s="4" t="s">
        <v>6975</v>
      </c>
      <c r="C95" s="4" t="s">
        <v>6953</v>
      </c>
      <c r="D95" s="4" t="s">
        <v>6929</v>
      </c>
      <c r="F95" s="5" t="str">
        <f>IFERROR(__xludf.DUMMYFUNCTION("GOOGLETRANSLATE(A95, ""en"", ""hi"")"),"94")</f>
        <v>94</v>
      </c>
      <c r="G95" s="5" t="str">
        <f>IFERROR(__xludf.DUMMYFUNCTION("GOOGLETRANSLATE(B95, ""en"", ""hi"")"),"19वीं शताब्दी में पहली बार शुरू की गई संगमरमर की कौन सी डिजाइन में रंगों का चमकीला, घूमता हुआ पैटर्न है?")</f>
        <v>19वीं शताब्दी में पहली बार शुरू की गई संगमरमर की कौन सी डिजाइन में रंगों का चमकीला, घूमता हुआ पैटर्न है?</v>
      </c>
      <c r="H95" s="5" t="str">
        <f>IFERROR(__xludf.DUMMYFUNCTION("GOOGLETRANSLATE(C95, ""en"", ""hi"")"),"A) स्वर्ल, B) कैट्स आई, C) एगेट, D) स्लैग")</f>
        <v>A) स्वर्ल, B) कैट्स आई, C) एगेट, D) स्लैग</v>
      </c>
      <c r="I95" s="5" t="str">
        <f>IFERROR(__xludf.DUMMYFUNCTION("GOOGLETRANSLATE(D95, ""en"", ""hi"")"),"ए) भंवर")</f>
        <v>ए) भंवर</v>
      </c>
    </row>
    <row r="96" ht="22.5" customHeight="1">
      <c r="A96" s="3">
        <v>95.0</v>
      </c>
      <c r="B96" s="4" t="s">
        <v>6976</v>
      </c>
      <c r="C96" s="4" t="s">
        <v>6977</v>
      </c>
      <c r="D96" s="4" t="s">
        <v>3852</v>
      </c>
      <c r="F96" s="5" t="str">
        <f>IFERROR(__xludf.DUMMYFUNCTION("GOOGLETRANSLATE(A96, ""en"", ""hi"")"),"95")</f>
        <v>95</v>
      </c>
      <c r="G96" s="5" t="str">
        <f>IFERROR(__xludf.DUMMYFUNCTION("GOOGLETRANSLATE(B96, ""en"", ""hi"")"),"कौन सी प्राचीन संस्कृति छोटे, नक्काशीदार पत्थर की गेंदों से खेले जाने वाले खेलों में कंचों का उपयोग करने के लिए जानी जाती है?")</f>
        <v>कौन सी प्राचीन संस्कृति छोटे, नक्काशीदार पत्थर की गेंदों से खेले जाने वाले खेलों में कंचों का उपयोग करने के लिए जानी जाती है?</v>
      </c>
      <c r="H96" s="5" t="str">
        <f>IFERROR(__xludf.DUMMYFUNCTION("GOOGLETRANSLATE(C96, ""en"", ""hi"")"),"A) मिस्र, B) ग्रीक, C) रोमन, D) चीनी")</f>
        <v>A) मिस्र, B) ग्रीक, C) रोमन, D) चीनी</v>
      </c>
      <c r="I96" s="5" t="str">
        <f>IFERROR(__xludf.DUMMYFUNCTION("GOOGLETRANSLATE(D96, ""en"", ""hi"")"),"C) रोमन")</f>
        <v>C) रोमन</v>
      </c>
    </row>
    <row r="97" ht="22.5" customHeight="1">
      <c r="A97" s="3">
        <v>96.0</v>
      </c>
      <c r="B97" s="4" t="s">
        <v>6978</v>
      </c>
      <c r="C97" s="4" t="s">
        <v>6979</v>
      </c>
      <c r="D97" s="4" t="s">
        <v>6980</v>
      </c>
      <c r="F97" s="5" t="str">
        <f>IFERROR(__xludf.DUMMYFUNCTION("GOOGLETRANSLATE(A97, ""en"", ""hi"")"),"96")</f>
        <v>96</v>
      </c>
      <c r="G97" s="5" t="str">
        <f>IFERROR(__xludf.DUMMYFUNCTION("GOOGLETRANSLATE(B97, ""en"", ""hi"")"),"उच्च गुणवत्ता वाले संगमरमर के लिए प्रसिद्ध अक्रो एगेट कंपनी ने किस वर्ष परिचालन शुरू किया?")</f>
        <v>उच्च गुणवत्ता वाले संगमरमर के लिए प्रसिद्ध अक्रो एगेट कंपनी ने किस वर्ष परिचालन शुरू किया?</v>
      </c>
      <c r="H97" s="5" t="str">
        <f>IFERROR(__xludf.DUMMYFUNCTION("GOOGLETRANSLATE(C97, ""en"", ""hi"")"),"ए) 1905, बी) 1910, सी) 1922, डी) 1935")</f>
        <v>ए) 1905, बी) 1910, सी) 1922, डी) 1935</v>
      </c>
      <c r="I97" s="5" t="str">
        <f>IFERROR(__xludf.DUMMYFUNCTION("GOOGLETRANSLATE(D97, ""en"", ""hi"")"),"सी) 1922")</f>
        <v>सी) 1922</v>
      </c>
    </row>
    <row r="98" ht="22.5" customHeight="1">
      <c r="A98" s="3">
        <v>97.0</v>
      </c>
      <c r="B98" s="4" t="s">
        <v>6981</v>
      </c>
      <c r="C98" s="4" t="s">
        <v>6928</v>
      </c>
      <c r="D98" s="4" t="s">
        <v>6982</v>
      </c>
      <c r="F98" s="5" t="str">
        <f>IFERROR(__xludf.DUMMYFUNCTION("GOOGLETRANSLATE(A98, ""en"", ""hi"")"),"97")</f>
        <v>97</v>
      </c>
      <c r="G98" s="5" t="str">
        <f>IFERROR(__xludf.DUMMYFUNCTION("GOOGLETRANSLATE(B98, ""en"", ""hi"")"),"कौन से संगमरमर के डिजाइन में एक केंद्रीय, चमकीले रंग का कोर होता है जो पारभासी कांच की परत से घिरा होता है?")</f>
        <v>कौन से संगमरमर के डिजाइन में एक केंद्रीय, चमकीले रंग का कोर होता है जो पारभासी कांच की परत से घिरा होता है?</v>
      </c>
      <c r="H98" s="5" t="str">
        <f>IFERROR(__xludf.DUMMYFUNCTION("GOOGLETRANSLATE(C98, ""en"", ""hi"")"),"A) स्वर्ल, B) एगेट, C) कैट्स आई, D) स्लैग")</f>
        <v>A) स्वर्ल, B) एगेट, C) कैट्स आई, D) स्लैग</v>
      </c>
      <c r="I98" s="5" t="str">
        <f>IFERROR(__xludf.DUMMYFUNCTION("GOOGLETRANSLATE(D98, ""en"", ""hi"")"),"सी) बिल्ली की आँख")</f>
        <v>सी) बिल्ली की आँख</v>
      </c>
    </row>
    <row r="99" ht="22.5" customHeight="1">
      <c r="A99" s="3">
        <v>98.0</v>
      </c>
      <c r="B99" s="4" t="s">
        <v>6983</v>
      </c>
      <c r="C99" s="4" t="s">
        <v>6984</v>
      </c>
      <c r="D99" s="4" t="s">
        <v>6887</v>
      </c>
      <c r="F99" s="5" t="str">
        <f>IFERROR(__xludf.DUMMYFUNCTION("GOOGLETRANSLATE(A99, ""en"", ""hi"")"),"98")</f>
        <v>98</v>
      </c>
      <c r="G99" s="5" t="str">
        <f>IFERROR(__xludf.DUMMYFUNCTION("GOOGLETRANSLATE(B99, ""en"", ""hi"")"),"कौन सी कंपनी संगमरमर निर्माण में अपने नवाचार के लिए जानी जाती है, विशेष रूप से 1950 के दशक में अद्वितीय पैटर्न वाले संगमरमर का उत्पादन करने के लिए?")</f>
        <v>कौन सी कंपनी संगमरमर निर्माण में अपने नवाचार के लिए जानी जाती है, विशेष रूप से 1950 के दशक में अद्वितीय पैटर्न वाले संगमरमर का उत्पादन करने के लिए?</v>
      </c>
      <c r="H99" s="5" t="str">
        <f>IFERROR(__xludf.DUMMYFUNCTION("GOOGLETRANSLATE(C99, ""en"", ""hi"")"),"A) क्रिस्टेंसन एगेट कंपनी, B) जाबो ग्लास कंपनी, C) मार्बल किंग, D) एक्रो एगेट कंपनी")</f>
        <v>A) क्रिस्टेंसन एगेट कंपनी, B) जाबो ग्लास कंपनी, C) मार्बल किंग, D) एक्रो एगेट कंपनी</v>
      </c>
      <c r="I99" s="5" t="str">
        <f>IFERROR(__xludf.DUMMYFUNCTION("GOOGLETRANSLATE(D99, ""en"", ""hi"")"),"बी) जाबो ग्लास कंपनी")</f>
        <v>बी) जाबो ग्लास कंपनी</v>
      </c>
    </row>
    <row r="100" ht="22.5" customHeight="1">
      <c r="A100" s="3">
        <v>99.0</v>
      </c>
      <c r="B100" s="4" t="s">
        <v>6985</v>
      </c>
      <c r="C100" s="4" t="s">
        <v>6986</v>
      </c>
      <c r="D100" s="4" t="s">
        <v>6987</v>
      </c>
      <c r="F100" s="5" t="str">
        <f>IFERROR(__xludf.DUMMYFUNCTION("GOOGLETRANSLATE(A100, ""en"", ""hi"")"),"99")</f>
        <v>99</v>
      </c>
      <c r="G100" s="5" t="str">
        <f>IFERROR(__xludf.DUMMYFUNCTION("GOOGLETRANSLATE(B100, ""en"", ""hi"")"),"19वीं शताब्दी के दौरान प्रतिस्पर्धी मार्बल खेलों में किस प्रकार के मार्बल का मुख्य रूप से उपयोग किया जाता था?")</f>
        <v>19वीं शताब्दी के दौरान प्रतिस्पर्धी मार्बल खेलों में किस प्रकार के मार्बल का मुख्य रूप से उपयोग किया जाता था?</v>
      </c>
      <c r="H100" s="5" t="str">
        <f>IFERROR(__xludf.DUMMYFUNCTION("GOOGLETRANSLATE(C100, ""en"", ""hi"")"),"A) मिट्टी के मार्बल, B) कांच के मार्बल, C) स्टील के मार्बल, D) प्लास्टिक के मार्बल")</f>
        <v>A) मिट्टी के मार्बल, B) कांच के मार्बल, C) स्टील के मार्बल, D) प्लास्टिक के मार्बल</v>
      </c>
      <c r="I100" s="5" t="str">
        <f>IFERROR(__xludf.DUMMYFUNCTION("GOOGLETRANSLATE(D100, ""en"", ""hi"")"),"A) मिट्टी के पत्थर")</f>
        <v>A) मिट्टी के पत्थर</v>
      </c>
    </row>
    <row r="101" ht="22.5" customHeight="1">
      <c r="A101" s="3">
        <v>100.0</v>
      </c>
      <c r="B101" s="4" t="s">
        <v>6988</v>
      </c>
      <c r="C101" s="4" t="s">
        <v>6989</v>
      </c>
      <c r="D101" s="4" t="s">
        <v>6990</v>
      </c>
      <c r="F101" s="5" t="str">
        <f>IFERROR(__xludf.DUMMYFUNCTION("GOOGLETRANSLATE(A101, ""en"", ""hi"")"),"100")</f>
        <v>100</v>
      </c>
      <c r="G101" s="5" t="str">
        <f>IFERROR(__xludf.DUMMYFUNCTION("GOOGLETRANSLATE(B101, ""en"", ""hi"")"),"कौन से मार्बल खेल में खिलाड़ियों को एक ही झटके में मार्बल को लक्ष्य छेद में डालना होता है?")</f>
        <v>कौन से मार्बल खेल में खिलाड़ियों को एक ही झटके में मार्बल को लक्ष्य छेद में डालना होता है?</v>
      </c>
      <c r="H101" s="5" t="str">
        <f>IFERROR(__xludf.DUMMYFUNCTION("GOOGLETRANSLATE(C101, ""en"", ""hi"")"),"A) रिंग टॉ, B) नॉक-आउट, C) टिड्लीविंक्स, D) मार्बल्स पिट")</f>
        <v>A) रिंग टॉ, B) नॉक-आउट, C) टिड्लीविंक्स, D) मार्बल्स पिट</v>
      </c>
      <c r="I101" s="5" t="str">
        <f>IFERROR(__xludf.DUMMYFUNCTION("GOOGLETRANSLATE(D101, ""en"", ""hi"")"),"बी) नॉक-आउट")</f>
        <v>बी) नॉक-आउट</v>
      </c>
    </row>
    <row r="102" ht="22.5" customHeight="1">
      <c r="A102" s="3">
        <v>101.0</v>
      </c>
      <c r="B102" s="4" t="s">
        <v>6991</v>
      </c>
      <c r="C102" s="4" t="s">
        <v>6892</v>
      </c>
      <c r="D102" s="4" t="s">
        <v>6959</v>
      </c>
      <c r="F102" s="5" t="str">
        <f>IFERROR(__xludf.DUMMYFUNCTION("GOOGLETRANSLATE(A102, ""en"", ""hi"")"),"101")</f>
        <v>101</v>
      </c>
      <c r="G102" s="5" t="str">
        <f>IFERROR(__xludf.DUMMYFUNCTION("GOOGLETRANSLATE(B102, ""en"", ""hi"")"),"कौन सा संगमरमर डिज़ाइन, जो अपनी अपारदर्शी उपस्थिति के लिए जाना जाता है, 1950 और 1960 के दशक में लोकप्रिय हुआ?")</f>
        <v>कौन सा संगमरमर डिज़ाइन, जो अपनी अपारदर्शी उपस्थिति के लिए जाना जाता है, 1950 और 1960 के दशक में लोकप्रिय हुआ?</v>
      </c>
      <c r="H102" s="5" t="str">
        <f>IFERROR(__xludf.DUMMYFUNCTION("GOOGLETRANSLATE(C102, ""en"", ""hi"")"),"A) बिल्ली की आँख, B) अगेट, C) स्वर्ल, D) स्लैग")</f>
        <v>A) बिल्ली की आँख, B) अगेट, C) स्वर्ल, D) स्लैग</v>
      </c>
      <c r="I102" s="5" t="str">
        <f>IFERROR(__xludf.DUMMYFUNCTION("GOOGLETRANSLATE(D102, ""en"", ""hi"")"),"D) स्लैग")</f>
        <v>D) स्लैग</v>
      </c>
    </row>
    <row r="103" ht="22.5" customHeight="1">
      <c r="A103" s="3">
        <v>102.0</v>
      </c>
      <c r="B103" s="4" t="s">
        <v>6992</v>
      </c>
      <c r="C103" s="4" t="s">
        <v>6993</v>
      </c>
      <c r="D103" s="4" t="s">
        <v>6994</v>
      </c>
      <c r="F103" s="5" t="str">
        <f>IFERROR(__xludf.DUMMYFUNCTION("GOOGLETRANSLATE(A103, ""en"", ""hi"")"),"102")</f>
        <v>102</v>
      </c>
      <c r="G103" s="5" t="str">
        <f>IFERROR(__xludf.DUMMYFUNCTION("GOOGLETRANSLATE(B103, ""en"", ""hi"")"),"20वीं सदी की शुरुआत में संगमरमर बनाने वाली कौन सी मशीन संगमरमर के बड़े पैमाने पर उत्पादन में सहायक थी?")</f>
        <v>20वीं सदी की शुरुआत में संगमरमर बनाने वाली कौन सी मशीन संगमरमर के बड़े पैमाने पर उत्पादन में सहायक थी?</v>
      </c>
      <c r="H103" s="5" t="str">
        <f>IFERROR(__xludf.DUMMYFUNCTION("GOOGLETRANSLATE(C103, ""en"", ""hi"")"),"A) मार्बल प्रेस, B) ग्लास शेपर, C) मार्बल बनाने की मशीन, D) ग्लास ब्लोअर")</f>
        <v>A) मार्बल प्रेस, B) ग्लास शेपर, C) मार्बल बनाने की मशीन, D) ग्लास ब्लोअर</v>
      </c>
      <c r="I103" s="5" t="str">
        <f>IFERROR(__xludf.DUMMYFUNCTION("GOOGLETRANSLATE(D103, ""en"", ""hi"")"),"C) संगमरमर बनाने की मशीन")</f>
        <v>C) संगमरमर बनाने की मशीन</v>
      </c>
    </row>
    <row r="104" ht="22.5" customHeight="1">
      <c r="A104" s="3">
        <v>103.0</v>
      </c>
      <c r="B104" s="4" t="s">
        <v>6995</v>
      </c>
      <c r="C104" s="4" t="s">
        <v>6928</v>
      </c>
      <c r="D104" s="4" t="s">
        <v>6929</v>
      </c>
      <c r="F104" s="5" t="str">
        <f>IFERROR(__xludf.DUMMYFUNCTION("GOOGLETRANSLATE(A104, ""en"", ""hi"")"),"103")</f>
        <v>103</v>
      </c>
      <c r="G104" s="5" t="str">
        <f>IFERROR(__xludf.DUMMYFUNCTION("GOOGLETRANSLATE(B104, ""en"", ""hi"")"),"कौन सा संगमरमर डिज़ाइन इंद्रधनुषी रंगों के मिश्रण की विशेषता रखता है और अपनी चमकदार, परावर्तक सतह के लिए जाना जाता है?")</f>
        <v>कौन सा संगमरमर डिज़ाइन इंद्रधनुषी रंगों के मिश्रण की विशेषता रखता है और अपनी चमकदार, परावर्तक सतह के लिए जाना जाता है?</v>
      </c>
      <c r="H104" s="5" t="str">
        <f>IFERROR(__xludf.DUMMYFUNCTION("GOOGLETRANSLATE(C104, ""en"", ""hi"")"),"A) स्वर्ल, B) एगेट, C) कैट्स आई, D) स्लैग")</f>
        <v>A) स्वर्ल, B) एगेट, C) कैट्स आई, D) स्लैग</v>
      </c>
      <c r="I104" s="5" t="str">
        <f>IFERROR(__xludf.DUMMYFUNCTION("GOOGLETRANSLATE(D104, ""en"", ""hi"")"),"ए) भंवर")</f>
        <v>ए) भंवर</v>
      </c>
    </row>
    <row r="105" ht="22.5" customHeight="1">
      <c r="A105" s="3">
        <v>104.0</v>
      </c>
      <c r="B105" s="4" t="s">
        <v>6996</v>
      </c>
      <c r="C105" s="4" t="s">
        <v>6926</v>
      </c>
      <c r="D105" s="4" t="s">
        <v>6997</v>
      </c>
      <c r="F105" s="5" t="str">
        <f>IFERROR(__xludf.DUMMYFUNCTION("GOOGLETRANSLATE(A105, ""en"", ""hi"")"),"104")</f>
        <v>104</v>
      </c>
      <c r="G105" s="5" t="str">
        <f>IFERROR(__xludf.DUMMYFUNCTION("GOOGLETRANSLATE(B105, ""en"", ""hi"")"),"यूरोपीय देशों में लोकप्रिय कौन सा पारंपरिक कंचे का खेल है, जिसमें खिलाड़ी कंचों को छेद या कप में फेंकते हैं?")</f>
        <v>यूरोपीय देशों में लोकप्रिय कौन सा पारंपरिक कंचे का खेल है, जिसमें खिलाड़ी कंचों को छेद या कप में फेंकते हैं?</v>
      </c>
      <c r="H105" s="5" t="str">
        <f>IFERROR(__xludf.DUMMYFUNCTION("GOOGLETRANSLATE(C105, ""en"", ""hi"")"),"A) टिड्लीविंक्स, B) रिंग टॉ, C) मार्बल्स पिट, D) पक")</f>
        <v>A) टिड्लीविंक्स, B) रिंग टॉ, C) मार्बल्स पिट, D) पक</v>
      </c>
      <c r="I105" s="5" t="str">
        <f>IFERROR(__xludf.DUMMYFUNCTION("GOOGLETRANSLATE(D105, ""en"", ""hi"")"),"C) मार्बल्स पिट")</f>
        <v>C) मार्बल्स पिट</v>
      </c>
    </row>
    <row r="106" ht="22.5" customHeight="1">
      <c r="A106" s="3">
        <v>105.0</v>
      </c>
      <c r="B106" s="4" t="s">
        <v>6998</v>
      </c>
      <c r="C106" s="4" t="s">
        <v>6955</v>
      </c>
      <c r="D106" s="4" t="s">
        <v>6999</v>
      </c>
      <c r="F106" s="5" t="str">
        <f>IFERROR(__xludf.DUMMYFUNCTION("GOOGLETRANSLATE(A106, ""en"", ""hi"")"),"105")</f>
        <v>105</v>
      </c>
      <c r="G106" s="5" t="str">
        <f>IFERROR(__xludf.DUMMYFUNCTION("GOOGLETRANSLATE(B106, ""en"", ""hi"")"),"1949 में स्थापित कौन सी कंपनी अपने उच्च गुणवत्ता वाले, जटिल डिजाइन वाले हस्तनिर्मित संगमरमर के लिए प्रसिद्ध है?")</f>
        <v>1949 में स्थापित कौन सी कंपनी अपने उच्च गुणवत्ता वाले, जटिल डिजाइन वाले हस्तनिर्मित संगमरमर के लिए प्रसिद्ध है?</v>
      </c>
      <c r="H106" s="5" t="str">
        <f>IFERROR(__xludf.DUMMYFUNCTION("GOOGLETRANSLATE(C106, ""en"", ""hi"")"),"A) मार्बल किंग, B) एक्रो एगेट कंपनी, C) क्रिस्टेंसन एगेट कंपनी, D) जाबो ग्लास कंपनी")</f>
        <v>A) मार्बल किंग, B) एक्रो एगेट कंपनी, C) क्रिस्टेंसन एगेट कंपनी, D) जाबो ग्लास कंपनी</v>
      </c>
      <c r="I106" s="5" t="str">
        <f>IFERROR(__xludf.DUMMYFUNCTION("GOOGLETRANSLATE(D106, ""en"", ""hi"")"),"ए) मार्बल किंग")</f>
        <v>ए) मार्बल किंग</v>
      </c>
    </row>
    <row r="107" ht="22.5" customHeight="1">
      <c r="A107" s="3">
        <v>106.0</v>
      </c>
      <c r="B107" s="4" t="s">
        <v>7000</v>
      </c>
      <c r="C107" s="4" t="s">
        <v>6928</v>
      </c>
      <c r="D107" s="4" t="s">
        <v>6929</v>
      </c>
      <c r="F107" s="5" t="str">
        <f>IFERROR(__xludf.DUMMYFUNCTION("GOOGLETRANSLATE(A107, ""en"", ""hi"")"),"106")</f>
        <v>106</v>
      </c>
      <c r="G107" s="5" t="str">
        <f>IFERROR(__xludf.DUMMYFUNCTION("GOOGLETRANSLATE(B107, ""en"", ""hi"")"),"20वीं शताब्दी में पहली बार शुरू किया गया कौन सा संगमरमर का डिज़ाइन अपने जीवंत, घूमते रंगों के लिए जाना जाता है?")</f>
        <v>20वीं शताब्दी में पहली बार शुरू किया गया कौन सा संगमरमर का डिज़ाइन अपने जीवंत, घूमते रंगों के लिए जाना जाता है?</v>
      </c>
      <c r="H107" s="5" t="str">
        <f>IFERROR(__xludf.DUMMYFUNCTION("GOOGLETRANSLATE(C107, ""en"", ""hi"")"),"A) स्वर्ल, B) एगेट, C) कैट्स आई, D) स्लैग")</f>
        <v>A) स्वर्ल, B) एगेट, C) कैट्स आई, D) स्लैग</v>
      </c>
      <c r="I107" s="5" t="str">
        <f>IFERROR(__xludf.DUMMYFUNCTION("GOOGLETRANSLATE(D107, ""en"", ""hi"")"),"ए) भंवर")</f>
        <v>ए) भंवर</v>
      </c>
    </row>
    <row r="108" ht="22.5" customHeight="1">
      <c r="A108" s="3">
        <v>107.0</v>
      </c>
      <c r="B108" s="4" t="s">
        <v>7001</v>
      </c>
      <c r="C108" s="4" t="s">
        <v>7002</v>
      </c>
      <c r="D108" s="4" t="s">
        <v>7003</v>
      </c>
      <c r="F108" s="5" t="str">
        <f>IFERROR(__xludf.DUMMYFUNCTION("GOOGLETRANSLATE(A108, ""en"", ""hi"")"),"107")</f>
        <v>107</v>
      </c>
      <c r="G108" s="5" t="str">
        <f>IFERROR(__xludf.DUMMYFUNCTION("GOOGLETRANSLATE(B108, ""en"", ""hi"")"),"20वीं शताब्दी के प्रारम्भ में संगमरमर के उत्पादन में महत्वपूर्ण प्रगति का श्रेय किस ऐतिहासिक व्यक्ति को दिया जाता है?")</f>
        <v>20वीं शताब्दी के प्रारम्भ में संगमरमर के उत्पादन में महत्वपूर्ण प्रगति का श्रेय किस ऐतिहासिक व्यक्ति को दिया जाता है?</v>
      </c>
      <c r="H108" s="5" t="str">
        <f>IFERROR(__xludf.DUMMYFUNCTION("GOOGLETRANSLATE(C108, ""en"", ""hi"")"),"A) चार्ल्स एम. मिलर, B) थॉमस एडिसन, C) जेम्स स्मिथसन, D) अल्बर्ट आइंस्टीन")</f>
        <v>A) चार्ल्स एम. मिलर, B) थॉमस एडिसन, C) जेम्स स्मिथसन, D) अल्बर्ट आइंस्टीन</v>
      </c>
      <c r="I108" s="5" t="str">
        <f>IFERROR(__xludf.DUMMYFUNCTION("GOOGLETRANSLATE(D108, ""en"", ""hi"")"),"A) चार्ल्स एम. मिलर")</f>
        <v>A) चार्ल्स एम. मिलर</v>
      </c>
    </row>
    <row r="109" ht="22.5" customHeight="1">
      <c r="A109" s="3">
        <v>108.0</v>
      </c>
      <c r="B109" s="4" t="s">
        <v>7004</v>
      </c>
      <c r="C109" s="4" t="s">
        <v>6926</v>
      </c>
      <c r="D109" s="4" t="s">
        <v>6903</v>
      </c>
      <c r="F109" s="5" t="str">
        <f>IFERROR(__xludf.DUMMYFUNCTION("GOOGLETRANSLATE(A109, ""en"", ""hi"")"),"108")</f>
        <v>108</v>
      </c>
      <c r="G109" s="5" t="str">
        <f>IFERROR(__xludf.DUMMYFUNCTION("GOOGLETRANSLATE(B109, ""en"", ""hi"")"),"कौन से मार्बल खेल में खिलाड़ी बोर्ड पर छोटे कपों या छेदों में मार्बल फेंकने का प्रयास करते हैं?")</f>
        <v>कौन से मार्बल खेल में खिलाड़ी बोर्ड पर छोटे कपों या छेदों में मार्बल फेंकने का प्रयास करते हैं?</v>
      </c>
      <c r="H109" s="5" t="str">
        <f>IFERROR(__xludf.DUMMYFUNCTION("GOOGLETRANSLATE(C109, ""en"", ""hi"")"),"A) टिड्लीविंक्स, B) रिंग टॉ, C) मार्बल्स पिट, D) पक")</f>
        <v>A) टिड्लीविंक्स, B) रिंग टॉ, C) मार्बल्स पिट, D) पक</v>
      </c>
      <c r="I109" s="5" t="str">
        <f>IFERROR(__xludf.DUMMYFUNCTION("GOOGLETRANSLATE(D109, ""en"", ""hi"")"),"ए) टिड्लीविंक्स")</f>
        <v>ए) टिड्लीविंक्स</v>
      </c>
    </row>
    <row r="110" ht="22.5" customHeight="1">
      <c r="A110" s="3">
        <v>109.0</v>
      </c>
      <c r="B110" s="4" t="s">
        <v>7005</v>
      </c>
      <c r="C110" s="4" t="s">
        <v>6931</v>
      </c>
      <c r="D110" s="4" t="s">
        <v>6867</v>
      </c>
      <c r="F110" s="5" t="str">
        <f>IFERROR(__xludf.DUMMYFUNCTION("GOOGLETRANSLATE(A110, ""en"", ""hi"")"),"109")</f>
        <v>109</v>
      </c>
      <c r="G110" s="5" t="str">
        <f>IFERROR(__xludf.DUMMYFUNCTION("GOOGLETRANSLATE(B110, ""en"", ""hi"")"),"अपनी चिकनी बनावट और जीवंत रंगों के लिए जाने जाने वाले किस प्रकार के संगमरमर 19वीं शताब्दी के अंत में लोकप्रिय हो गए?")</f>
        <v>अपनी चिकनी बनावट और जीवंत रंगों के लिए जाने जाने वाले किस प्रकार के संगमरमर 19वीं शताब्दी के अंत में लोकप्रिय हो गए?</v>
      </c>
      <c r="H110" s="5" t="str">
        <f>IFERROR(__xludf.DUMMYFUNCTION("GOOGLETRANSLATE(C110, ""en"", ""hi"")"),"A) कांच के मार्बल, B) मिट्टी के मार्बल, C) धातु के मार्बल, D) प्लास्टिक के मार्बल")</f>
        <v>A) कांच के मार्बल, B) मिट्टी के मार्बल, C) धातु के मार्बल, D) प्लास्टिक के मार्बल</v>
      </c>
      <c r="I110" s="5" t="str">
        <f>IFERROR(__xludf.DUMMYFUNCTION("GOOGLETRANSLATE(D110, ""en"", ""hi"")"),"A) कांच के पत्थर")</f>
        <v>A) कांच के पत्थर</v>
      </c>
    </row>
    <row r="111" ht="22.5" customHeight="1">
      <c r="A111" s="3">
        <v>110.0</v>
      </c>
      <c r="B111" s="4" t="s">
        <v>7006</v>
      </c>
      <c r="C111" s="4" t="s">
        <v>6892</v>
      </c>
      <c r="D111" s="4" t="s">
        <v>6893</v>
      </c>
      <c r="F111" s="5" t="str">
        <f>IFERROR(__xludf.DUMMYFUNCTION("GOOGLETRANSLATE(A111, ""en"", ""hi"")"),"110")</f>
        <v>110</v>
      </c>
      <c r="G111" s="5" t="str">
        <f>IFERROR(__xludf.DUMMYFUNCTION("GOOGLETRANSLATE(B111, ""en"", ""hi"")"),"पारदर्शी परत से घिरे ठोस कोर की विशेषता वाला कौन सा संगमरमर डिजाइन पहली बार 1950 के दशक में लोकप्रिय हुआ था?")</f>
        <v>पारदर्शी परत से घिरे ठोस कोर की विशेषता वाला कौन सा संगमरमर डिजाइन पहली बार 1950 के दशक में लोकप्रिय हुआ था?</v>
      </c>
      <c r="H111" s="5" t="str">
        <f>IFERROR(__xludf.DUMMYFUNCTION("GOOGLETRANSLATE(C111, ""en"", ""hi"")"),"A) बिल्ली की आँख, B) अगेट, C) स्वर्ल, D) स्लैग")</f>
        <v>A) बिल्ली की आँख, B) अगेट, C) स्वर्ल, D) स्लैग</v>
      </c>
      <c r="I111" s="5" t="str">
        <f>IFERROR(__xludf.DUMMYFUNCTION("GOOGLETRANSLATE(D111, ""en"", ""hi"")"),"ए) बिल्ली की आँख")</f>
        <v>ए) बिल्ली की आँख</v>
      </c>
    </row>
    <row r="112" ht="22.5" customHeight="1">
      <c r="A112" s="3">
        <v>111.0</v>
      </c>
      <c r="B112" s="4" t="s">
        <v>7007</v>
      </c>
      <c r="C112" s="4" t="s">
        <v>7008</v>
      </c>
      <c r="D112" s="4" t="s">
        <v>7009</v>
      </c>
      <c r="F112" s="5" t="str">
        <f>IFERROR(__xludf.DUMMYFUNCTION("GOOGLETRANSLATE(A112, ""en"", ""hi"")"),"111")</f>
        <v>111</v>
      </c>
      <c r="G112" s="5" t="str">
        <f>IFERROR(__xludf.DUMMYFUNCTION("GOOGLETRANSLATE(B112, ""en"", ""hi"")"),"1912 में स्थापित किस कंपनी को संगमरमर बनाने की तकनीक के विकास में योगदान के लिए मान्यता प्राप्त है?")</f>
        <v>1912 में स्थापित किस कंपनी को संगमरमर बनाने की तकनीक के विकास में योगदान के लिए मान्यता प्राप्त है?</v>
      </c>
      <c r="H112" s="5" t="str">
        <f>IFERROR(__xludf.DUMMYFUNCTION("GOOGLETRANSLATE(C112, ""en"", ""hi"")"),"A) क्रिस्टेंसन एगेट कंपनी, B) मार्बल किंग, C) जाबो ग्लास कंपनी, D) एक्रो एगेट कंपनी")</f>
        <v>A) क्रिस्टेंसन एगेट कंपनी, B) मार्बल किंग, C) जाबो ग्लास कंपनी, D) एक्रो एगेट कंपनी</v>
      </c>
      <c r="I112" s="5" t="str">
        <f>IFERROR(__xludf.DUMMYFUNCTION("GOOGLETRANSLATE(D112, ""en"", ""hi"")"),"ए) क्रिस्टेंसन एगेट कंपनी")</f>
        <v>ए) क्रिस्टेंसन एगेट कंपनी</v>
      </c>
    </row>
    <row r="113" ht="22.5" customHeight="1">
      <c r="A113" s="3">
        <v>112.0</v>
      </c>
      <c r="B113" s="4" t="s">
        <v>7010</v>
      </c>
      <c r="C113" s="4" t="s">
        <v>6889</v>
      </c>
      <c r="D113" s="4" t="s">
        <v>6766</v>
      </c>
      <c r="F113" s="5" t="str">
        <f>IFERROR(__xludf.DUMMYFUNCTION("GOOGLETRANSLATE(A113, ""en"", ""hi"")"),"112")</f>
        <v>112</v>
      </c>
      <c r="G113" s="5" t="str">
        <f>IFERROR(__xludf.DUMMYFUNCTION("GOOGLETRANSLATE(B113, ""en"", ""hi"")"),"कौन से मार्बल खेल में खिलाड़ी जमीन पर बनाए गए लक्ष्य छेदों की श्रृंखला में मार्बल्स को ठोकने का प्रयास करते हैं?")</f>
        <v>कौन से मार्बल खेल में खिलाड़ी जमीन पर बनाए गए लक्ष्य छेदों की श्रृंखला में मार्बल्स को ठोकने का प्रयास करते हैं?</v>
      </c>
      <c r="H113" s="5" t="str">
        <f>IFERROR(__xludf.DUMMYFUNCTION("GOOGLETRANSLATE(C113, ""en"", ""hi"")"),"A) रिंग टो, B) मार्बल्स पिट, C) होल-इन-वन, D) नॉक-आउट")</f>
        <v>A) रिंग टो, B) मार्बल्स पिट, C) होल-इन-वन, D) नॉक-आउट</v>
      </c>
      <c r="I113" s="5" t="str">
        <f>IFERROR(__xludf.DUMMYFUNCTION("GOOGLETRANSLATE(D113, ""en"", ""hi"")"),"ए) रिंग टॉ")</f>
        <v>ए) रिंग टॉ</v>
      </c>
    </row>
    <row r="114" ht="22.5" customHeight="1">
      <c r="A114" s="3">
        <v>113.0</v>
      </c>
      <c r="B114" s="4" t="s">
        <v>7011</v>
      </c>
      <c r="C114" s="4" t="s">
        <v>6953</v>
      </c>
      <c r="D114" s="4" t="s">
        <v>6929</v>
      </c>
      <c r="F114" s="5" t="str">
        <f>IFERROR(__xludf.DUMMYFUNCTION("GOOGLETRANSLATE(A114, ""en"", ""hi"")"),"113")</f>
        <v>113</v>
      </c>
      <c r="G114" s="5" t="str">
        <f>IFERROR(__xludf.DUMMYFUNCTION("GOOGLETRANSLATE(B114, ""en"", ""hi"")"),"19वीं शताब्दी में कौन सा संगमरमर डिज़ाइन प्रस्तुत किया गया था जिसमें चमकीले, घूमते हुए रंग थे?")</f>
        <v>19वीं शताब्दी में कौन सा संगमरमर डिज़ाइन प्रस्तुत किया गया था जिसमें चमकीले, घूमते हुए रंग थे?</v>
      </c>
      <c r="H114" s="5" t="str">
        <f>IFERROR(__xludf.DUMMYFUNCTION("GOOGLETRANSLATE(C114, ""en"", ""hi"")"),"A) स्वर्ल, B) कैट्स आई, C) एगेट, D) स्लैग")</f>
        <v>A) स्वर्ल, B) कैट्स आई, C) एगेट, D) स्लैग</v>
      </c>
      <c r="I114" s="5" t="str">
        <f>IFERROR(__xludf.DUMMYFUNCTION("GOOGLETRANSLATE(D114, ""en"", ""hi"")"),"ए) भंवर")</f>
        <v>ए) भंवर</v>
      </c>
    </row>
    <row r="115" ht="22.5" customHeight="1">
      <c r="A115" s="3">
        <v>114.0</v>
      </c>
      <c r="B115" s="4" t="s">
        <v>7012</v>
      </c>
      <c r="C115" s="4" t="s">
        <v>6862</v>
      </c>
      <c r="D115" s="4" t="s">
        <v>6910</v>
      </c>
      <c r="F115" s="5" t="str">
        <f>IFERROR(__xludf.DUMMYFUNCTION("GOOGLETRANSLATE(A115, ""en"", ""hi"")"),"114")</f>
        <v>114</v>
      </c>
      <c r="G115" s="5" t="str">
        <f>IFERROR(__xludf.DUMMYFUNCTION("GOOGLETRANSLATE(B115, ""en"", ""hi"")"),"कौन सी कंपनी उच्च गुणवत्ता वाले रंगीन मार्बल्स के उत्पादन के लिए जानी जाती है और इसकी स्थापना 20वीं सदी के प्रारंभ में हुई थी?")</f>
        <v>कौन सी कंपनी उच्च गुणवत्ता वाले रंगीन मार्बल्स के उत्पादन के लिए जानी जाती है और इसकी स्थापना 20वीं सदी के प्रारंभ में हुई थी?</v>
      </c>
      <c r="H115" s="5" t="str">
        <f>IFERROR(__xludf.DUMMYFUNCTION("GOOGLETRANSLATE(C115, ""en"", ""hi"")"),"A) जाबो ग्लास कंपनी, B) मार्बल किंग, C) क्रिस्टेंसन एगेट कंपनी, D) एक्रो एगेट कंपनी")</f>
        <v>A) जाबो ग्लास कंपनी, B) मार्बल किंग, C) क्रिस्टेंसन एगेट कंपनी, D) एक्रो एगेट कंपनी</v>
      </c>
      <c r="I115" s="5" t="str">
        <f>IFERROR(__xludf.DUMMYFUNCTION("GOOGLETRANSLATE(D115, ""en"", ""hi"")"),"बी) मार्बल किंग")</f>
        <v>बी) मार्बल किंग</v>
      </c>
    </row>
    <row r="116" ht="22.5" customHeight="1">
      <c r="A116" s="3">
        <v>115.0</v>
      </c>
      <c r="B116" s="4" t="s">
        <v>7013</v>
      </c>
      <c r="C116" s="4" t="s">
        <v>6899</v>
      </c>
      <c r="D116" s="4" t="s">
        <v>6900</v>
      </c>
      <c r="F116" s="5" t="str">
        <f>IFERROR(__xludf.DUMMYFUNCTION("GOOGLETRANSLATE(A116, ""en"", ""hi"")"),"115")</f>
        <v>115</v>
      </c>
      <c r="G116" s="5" t="str">
        <f>IFERROR(__xludf.DUMMYFUNCTION("GOOGLETRANSLATE(B116, ""en"", ""hi"")"),"किस ऐतिहासिक काल में हस्त-निर्मित संगमरमर उत्पादन में गिरावट और मशीन-निर्मित संगमरमर का उदय हुआ?")</f>
        <v>किस ऐतिहासिक काल में हस्त-निर्मित संगमरमर उत्पादन में गिरावट और मशीन-निर्मित संगमरमर का उदय हुआ?</v>
      </c>
      <c r="H116" s="5" t="str">
        <f>IFERROR(__xludf.DUMMYFUNCTION("GOOGLETRANSLATE(C116, ""en"", ""hi"")"),"A) 18वीं शताब्दी, B) 19वीं शताब्दी, C) 20वीं शताब्दी का प्रारंभ, D) 20वीं शताब्दी का उत्तरार्ध")</f>
        <v>A) 18वीं शताब्दी, B) 19वीं शताब्दी, C) 20वीं शताब्दी का प्रारंभ, D) 20वीं शताब्दी का उत्तरार्ध</v>
      </c>
      <c r="I116" s="5" t="str">
        <f>IFERROR(__xludf.DUMMYFUNCTION("GOOGLETRANSLATE(D116, ""en"", ""hi"")"),"सी) 20वीं सदी की शुरुआत")</f>
        <v>सी) 20वीं सदी की शुरुआत</v>
      </c>
    </row>
    <row r="117" ht="22.5" customHeight="1">
      <c r="A117" s="3">
        <v>116.0</v>
      </c>
      <c r="B117" s="4" t="s">
        <v>7014</v>
      </c>
      <c r="C117" s="4" t="s">
        <v>6944</v>
      </c>
      <c r="D117" s="4" t="s">
        <v>6945</v>
      </c>
      <c r="F117" s="5" t="str">
        <f>IFERROR(__xludf.DUMMYFUNCTION("GOOGLETRANSLATE(A117, ""en"", ""hi"")"),"116")</f>
        <v>116</v>
      </c>
      <c r="G117" s="5" t="str">
        <f>IFERROR(__xludf.DUMMYFUNCTION("GOOGLETRANSLATE(B117, ""en"", ""hi"")"),"1950 के दशक में लोकप्रिय संगमरमर का कौन सा डिज़ाइन अपनी अपारदर्शी और धब्बेदार उपस्थिति के लिए जाना जाता है?")</f>
        <v>1950 के दशक में लोकप्रिय संगमरमर का कौन सा डिज़ाइन अपनी अपारदर्शी और धब्बेदार उपस्थिति के लिए जाना जाता है?</v>
      </c>
      <c r="H117" s="5" t="str">
        <f>IFERROR(__xludf.DUMMYFUNCTION("GOOGLETRANSLATE(C117, ""en"", ""hi"")"),"A) स्लैग, B) एगेट, C) स्वर्ल, D) कैट्स आई")</f>
        <v>A) स्लैग, B) एगेट, C) स्वर्ल, D) कैट्स आई</v>
      </c>
      <c r="I117" s="5" t="str">
        <f>IFERROR(__xludf.DUMMYFUNCTION("GOOGLETRANSLATE(D117, ""en"", ""hi"")"),"ए) स्लैग")</f>
        <v>ए) स्लैग</v>
      </c>
    </row>
    <row r="118" ht="22.5" customHeight="1">
      <c r="A118" s="3">
        <v>117.0</v>
      </c>
      <c r="B118" s="4" t="s">
        <v>7015</v>
      </c>
      <c r="C118" s="4" t="s">
        <v>6866</v>
      </c>
      <c r="D118" s="4" t="s">
        <v>6867</v>
      </c>
      <c r="F118" s="5" t="str">
        <f>IFERROR(__xludf.DUMMYFUNCTION("GOOGLETRANSLATE(A118, ""en"", ""hi"")"),"117")</f>
        <v>117</v>
      </c>
      <c r="G118" s="5" t="str">
        <f>IFERROR(__xludf.DUMMYFUNCTION("GOOGLETRANSLATE(B118, ""en"", ""hi"")"),"किस प्रकार के मार्बल का उत्पादन सर्वप्रथम स्वचालित मशीनों का उपयोग करके किया गया तथा 20वीं शताब्दी के प्रारम्भ में यह व्यापक रूप से उपलब्ध हो गया?")</f>
        <v>किस प्रकार के मार्बल का उत्पादन सर्वप्रथम स्वचालित मशीनों का उपयोग करके किया गया तथा 20वीं शताब्दी के प्रारम्भ में यह व्यापक रूप से उपलब्ध हो गया?</v>
      </c>
      <c r="H118" s="5" t="str">
        <f>IFERROR(__xludf.DUMMYFUNCTION("GOOGLETRANSLATE(C118, ""en"", ""hi"")"),"A) कांच के मार्बल, B) मिट्टी के मार्बल, C) स्टील के मार्बल, D) प्लास्टिक के मार्बल")</f>
        <v>A) कांच के मार्बल, B) मिट्टी के मार्बल, C) स्टील के मार्बल, D) प्लास्टिक के मार्बल</v>
      </c>
      <c r="I118" s="5" t="str">
        <f>IFERROR(__xludf.DUMMYFUNCTION("GOOGLETRANSLATE(D118, ""en"", ""hi"")"),"A) कांच के पत्थर")</f>
        <v>A) कांच के पत्थर</v>
      </c>
    </row>
    <row r="119" ht="22.5" customHeight="1">
      <c r="A119" s="3">
        <v>118.0</v>
      </c>
      <c r="B119" s="4" t="s">
        <v>7016</v>
      </c>
      <c r="C119" s="4" t="s">
        <v>6854</v>
      </c>
      <c r="D119" s="4" t="s">
        <v>7017</v>
      </c>
      <c r="F119" s="5" t="str">
        <f>IFERROR(__xludf.DUMMYFUNCTION("GOOGLETRANSLATE(A119, ""en"", ""hi"")"),"118")</f>
        <v>118</v>
      </c>
      <c r="G119" s="5" t="str">
        <f>IFERROR(__xludf.DUMMYFUNCTION("GOOGLETRANSLATE(B119, ""en"", ""hi"")"),"कौन से मार्बल गेम में एक विशिष्ट रणनीति और कौशल के साथ मार्बल को छेद या कप में फेंकना शामिल है?")</f>
        <v>कौन से मार्बल गेम में एक विशिष्ट रणनीति और कौशल के साथ मार्बल को छेद या कप में फेंकना शामिल है?</v>
      </c>
      <c r="H119" s="5" t="str">
        <f>IFERROR(__xludf.DUMMYFUNCTION("GOOGLETRANSLATE(C119, ""en"", ""hi"")"),"A) रिंग टॉ, B) मार्बल्स पिट, C) टिड्लीविंक्स, D) पक")</f>
        <v>A) रिंग टॉ, B) मार्बल्स पिट, C) टिड्लीविंक्स, D) पक</v>
      </c>
      <c r="I119" s="5" t="str">
        <f>IFERROR(__xludf.DUMMYFUNCTION("GOOGLETRANSLATE(D119, ""en"", ""hi"")"),"बी) मार्बल्स पिट")</f>
        <v>बी) मार्बल्स पिट</v>
      </c>
    </row>
    <row r="120" ht="22.5" customHeight="1">
      <c r="A120" s="3">
        <v>119.0</v>
      </c>
      <c r="B120" s="4" t="s">
        <v>7018</v>
      </c>
      <c r="C120" s="4" t="s">
        <v>7019</v>
      </c>
      <c r="D120" s="4" t="s">
        <v>6945</v>
      </c>
      <c r="F120" s="5" t="str">
        <f>IFERROR(__xludf.DUMMYFUNCTION("GOOGLETRANSLATE(A120, ""en"", ""hi"")"),"119")</f>
        <v>119</v>
      </c>
      <c r="G120" s="5" t="str">
        <f>IFERROR(__xludf.DUMMYFUNCTION("GOOGLETRANSLATE(B120, ""en"", ""hi"")"),"कौन सा प्रसिद्ध संगमरमर डिजाइन, जो अपने चमकीले और रंगीन रूप के लिए जाना जाता है, पहली बार 1950 के दशक में पेश किया गया था?")</f>
        <v>कौन सा प्रसिद्ध संगमरमर डिजाइन, जो अपने चमकीले और रंगीन रूप के लिए जाना जाता है, पहली बार 1950 के दशक में पेश किया गया था?</v>
      </c>
      <c r="H120" s="5" t="str">
        <f>IFERROR(__xludf.DUMMYFUNCTION("GOOGLETRANSLATE(C120, ""en"", ""hi"")"),"A) स्लैग, B) कैट्स आई, C) एगेट, D) स्वर्ल")</f>
        <v>A) स्लैग, B) कैट्स आई, C) एगेट, D) स्वर्ल</v>
      </c>
      <c r="I120" s="5" t="str">
        <f>IFERROR(__xludf.DUMMYFUNCTION("GOOGLETRANSLATE(D120, ""en"", ""hi"")"),"ए) स्लैग")</f>
        <v>ए) स्लैग</v>
      </c>
    </row>
    <row r="121" ht="22.5" customHeight="1">
      <c r="A121" s="3">
        <v>120.0</v>
      </c>
      <c r="B121" s="4" t="s">
        <v>7020</v>
      </c>
      <c r="C121" s="4" t="s">
        <v>7021</v>
      </c>
      <c r="D121" s="4" t="s">
        <v>6879</v>
      </c>
      <c r="F121" s="5" t="str">
        <f>IFERROR(__xludf.DUMMYFUNCTION("GOOGLETRANSLATE(A121, ""en"", ""hi"")"),"120")</f>
        <v>120</v>
      </c>
      <c r="G121" s="5" t="str">
        <f>IFERROR(__xludf.DUMMYFUNCTION("GOOGLETRANSLATE(B121, ""en"", ""hi"")"),"प्राचीन ग्रीस में खोजी गई किस ऐतिहासिक कलाकृति को संगमरमर के खेल का प्रारंभिक रूप माना जाता है?")</f>
        <v>प्राचीन ग्रीस में खोजी गई किस ऐतिहासिक कलाकृति को संगमरमर के खेल का प्रारंभिक रूप माना जाता है?</v>
      </c>
      <c r="H121" s="5" t="str">
        <f>IFERROR(__xludf.DUMMYFUNCTION("GOOGLETRANSLATE(C121, ""en"", ""hi"")"),"A) एक नक्काशीदार पत्थर, B) एक मिट्टी की पट्टिका, C) एक प्राचीन बोर्ड गेम, D) एक मिट्टी के बर्तन का टुकड़ा")</f>
        <v>A) एक नक्काशीदार पत्थर, B) एक मिट्टी की पट्टिका, C) एक प्राचीन बोर्ड गेम, D) एक मिट्टी के बर्तन का टुकड़ा</v>
      </c>
      <c r="I121" s="5" t="str">
        <f>IFERROR(__xludf.DUMMYFUNCTION("GOOGLETRANSLATE(D121, ""en"", ""hi"")"),"C) एक प्राचीन बोर्ड गेम")</f>
        <v>C) एक प्राचीन बोर्ड गेम</v>
      </c>
    </row>
    <row r="122" ht="22.5" customHeight="1">
      <c r="A122" s="3">
        <v>121.0</v>
      </c>
      <c r="B122" s="4" t="s">
        <v>7022</v>
      </c>
      <c r="C122" s="4" t="s">
        <v>6928</v>
      </c>
      <c r="D122" s="4" t="s">
        <v>6929</v>
      </c>
      <c r="F122" s="5" t="str">
        <f>IFERROR(__xludf.DUMMYFUNCTION("GOOGLETRANSLATE(A122, ""en"", ""hi"")"),"121")</f>
        <v>121</v>
      </c>
      <c r="G122" s="5" t="str">
        <f>IFERROR(__xludf.DUMMYFUNCTION("GOOGLETRANSLATE(B122, ""en"", ""hi"")"),"20वीं शताब्दी में पहली बार निर्मित कौन सा संगमरमर डिजाइन अपने चमकीले, घुमावदार पैटर्न और जीवंत रंगों के लिए जाना जाता है?")</f>
        <v>20वीं शताब्दी में पहली बार निर्मित कौन सा संगमरमर डिजाइन अपने चमकीले, घुमावदार पैटर्न और जीवंत रंगों के लिए जाना जाता है?</v>
      </c>
      <c r="H122" s="5" t="str">
        <f>IFERROR(__xludf.DUMMYFUNCTION("GOOGLETRANSLATE(C122, ""en"", ""hi"")"),"A) स्वर्ल, B) एगेट, C) कैट्स आई, D) स्लैग")</f>
        <v>A) स्वर्ल, B) एगेट, C) कैट्स आई, D) स्लैग</v>
      </c>
      <c r="I122" s="5" t="str">
        <f>IFERROR(__xludf.DUMMYFUNCTION("GOOGLETRANSLATE(D122, ""en"", ""hi"")"),"ए) भंवर")</f>
        <v>ए) भंवर</v>
      </c>
    </row>
    <row r="123" ht="22.5" customHeight="1">
      <c r="A123" s="3">
        <v>122.0</v>
      </c>
      <c r="B123" s="4" t="s">
        <v>7023</v>
      </c>
      <c r="C123" s="4" t="s">
        <v>6942</v>
      </c>
      <c r="D123" s="4" t="s">
        <v>6896</v>
      </c>
      <c r="F123" s="5" t="str">
        <f>IFERROR(__xludf.DUMMYFUNCTION("GOOGLETRANSLATE(A123, ""en"", ""hi"")"),"122")</f>
        <v>122</v>
      </c>
      <c r="G123" s="5" t="str">
        <f>IFERROR(__xludf.DUMMYFUNCTION("GOOGLETRANSLATE(B123, ""en"", ""hi"")"),"1920 में स्थापित कौन सी संगमरमर कंपनी अपने उच्च गुणवत्ता वाले, जटिल पैटर्न वाले मशीन-निर्मित संगमरमर के लिए जानी जाती है?")</f>
        <v>1920 में स्थापित कौन सी संगमरमर कंपनी अपने उच्च गुणवत्ता वाले, जटिल पैटर्न वाले मशीन-निर्मित संगमरमर के लिए जानी जाती है?</v>
      </c>
      <c r="H123" s="5" t="str">
        <f>IFERROR(__xludf.DUMMYFUNCTION("GOOGLETRANSLATE(C123, ""en"", ""hi"")"),"A) एक्रो एगेट कंपनी, B) जाबो ग्लास कंपनी, C) मार्बल किंग, D) क्रिस्टेंसन एगेट कंपनी")</f>
        <v>A) एक्रो एगेट कंपनी, B) जाबो ग्लास कंपनी, C) मार्बल किंग, D) क्रिस्टेंसन एगेट कंपनी</v>
      </c>
      <c r="I123" s="5" t="str">
        <f>IFERROR(__xludf.DUMMYFUNCTION("GOOGLETRANSLATE(D123, ""en"", ""hi"")"),"ए) एक्रो एगेट कंपनी")</f>
        <v>ए) एक्रो एगेट कंपनी</v>
      </c>
    </row>
    <row r="124" ht="22.5" customHeight="1">
      <c r="A124" s="3">
        <v>123.0</v>
      </c>
      <c r="B124" s="4" t="s">
        <v>7024</v>
      </c>
      <c r="C124" s="4" t="s">
        <v>7025</v>
      </c>
      <c r="D124" s="4" t="s">
        <v>7026</v>
      </c>
      <c r="F124" s="5" t="str">
        <f>IFERROR(__xludf.DUMMYFUNCTION("GOOGLETRANSLATE(A124, ""en"", ""hi"")"),"123")</f>
        <v>123</v>
      </c>
      <c r="G124" s="5" t="str">
        <f>IFERROR(__xludf.DUMMYFUNCTION("GOOGLETRANSLATE(B124, ""en"", ""hi"")"),"20वीं शताब्दी के मध्य में किस प्रकार का संगमरमर डिजाइन अपनी अनूठी, धब्बेदार उपस्थिति के कारण लोकप्रिय हुआ?")</f>
        <v>20वीं शताब्दी के मध्य में किस प्रकार का संगमरमर डिजाइन अपनी अनूठी, धब्बेदार उपस्थिति के कारण लोकप्रिय हुआ?</v>
      </c>
      <c r="H124" s="5" t="str">
        <f>IFERROR(__xludf.DUMMYFUNCTION("GOOGLETRANSLATE(C124, ""en"", ""hi"")"),"A) बिल्ली की आँख, B) अगेट, C) स्लैग, D) स्वर्ल")</f>
        <v>A) बिल्ली की आँख, B) अगेट, C) स्लैग, D) स्वर्ल</v>
      </c>
      <c r="I124" s="5" t="str">
        <f>IFERROR(__xludf.DUMMYFUNCTION("GOOGLETRANSLATE(D124, ""en"", ""hi"")"),"C) स्लैग")</f>
        <v>C) स्लैग</v>
      </c>
    </row>
    <row r="125" ht="22.5" customHeight="1">
      <c r="A125" s="3">
        <v>124.0</v>
      </c>
      <c r="B125" s="4" t="s">
        <v>7027</v>
      </c>
      <c r="C125" s="4" t="s">
        <v>6926</v>
      </c>
      <c r="D125" s="4" t="s">
        <v>6903</v>
      </c>
      <c r="F125" s="5" t="str">
        <f>IFERROR(__xludf.DUMMYFUNCTION("GOOGLETRANSLATE(A125, ""en"", ""hi"")"),"124")</f>
        <v>124</v>
      </c>
      <c r="G125" s="5" t="str">
        <f>IFERROR(__xludf.DUMMYFUNCTION("GOOGLETRANSLATE(B125, ""en"", ""hi"")"),"कौन से मार्बल गेम में बोर्ड पर छोटे-छोटे छेदों या लक्ष्यों में मार्बल फेंके जाते हैं, तथा अक्सर विशिष्ट नियमों और रणनीतियों का उपयोग किया जाता है?")</f>
        <v>कौन से मार्बल गेम में बोर्ड पर छोटे-छोटे छेदों या लक्ष्यों में मार्बल फेंके जाते हैं, तथा अक्सर विशिष्ट नियमों और रणनीतियों का उपयोग किया जाता है?</v>
      </c>
      <c r="H125" s="5" t="str">
        <f>IFERROR(__xludf.DUMMYFUNCTION("GOOGLETRANSLATE(C125, ""en"", ""hi"")"),"A) टिड्लीविंक्स, B) रिंग टॉ, C) मार्बल्स पिट, D) पक")</f>
        <v>A) टिड्लीविंक्स, B) रिंग टॉ, C) मार्बल्स पिट, D) पक</v>
      </c>
      <c r="I125" s="5" t="str">
        <f>IFERROR(__xludf.DUMMYFUNCTION("GOOGLETRANSLATE(D125, ""en"", ""hi"")"),"ए) टिड्लीविंक्स")</f>
        <v>ए) टिड्लीविंक्स</v>
      </c>
    </row>
    <row r="126" ht="22.5" customHeight="1">
      <c r="A126" s="3">
        <v>125.0</v>
      </c>
      <c r="B126" s="4" t="s">
        <v>7028</v>
      </c>
      <c r="C126" s="4" t="s">
        <v>7029</v>
      </c>
      <c r="D126" s="4" t="s">
        <v>6948</v>
      </c>
      <c r="F126" s="5" t="str">
        <f>IFERROR(__xludf.DUMMYFUNCTION("GOOGLETRANSLATE(A126, ""en"", ""hi"")"),"125")</f>
        <v>125</v>
      </c>
      <c r="G126" s="5" t="str">
        <f>IFERROR(__xludf.DUMMYFUNCTION("GOOGLETRANSLATE(B126, ""en"", ""hi"")"),"प्राचीन संगमरमर के अध्ययन में अपने योगदान के लिए जाने जाने वाले कौन से ऐतिहासिक व्यक्ति संगमरमर बनाने की तकनीक के विकास से जुड़े हैं?")</f>
        <v>प्राचीन संगमरमर के अध्ययन में अपने योगदान के लिए जाने जाने वाले कौन से ऐतिहासिक व्यक्ति संगमरमर बनाने की तकनीक के विकास से जुड़े हैं?</v>
      </c>
      <c r="H126" s="5" t="str">
        <f>IFERROR(__xludf.DUMMYFUNCTION("GOOGLETRANSLATE(C126, ""en"", ""hi"")"),"A) थॉमस एडिसन, B) जेम्स स्मिथसन, C) अल्बर्ट आइंस्टीन, D) चार्ल्स एम. मिलर")</f>
        <v>A) थॉमस एडिसन, B) जेम्स स्मिथसन, C) अल्बर्ट आइंस्टीन, D) चार्ल्स एम. मिलर</v>
      </c>
      <c r="I126" s="5" t="str">
        <f>IFERROR(__xludf.DUMMYFUNCTION("GOOGLETRANSLATE(D126, ""en"", ""hi"")"),"D) चार्ल्स एम. मिलर")</f>
        <v>D) चार्ल्स एम. मिलर</v>
      </c>
    </row>
    <row r="127" ht="22.5" customHeight="1">
      <c r="A127" s="3">
        <v>126.0</v>
      </c>
      <c r="B127" s="4" t="s">
        <v>7030</v>
      </c>
      <c r="C127" s="4" t="s">
        <v>6928</v>
      </c>
      <c r="D127" s="4" t="s">
        <v>6959</v>
      </c>
      <c r="F127" s="5" t="str">
        <f>IFERROR(__xludf.DUMMYFUNCTION("GOOGLETRANSLATE(A127, ""en"", ""hi"")"),"126")</f>
        <v>126</v>
      </c>
      <c r="G127" s="5" t="str">
        <f>IFERROR(__xludf.DUMMYFUNCTION("GOOGLETRANSLATE(B127, ""en"", ""hi"")"),"19वीं शताब्दी के अंत में शुरू की गई संगमरमर की कौन सी डिजाइन में रंगों के संयोजन के साथ एक उज्ज्वल, परावर्तक सतह है?")</f>
        <v>19वीं शताब्दी के अंत में शुरू की गई संगमरमर की कौन सी डिजाइन में रंगों के संयोजन के साथ एक उज्ज्वल, परावर्तक सतह है?</v>
      </c>
      <c r="H127" s="5" t="str">
        <f>IFERROR(__xludf.DUMMYFUNCTION("GOOGLETRANSLATE(C127, ""en"", ""hi"")"),"A) स्वर्ल, B) एगेट, C) कैट्स आई, D) स्लैग")</f>
        <v>A) स्वर्ल, B) एगेट, C) कैट्स आई, D) स्लैग</v>
      </c>
      <c r="I127" s="5" t="str">
        <f>IFERROR(__xludf.DUMMYFUNCTION("GOOGLETRANSLATE(D127, ""en"", ""hi"")"),"D) स्लैग")</f>
        <v>D) स्लैग</v>
      </c>
    </row>
    <row r="128" ht="22.5" customHeight="1">
      <c r="A128" s="3">
        <v>127.0</v>
      </c>
      <c r="B128" s="4" t="s">
        <v>7031</v>
      </c>
      <c r="C128" s="4" t="s">
        <v>7032</v>
      </c>
      <c r="D128" s="4" t="s">
        <v>7009</v>
      </c>
      <c r="F128" s="5" t="str">
        <f>IFERROR(__xludf.DUMMYFUNCTION("GOOGLETRANSLATE(A128, ""en"", ""hi"")"),"127")</f>
        <v>127</v>
      </c>
      <c r="G128" s="5" t="str">
        <f>IFERROR(__xludf.DUMMYFUNCTION("GOOGLETRANSLATE(B128, ""en"", ""hi"")"),"1912 में स्थापित किस कंपनी ने संगमरमर बनाने की तकनीक के विकास में महत्वपूर्ण भूमिका निभाई और अपने उच्च गुणवत्ता वाले संगमरमर के लिए जानी जाती है?")</f>
        <v>1912 में स्थापित किस कंपनी ने संगमरमर बनाने की तकनीक के विकास में महत्वपूर्ण भूमिका निभाई और अपने उच्च गुणवत्ता वाले संगमरमर के लिए जानी जाती है?</v>
      </c>
      <c r="H128" s="5" t="str">
        <f>IFERROR(__xludf.DUMMYFUNCTION("GOOGLETRANSLATE(C128, ""en"", ""hi"")"),"A) क्रिस्टेंसन एगेट कंपनी, B) जाबो ग्लास कंपनी, C) एक्रो एगेट कंपनी, D) मार्बल किंग")</f>
        <v>A) क्रिस्टेंसन एगेट कंपनी, B) जाबो ग्लास कंपनी, C) एक्रो एगेट कंपनी, D) मार्बल किंग</v>
      </c>
      <c r="I128" s="5" t="str">
        <f>IFERROR(__xludf.DUMMYFUNCTION("GOOGLETRANSLATE(D128, ""en"", ""hi"")"),"ए) क्रिस्टेंसन एगेट कंपनी")</f>
        <v>ए) क्रिस्टेंसन एगेट कंपनी</v>
      </c>
    </row>
    <row r="129" ht="22.5" customHeight="1">
      <c r="A129" s="3">
        <v>128.0</v>
      </c>
      <c r="B129" s="4" t="s">
        <v>7033</v>
      </c>
      <c r="C129" s="4" t="s">
        <v>7034</v>
      </c>
      <c r="D129" s="4" t="s">
        <v>7035</v>
      </c>
      <c r="F129" s="5" t="str">
        <f>IFERROR(__xludf.DUMMYFUNCTION("GOOGLETRANSLATE(A129, ""en"", ""hi"")"),"128")</f>
        <v>128</v>
      </c>
      <c r="G129" s="5" t="str">
        <f>IFERROR(__xludf.DUMMYFUNCTION("GOOGLETRANSLATE(B129, ""en"", ""hi"")"),"20वीं सदी के आरंभ में लोकप्रिय मार्बल गेम का कौन सा प्रकार है, जिसमें खिलाड़ी मार्बल को एक केंद्रीय लक्ष्य क्षेत्र में गिराने का प्रयास करते हैं?")</f>
        <v>20वीं सदी के आरंभ में लोकप्रिय मार्बल गेम का कौन सा प्रकार है, जिसमें खिलाड़ी मार्बल को एक केंद्रीय लक्ष्य क्षेत्र में गिराने का प्रयास करते हैं?</v>
      </c>
      <c r="H129" s="5" t="str">
        <f>IFERROR(__xludf.DUMMYFUNCTION("GOOGLETRANSLATE(C129, ""en"", ""hi"")"),"A) नॉक-आउट, B) मार्बल्स पिट, C) रिंग टॉ, D) टिड्लीविंक्स")</f>
        <v>A) नॉक-आउट, B) मार्बल्स पिट, C) रिंग टॉ, D) टिड्लीविंक्स</v>
      </c>
      <c r="I129" s="5" t="str">
        <f>IFERROR(__xludf.DUMMYFUNCTION("GOOGLETRANSLATE(D129, ""en"", ""hi"")"),"ए) नॉक-आउट")</f>
        <v>ए) नॉक-आउट</v>
      </c>
    </row>
    <row r="130" ht="22.5" customHeight="1">
      <c r="A130" s="3">
        <v>129.0</v>
      </c>
      <c r="B130" s="4" t="s">
        <v>7036</v>
      </c>
      <c r="C130" s="4" t="s">
        <v>6931</v>
      </c>
      <c r="D130" s="4" t="s">
        <v>6867</v>
      </c>
      <c r="F130" s="5" t="str">
        <f>IFERROR(__xludf.DUMMYFUNCTION("GOOGLETRANSLATE(A130, ""en"", ""hi"")"),"129")</f>
        <v>129</v>
      </c>
      <c r="G130" s="5" t="str">
        <f>IFERROR(__xludf.DUMMYFUNCTION("GOOGLETRANSLATE(B130, ""en"", ""hi"")"),"अपनी चिकनी सतह और एकसमान आकार के लिए जाने जाने वाले किस प्रकार के मार्बल, उत्पादन तकनीक में प्रगति के कारण 20वीं शताब्दी के प्रारंभ में लोकप्रिय हो गए?")</f>
        <v>अपनी चिकनी सतह और एकसमान आकार के लिए जाने जाने वाले किस प्रकार के मार्बल, उत्पादन तकनीक में प्रगति के कारण 20वीं शताब्दी के प्रारंभ में लोकप्रिय हो गए?</v>
      </c>
      <c r="H130" s="5" t="str">
        <f>IFERROR(__xludf.DUMMYFUNCTION("GOOGLETRANSLATE(C130, ""en"", ""hi"")"),"A) कांच के मार्बल, B) मिट्टी के मार्बल, C) धातु के मार्बल, D) प्लास्टिक के मार्बल")</f>
        <v>A) कांच के मार्बल, B) मिट्टी के मार्बल, C) धातु के मार्बल, D) प्लास्टिक के मार्बल</v>
      </c>
      <c r="I130" s="5" t="str">
        <f>IFERROR(__xludf.DUMMYFUNCTION("GOOGLETRANSLATE(D130, ""en"", ""hi"")"),"A) कांच के पत्थर")</f>
        <v>A) कांच के पत्थर</v>
      </c>
    </row>
    <row r="131" ht="22.5" customHeight="1">
      <c r="A131" s="3">
        <v>130.0</v>
      </c>
      <c r="B131" s="4" t="s">
        <v>7037</v>
      </c>
      <c r="C131" s="4" t="s">
        <v>6971</v>
      </c>
      <c r="D131" s="4" t="s">
        <v>6876</v>
      </c>
      <c r="F131" s="5" t="str">
        <f>IFERROR(__xludf.DUMMYFUNCTION("GOOGLETRANSLATE(A131, ""en"", ""hi"")"),"130")</f>
        <v>130</v>
      </c>
      <c r="G131" s="5" t="str">
        <f>IFERROR(__xludf.DUMMYFUNCTION("GOOGLETRANSLATE(B131, ""en"", ""hi"")"),"20वीं शताब्दी के मध्य में पहली बार शुरू की गई संगमरमर की कौन सी डिजाइन में पारभासी और अपारदर्शी क्षेत्रों का संयोजन है?")</f>
        <v>20वीं शताब्दी के मध्य में पहली बार शुरू की गई संगमरमर की कौन सी डिजाइन में पारभासी और अपारदर्शी क्षेत्रों का संयोजन है?</v>
      </c>
      <c r="H131" s="5" t="str">
        <f>IFERROR(__xludf.DUMMYFUNCTION("GOOGLETRANSLATE(C131, ""en"", ""hi"")"),"A) एगेट, B) कैट्स आई, C) स्वर्ल, D) स्लैग")</f>
        <v>A) एगेट, B) कैट्स आई, C) स्वर्ल, D) स्लैग</v>
      </c>
      <c r="I131" s="5" t="str">
        <f>IFERROR(__xludf.DUMMYFUNCTION("GOOGLETRANSLATE(D131, ""en"", ""hi"")"),"ए) एगेट")</f>
        <v>ए) एगेट</v>
      </c>
    </row>
    <row r="132" ht="22.5" customHeight="1">
      <c r="A132" s="3">
        <v>131.0</v>
      </c>
      <c r="B132" s="4" t="s">
        <v>7038</v>
      </c>
      <c r="C132" s="4" t="s">
        <v>6973</v>
      </c>
      <c r="D132" s="4" t="s">
        <v>6890</v>
      </c>
      <c r="F132" s="5" t="str">
        <f>IFERROR(__xludf.DUMMYFUNCTION("GOOGLETRANSLATE(A132, ""en"", ""hi"")"),"131")</f>
        <v>131</v>
      </c>
      <c r="G132" s="5" t="str">
        <f>IFERROR(__xludf.DUMMYFUNCTION("GOOGLETRANSLATE(B132, ""en"", ""hi"")"),"यूरोपीय देशों में लोकप्रिय कौन सा मार्बल गेम है, जिसमें खिलाड़ी एक बड़े, केंद्रीय रूप से स्थित लक्ष्य क्षेत्र में मार्बल फेंकते हैं?")</f>
        <v>यूरोपीय देशों में लोकप्रिय कौन सा मार्बल गेम है, जिसमें खिलाड़ी एक बड़े, केंद्रीय रूप से स्थित लक्ष्य क्षेत्र में मार्बल फेंकते हैं?</v>
      </c>
      <c r="H132" s="5" t="str">
        <f>IFERROR(__xludf.DUMMYFUNCTION("GOOGLETRANSLATE(C132, ""en"", ""hi"")"),"A) रिंग टॉ, B) मार्बल्स पिट, C) टिड्लीविंक्स, D) नॉक-आउट")</f>
        <v>A) रिंग टॉ, B) मार्बल्स पिट, C) टिड्लीविंक्स, D) नॉक-आउट</v>
      </c>
      <c r="I132" s="5" t="str">
        <f>IFERROR(__xludf.DUMMYFUNCTION("GOOGLETRANSLATE(D132, ""en"", ""hi"")"),"डी) नॉक-आउट")</f>
        <v>डी) नॉक-आउट</v>
      </c>
    </row>
    <row r="133" ht="22.5" customHeight="1">
      <c r="A133" s="3">
        <v>132.0</v>
      </c>
      <c r="B133" s="4" t="s">
        <v>7039</v>
      </c>
      <c r="C133" s="4" t="s">
        <v>6892</v>
      </c>
      <c r="D133" s="4" t="s">
        <v>6784</v>
      </c>
      <c r="F133" s="5" t="str">
        <f>IFERROR(__xludf.DUMMYFUNCTION("GOOGLETRANSLATE(A133, ""en"", ""hi"")"),"132")</f>
        <v>132</v>
      </c>
      <c r="G133" s="5" t="str">
        <f>IFERROR(__xludf.DUMMYFUNCTION("GOOGLETRANSLATE(B133, ""en"", ""hi"")"),"कौन सा संगमरमर का डिज़ाइन, जो अपने चमकीले और रंगीन रूप के लिए जाना जाता है, पहली बार 20वीं शताब्दी के आरंभ में बनाया गया था?")</f>
        <v>कौन सा संगमरमर का डिज़ाइन, जो अपने चमकीले और रंगीन रूप के लिए जाना जाता है, पहली बार 20वीं शताब्दी के आरंभ में बनाया गया था?</v>
      </c>
      <c r="H133" s="5" t="str">
        <f>IFERROR(__xludf.DUMMYFUNCTION("GOOGLETRANSLATE(C133, ""en"", ""hi"")"),"A) बिल्ली की आँख, B) अगेट, C) स्वर्ल, D) स्लैग")</f>
        <v>A) बिल्ली की आँख, B) अगेट, C) स्वर्ल, D) स्लैग</v>
      </c>
      <c r="I133" s="5" t="str">
        <f>IFERROR(__xludf.DUMMYFUNCTION("GOOGLETRANSLATE(D133, ""en"", ""hi"")"),"C) भंवर")</f>
        <v>C) भंवर</v>
      </c>
    </row>
    <row r="134" ht="22.5" customHeight="1">
      <c r="A134" s="3">
        <v>133.0</v>
      </c>
      <c r="B134" s="4" t="s">
        <v>7040</v>
      </c>
      <c r="C134" s="4" t="s">
        <v>6747</v>
      </c>
      <c r="D134" s="4" t="s">
        <v>6887</v>
      </c>
      <c r="F134" s="5" t="str">
        <f>IFERROR(__xludf.DUMMYFUNCTION("GOOGLETRANSLATE(A134, ""en"", ""hi"")"),"133")</f>
        <v>133</v>
      </c>
      <c r="G134" s="5" t="str">
        <f>IFERROR(__xludf.DUMMYFUNCTION("GOOGLETRANSLATE(B134, ""en"", ""hi"")"),"1922 में स्थापित कौन सी संगमरमर कंपनी अपने उच्च गुणवत्ता वाले, जटिल पैटर्न वाले हस्तनिर्मित संगमरमर के लिए जानी जाती है?")</f>
        <v>1922 में स्थापित कौन सी संगमरमर कंपनी अपने उच्च गुणवत्ता वाले, जटिल पैटर्न वाले हस्तनिर्मित संगमरमर के लिए जानी जाती है?</v>
      </c>
      <c r="H134" s="5" t="str">
        <f>IFERROR(__xludf.DUMMYFUNCTION("GOOGLETRANSLATE(C134, ""en"", ""hi"")"),"A) मार्बल किंग, B) जाबो ग्लास कंपनी, C) क्रिस्टेंसन एगेट कंपनी, D) एक्रो एगेट कंपनी")</f>
        <v>A) मार्बल किंग, B) जाबो ग्लास कंपनी, C) क्रिस्टेंसन एगेट कंपनी, D) एक्रो एगेट कंपनी</v>
      </c>
      <c r="I134" s="5" t="str">
        <f>IFERROR(__xludf.DUMMYFUNCTION("GOOGLETRANSLATE(D134, ""en"", ""hi"")"),"बी) जाबो ग्लास कंपनी")</f>
        <v>बी) जाबो ग्लास कंपनी</v>
      </c>
    </row>
    <row r="135" ht="22.5" customHeight="1">
      <c r="A135" s="3">
        <v>134.0</v>
      </c>
      <c r="B135" s="4" t="s">
        <v>7041</v>
      </c>
      <c r="C135" s="4" t="s">
        <v>6961</v>
      </c>
      <c r="D135" s="4" t="s">
        <v>6775</v>
      </c>
      <c r="F135" s="5" t="str">
        <f>IFERROR(__xludf.DUMMYFUNCTION("GOOGLETRANSLATE(A135, ""en"", ""hi"")"),"134")</f>
        <v>134</v>
      </c>
      <c r="G135" s="5" t="str">
        <f>IFERROR(__xludf.DUMMYFUNCTION("GOOGLETRANSLATE(B135, ""en"", ""hi"")"),"किस ऐतिहासिक घटना के कारण 20वीं सदी के आरंभ में मशीन-निर्मित मार्बल्स को व्यापक रूप से अपनाया जाने लगा?")</f>
        <v>किस ऐतिहासिक घटना के कारण 20वीं सदी के आरंभ में मशीन-निर्मित मार्बल्स को व्यापक रूप से अपनाया जाने लगा?</v>
      </c>
      <c r="H135" s="5" t="str">
        <f>IFERROR(__xludf.DUMMYFUNCTION("GOOGLETRANSLATE(C135, ""en"", ""hi"")"),"A) औद्योगिक क्रांति, B) प्रथम विश्व युद्ध, C) महामंदी, D) द्वितीय विश्व युद्ध")</f>
        <v>A) औद्योगिक क्रांति, B) प्रथम विश्व युद्ध, C) महामंदी, D) द्वितीय विश्व युद्ध</v>
      </c>
      <c r="I135" s="5" t="str">
        <f>IFERROR(__xludf.DUMMYFUNCTION("GOOGLETRANSLATE(D135, ""en"", ""hi"")"),"A) औद्योगिक क्रांति")</f>
        <v>A) औद्योगिक क्रांति</v>
      </c>
    </row>
    <row r="136" ht="22.5" customHeight="1">
      <c r="A136" s="3">
        <v>135.0</v>
      </c>
      <c r="B136" s="4" t="s">
        <v>7042</v>
      </c>
      <c r="C136" s="4" t="s">
        <v>6969</v>
      </c>
      <c r="D136" s="4" t="s">
        <v>6903</v>
      </c>
      <c r="F136" s="5" t="str">
        <f>IFERROR(__xludf.DUMMYFUNCTION("GOOGLETRANSLATE(A136, ""en"", ""hi"")"),"135")</f>
        <v>135</v>
      </c>
      <c r="G136" s="5" t="str">
        <f>IFERROR(__xludf.DUMMYFUNCTION("GOOGLETRANSLATE(B136, ""en"", ""hi"")"),"कौन से मार्बल गेम में खिलाड़ी बोर्ड पर लक्ष्यित छेदों की श्रृंखला में मार्बल्स को फेंकने का प्रयास करते हैं, अक्सर विशिष्ट नियमों और रणनीतियों के साथ?")</f>
        <v>कौन से मार्बल गेम में खिलाड़ी बोर्ड पर लक्ष्यित छेदों की श्रृंखला में मार्बल्स को फेंकने का प्रयास करते हैं, अक्सर विशिष्ट नियमों और रणनीतियों के साथ?</v>
      </c>
      <c r="H136" s="5" t="str">
        <f>IFERROR(__xludf.DUMMYFUNCTION("GOOGLETRANSLATE(C136, ""en"", ""hi"")"),"A) टिड्लीविंक्स, B) मार्बल्स पिट, C) रिंग टॉ, D) पक")</f>
        <v>A) टिड्लीविंक्स, B) मार्बल्स पिट, C) रिंग टॉ, D) पक</v>
      </c>
      <c r="I136" s="5" t="str">
        <f>IFERROR(__xludf.DUMMYFUNCTION("GOOGLETRANSLATE(D136, ""en"", ""hi"")"),"ए) टिड्लीविंक्स")</f>
        <v>ए) टिड्लीविंक्स</v>
      </c>
    </row>
    <row r="137" ht="22.5" customHeight="1">
      <c r="A137" s="3">
        <v>136.0</v>
      </c>
      <c r="B137" s="4" t="s">
        <v>7043</v>
      </c>
      <c r="C137" s="4" t="s">
        <v>6944</v>
      </c>
      <c r="D137" s="4" t="s">
        <v>6945</v>
      </c>
      <c r="F137" s="5" t="str">
        <f>IFERROR(__xludf.DUMMYFUNCTION("GOOGLETRANSLATE(A137, ""en"", ""hi"")"),"136")</f>
        <v>136</v>
      </c>
      <c r="G137" s="5" t="str">
        <f>IFERROR(__xludf.DUMMYFUNCTION("GOOGLETRANSLATE(B137, ""en"", ""hi"")"),"1950 के दशक में लोकप्रिय संगमरमर का कौन सा डिज़ाइन, कई रंगों के साथ एक उज्ज्वल, धब्बेदार रूप प्रस्तुत करता है?")</f>
        <v>1950 के दशक में लोकप्रिय संगमरमर का कौन सा डिज़ाइन, कई रंगों के साथ एक उज्ज्वल, धब्बेदार रूप प्रस्तुत करता है?</v>
      </c>
      <c r="H137" s="5" t="str">
        <f>IFERROR(__xludf.DUMMYFUNCTION("GOOGLETRANSLATE(C137, ""en"", ""hi"")"),"A) स्लैग, B) एगेट, C) स्वर्ल, D) कैट्स आई")</f>
        <v>A) स्लैग, B) एगेट, C) स्वर्ल, D) कैट्स आई</v>
      </c>
      <c r="I137" s="5" t="str">
        <f>IFERROR(__xludf.DUMMYFUNCTION("GOOGLETRANSLATE(D137, ""en"", ""hi"")"),"ए) स्लैग")</f>
        <v>ए) स्लैग</v>
      </c>
    </row>
    <row r="138" ht="22.5" customHeight="1">
      <c r="A138" s="3">
        <v>137.0</v>
      </c>
      <c r="B138" s="4" t="s">
        <v>7044</v>
      </c>
      <c r="C138" s="4" t="s">
        <v>7045</v>
      </c>
      <c r="D138" s="4" t="s">
        <v>7009</v>
      </c>
      <c r="F138" s="5" t="str">
        <f>IFERROR(__xludf.DUMMYFUNCTION("GOOGLETRANSLATE(A138, ""en"", ""hi"")"),"137")</f>
        <v>137</v>
      </c>
      <c r="G138" s="5" t="str">
        <f>IFERROR(__xludf.DUMMYFUNCTION("GOOGLETRANSLATE(B138, ""en"", ""hi"")"),"1912 में स्थापित कौन सी संगमरमर कंपनी संगमरमर बनाने की तकनीक और उच्च गुणवत्ता वाले संगमरमर में अपने योगदान के लिए प्रसिद्ध है?")</f>
        <v>1912 में स्थापित कौन सी संगमरमर कंपनी संगमरमर बनाने की तकनीक और उच्च गुणवत्ता वाले संगमरमर में अपने योगदान के लिए प्रसिद्ध है?</v>
      </c>
      <c r="H138" s="5" t="str">
        <f>IFERROR(__xludf.DUMMYFUNCTION("GOOGLETRANSLATE(C138, ""en"", ""hi"")"),"A) क्रिस्टेंसन एगेट कंपनी, B) मार्बल किंग, C) एक्रो एगेट कंपनी, D) जाबो ग्लास कंपनी")</f>
        <v>A) क्रिस्टेंसन एगेट कंपनी, B) मार्बल किंग, C) एक्रो एगेट कंपनी, D) जाबो ग्लास कंपनी</v>
      </c>
      <c r="I138" s="5" t="str">
        <f>IFERROR(__xludf.DUMMYFUNCTION("GOOGLETRANSLATE(D138, ""en"", ""hi"")"),"ए) क्रिस्टेंसन एगेट कंपनी")</f>
        <v>ए) क्रिस्टेंसन एगेट कंपनी</v>
      </c>
    </row>
    <row r="139" ht="22.5" customHeight="1">
      <c r="A139" s="3">
        <v>138.0</v>
      </c>
      <c r="B139" s="4" t="s">
        <v>7046</v>
      </c>
      <c r="C139" s="4" t="s">
        <v>6892</v>
      </c>
      <c r="D139" s="4" t="s">
        <v>6924</v>
      </c>
      <c r="F139" s="5" t="str">
        <f>IFERROR(__xludf.DUMMYFUNCTION("GOOGLETRANSLATE(A139, ""en"", ""hi"")"),"138")</f>
        <v>138</v>
      </c>
      <c r="G139" s="5" t="str">
        <f>IFERROR(__xludf.DUMMYFUNCTION("GOOGLETRANSLATE(B139, ""en"", ""hi"")"),"19वीं शताब्दी के अंत में पहली बार निर्मित संगमरमर के किस प्रकार के डिजाइन में अपारदर्शी और पारभासी क्षेत्रों का संयोजन होता है?")</f>
        <v>19वीं शताब्दी के अंत में पहली बार निर्मित संगमरमर के किस प्रकार के डिजाइन में अपारदर्शी और पारभासी क्षेत्रों का संयोजन होता है?</v>
      </c>
      <c r="H139" s="5" t="str">
        <f>IFERROR(__xludf.DUMMYFUNCTION("GOOGLETRANSLATE(C139, ""en"", ""hi"")"),"A) बिल्ली की आँख, B) अगेट, C) स्वर्ल, D) स्लैग")</f>
        <v>A) बिल्ली की आँख, B) अगेट, C) स्वर्ल, D) स्लैग</v>
      </c>
      <c r="I139" s="5" t="str">
        <f>IFERROR(__xludf.DUMMYFUNCTION("GOOGLETRANSLATE(D139, ""en"", ""hi"")"),"बी) एगेट")</f>
        <v>बी) एगेट</v>
      </c>
    </row>
    <row r="140" ht="22.5" customHeight="1">
      <c r="A140" s="3">
        <v>139.0</v>
      </c>
      <c r="B140" s="4" t="s">
        <v>7047</v>
      </c>
      <c r="C140" s="4" t="s">
        <v>6854</v>
      </c>
      <c r="D140" s="4" t="s">
        <v>6766</v>
      </c>
      <c r="F140" s="5" t="str">
        <f>IFERROR(__xludf.DUMMYFUNCTION("GOOGLETRANSLATE(A140, ""en"", ""hi"")"),"139")</f>
        <v>139</v>
      </c>
      <c r="G140" s="5" t="str">
        <f>IFERROR(__xludf.DUMMYFUNCTION("GOOGLETRANSLATE(B140, ""en"", ""hi"")"),"यूरोपीय देशों में लोकप्रिय कौन सा मार्बल गेम है, जिसमें खिलाड़ी मैदान या बोर्ड पर एक लक्ष्य क्षेत्र में मार्बल फेंकते हैं?")</f>
        <v>यूरोपीय देशों में लोकप्रिय कौन सा मार्बल गेम है, जिसमें खिलाड़ी मैदान या बोर्ड पर एक लक्ष्य क्षेत्र में मार्बल फेंकते हैं?</v>
      </c>
      <c r="H140" s="5" t="str">
        <f>IFERROR(__xludf.DUMMYFUNCTION("GOOGLETRANSLATE(C140, ""en"", ""hi"")"),"A) रिंग टॉ, B) मार्बल्स पिट, C) टिड्लीविंक्स, D) पक")</f>
        <v>A) रिंग टॉ, B) मार्बल्स पिट, C) टिड्लीविंक्स, D) पक</v>
      </c>
      <c r="I140" s="5" t="str">
        <f>IFERROR(__xludf.DUMMYFUNCTION("GOOGLETRANSLATE(D140, ""en"", ""hi"")"),"ए) रिंग टॉ")</f>
        <v>ए) रिंग टॉ</v>
      </c>
    </row>
    <row r="141" ht="22.5" customHeight="1">
      <c r="A141" s="3">
        <v>140.0</v>
      </c>
      <c r="B141" s="4" t="s">
        <v>7048</v>
      </c>
      <c r="C141" s="4" t="s">
        <v>6953</v>
      </c>
      <c r="D141" s="4" t="s">
        <v>6929</v>
      </c>
      <c r="F141" s="5" t="str">
        <f>IFERROR(__xludf.DUMMYFUNCTION("GOOGLETRANSLATE(A141, ""en"", ""hi"")"),"140")</f>
        <v>140</v>
      </c>
      <c r="G141" s="5" t="str">
        <f>IFERROR(__xludf.DUMMYFUNCTION("GOOGLETRANSLATE(B141, ""en"", ""hi"")"),"20वीं शताब्दी में शुरू किया गया कौन सा संगमरमर का डिज़ाइन अपने चमकीले, घुमावदार रंगों और चिकनी सतह के लिए जाना जाता है?")</f>
        <v>20वीं शताब्दी में शुरू किया गया कौन सा संगमरमर का डिज़ाइन अपने चमकीले, घुमावदार रंगों और चिकनी सतह के लिए जाना जाता है?</v>
      </c>
      <c r="H141" s="5" t="str">
        <f>IFERROR(__xludf.DUMMYFUNCTION("GOOGLETRANSLATE(C141, ""en"", ""hi"")"),"A) स्वर्ल, B) कैट्स आई, C) एगेट, D) स्लैग")</f>
        <v>A) स्वर्ल, B) कैट्स आई, C) एगेट, D) स्लैग</v>
      </c>
      <c r="I141" s="5" t="str">
        <f>IFERROR(__xludf.DUMMYFUNCTION("GOOGLETRANSLATE(D141, ""en"", ""hi"")"),"ए) भंवर")</f>
        <v>ए) भंवर</v>
      </c>
    </row>
    <row r="142" ht="22.5" customHeight="1">
      <c r="A142" s="3">
        <v>141.0</v>
      </c>
      <c r="B142" s="4" t="s">
        <v>7049</v>
      </c>
      <c r="C142" s="4" t="s">
        <v>6747</v>
      </c>
      <c r="D142" s="4" t="s">
        <v>6887</v>
      </c>
      <c r="F142" s="5" t="str">
        <f>IFERROR(__xludf.DUMMYFUNCTION("GOOGLETRANSLATE(A142, ""en"", ""hi"")"),"141")</f>
        <v>141</v>
      </c>
      <c r="G142" s="5" t="str">
        <f>IFERROR(__xludf.DUMMYFUNCTION("GOOGLETRANSLATE(B142, ""en"", ""hi"")"),"1949 में स्थापित कौन सी कंपनी अपने रंगीन, जटिल पैटर्न वाले हाथ से बने मार्बल के लिए जानी जाती है?")</f>
        <v>1949 में स्थापित कौन सी कंपनी अपने रंगीन, जटिल पैटर्न वाले हाथ से बने मार्बल के लिए जानी जाती है?</v>
      </c>
      <c r="H142" s="5" t="str">
        <f>IFERROR(__xludf.DUMMYFUNCTION("GOOGLETRANSLATE(C142, ""en"", ""hi"")"),"A) मार्बल किंग, B) जाबो ग्लास कंपनी, C) क्रिस्टेंसन एगेट कंपनी, D) एक्रो एगेट कंपनी")</f>
        <v>A) मार्बल किंग, B) जाबो ग्लास कंपनी, C) क्रिस्टेंसन एगेट कंपनी, D) एक्रो एगेट कंपनी</v>
      </c>
      <c r="I142" s="5" t="str">
        <f>IFERROR(__xludf.DUMMYFUNCTION("GOOGLETRANSLATE(D142, ""en"", ""hi"")"),"बी) जाबो ग्लास कंपनी")</f>
        <v>बी) जाबो ग्लास कंपनी</v>
      </c>
    </row>
    <row r="143" ht="22.5" customHeight="1">
      <c r="A143" s="3">
        <v>142.0</v>
      </c>
      <c r="B143" s="4" t="s">
        <v>7050</v>
      </c>
      <c r="C143" s="4" t="s">
        <v>6892</v>
      </c>
      <c r="D143" s="4" t="s">
        <v>6959</v>
      </c>
      <c r="F143" s="5" t="str">
        <f>IFERROR(__xludf.DUMMYFUNCTION("GOOGLETRANSLATE(A143, ""en"", ""hi"")"),"142")</f>
        <v>142</v>
      </c>
      <c r="G143" s="5" t="str">
        <f>IFERROR(__xludf.DUMMYFUNCTION("GOOGLETRANSLATE(B143, ""en"", ""hi"")"),"20वीं सदी के मध्य में लोकप्रिय संगमरमर का कौन सा डिज़ाइन अपने चमकीले, इंद्रधनुषी रूप और अद्वितीय पैटर्न के लिए जाना जाता है?")</f>
        <v>20वीं सदी के मध्य में लोकप्रिय संगमरमर का कौन सा डिज़ाइन अपने चमकीले, इंद्रधनुषी रूप और अद्वितीय पैटर्न के लिए जाना जाता है?</v>
      </c>
      <c r="H143" s="5" t="str">
        <f>IFERROR(__xludf.DUMMYFUNCTION("GOOGLETRANSLATE(C143, ""en"", ""hi"")"),"A) बिल्ली की आँख, B) अगेट, C) स्वर्ल, D) स्लैग")</f>
        <v>A) बिल्ली की आँख, B) अगेट, C) स्वर्ल, D) स्लैग</v>
      </c>
      <c r="I143" s="5" t="str">
        <f>IFERROR(__xludf.DUMMYFUNCTION("GOOGLETRANSLATE(D143, ""en"", ""hi"")"),"D) स्लैग")</f>
        <v>D) स्लैग</v>
      </c>
    </row>
    <row r="144" ht="22.5" customHeight="1">
      <c r="A144" s="3">
        <v>143.0</v>
      </c>
      <c r="B144" s="4" t="s">
        <v>7051</v>
      </c>
      <c r="C144" s="4" t="s">
        <v>6926</v>
      </c>
      <c r="D144" s="4" t="s">
        <v>6903</v>
      </c>
      <c r="F144" s="5" t="str">
        <f>IFERROR(__xludf.DUMMYFUNCTION("GOOGLETRANSLATE(A144, ""en"", ""hi"")"),"143")</f>
        <v>143</v>
      </c>
      <c r="G144" s="5" t="str">
        <f>IFERROR(__xludf.DUMMYFUNCTION("GOOGLETRANSLATE(B144, ""en"", ""hi"")"),"कौन सा कंचे का खेल, जिसमें खिलाड़ी कंचों को बोर्ड पर छोटे-छोटे छेदों या लक्ष्यों में ठोकने का प्रयास करते हैं, 20वीं शताब्दी में लोकप्रिय था?")</f>
        <v>कौन सा कंचे का खेल, जिसमें खिलाड़ी कंचों को बोर्ड पर छोटे-छोटे छेदों या लक्ष्यों में ठोकने का प्रयास करते हैं, 20वीं शताब्दी में लोकप्रिय था?</v>
      </c>
      <c r="H144" s="5" t="str">
        <f>IFERROR(__xludf.DUMMYFUNCTION("GOOGLETRANSLATE(C144, ""en"", ""hi"")"),"A) टिड्लीविंक्स, B) रिंग टॉ, C) मार्बल्स पिट, D) पक")</f>
        <v>A) टिड्लीविंक्स, B) रिंग टॉ, C) मार्बल्स पिट, D) पक</v>
      </c>
      <c r="I144" s="5" t="str">
        <f>IFERROR(__xludf.DUMMYFUNCTION("GOOGLETRANSLATE(D144, ""en"", ""hi"")"),"ए) टिड्लीविंक्स")</f>
        <v>ए) टिड्लीविंक्स</v>
      </c>
    </row>
    <row r="145" ht="22.5" customHeight="1">
      <c r="A145" s="3">
        <v>144.0</v>
      </c>
      <c r="B145" s="4" t="s">
        <v>7052</v>
      </c>
      <c r="C145" s="4" t="s">
        <v>7053</v>
      </c>
      <c r="D145" s="4" t="s">
        <v>7003</v>
      </c>
      <c r="F145" s="5" t="str">
        <f>IFERROR(__xludf.DUMMYFUNCTION("GOOGLETRANSLATE(A145, ""en"", ""hi"")"),"144")</f>
        <v>144</v>
      </c>
      <c r="G145" s="5" t="str">
        <f>IFERROR(__xludf.DUMMYFUNCTION("GOOGLETRANSLATE(B145, ""en"", ""hi"")"),"संगमरमर के इतिहास के अध्ययन में अपने योगदान के लिए जाने जाने वाले कौन से ऐतिहासिक व्यक्ति संगमरमर बनाने की तकनीक के विकास से जुड़े हैं?")</f>
        <v>संगमरमर के इतिहास के अध्ययन में अपने योगदान के लिए जाने जाने वाले कौन से ऐतिहासिक व्यक्ति संगमरमर बनाने की तकनीक के विकास से जुड़े हैं?</v>
      </c>
      <c r="H145" s="5" t="str">
        <f>IFERROR(__xludf.DUMMYFUNCTION("GOOGLETRANSLATE(C145, ""en"", ""hi"")"),"A) चार्ल्स एम. मिलर, B) थॉमस एडिसन, C) अल्बर्ट आइंस्टीन, D) जेम्स स्मिथसन")</f>
        <v>A) चार्ल्स एम. मिलर, B) थॉमस एडिसन, C) अल्बर्ट आइंस्टीन, D) जेम्स स्मिथसन</v>
      </c>
      <c r="I145" s="5" t="str">
        <f>IFERROR(__xludf.DUMMYFUNCTION("GOOGLETRANSLATE(D145, ""en"", ""hi"")"),"A) चार्ल्स एम. मिलर")</f>
        <v>A) चार्ल्स एम. मिलर</v>
      </c>
    </row>
    <row r="146" ht="22.5" customHeight="1">
      <c r="A146" s="3">
        <v>145.0</v>
      </c>
      <c r="B146" s="4" t="s">
        <v>7054</v>
      </c>
      <c r="C146" s="4" t="s">
        <v>6953</v>
      </c>
      <c r="D146" s="4" t="s">
        <v>6929</v>
      </c>
      <c r="F146" s="5" t="str">
        <f>IFERROR(__xludf.DUMMYFUNCTION("GOOGLETRANSLATE(A146, ""en"", ""hi"")"),"145")</f>
        <v>145</v>
      </c>
      <c r="G146" s="5" t="str">
        <f>IFERROR(__xludf.DUMMYFUNCTION("GOOGLETRANSLATE(B146, ""en"", ""hi"")"),"19वीं शताब्दी के अंत में शुरू किया गया कौन सा संगमरमर का डिज़ाइन अपने चमकीले, घूमते रंगों और परावर्तक सतह के लिए जाना जाता है?")</f>
        <v>19वीं शताब्दी के अंत में शुरू किया गया कौन सा संगमरमर का डिज़ाइन अपने चमकीले, घूमते रंगों और परावर्तक सतह के लिए जाना जाता है?</v>
      </c>
      <c r="H146" s="5" t="str">
        <f>IFERROR(__xludf.DUMMYFUNCTION("GOOGLETRANSLATE(C146, ""en"", ""hi"")"),"A) स्वर्ल, B) कैट्स आई, C) एगेट, D) स्लैग")</f>
        <v>A) स्वर्ल, B) कैट्स आई, C) एगेट, D) स्लैग</v>
      </c>
      <c r="I146" s="5" t="str">
        <f>IFERROR(__xludf.DUMMYFUNCTION("GOOGLETRANSLATE(D146, ""en"", ""hi"")"),"ए) भंवर")</f>
        <v>ए) भंवर</v>
      </c>
    </row>
    <row r="147" ht="22.5" customHeight="1">
      <c r="A147" s="3">
        <v>146.0</v>
      </c>
      <c r="B147" s="4" t="s">
        <v>7055</v>
      </c>
      <c r="C147" s="4" t="s">
        <v>7056</v>
      </c>
      <c r="D147" s="4" t="s">
        <v>6896</v>
      </c>
      <c r="F147" s="5" t="str">
        <f>IFERROR(__xludf.DUMMYFUNCTION("GOOGLETRANSLATE(A147, ""en"", ""hi"")"),"146")</f>
        <v>146</v>
      </c>
      <c r="G147" s="5" t="str">
        <f>IFERROR(__xludf.DUMMYFUNCTION("GOOGLETRANSLATE(B147, ""en"", ""hi"")"),"1920 में स्थापित कौन सी कंपनी अपने उच्च गुणवत्ता वाले, जटिल पैटर्न वाले मशीन-निर्मित मार्बल के लिए जानी जाती है?")</f>
        <v>1920 में स्थापित कौन सी कंपनी अपने उच्च गुणवत्ता वाले, जटिल पैटर्न वाले मशीन-निर्मित मार्बल के लिए जानी जाती है?</v>
      </c>
      <c r="H147" s="5" t="str">
        <f>IFERROR(__xludf.DUMMYFUNCTION("GOOGLETRANSLATE(C147, ""en"", ""hi"")"),"A) एक्रो एगेट कंपनी, B) जाबो ग्लास कंपनी, C) क्रिस्टेंसन एगेट कंपनी, D) मार्बल किंग")</f>
        <v>A) एक्रो एगेट कंपनी, B) जाबो ग्लास कंपनी, C) क्रिस्टेंसन एगेट कंपनी, D) मार्बल किंग</v>
      </c>
      <c r="I147" s="5" t="str">
        <f>IFERROR(__xludf.DUMMYFUNCTION("GOOGLETRANSLATE(D147, ""en"", ""hi"")"),"ए) एक्रो एगेट कंपनी")</f>
        <v>ए) एक्रो एगेट कंपनी</v>
      </c>
    </row>
    <row r="148" ht="22.5" customHeight="1">
      <c r="A148" s="3">
        <v>147.0</v>
      </c>
      <c r="B148" s="4" t="s">
        <v>7057</v>
      </c>
      <c r="C148" s="4" t="s">
        <v>6973</v>
      </c>
      <c r="D148" s="4" t="s">
        <v>6890</v>
      </c>
      <c r="F148" s="5" t="str">
        <f>IFERROR(__xludf.DUMMYFUNCTION("GOOGLETRANSLATE(A148, ""en"", ""hi"")"),"147")</f>
        <v>147</v>
      </c>
      <c r="G148" s="5" t="str">
        <f>IFERROR(__xludf.DUMMYFUNCTION("GOOGLETRANSLATE(B148, ""en"", ""hi"")"),"कौन से मार्बल गेम में खिलाड़ी एक निश्चित नियमों और रणनीतियों के साथ एक लक्ष्य क्षेत्र में मार्बल फेंकते हैं?")</f>
        <v>कौन से मार्बल गेम में खिलाड़ी एक निश्चित नियमों और रणनीतियों के साथ एक लक्ष्य क्षेत्र में मार्बल फेंकते हैं?</v>
      </c>
      <c r="H148" s="5" t="str">
        <f>IFERROR(__xludf.DUMMYFUNCTION("GOOGLETRANSLATE(C148, ""en"", ""hi"")"),"A) रिंग टॉ, B) मार्बल्स पिट, C) टिड्लीविंक्स, D) नॉक-आउट")</f>
        <v>A) रिंग टॉ, B) मार्बल्स पिट, C) टिड्लीविंक्स, D) नॉक-आउट</v>
      </c>
      <c r="I148" s="5" t="str">
        <f>IFERROR(__xludf.DUMMYFUNCTION("GOOGLETRANSLATE(D148, ""en"", ""hi"")"),"डी) नॉक-आउट")</f>
        <v>डी) नॉक-आउट</v>
      </c>
    </row>
    <row r="149" ht="22.5" customHeight="1">
      <c r="A149" s="3">
        <v>148.0</v>
      </c>
      <c r="B149" s="4" t="s">
        <v>7058</v>
      </c>
      <c r="C149" s="4" t="s">
        <v>6931</v>
      </c>
      <c r="D149" s="4" t="s">
        <v>6867</v>
      </c>
      <c r="F149" s="5" t="str">
        <f>IFERROR(__xludf.DUMMYFUNCTION("GOOGLETRANSLATE(A149, ""en"", ""hi"")"),"148")</f>
        <v>148</v>
      </c>
      <c r="G149" s="5" t="str">
        <f>IFERROR(__xludf.DUMMYFUNCTION("GOOGLETRANSLATE(B149, ""en"", ""hi"")"),"अपनी चिकनी सतह और एकसमान आकार के लिए जाना जाने वाला कौन सा संगमरमर डिज़ाइन, उत्पादन तकनीक में प्रगति के कारण 20वीं शताब्दी की शुरुआत में लोकप्रिय हो गया?")</f>
        <v>अपनी चिकनी सतह और एकसमान आकार के लिए जाना जाने वाला कौन सा संगमरमर डिज़ाइन, उत्पादन तकनीक में प्रगति के कारण 20वीं शताब्दी की शुरुआत में लोकप्रिय हो गया?</v>
      </c>
      <c r="H149" s="5" t="str">
        <f>IFERROR(__xludf.DUMMYFUNCTION("GOOGLETRANSLATE(C149, ""en"", ""hi"")"),"A) कांच के मार्बल, B) मिट्टी के मार्बल, C) धातु के मार्बल, D) प्लास्टिक के मार्बल")</f>
        <v>A) कांच के मार्बल, B) मिट्टी के मार्बल, C) धातु के मार्बल, D) प्लास्टिक के मार्बल</v>
      </c>
      <c r="I149" s="5" t="str">
        <f>IFERROR(__xludf.DUMMYFUNCTION("GOOGLETRANSLATE(D149, ""en"", ""hi"")"),"A) कांच के पत्थर")</f>
        <v>A) कांच के पत्थर</v>
      </c>
    </row>
    <row r="150" ht="22.5" customHeight="1">
      <c r="A150" s="3">
        <v>149.0</v>
      </c>
      <c r="B150" s="4" t="s">
        <v>7059</v>
      </c>
      <c r="C150" s="4" t="s">
        <v>6810</v>
      </c>
      <c r="D150" s="4" t="s">
        <v>6811</v>
      </c>
      <c r="F150" s="5" t="str">
        <f>IFERROR(__xludf.DUMMYFUNCTION("GOOGLETRANSLATE(A150, ""en"", ""hi"")"),"149")</f>
        <v>149</v>
      </c>
      <c r="G150" s="5" t="str">
        <f>IFERROR(__xludf.DUMMYFUNCTION("GOOGLETRANSLATE(B150, ""en"", ""hi"")"),"यूरोपीय देशों में लोकप्रिय कौन सा मार्बल गेम है, जिसमें खिलाड़ी एक विशिष्ट रणनीति और कौशल के साथ मार्बल को छेद या कप में फेंकते हैं?")</f>
        <v>यूरोपीय देशों में लोकप्रिय कौन सा मार्बल गेम है, जिसमें खिलाड़ी एक विशिष्ट रणनीति और कौशल के साथ मार्बल को छेद या कप में फेंकते हैं?</v>
      </c>
      <c r="H150" s="5" t="str">
        <f>IFERROR(__xludf.DUMMYFUNCTION("GOOGLETRANSLATE(C150, ""en"", ""hi"")"),"A) मार्बल्स पिट, B) रिंग टॉ, C) टिड्लीविंक्स, D) पक")</f>
        <v>A) मार्बल्स पिट, B) रिंग टॉ, C) टिड्लीविंक्स, D) पक</v>
      </c>
      <c r="I150" s="5" t="str">
        <f>IFERROR(__xludf.DUMMYFUNCTION("GOOGLETRANSLATE(D150, ""en"", ""hi"")"),"A) मार्बल्स पिट")</f>
        <v>A) मार्बल्स पिट</v>
      </c>
    </row>
    <row r="151" ht="22.5" customHeight="1">
      <c r="A151" s="3">
        <v>150.0</v>
      </c>
      <c r="B151" s="4" t="s">
        <v>7060</v>
      </c>
      <c r="C151" s="4" t="s">
        <v>6892</v>
      </c>
      <c r="D151" s="4" t="s">
        <v>6893</v>
      </c>
      <c r="F151" s="5" t="str">
        <f>IFERROR(__xludf.DUMMYFUNCTION("GOOGLETRANSLATE(A151, ""en"", ""hi"")"),"150")</f>
        <v>150</v>
      </c>
      <c r="G151" s="5" t="str">
        <f>IFERROR(__xludf.DUMMYFUNCTION("GOOGLETRANSLATE(B151, ""en"", ""hi"")"),"20वीं शताब्दी में पहली बार शुरू की गई संगमरमर की किस डिजाइन में एक पारभासी परत से घिरा केंद्रीय कोर है?")</f>
        <v>20वीं शताब्दी में पहली बार शुरू की गई संगमरमर की किस डिजाइन में एक पारभासी परत से घिरा केंद्रीय कोर है?</v>
      </c>
      <c r="H151" s="5" t="str">
        <f>IFERROR(__xludf.DUMMYFUNCTION("GOOGLETRANSLATE(C151, ""en"", ""hi"")"),"A) बिल्ली की आँख, B) अगेट, C) स्वर्ल, D) स्लैग")</f>
        <v>A) बिल्ली की आँख, B) अगेट, C) स्वर्ल, D) स्लैग</v>
      </c>
      <c r="I151" s="5" t="str">
        <f>IFERROR(__xludf.DUMMYFUNCTION("GOOGLETRANSLATE(D151, ""en"", ""hi"")"),"ए) बिल्ली की आँख")</f>
        <v>ए) बिल्ली की आँख</v>
      </c>
    </row>
    <row r="152" ht="22.5" customHeight="1">
      <c r="A152" s="3">
        <v>151.0</v>
      </c>
      <c r="B152" s="4" t="s">
        <v>7061</v>
      </c>
      <c r="C152" s="4" t="s">
        <v>7045</v>
      </c>
      <c r="D152" s="4" t="s">
        <v>7009</v>
      </c>
      <c r="F152" s="5" t="str">
        <f>IFERROR(__xludf.DUMMYFUNCTION("GOOGLETRANSLATE(A152, ""en"", ""hi"")"),"151")</f>
        <v>151</v>
      </c>
      <c r="G152" s="5" t="str">
        <f>IFERROR(__xludf.DUMMYFUNCTION("GOOGLETRANSLATE(B152, ""en"", ""hi"")"),"1912 में स्थापित किस कंपनी ने संगमरमर बनाने की तकनीक के विकास में महत्वपूर्ण भूमिका निभाई और अपने उच्च गुणवत्ता वाले संगमरमर के लिए जानी जाती है?")</f>
        <v>1912 में स्थापित किस कंपनी ने संगमरमर बनाने की तकनीक के विकास में महत्वपूर्ण भूमिका निभाई और अपने उच्च गुणवत्ता वाले संगमरमर के लिए जानी जाती है?</v>
      </c>
      <c r="H152" s="5" t="str">
        <f>IFERROR(__xludf.DUMMYFUNCTION("GOOGLETRANSLATE(C152, ""en"", ""hi"")"),"A) क्रिस्टेंसन एगेट कंपनी, B) मार्बल किंग, C) एक्रो एगेट कंपनी, D) जाबो ग्लास कंपनी")</f>
        <v>A) क्रिस्टेंसन एगेट कंपनी, B) मार्बल किंग, C) एक्रो एगेट कंपनी, D) जाबो ग्लास कंपनी</v>
      </c>
      <c r="I152" s="5" t="str">
        <f>IFERROR(__xludf.DUMMYFUNCTION("GOOGLETRANSLATE(D152, ""en"", ""hi"")"),"ए) क्रिस्टेंसन एगेट कंपनी")</f>
        <v>ए) क्रिस्टेंसन एगेट कंपनी</v>
      </c>
    </row>
    <row r="153" ht="22.5" customHeight="1">
      <c r="A153" s="3">
        <v>152.0</v>
      </c>
      <c r="B153" s="4" t="s">
        <v>7062</v>
      </c>
      <c r="C153" s="4" t="s">
        <v>7034</v>
      </c>
      <c r="D153" s="4" t="s">
        <v>7035</v>
      </c>
      <c r="F153" s="5" t="str">
        <f>IFERROR(__xludf.DUMMYFUNCTION("GOOGLETRANSLATE(A153, ""en"", ""hi"")"),"152")</f>
        <v>152</v>
      </c>
      <c r="G153" s="5" t="str">
        <f>IFERROR(__xludf.DUMMYFUNCTION("GOOGLETRANSLATE(B153, ""en"", ""hi"")"),"कौन से मार्बल गेम में मार्बल्स को एक केन्द्रीय लक्ष्य क्षेत्र में फेंकना शामिल होता है, जिसके लिए अक्सर विशिष्ट नियम और रणनीतियां होती हैं?")</f>
        <v>कौन से मार्बल गेम में मार्बल्स को एक केन्द्रीय लक्ष्य क्षेत्र में फेंकना शामिल होता है, जिसके लिए अक्सर विशिष्ट नियम और रणनीतियां होती हैं?</v>
      </c>
      <c r="H153" s="5" t="str">
        <f>IFERROR(__xludf.DUMMYFUNCTION("GOOGLETRANSLATE(C153, ""en"", ""hi"")"),"A) नॉक-आउट, B) मार्बल्स पिट, C) रिंग टॉ, D) टिड्लीविंक्स")</f>
        <v>A) नॉक-आउट, B) मार्बल्स पिट, C) रिंग टॉ, D) टिड्लीविंक्स</v>
      </c>
      <c r="I153" s="5" t="str">
        <f>IFERROR(__xludf.DUMMYFUNCTION("GOOGLETRANSLATE(D153, ""en"", ""hi"")"),"ए) नॉक-आउट")</f>
        <v>ए) नॉक-आउट</v>
      </c>
    </row>
    <row r="154" ht="22.5" customHeight="1">
      <c r="A154" s="3">
        <v>153.0</v>
      </c>
      <c r="B154" s="4" t="s">
        <v>7063</v>
      </c>
      <c r="C154" s="4" t="s">
        <v>6971</v>
      </c>
      <c r="D154" s="4" t="s">
        <v>6876</v>
      </c>
      <c r="F154" s="5" t="str">
        <f>IFERROR(__xludf.DUMMYFUNCTION("GOOGLETRANSLATE(A154, ""en"", ""hi"")"),"153")</f>
        <v>153</v>
      </c>
      <c r="G154" s="5" t="str">
        <f>IFERROR(__xludf.DUMMYFUNCTION("GOOGLETRANSLATE(B154, ""en"", ""hi"")"),"19वीं शताब्दी के अंत में शुरू की गई संगमरमर की कौन सी डिजाइन में अपारदर्शी और पारभासी क्षेत्रों का संयोजन है?")</f>
        <v>19वीं शताब्दी के अंत में शुरू की गई संगमरमर की कौन सी डिजाइन में अपारदर्शी और पारभासी क्षेत्रों का संयोजन है?</v>
      </c>
      <c r="H154" s="5" t="str">
        <f>IFERROR(__xludf.DUMMYFUNCTION("GOOGLETRANSLATE(C154, ""en"", ""hi"")"),"A) एगेट, B) कैट्स आई, C) स्वर्ल, D) स्लैग")</f>
        <v>A) एगेट, B) कैट्स आई, C) स्वर्ल, D) स्लैग</v>
      </c>
      <c r="I154" s="5" t="str">
        <f>IFERROR(__xludf.DUMMYFUNCTION("GOOGLETRANSLATE(D154, ""en"", ""hi"")"),"ए) एगेट")</f>
        <v>ए) एगेट</v>
      </c>
    </row>
    <row r="155" ht="22.5" customHeight="1">
      <c r="A155" s="3">
        <v>154.0</v>
      </c>
      <c r="B155" s="4" t="s">
        <v>7064</v>
      </c>
      <c r="C155" s="4" t="s">
        <v>6899</v>
      </c>
      <c r="D155" s="4" t="s">
        <v>6900</v>
      </c>
      <c r="F155" s="5" t="str">
        <f>IFERROR(__xludf.DUMMYFUNCTION("GOOGLETRANSLATE(A155, ""en"", ""hi"")"),"154")</f>
        <v>154</v>
      </c>
      <c r="G155" s="5" t="str">
        <f>IFERROR(__xludf.DUMMYFUNCTION("GOOGLETRANSLATE(B155, ""en"", ""hi"")"),"किस ऐतिहासिक काल में मशीन-निर्मित संगमरमर का व्यापक उपयोग देखा गया, जिसके परिणामस्वरूप हस्तनिर्मित संगमरमर उत्पादन में गिरावट आई?")</f>
        <v>किस ऐतिहासिक काल में मशीन-निर्मित संगमरमर का व्यापक उपयोग देखा गया, जिसके परिणामस्वरूप हस्तनिर्मित संगमरमर उत्पादन में गिरावट आई?</v>
      </c>
      <c r="H155" s="5" t="str">
        <f>IFERROR(__xludf.DUMMYFUNCTION("GOOGLETRANSLATE(C155, ""en"", ""hi"")"),"A) 18वीं शताब्दी, B) 19वीं शताब्दी, C) 20वीं शताब्दी का प्रारंभ, D) 20वीं शताब्दी का उत्तरार्ध")</f>
        <v>A) 18वीं शताब्दी, B) 19वीं शताब्दी, C) 20वीं शताब्दी का प्रारंभ, D) 20वीं शताब्दी का उत्तरार्ध</v>
      </c>
      <c r="I155" s="5" t="str">
        <f>IFERROR(__xludf.DUMMYFUNCTION("GOOGLETRANSLATE(D155, ""en"", ""hi"")"),"सी) 20वीं सदी की शुरुआत")</f>
        <v>सी) 20वीं सदी की शुरुआत</v>
      </c>
    </row>
    <row r="156" ht="22.5" customHeight="1">
      <c r="A156" s="3">
        <v>155.0</v>
      </c>
      <c r="B156" s="4" t="s">
        <v>7065</v>
      </c>
      <c r="C156" s="4" t="s">
        <v>6953</v>
      </c>
      <c r="D156" s="4" t="s">
        <v>6959</v>
      </c>
      <c r="F156" s="5" t="str">
        <f>IFERROR(__xludf.DUMMYFUNCTION("GOOGLETRANSLATE(A156, ""en"", ""hi"")"),"155")</f>
        <v>155</v>
      </c>
      <c r="G156" s="5" t="str">
        <f>IFERROR(__xludf.DUMMYFUNCTION("GOOGLETRANSLATE(B156, ""en"", ""hi"")"),"कौन सा संगमरमर का डिज़ाइन, जो अपने चमकीले और रंगीन रूप के लिए जाना जाता है, पहली बार 20वीं शताब्दी के मध्य में बनाया गया था?")</f>
        <v>कौन सा संगमरमर का डिज़ाइन, जो अपने चमकीले और रंगीन रूप के लिए जाना जाता है, पहली बार 20वीं शताब्दी के मध्य में बनाया गया था?</v>
      </c>
      <c r="H156" s="5" t="str">
        <f>IFERROR(__xludf.DUMMYFUNCTION("GOOGLETRANSLATE(C156, ""en"", ""hi"")"),"A) स्वर्ल, B) कैट्स आई, C) एगेट, D) स्लैग")</f>
        <v>A) स्वर्ल, B) कैट्स आई, C) एगेट, D) स्लैग</v>
      </c>
      <c r="I156" s="5" t="str">
        <f>IFERROR(__xludf.DUMMYFUNCTION("GOOGLETRANSLATE(D156, ""en"", ""hi"")"),"D) स्लैग")</f>
        <v>D) स्लैग</v>
      </c>
    </row>
    <row r="157" ht="22.5" customHeight="1">
      <c r="A157" s="3">
        <v>156.0</v>
      </c>
      <c r="B157" s="4" t="s">
        <v>7066</v>
      </c>
      <c r="C157" s="4" t="s">
        <v>6854</v>
      </c>
      <c r="D157" s="4" t="s">
        <v>6766</v>
      </c>
      <c r="F157" s="5" t="str">
        <f>IFERROR(__xludf.DUMMYFUNCTION("GOOGLETRANSLATE(A157, ""en"", ""hi"")"),"156")</f>
        <v>156</v>
      </c>
      <c r="G157" s="5" t="str">
        <f>IFERROR(__xludf.DUMMYFUNCTION("GOOGLETRANSLATE(B157, ""en"", ""hi"")"),"यूरोपीय देशों में लोकप्रिय कौन सा मार्बल गेम है, जिसमें खिलाड़ी जमीन या बोर्ड पर बने लक्ष्य छेदों में मार्बल फेंकने का प्रयास करते हैं?")</f>
        <v>यूरोपीय देशों में लोकप्रिय कौन सा मार्बल गेम है, जिसमें खिलाड़ी जमीन या बोर्ड पर बने लक्ष्य छेदों में मार्बल फेंकने का प्रयास करते हैं?</v>
      </c>
      <c r="H157" s="5" t="str">
        <f>IFERROR(__xludf.DUMMYFUNCTION("GOOGLETRANSLATE(C157, ""en"", ""hi"")"),"A) रिंग टॉ, B) मार्बल्स पिट, C) टिड्लीविंक्स, D) पक")</f>
        <v>A) रिंग टॉ, B) मार्बल्स पिट, C) टिड्लीविंक्स, D) पक</v>
      </c>
      <c r="I157" s="5" t="str">
        <f>IFERROR(__xludf.DUMMYFUNCTION("GOOGLETRANSLATE(D157, ""en"", ""hi"")"),"ए) रिंग टॉ")</f>
        <v>ए) रिंग टॉ</v>
      </c>
    </row>
    <row r="158" ht="22.5" customHeight="1">
      <c r="A158" s="3">
        <v>157.0</v>
      </c>
      <c r="B158" s="4" t="s">
        <v>7067</v>
      </c>
      <c r="C158" s="4" t="s">
        <v>6953</v>
      </c>
      <c r="D158" s="4" t="s">
        <v>6929</v>
      </c>
      <c r="F158" s="5" t="str">
        <f>IFERROR(__xludf.DUMMYFUNCTION("GOOGLETRANSLATE(A158, ""en"", ""hi"")"),"157")</f>
        <v>157</v>
      </c>
      <c r="G158" s="5" t="str">
        <f>IFERROR(__xludf.DUMMYFUNCTION("GOOGLETRANSLATE(B158, ""en"", ""hi"")"),"20वीं शताब्दी के प्रारंभ में पहली बार प्रस्तुत किया गया कौन सा संगमरमर का डिज़ाइन अपने चमकीले, घुमावदार रंगों और चिकनी सतह के लिए जाना जाता है?")</f>
        <v>20वीं शताब्दी के प्रारंभ में पहली बार प्रस्तुत किया गया कौन सा संगमरमर का डिज़ाइन अपने चमकीले, घुमावदार रंगों और चिकनी सतह के लिए जाना जाता है?</v>
      </c>
      <c r="H158" s="5" t="str">
        <f>IFERROR(__xludf.DUMMYFUNCTION("GOOGLETRANSLATE(C158, ""en"", ""hi"")"),"A) स्वर्ल, B) कैट्स आई, C) एगेट, D) स्लैग")</f>
        <v>A) स्वर्ल, B) कैट्स आई, C) एगेट, D) स्लैग</v>
      </c>
      <c r="I158" s="5" t="str">
        <f>IFERROR(__xludf.DUMMYFUNCTION("GOOGLETRANSLATE(D158, ""en"", ""hi"")"),"ए) भंवर")</f>
        <v>ए) भंवर</v>
      </c>
    </row>
    <row r="159" ht="22.5" customHeight="1">
      <c r="A159" s="3">
        <v>158.0</v>
      </c>
      <c r="B159" s="4" t="s">
        <v>7068</v>
      </c>
      <c r="C159" s="4" t="s">
        <v>6747</v>
      </c>
      <c r="D159" s="4" t="s">
        <v>6887</v>
      </c>
      <c r="F159" s="5" t="str">
        <f>IFERROR(__xludf.DUMMYFUNCTION("GOOGLETRANSLATE(A159, ""en"", ""hi"")"),"158")</f>
        <v>158</v>
      </c>
      <c r="G159" s="5" t="str">
        <f>IFERROR(__xludf.DUMMYFUNCTION("GOOGLETRANSLATE(B159, ""en"", ""hi"")"),"1949 में स्थापित कौन सी संगमरमर कंपनी जटिल पैटर्न वाले रंगीन, हस्तनिर्मित संगमरमर के उत्पादन के लिए जानी जाती है?")</f>
        <v>1949 में स्थापित कौन सी संगमरमर कंपनी जटिल पैटर्न वाले रंगीन, हस्तनिर्मित संगमरमर के उत्पादन के लिए जानी जाती है?</v>
      </c>
      <c r="H159" s="5" t="str">
        <f>IFERROR(__xludf.DUMMYFUNCTION("GOOGLETRANSLATE(C159, ""en"", ""hi"")"),"A) मार्बल किंग, B) जाबो ग्लास कंपनी, C) क्रिस्टेंसन एगेट कंपनी, D) एक्रो एगेट कंपनी")</f>
        <v>A) मार्बल किंग, B) जाबो ग्लास कंपनी, C) क्रिस्टेंसन एगेट कंपनी, D) एक्रो एगेट कंपनी</v>
      </c>
      <c r="I159" s="5" t="str">
        <f>IFERROR(__xludf.DUMMYFUNCTION("GOOGLETRANSLATE(D159, ""en"", ""hi"")"),"बी) जाबो ग्लास कंपनी")</f>
        <v>बी) जाबो ग्लास कंपनी</v>
      </c>
    </row>
    <row r="160" ht="22.5" customHeight="1">
      <c r="A160" s="3">
        <v>159.0</v>
      </c>
      <c r="B160" s="4" t="s">
        <v>7069</v>
      </c>
      <c r="C160" s="4" t="s">
        <v>6892</v>
      </c>
      <c r="D160" s="4" t="s">
        <v>6959</v>
      </c>
      <c r="F160" s="5" t="str">
        <f>IFERROR(__xludf.DUMMYFUNCTION("GOOGLETRANSLATE(A160, ""en"", ""hi"")"),"159")</f>
        <v>159</v>
      </c>
      <c r="G160" s="5" t="str">
        <f>IFERROR(__xludf.DUMMYFUNCTION("GOOGLETRANSLATE(B160, ""en"", ""hi"")"),"1950 के दशक में लोकप्रिय संगमरमर का कौन सा डिज़ाइन चमकदार, इंद्रधनुषी रूप और अद्वितीय पैटर्न वाला था?")</f>
        <v>1950 के दशक में लोकप्रिय संगमरमर का कौन सा डिज़ाइन चमकदार, इंद्रधनुषी रूप और अद्वितीय पैटर्न वाला था?</v>
      </c>
      <c r="H160" s="5" t="str">
        <f>IFERROR(__xludf.DUMMYFUNCTION("GOOGLETRANSLATE(C160, ""en"", ""hi"")"),"A) बिल्ली की आँख, B) अगेट, C) स्वर्ल, D) स्लैग")</f>
        <v>A) बिल्ली की आँख, B) अगेट, C) स्वर्ल, D) स्लैग</v>
      </c>
      <c r="I160" s="5" t="str">
        <f>IFERROR(__xludf.DUMMYFUNCTION("GOOGLETRANSLATE(D160, ""en"", ""hi"")"),"D) स्लैग")</f>
        <v>D) स्लैग</v>
      </c>
    </row>
    <row r="161" ht="22.5" customHeight="1">
      <c r="A161" s="3">
        <v>160.0</v>
      </c>
      <c r="B161" s="4" t="s">
        <v>7070</v>
      </c>
      <c r="C161" s="4" t="s">
        <v>6926</v>
      </c>
      <c r="D161" s="4" t="s">
        <v>6903</v>
      </c>
      <c r="F161" s="5" t="str">
        <f>IFERROR(__xludf.DUMMYFUNCTION("GOOGLETRANSLATE(A161, ""en"", ""hi"")"),"160")</f>
        <v>160</v>
      </c>
      <c r="G161" s="5" t="str">
        <f>IFERROR(__xludf.DUMMYFUNCTION("GOOGLETRANSLATE(B161, ""en"", ""hi"")"),"कौन सा कंचे का खेल, जिसमें खिलाड़ी बोर्ड पर छोटे-छोटे छेदों या लक्ष्यों में कंचे फेंकते थे, 20वीं सदी में लोकप्रिय था?")</f>
        <v>कौन सा कंचे का खेल, जिसमें खिलाड़ी बोर्ड पर छोटे-छोटे छेदों या लक्ष्यों में कंचे फेंकते थे, 20वीं सदी में लोकप्रिय था?</v>
      </c>
      <c r="H161" s="5" t="str">
        <f>IFERROR(__xludf.DUMMYFUNCTION("GOOGLETRANSLATE(C161, ""en"", ""hi"")"),"A) टिड्लीविंक्स, B) रिंग टॉ, C) मार्बल्स पिट, D) पक")</f>
        <v>A) टिड्लीविंक्स, B) रिंग टॉ, C) मार्बल्स पिट, D) पक</v>
      </c>
      <c r="I161" s="5" t="str">
        <f>IFERROR(__xludf.DUMMYFUNCTION("GOOGLETRANSLATE(D161, ""en"", ""hi"")"),"ए) टिड्लीविंक्स")</f>
        <v>ए) टिड्लीविंक्स</v>
      </c>
    </row>
    <row r="162" ht="22.5" customHeight="1">
      <c r="A162" s="3">
        <v>161.0</v>
      </c>
      <c r="B162" s="4" t="s">
        <v>7028</v>
      </c>
      <c r="C162" s="4" t="s">
        <v>7053</v>
      </c>
      <c r="D162" s="4" t="s">
        <v>7003</v>
      </c>
      <c r="F162" s="5" t="str">
        <f>IFERROR(__xludf.DUMMYFUNCTION("GOOGLETRANSLATE(A162, ""en"", ""hi"")"),"161")</f>
        <v>161</v>
      </c>
      <c r="G162" s="5" t="str">
        <f>IFERROR(__xludf.DUMMYFUNCTION("GOOGLETRANSLATE(B162, ""en"", ""hi"")"),"प्राचीन संगमरमर के अध्ययन में अपने योगदान के लिए जाने जाने वाले कौन से ऐतिहासिक व्यक्ति संगमरमर बनाने की तकनीक के विकास से जुड़े हैं?")</f>
        <v>प्राचीन संगमरमर के अध्ययन में अपने योगदान के लिए जाने जाने वाले कौन से ऐतिहासिक व्यक्ति संगमरमर बनाने की तकनीक के विकास से जुड़े हैं?</v>
      </c>
      <c r="H162" s="5" t="str">
        <f>IFERROR(__xludf.DUMMYFUNCTION("GOOGLETRANSLATE(C162, ""en"", ""hi"")"),"A) चार्ल्स एम. मिलर, B) थॉमस एडिसन, C) अल्बर्ट आइंस्टीन, D) जेम्स स्मिथसन")</f>
        <v>A) चार्ल्स एम. मिलर, B) थॉमस एडिसन, C) अल्बर्ट आइंस्टीन, D) जेम्स स्मिथसन</v>
      </c>
      <c r="I162" s="5" t="str">
        <f>IFERROR(__xludf.DUMMYFUNCTION("GOOGLETRANSLATE(D162, ""en"", ""hi"")"),"A) चार्ल्स एम. मिलर")</f>
        <v>A) चार्ल्स एम. मिलर</v>
      </c>
    </row>
    <row r="163" ht="22.5" customHeight="1">
      <c r="A163" s="3">
        <v>162.0</v>
      </c>
      <c r="B163" s="4" t="s">
        <v>7071</v>
      </c>
      <c r="C163" s="4" t="s">
        <v>6953</v>
      </c>
      <c r="D163" s="4" t="s">
        <v>6929</v>
      </c>
      <c r="F163" s="5" t="str">
        <f>IFERROR(__xludf.DUMMYFUNCTION("GOOGLETRANSLATE(A163, ""en"", ""hi"")"),"162")</f>
        <v>162</v>
      </c>
      <c r="G163" s="5" t="str">
        <f>IFERROR(__xludf.DUMMYFUNCTION("GOOGLETRANSLATE(B163, ""en"", ""hi"")"),"19वीं शताब्दी के अंत में पहली बार प्रस्तुत किया गया कौन सा संगमरमर का डिज़ाइन अपने चमकीले, घूमते रंगों और परावर्तक सतह के लिए जाना जाता है?")</f>
        <v>19वीं शताब्दी के अंत में पहली बार प्रस्तुत किया गया कौन सा संगमरमर का डिज़ाइन अपने चमकीले, घूमते रंगों और परावर्तक सतह के लिए जाना जाता है?</v>
      </c>
      <c r="H163" s="5" t="str">
        <f>IFERROR(__xludf.DUMMYFUNCTION("GOOGLETRANSLATE(C163, ""en"", ""hi"")"),"A) स्वर्ल, B) कैट्स आई, C) एगेट, D) स्लैग")</f>
        <v>A) स्वर्ल, B) कैट्स आई, C) एगेट, D) स्लैग</v>
      </c>
      <c r="I163" s="5" t="str">
        <f>IFERROR(__xludf.DUMMYFUNCTION("GOOGLETRANSLATE(D163, ""en"", ""hi"")"),"ए) भंवर")</f>
        <v>ए) भंवर</v>
      </c>
    </row>
    <row r="164" ht="22.5" customHeight="1">
      <c r="A164" s="3">
        <v>163.0</v>
      </c>
      <c r="B164" s="4" t="s">
        <v>7055</v>
      </c>
      <c r="C164" s="4" t="s">
        <v>7056</v>
      </c>
      <c r="D164" s="4" t="s">
        <v>6896</v>
      </c>
      <c r="F164" s="5" t="str">
        <f>IFERROR(__xludf.DUMMYFUNCTION("GOOGLETRANSLATE(A164, ""en"", ""hi"")"),"163")</f>
        <v>163</v>
      </c>
      <c r="G164" s="5" t="str">
        <f>IFERROR(__xludf.DUMMYFUNCTION("GOOGLETRANSLATE(B164, ""en"", ""hi"")"),"1920 में स्थापित कौन सी कंपनी अपने उच्च गुणवत्ता वाले, जटिल पैटर्न वाले मशीन-निर्मित मार्बल के लिए जानी जाती है?")</f>
        <v>1920 में स्थापित कौन सी कंपनी अपने उच्च गुणवत्ता वाले, जटिल पैटर्न वाले मशीन-निर्मित मार्बल के लिए जानी जाती है?</v>
      </c>
      <c r="H164" s="5" t="str">
        <f>IFERROR(__xludf.DUMMYFUNCTION("GOOGLETRANSLATE(C164, ""en"", ""hi"")"),"A) एक्रो एगेट कंपनी, B) जाबो ग्लास कंपनी, C) क्रिस्टेंसन एगेट कंपनी, D) मार्बल किंग")</f>
        <v>A) एक्रो एगेट कंपनी, B) जाबो ग्लास कंपनी, C) क्रिस्टेंसन एगेट कंपनी, D) मार्बल किंग</v>
      </c>
      <c r="I164" s="5" t="str">
        <f>IFERROR(__xludf.DUMMYFUNCTION("GOOGLETRANSLATE(D164, ""en"", ""hi"")"),"ए) एक्रो एगेट कंपनी")</f>
        <v>ए) एक्रो एगेट कंपनी</v>
      </c>
    </row>
    <row r="165" ht="22.5" customHeight="1">
      <c r="A165" s="3">
        <v>164.0</v>
      </c>
      <c r="B165" s="4" t="s">
        <v>7072</v>
      </c>
      <c r="C165" s="4" t="s">
        <v>6973</v>
      </c>
      <c r="D165" s="4" t="s">
        <v>6890</v>
      </c>
      <c r="F165" s="5" t="str">
        <f>IFERROR(__xludf.DUMMYFUNCTION("GOOGLETRANSLATE(A165, ""en"", ""hi"")"),"164")</f>
        <v>164</v>
      </c>
      <c r="G165" s="5" t="str">
        <f>IFERROR(__xludf.DUMMYFUNCTION("GOOGLETRANSLATE(B165, ""en"", ""hi"")"),"कौन से मार्बल गेम में खिलाड़ी एक निश्चित नियमों और रणनीतियों के साथ मार्बल को लक्ष्य क्षेत्र में फेंकने का प्रयास करते हैं?")</f>
        <v>कौन से मार्बल गेम में खिलाड़ी एक निश्चित नियमों और रणनीतियों के साथ मार्बल को लक्ष्य क्षेत्र में फेंकने का प्रयास करते हैं?</v>
      </c>
      <c r="H165" s="5" t="str">
        <f>IFERROR(__xludf.DUMMYFUNCTION("GOOGLETRANSLATE(C165, ""en"", ""hi"")"),"A) रिंग टॉ, B) मार्बल्स पिट, C) टिड्लीविंक्स, D) नॉक-आउट")</f>
        <v>A) रिंग टॉ, B) मार्बल्स पिट, C) टिड्लीविंक्स, D) नॉक-आउट</v>
      </c>
      <c r="I165" s="5" t="str">
        <f>IFERROR(__xludf.DUMMYFUNCTION("GOOGLETRANSLATE(D165, ""en"", ""hi"")"),"डी) नॉक-आउट")</f>
        <v>डी) नॉक-आउट</v>
      </c>
    </row>
    <row r="166" ht="22.5" customHeight="1">
      <c r="A166" s="3">
        <v>165.0</v>
      </c>
      <c r="B166" s="4" t="s">
        <v>7058</v>
      </c>
      <c r="C166" s="4" t="s">
        <v>6931</v>
      </c>
      <c r="D166" s="4" t="s">
        <v>6867</v>
      </c>
      <c r="F166" s="5" t="str">
        <f>IFERROR(__xludf.DUMMYFUNCTION("GOOGLETRANSLATE(A166, ""en"", ""hi"")"),"165")</f>
        <v>165</v>
      </c>
      <c r="G166" s="5" t="str">
        <f>IFERROR(__xludf.DUMMYFUNCTION("GOOGLETRANSLATE(B166, ""en"", ""hi"")"),"अपनी चिकनी सतह और एकसमान आकार के लिए जाना जाने वाला कौन सा संगमरमर डिज़ाइन, उत्पादन तकनीक में प्रगति के कारण 20वीं शताब्दी की शुरुआत में लोकप्रिय हो गया?")</f>
        <v>अपनी चिकनी सतह और एकसमान आकार के लिए जाना जाने वाला कौन सा संगमरमर डिज़ाइन, उत्पादन तकनीक में प्रगति के कारण 20वीं शताब्दी की शुरुआत में लोकप्रिय हो गया?</v>
      </c>
      <c r="H166" s="5" t="str">
        <f>IFERROR(__xludf.DUMMYFUNCTION("GOOGLETRANSLATE(C166, ""en"", ""hi"")"),"A) कांच के मार्बल, B) मिट्टी के मार्बल, C) धातु के मार्बल, D) प्लास्टिक के मार्बल")</f>
        <v>A) कांच के मार्बल, B) मिट्टी के मार्बल, C) धातु के मार्बल, D) प्लास्टिक के मार्बल</v>
      </c>
      <c r="I166" s="5" t="str">
        <f>IFERROR(__xludf.DUMMYFUNCTION("GOOGLETRANSLATE(D166, ""en"", ""hi"")"),"A) कांच के पत्थर")</f>
        <v>A) कांच के पत्थर</v>
      </c>
    </row>
    <row r="167" ht="22.5" customHeight="1">
      <c r="A167" s="3">
        <v>166.0</v>
      </c>
      <c r="B167" s="4" t="s">
        <v>7059</v>
      </c>
      <c r="C167" s="4" t="s">
        <v>6810</v>
      </c>
      <c r="D167" s="4" t="s">
        <v>6811</v>
      </c>
      <c r="F167" s="5" t="str">
        <f>IFERROR(__xludf.DUMMYFUNCTION("GOOGLETRANSLATE(A167, ""en"", ""hi"")"),"166")</f>
        <v>166</v>
      </c>
      <c r="G167" s="5" t="str">
        <f>IFERROR(__xludf.DUMMYFUNCTION("GOOGLETRANSLATE(B167, ""en"", ""hi"")"),"यूरोपीय देशों में लोकप्रिय कौन सा मार्बल गेम है, जिसमें खिलाड़ी एक विशिष्ट रणनीति और कौशल के साथ मार्बल को छेद या कप में फेंकते हैं?")</f>
        <v>यूरोपीय देशों में लोकप्रिय कौन सा मार्बल गेम है, जिसमें खिलाड़ी एक विशिष्ट रणनीति और कौशल के साथ मार्बल को छेद या कप में फेंकते हैं?</v>
      </c>
      <c r="H167" s="5" t="str">
        <f>IFERROR(__xludf.DUMMYFUNCTION("GOOGLETRANSLATE(C167, ""en"", ""hi"")"),"A) मार्बल्स पिट, B) रिंग टॉ, C) टिड्लीविंक्स, D) पक")</f>
        <v>A) मार्बल्स पिट, B) रिंग टॉ, C) टिड्लीविंक्स, D) पक</v>
      </c>
      <c r="I167" s="5" t="str">
        <f>IFERROR(__xludf.DUMMYFUNCTION("GOOGLETRANSLATE(D167, ""en"", ""hi"")"),"A) मार्बल्स पिट")</f>
        <v>A) मार्बल्स पिट</v>
      </c>
    </row>
    <row r="168" ht="22.5" customHeight="1">
      <c r="A168" s="3">
        <v>167.0</v>
      </c>
      <c r="B168" s="4" t="s">
        <v>7060</v>
      </c>
      <c r="C168" s="4" t="s">
        <v>6892</v>
      </c>
      <c r="D168" s="4" t="s">
        <v>6893</v>
      </c>
      <c r="F168" s="5" t="str">
        <f>IFERROR(__xludf.DUMMYFUNCTION("GOOGLETRANSLATE(A168, ""en"", ""hi"")"),"167")</f>
        <v>167</v>
      </c>
      <c r="G168" s="5" t="str">
        <f>IFERROR(__xludf.DUMMYFUNCTION("GOOGLETRANSLATE(B168, ""en"", ""hi"")"),"20वीं शताब्दी में पहली बार शुरू की गई संगमरमर की किस डिजाइन में एक पारभासी परत से घिरा केंद्रीय कोर है?")</f>
        <v>20वीं शताब्दी में पहली बार शुरू की गई संगमरमर की किस डिजाइन में एक पारभासी परत से घिरा केंद्रीय कोर है?</v>
      </c>
      <c r="H168" s="5" t="str">
        <f>IFERROR(__xludf.DUMMYFUNCTION("GOOGLETRANSLATE(C168, ""en"", ""hi"")"),"A) बिल्ली की आँख, B) अगेट, C) स्वर्ल, D) स्लैग")</f>
        <v>A) बिल्ली की आँख, B) अगेट, C) स्वर्ल, D) स्लैग</v>
      </c>
      <c r="I168" s="5" t="str">
        <f>IFERROR(__xludf.DUMMYFUNCTION("GOOGLETRANSLATE(D168, ""en"", ""hi"")"),"ए) बिल्ली की आँख")</f>
        <v>ए) बिल्ली की आँख</v>
      </c>
    </row>
    <row r="169" ht="22.5" customHeight="1">
      <c r="A169" s="3">
        <v>168.0</v>
      </c>
      <c r="B169" s="4" t="s">
        <v>7061</v>
      </c>
      <c r="C169" s="4" t="s">
        <v>7045</v>
      </c>
      <c r="D169" s="4" t="s">
        <v>7009</v>
      </c>
      <c r="F169" s="5" t="str">
        <f>IFERROR(__xludf.DUMMYFUNCTION("GOOGLETRANSLATE(A169, ""en"", ""hi"")"),"168")</f>
        <v>168</v>
      </c>
      <c r="G169" s="5" t="str">
        <f>IFERROR(__xludf.DUMMYFUNCTION("GOOGLETRANSLATE(B169, ""en"", ""hi"")"),"1912 में स्थापित किस कंपनी ने संगमरमर बनाने की तकनीक के विकास में महत्वपूर्ण भूमिका निभाई और अपने उच्च गुणवत्ता वाले संगमरमर के लिए जानी जाती है?")</f>
        <v>1912 में स्थापित किस कंपनी ने संगमरमर बनाने की तकनीक के विकास में महत्वपूर्ण भूमिका निभाई और अपने उच्च गुणवत्ता वाले संगमरमर के लिए जानी जाती है?</v>
      </c>
      <c r="H169" s="5" t="str">
        <f>IFERROR(__xludf.DUMMYFUNCTION("GOOGLETRANSLATE(C169, ""en"", ""hi"")"),"A) क्रिस्टेंसन एगेट कंपनी, B) मार्बल किंग, C) एक्रो एगेट कंपनी, D) जाबो ग्लास कंपनी")</f>
        <v>A) क्रिस्टेंसन एगेट कंपनी, B) मार्बल किंग, C) एक्रो एगेट कंपनी, D) जाबो ग्लास कंपनी</v>
      </c>
      <c r="I169" s="5" t="str">
        <f>IFERROR(__xludf.DUMMYFUNCTION("GOOGLETRANSLATE(D169, ""en"", ""hi"")"),"ए) क्रिस्टेंसन एगेट कंपनी")</f>
        <v>ए) क्रिस्टेंसन एगेट कंपनी</v>
      </c>
    </row>
    <row r="170" ht="22.5" customHeight="1">
      <c r="A170" s="3">
        <v>169.0</v>
      </c>
      <c r="B170" s="4" t="s">
        <v>7062</v>
      </c>
      <c r="C170" s="4" t="s">
        <v>7034</v>
      </c>
      <c r="D170" s="4" t="s">
        <v>7035</v>
      </c>
      <c r="F170" s="5" t="str">
        <f>IFERROR(__xludf.DUMMYFUNCTION("GOOGLETRANSLATE(A170, ""en"", ""hi"")"),"169")</f>
        <v>169</v>
      </c>
      <c r="G170" s="5" t="str">
        <f>IFERROR(__xludf.DUMMYFUNCTION("GOOGLETRANSLATE(B170, ""en"", ""hi"")"),"कौन से मार्बल गेम में मार्बल्स को एक केन्द्रीय लक्ष्य क्षेत्र में फेंकना शामिल होता है, जिसके लिए अक्सर विशिष्ट नियम और रणनीतियां होती हैं?")</f>
        <v>कौन से मार्बल गेम में मार्बल्स को एक केन्द्रीय लक्ष्य क्षेत्र में फेंकना शामिल होता है, जिसके लिए अक्सर विशिष्ट नियम और रणनीतियां होती हैं?</v>
      </c>
      <c r="H170" s="5" t="str">
        <f>IFERROR(__xludf.DUMMYFUNCTION("GOOGLETRANSLATE(C170, ""en"", ""hi"")"),"A) नॉक-आउट, B) मार्बल्स पिट, C) रिंग टॉ, D) टिड्लीविंक्स")</f>
        <v>A) नॉक-आउट, B) मार्बल्स पिट, C) रिंग टॉ, D) टिड्लीविंक्स</v>
      </c>
      <c r="I170" s="5" t="str">
        <f>IFERROR(__xludf.DUMMYFUNCTION("GOOGLETRANSLATE(D170, ""en"", ""hi"")"),"ए) नॉक-आउट")</f>
        <v>ए) नॉक-आउट</v>
      </c>
    </row>
    <row r="171" ht="22.5" customHeight="1">
      <c r="A171" s="3">
        <v>170.0</v>
      </c>
      <c r="B171" s="4" t="s">
        <v>7063</v>
      </c>
      <c r="C171" s="4" t="s">
        <v>6971</v>
      </c>
      <c r="D171" s="4" t="s">
        <v>6876</v>
      </c>
      <c r="F171" s="5" t="str">
        <f>IFERROR(__xludf.DUMMYFUNCTION("GOOGLETRANSLATE(A171, ""en"", ""hi"")"),"170")</f>
        <v>170</v>
      </c>
      <c r="G171" s="5" t="str">
        <f>IFERROR(__xludf.DUMMYFUNCTION("GOOGLETRANSLATE(B171, ""en"", ""hi"")"),"19वीं शताब्दी के अंत में शुरू की गई संगमरमर की कौन सी डिजाइन में अपारदर्शी और पारभासी क्षेत्रों का संयोजन है?")</f>
        <v>19वीं शताब्दी के अंत में शुरू की गई संगमरमर की कौन सी डिजाइन में अपारदर्शी और पारभासी क्षेत्रों का संयोजन है?</v>
      </c>
      <c r="H171" s="5" t="str">
        <f>IFERROR(__xludf.DUMMYFUNCTION("GOOGLETRANSLATE(C171, ""en"", ""hi"")"),"A) एगेट, B) कैट्स आई, C) स्वर्ल, D) स्लैग")</f>
        <v>A) एगेट, B) कैट्स आई, C) स्वर्ल, D) स्लैग</v>
      </c>
      <c r="I171" s="5" t="str">
        <f>IFERROR(__xludf.DUMMYFUNCTION("GOOGLETRANSLATE(D171, ""en"", ""hi"")"),"ए) एगेट")</f>
        <v>ए) एगेट</v>
      </c>
    </row>
    <row r="172" ht="22.5" customHeight="1">
      <c r="A172" s="3">
        <v>171.0</v>
      </c>
      <c r="B172" s="4" t="s">
        <v>7064</v>
      </c>
      <c r="C172" s="4" t="s">
        <v>6899</v>
      </c>
      <c r="D172" s="4" t="s">
        <v>6900</v>
      </c>
      <c r="F172" s="5" t="str">
        <f>IFERROR(__xludf.DUMMYFUNCTION("GOOGLETRANSLATE(A172, ""en"", ""hi"")"),"171")</f>
        <v>171</v>
      </c>
      <c r="G172" s="5" t="str">
        <f>IFERROR(__xludf.DUMMYFUNCTION("GOOGLETRANSLATE(B172, ""en"", ""hi"")"),"किस ऐतिहासिक काल में मशीन-निर्मित संगमरमर का व्यापक उपयोग देखा गया, जिसके परिणामस्वरूप हस्तनिर्मित संगमरमर उत्पादन में गिरावट आई?")</f>
        <v>किस ऐतिहासिक काल में मशीन-निर्मित संगमरमर का व्यापक उपयोग देखा गया, जिसके परिणामस्वरूप हस्तनिर्मित संगमरमर उत्पादन में गिरावट आई?</v>
      </c>
      <c r="H172" s="5" t="str">
        <f>IFERROR(__xludf.DUMMYFUNCTION("GOOGLETRANSLATE(C172, ""en"", ""hi"")"),"A) 18वीं शताब्दी, B) 19वीं शताब्दी, C) 20वीं शताब्दी का प्रारंभ, D) 20वीं शताब्दी का उत्तरार्ध")</f>
        <v>A) 18वीं शताब्दी, B) 19वीं शताब्दी, C) 20वीं शताब्दी का प्रारंभ, D) 20वीं शताब्दी का उत्तरार्ध</v>
      </c>
      <c r="I172" s="5" t="str">
        <f>IFERROR(__xludf.DUMMYFUNCTION("GOOGLETRANSLATE(D172, ""en"", ""hi"")"),"सी) 20वीं सदी की शुरुआत")</f>
        <v>सी) 20वीं सदी की शुरुआत</v>
      </c>
    </row>
    <row r="173" ht="22.5" customHeight="1">
      <c r="A173" s="3">
        <v>172.0</v>
      </c>
      <c r="B173" s="4" t="s">
        <v>7065</v>
      </c>
      <c r="C173" s="4" t="s">
        <v>6953</v>
      </c>
      <c r="D173" s="4" t="s">
        <v>6959</v>
      </c>
      <c r="F173" s="5" t="str">
        <f>IFERROR(__xludf.DUMMYFUNCTION("GOOGLETRANSLATE(A173, ""en"", ""hi"")"),"172")</f>
        <v>172</v>
      </c>
      <c r="G173" s="5" t="str">
        <f>IFERROR(__xludf.DUMMYFUNCTION("GOOGLETRANSLATE(B173, ""en"", ""hi"")"),"कौन सा संगमरमर का डिज़ाइन, जो अपने चमकीले और रंगीन रूप के लिए जाना जाता है, पहली बार 20वीं शताब्दी के मध्य में बनाया गया था?")</f>
        <v>कौन सा संगमरमर का डिज़ाइन, जो अपने चमकीले और रंगीन रूप के लिए जाना जाता है, पहली बार 20वीं शताब्दी के मध्य में बनाया गया था?</v>
      </c>
      <c r="H173" s="5" t="str">
        <f>IFERROR(__xludf.DUMMYFUNCTION("GOOGLETRANSLATE(C173, ""en"", ""hi"")"),"A) स्वर्ल, B) कैट्स आई, C) एगेट, D) स्लैग")</f>
        <v>A) स्वर्ल, B) कैट्स आई, C) एगेट, D) स्लैग</v>
      </c>
      <c r="I173" s="5" t="str">
        <f>IFERROR(__xludf.DUMMYFUNCTION("GOOGLETRANSLATE(D173, ""en"", ""hi"")"),"D) स्लैग")</f>
        <v>D) स्लैग</v>
      </c>
    </row>
    <row r="174" ht="22.5" customHeight="1">
      <c r="A174" s="3">
        <v>173.0</v>
      </c>
      <c r="B174" s="4" t="s">
        <v>7066</v>
      </c>
      <c r="C174" s="4" t="s">
        <v>6854</v>
      </c>
      <c r="D174" s="4" t="s">
        <v>6766</v>
      </c>
      <c r="F174" s="5" t="str">
        <f>IFERROR(__xludf.DUMMYFUNCTION("GOOGLETRANSLATE(A174, ""en"", ""hi"")"),"173")</f>
        <v>173</v>
      </c>
      <c r="G174" s="5" t="str">
        <f>IFERROR(__xludf.DUMMYFUNCTION("GOOGLETRANSLATE(B174, ""en"", ""hi"")"),"यूरोपीय देशों में लोकप्रिय कौन सा मार्बल गेम है, जिसमें खिलाड़ी जमीन या बोर्ड पर बने लक्ष्य छेदों में मार्बल फेंकने का प्रयास करते हैं?")</f>
        <v>यूरोपीय देशों में लोकप्रिय कौन सा मार्बल गेम है, जिसमें खिलाड़ी जमीन या बोर्ड पर बने लक्ष्य छेदों में मार्बल फेंकने का प्रयास करते हैं?</v>
      </c>
      <c r="H174" s="5" t="str">
        <f>IFERROR(__xludf.DUMMYFUNCTION("GOOGLETRANSLATE(C174, ""en"", ""hi"")"),"A) रिंग टॉ, B) मार्बल्स पिट, C) टिड्लीविंक्स, D) पक")</f>
        <v>A) रिंग टॉ, B) मार्बल्स पिट, C) टिड्लीविंक्स, D) पक</v>
      </c>
      <c r="I174" s="5" t="str">
        <f>IFERROR(__xludf.DUMMYFUNCTION("GOOGLETRANSLATE(D174, ""en"", ""hi"")"),"ए) रिंग टॉ")</f>
        <v>ए) रिंग टॉ</v>
      </c>
    </row>
    <row r="175" ht="22.5" customHeight="1">
      <c r="A175" s="3">
        <v>174.0</v>
      </c>
      <c r="B175" s="4" t="s">
        <v>7067</v>
      </c>
      <c r="C175" s="4" t="s">
        <v>6953</v>
      </c>
      <c r="D175" s="4" t="s">
        <v>6929</v>
      </c>
      <c r="F175" s="5" t="str">
        <f>IFERROR(__xludf.DUMMYFUNCTION("GOOGLETRANSLATE(A175, ""en"", ""hi"")"),"174")</f>
        <v>174</v>
      </c>
      <c r="G175" s="5" t="str">
        <f>IFERROR(__xludf.DUMMYFUNCTION("GOOGLETRANSLATE(B175, ""en"", ""hi"")"),"20वीं शताब्दी के प्रारंभ में पहली बार प्रस्तुत किया गया कौन सा संगमरमर का डिज़ाइन अपने चमकीले, घुमावदार रंगों और चिकनी सतह के लिए जाना जाता है?")</f>
        <v>20वीं शताब्दी के प्रारंभ में पहली बार प्रस्तुत किया गया कौन सा संगमरमर का डिज़ाइन अपने चमकीले, घुमावदार रंगों और चिकनी सतह के लिए जाना जाता है?</v>
      </c>
      <c r="H175" s="5" t="str">
        <f>IFERROR(__xludf.DUMMYFUNCTION("GOOGLETRANSLATE(C175, ""en"", ""hi"")"),"A) स्वर्ल, B) कैट्स आई, C) एगेट, D) स्लैग")</f>
        <v>A) स्वर्ल, B) कैट्स आई, C) एगेट, D) स्लैग</v>
      </c>
      <c r="I175" s="5" t="str">
        <f>IFERROR(__xludf.DUMMYFUNCTION("GOOGLETRANSLATE(D175, ""en"", ""hi"")"),"ए) भंवर")</f>
        <v>ए) भंवर</v>
      </c>
    </row>
    <row r="176" ht="22.5" customHeight="1">
      <c r="A176" s="3">
        <v>175.0</v>
      </c>
      <c r="B176" s="4" t="s">
        <v>7068</v>
      </c>
      <c r="C176" s="4" t="s">
        <v>6747</v>
      </c>
      <c r="D176" s="4" t="s">
        <v>6887</v>
      </c>
      <c r="F176" s="5" t="str">
        <f>IFERROR(__xludf.DUMMYFUNCTION("GOOGLETRANSLATE(A176, ""en"", ""hi"")"),"175")</f>
        <v>175</v>
      </c>
      <c r="G176" s="5" t="str">
        <f>IFERROR(__xludf.DUMMYFUNCTION("GOOGLETRANSLATE(B176, ""en"", ""hi"")"),"1949 में स्थापित कौन सी संगमरमर कंपनी जटिल पैटर्न वाले रंगीन, हस्तनिर्मित संगमरमर के उत्पादन के लिए जानी जाती है?")</f>
        <v>1949 में स्थापित कौन सी संगमरमर कंपनी जटिल पैटर्न वाले रंगीन, हस्तनिर्मित संगमरमर के उत्पादन के लिए जानी जाती है?</v>
      </c>
      <c r="H176" s="5" t="str">
        <f>IFERROR(__xludf.DUMMYFUNCTION("GOOGLETRANSLATE(C176, ""en"", ""hi"")"),"A) मार्बल किंग, B) जाबो ग्लास कंपनी, C) क्रिस्टेंसन एगेट कंपनी, D) एक्रो एगेट कंपनी")</f>
        <v>A) मार्बल किंग, B) जाबो ग्लास कंपनी, C) क्रिस्टेंसन एगेट कंपनी, D) एक्रो एगेट कंपनी</v>
      </c>
      <c r="I176" s="5" t="str">
        <f>IFERROR(__xludf.DUMMYFUNCTION("GOOGLETRANSLATE(D176, ""en"", ""hi"")"),"बी) जाबो ग्लास कंपनी")</f>
        <v>बी) जाबो ग्लास कंपनी</v>
      </c>
    </row>
    <row r="177" ht="22.5" customHeight="1">
      <c r="A177" s="3">
        <v>176.0</v>
      </c>
      <c r="B177" s="4" t="s">
        <v>7069</v>
      </c>
      <c r="C177" s="4" t="s">
        <v>6892</v>
      </c>
      <c r="D177" s="4" t="s">
        <v>6959</v>
      </c>
      <c r="F177" s="5" t="str">
        <f>IFERROR(__xludf.DUMMYFUNCTION("GOOGLETRANSLATE(A177, ""en"", ""hi"")"),"176")</f>
        <v>176</v>
      </c>
      <c r="G177" s="5" t="str">
        <f>IFERROR(__xludf.DUMMYFUNCTION("GOOGLETRANSLATE(B177, ""en"", ""hi"")"),"1950 के दशक में लोकप्रिय संगमरमर का कौन सा डिज़ाइन चमकदार, इंद्रधनुषी रूप और अद्वितीय पैटर्न वाला था?")</f>
        <v>1950 के दशक में लोकप्रिय संगमरमर का कौन सा डिज़ाइन चमकदार, इंद्रधनुषी रूप और अद्वितीय पैटर्न वाला था?</v>
      </c>
      <c r="H177" s="5" t="str">
        <f>IFERROR(__xludf.DUMMYFUNCTION("GOOGLETRANSLATE(C177, ""en"", ""hi"")"),"A) बिल्ली की आँख, B) अगेट, C) स्वर्ल, D) स्लैग")</f>
        <v>A) बिल्ली की आँख, B) अगेट, C) स्वर्ल, D) स्लैग</v>
      </c>
      <c r="I177" s="5" t="str">
        <f>IFERROR(__xludf.DUMMYFUNCTION("GOOGLETRANSLATE(D177, ""en"", ""hi"")"),"D) स्लैग")</f>
        <v>D) स्लैग</v>
      </c>
    </row>
    <row r="178" ht="22.5" customHeight="1">
      <c r="A178" s="3">
        <v>177.0</v>
      </c>
      <c r="B178" s="4" t="s">
        <v>7070</v>
      </c>
      <c r="C178" s="4" t="s">
        <v>6926</v>
      </c>
      <c r="D178" s="4" t="s">
        <v>6903</v>
      </c>
      <c r="F178" s="5" t="str">
        <f>IFERROR(__xludf.DUMMYFUNCTION("GOOGLETRANSLATE(A178, ""en"", ""hi"")"),"177")</f>
        <v>177</v>
      </c>
      <c r="G178" s="5" t="str">
        <f>IFERROR(__xludf.DUMMYFUNCTION("GOOGLETRANSLATE(B178, ""en"", ""hi"")"),"कौन सा कंचे का खेल, जिसमें खिलाड़ी बोर्ड पर छोटे-छोटे छेदों या लक्ष्यों में कंचे फेंकते थे, 20वीं सदी में लोकप्रिय था?")</f>
        <v>कौन सा कंचे का खेल, जिसमें खिलाड़ी बोर्ड पर छोटे-छोटे छेदों या लक्ष्यों में कंचे फेंकते थे, 20वीं सदी में लोकप्रिय था?</v>
      </c>
      <c r="H178" s="5" t="str">
        <f>IFERROR(__xludf.DUMMYFUNCTION("GOOGLETRANSLATE(C178, ""en"", ""hi"")"),"A) टिड्लीविंक्स, B) रिंग टॉ, C) मार्बल्स पिट, D) पक")</f>
        <v>A) टिड्लीविंक्स, B) रिंग टॉ, C) मार्बल्स पिट, D) पक</v>
      </c>
      <c r="I178" s="5" t="str">
        <f>IFERROR(__xludf.DUMMYFUNCTION("GOOGLETRANSLATE(D178, ""en"", ""hi"")"),"ए) टिड्लीविंक्स")</f>
        <v>ए) टिड्लीविंक्स</v>
      </c>
    </row>
    <row r="179" ht="22.5" customHeight="1">
      <c r="A179" s="3">
        <v>178.0</v>
      </c>
      <c r="B179" s="4" t="s">
        <v>7028</v>
      </c>
      <c r="C179" s="4" t="s">
        <v>7053</v>
      </c>
      <c r="D179" s="4" t="s">
        <v>7003</v>
      </c>
      <c r="F179" s="5" t="str">
        <f>IFERROR(__xludf.DUMMYFUNCTION("GOOGLETRANSLATE(A179, ""en"", ""hi"")"),"178")</f>
        <v>178</v>
      </c>
      <c r="G179" s="5" t="str">
        <f>IFERROR(__xludf.DUMMYFUNCTION("GOOGLETRANSLATE(B179, ""en"", ""hi"")"),"प्राचीन संगमरमर के अध्ययन में अपने योगदान के लिए जाने जाने वाले कौन से ऐतिहासिक व्यक्ति संगमरमर बनाने की तकनीक के विकास से जुड़े हैं?")</f>
        <v>प्राचीन संगमरमर के अध्ययन में अपने योगदान के लिए जाने जाने वाले कौन से ऐतिहासिक व्यक्ति संगमरमर बनाने की तकनीक के विकास से जुड़े हैं?</v>
      </c>
      <c r="H179" s="5" t="str">
        <f>IFERROR(__xludf.DUMMYFUNCTION("GOOGLETRANSLATE(C179, ""en"", ""hi"")"),"A) चार्ल्स एम. मिलर, B) थॉमस एडिसन, C) अल्बर्ट आइंस्टीन, D) जेम्स स्मिथसन")</f>
        <v>A) चार्ल्स एम. मिलर, B) थॉमस एडिसन, C) अल्बर्ट आइंस्टीन, D) जेम्स स्मिथसन</v>
      </c>
      <c r="I179" s="5" t="str">
        <f>IFERROR(__xludf.DUMMYFUNCTION("GOOGLETRANSLATE(D179, ""en"", ""hi"")"),"A) चार्ल्स एम. मिलर")</f>
        <v>A) चार्ल्स एम. मिलर</v>
      </c>
    </row>
    <row r="180" ht="22.5" customHeight="1">
      <c r="A180" s="3">
        <v>179.0</v>
      </c>
      <c r="B180" s="4" t="s">
        <v>7071</v>
      </c>
      <c r="C180" s="4" t="s">
        <v>6953</v>
      </c>
      <c r="D180" s="4" t="s">
        <v>6929</v>
      </c>
      <c r="F180" s="5" t="str">
        <f>IFERROR(__xludf.DUMMYFUNCTION("GOOGLETRANSLATE(A180, ""en"", ""hi"")"),"179")</f>
        <v>179</v>
      </c>
      <c r="G180" s="5" t="str">
        <f>IFERROR(__xludf.DUMMYFUNCTION("GOOGLETRANSLATE(B180, ""en"", ""hi"")"),"19वीं शताब्दी के अंत में पहली बार प्रस्तुत किया गया कौन सा संगमरमर का डिज़ाइन अपने चमकीले, घूमते रंगों और परावर्तक सतह के लिए जाना जाता है?")</f>
        <v>19वीं शताब्दी के अंत में पहली बार प्रस्तुत किया गया कौन सा संगमरमर का डिज़ाइन अपने चमकीले, घूमते रंगों और परावर्तक सतह के लिए जाना जाता है?</v>
      </c>
      <c r="H180" s="5" t="str">
        <f>IFERROR(__xludf.DUMMYFUNCTION("GOOGLETRANSLATE(C180, ""en"", ""hi"")"),"A) स्वर्ल, B) कैट्स आई, C) एगेट, D) स्लैग")</f>
        <v>A) स्वर्ल, B) कैट्स आई, C) एगेट, D) स्लैग</v>
      </c>
      <c r="I180" s="5" t="str">
        <f>IFERROR(__xludf.DUMMYFUNCTION("GOOGLETRANSLATE(D180, ""en"", ""hi"")"),"ए) भंवर")</f>
        <v>ए) भंवर</v>
      </c>
    </row>
    <row r="181" ht="22.5" customHeight="1">
      <c r="A181" s="3">
        <v>180.0</v>
      </c>
      <c r="B181" s="4" t="s">
        <v>7073</v>
      </c>
      <c r="C181" s="4" t="s">
        <v>6892</v>
      </c>
      <c r="D181" s="4" t="s">
        <v>6784</v>
      </c>
      <c r="F181" s="5" t="str">
        <f>IFERROR(__xludf.DUMMYFUNCTION("GOOGLETRANSLATE(A181, ""en"", ""hi"")"),"180")</f>
        <v>180</v>
      </c>
      <c r="G181" s="5" t="str">
        <f>IFERROR(__xludf.DUMMYFUNCTION("GOOGLETRANSLATE(B181, ""en"", ""hi"")"),"कौन सा संगमरमर डिजाइन, जो अपने घुमावदार रंगों और चिकनी फिनिश के लिए जाना जाता है, 1930 के दशक में लोकप्रिय था?")</f>
        <v>कौन सा संगमरमर डिजाइन, जो अपने घुमावदार रंगों और चिकनी फिनिश के लिए जाना जाता है, 1930 के दशक में लोकप्रिय था?</v>
      </c>
      <c r="H181" s="5" t="str">
        <f>IFERROR(__xludf.DUMMYFUNCTION("GOOGLETRANSLATE(C181, ""en"", ""hi"")"),"A) बिल्ली की आँख, B) अगेट, C) स्वर्ल, D) स्लैग")</f>
        <v>A) बिल्ली की आँख, B) अगेट, C) स्वर्ल, D) स्लैग</v>
      </c>
      <c r="I181" s="5" t="str">
        <f>IFERROR(__xludf.DUMMYFUNCTION("GOOGLETRANSLATE(D181, ""en"", ""hi"")"),"C) भंवर")</f>
        <v>C) भंवर</v>
      </c>
    </row>
    <row r="182" ht="22.5" customHeight="1">
      <c r="A182" s="3">
        <v>181.0</v>
      </c>
      <c r="B182" s="4" t="s">
        <v>7074</v>
      </c>
      <c r="C182" s="4" t="s">
        <v>7056</v>
      </c>
      <c r="D182" s="4" t="s">
        <v>6887</v>
      </c>
      <c r="F182" s="5" t="str">
        <f>IFERROR(__xludf.DUMMYFUNCTION("GOOGLETRANSLATE(A182, ""en"", ""hi"")"),"181")</f>
        <v>181</v>
      </c>
      <c r="G182" s="5" t="str">
        <f>IFERROR(__xludf.DUMMYFUNCTION("GOOGLETRANSLATE(B182, ""en"", ""hi"")"),"1949 में स्थापित कौन सी संगमरमर कंपनी अपने रंगीन कांच के संगमरमर के लिए प्रसिद्ध है?")</f>
        <v>1949 में स्थापित कौन सी संगमरमर कंपनी अपने रंगीन कांच के संगमरमर के लिए प्रसिद्ध है?</v>
      </c>
      <c r="H182" s="5" t="str">
        <f>IFERROR(__xludf.DUMMYFUNCTION("GOOGLETRANSLATE(C182, ""en"", ""hi"")"),"A) एक्रो एगेट कंपनी, B) जाबो ग्लास कंपनी, C) क्रिस्टेंसन एगेट कंपनी, D) मार्बल किंग")</f>
        <v>A) एक्रो एगेट कंपनी, B) जाबो ग्लास कंपनी, C) क्रिस्टेंसन एगेट कंपनी, D) मार्बल किंग</v>
      </c>
      <c r="I182" s="5" t="str">
        <f>IFERROR(__xludf.DUMMYFUNCTION("GOOGLETRANSLATE(D182, ""en"", ""hi"")"),"बी) जाबो ग्लास कंपनी")</f>
        <v>बी) जाबो ग्लास कंपनी</v>
      </c>
    </row>
    <row r="183" ht="22.5" customHeight="1">
      <c r="A183" s="3">
        <v>182.0</v>
      </c>
      <c r="B183" s="4" t="s">
        <v>7075</v>
      </c>
      <c r="C183" s="4" t="s">
        <v>6892</v>
      </c>
      <c r="D183" s="4" t="s">
        <v>6893</v>
      </c>
      <c r="F183" s="5" t="str">
        <f>IFERROR(__xludf.DUMMYFUNCTION("GOOGLETRANSLATE(A183, ""en"", ""hi"")"),"182")</f>
        <v>182</v>
      </c>
      <c r="G183" s="5" t="str">
        <f>IFERROR(__xludf.DUMMYFUNCTION("GOOGLETRANSLATE(B183, ""en"", ""hi"")"),"किस प्रकार का संगमरमर, जो अपनी बहुरंगी, पारभासी परतों के लिए जाना जाता है, 20वीं शताब्दी के प्रारंभ में लोकप्रिय हुआ?")</f>
        <v>किस प्रकार का संगमरमर, जो अपनी बहुरंगी, पारभासी परतों के लिए जाना जाता है, 20वीं शताब्दी के प्रारंभ में लोकप्रिय हुआ?</v>
      </c>
      <c r="H183" s="5" t="str">
        <f>IFERROR(__xludf.DUMMYFUNCTION("GOOGLETRANSLATE(C183, ""en"", ""hi"")"),"A) बिल्ली की आँख, B) अगेट, C) स्वर्ल, D) स्लैग")</f>
        <v>A) बिल्ली की आँख, B) अगेट, C) स्वर्ल, D) स्लैग</v>
      </c>
      <c r="I183" s="5" t="str">
        <f>IFERROR(__xludf.DUMMYFUNCTION("GOOGLETRANSLATE(D183, ""en"", ""hi"")"),"ए) बिल्ली की आँख")</f>
        <v>ए) बिल्ली की आँख</v>
      </c>
    </row>
    <row r="184" ht="22.5" customHeight="1">
      <c r="A184" s="3">
        <v>183.0</v>
      </c>
      <c r="B184" s="4" t="s">
        <v>7076</v>
      </c>
      <c r="C184" s="4" t="s">
        <v>7034</v>
      </c>
      <c r="D184" s="4" t="s">
        <v>7035</v>
      </c>
      <c r="F184" s="5" t="str">
        <f>IFERROR(__xludf.DUMMYFUNCTION("GOOGLETRANSLATE(A184, ""en"", ""hi"")"),"183")</f>
        <v>183</v>
      </c>
      <c r="G184" s="5" t="str">
        <f>IFERROR(__xludf.DUMMYFUNCTION("GOOGLETRANSLATE(B184, ""en"", ""hi"")"),"कौन से मार्बल खेल में खिलाड़ी एक विशिष्ट तकनीक का उपयोग करके मार्बल को केन्द्रीय लक्ष्य क्षेत्र में गिराने का प्रयास करते हैं?")</f>
        <v>कौन से मार्बल खेल में खिलाड़ी एक विशिष्ट तकनीक का उपयोग करके मार्बल को केन्द्रीय लक्ष्य क्षेत्र में गिराने का प्रयास करते हैं?</v>
      </c>
      <c r="H184" s="5" t="str">
        <f>IFERROR(__xludf.DUMMYFUNCTION("GOOGLETRANSLATE(C184, ""en"", ""hi"")"),"A) नॉक-आउट, B) मार्बल्स पिट, C) रिंग टॉ, D) टिड्लीविंक्स")</f>
        <v>A) नॉक-आउट, B) मार्बल्स पिट, C) रिंग टॉ, D) टिड्लीविंक्स</v>
      </c>
      <c r="I184" s="5" t="str">
        <f>IFERROR(__xludf.DUMMYFUNCTION("GOOGLETRANSLATE(D184, ""en"", ""hi"")"),"ए) नॉक-आउट")</f>
        <v>ए) नॉक-आउट</v>
      </c>
    </row>
    <row r="185" ht="22.5" customHeight="1">
      <c r="A185" s="3">
        <v>184.0</v>
      </c>
      <c r="B185" s="4" t="s">
        <v>7077</v>
      </c>
      <c r="C185" s="4" t="s">
        <v>6928</v>
      </c>
      <c r="D185" s="4" t="s">
        <v>6959</v>
      </c>
      <c r="F185" s="5" t="str">
        <f>IFERROR(__xludf.DUMMYFUNCTION("GOOGLETRANSLATE(A185, ""en"", ""hi"")"),"184")</f>
        <v>184</v>
      </c>
      <c r="G185" s="5" t="str">
        <f>IFERROR(__xludf.DUMMYFUNCTION("GOOGLETRANSLATE(B185, ""en"", ""hi"")"),"1950 के दशक में शुरू की गई संगमरमर की कौन सी डिजाइन, विभिन्न रंगों के साथ एक चमकदार, धब्बेदार उपस्थिति पेश करती है?")</f>
        <v>1950 के दशक में शुरू की गई संगमरमर की कौन सी डिजाइन, विभिन्न रंगों के साथ एक चमकदार, धब्बेदार उपस्थिति पेश करती है?</v>
      </c>
      <c r="H185" s="5" t="str">
        <f>IFERROR(__xludf.DUMMYFUNCTION("GOOGLETRANSLATE(C185, ""en"", ""hi"")"),"A) स्वर्ल, B) एगेट, C) कैट्स आई, D) स्लैग")</f>
        <v>A) स्वर्ल, B) एगेट, C) कैट्स आई, D) स्लैग</v>
      </c>
      <c r="I185" s="5" t="str">
        <f>IFERROR(__xludf.DUMMYFUNCTION("GOOGLETRANSLATE(D185, ""en"", ""hi"")"),"D) स्लैग")</f>
        <v>D) स्लैग</v>
      </c>
    </row>
    <row r="186" ht="22.5" customHeight="1">
      <c r="A186" s="3">
        <v>185.0</v>
      </c>
      <c r="B186" s="4" t="s">
        <v>7078</v>
      </c>
      <c r="C186" s="4" t="s">
        <v>6895</v>
      </c>
      <c r="D186" s="4" t="s">
        <v>6863</v>
      </c>
      <c r="F186" s="5" t="str">
        <f>IFERROR(__xludf.DUMMYFUNCTION("GOOGLETRANSLATE(A186, ""en"", ""hi"")"),"185")</f>
        <v>185</v>
      </c>
      <c r="G186" s="5" t="str">
        <f>IFERROR(__xludf.DUMMYFUNCTION("GOOGLETRANSLATE(B186, ""en"", ""hi"")"),"1922 में स्थापित कौन सी संगमरमर कंपनी जटिल पैटर्न वाले उच्च गुणवत्ता वाले संगमरमर के उत्पादन के लिए प्रसिद्ध है?")</f>
        <v>1922 में स्थापित कौन सी संगमरमर कंपनी जटिल पैटर्न वाले उच्च गुणवत्ता वाले संगमरमर के उत्पादन के लिए प्रसिद्ध है?</v>
      </c>
      <c r="H186" s="5" t="str">
        <f>IFERROR(__xludf.DUMMYFUNCTION("GOOGLETRANSLATE(C186, ""en"", ""hi"")"),"A) एक्रो एगेट कंपनी, B) मार्बल किंग, C) क्रिस्टेंसन एगेट कंपनी, D) जाबो ग्लास कंपनी")</f>
        <v>A) एक्रो एगेट कंपनी, B) मार्बल किंग, C) क्रिस्टेंसन एगेट कंपनी, D) जाबो ग्लास कंपनी</v>
      </c>
      <c r="I186" s="5" t="str">
        <f>IFERROR(__xludf.DUMMYFUNCTION("GOOGLETRANSLATE(D186, ""en"", ""hi"")"),"C) क्रिस्टेंसन एगेट कंपनी")</f>
        <v>C) क्रिस्टेंसन एगेट कंपनी</v>
      </c>
    </row>
    <row r="187" ht="22.5" customHeight="1">
      <c r="A187" s="3">
        <v>186.0</v>
      </c>
      <c r="B187" s="4" t="s">
        <v>7079</v>
      </c>
      <c r="C187" s="4" t="s">
        <v>6810</v>
      </c>
      <c r="D187" s="4" t="s">
        <v>6811</v>
      </c>
      <c r="F187" s="5" t="str">
        <f>IFERROR(__xludf.DUMMYFUNCTION("GOOGLETRANSLATE(A187, ""en"", ""hi"")"),"186")</f>
        <v>186</v>
      </c>
      <c r="G187" s="5" t="str">
        <f>IFERROR(__xludf.DUMMYFUNCTION("GOOGLETRANSLATE(B187, ""en"", ""hi"")"),"यूरोप में उत्पन्न हुआ कौन सा मार्बल खेल है जिसमें जमीन या बोर्ड पर बने छेद या कप में मार्बल फेंके जाते हैं?")</f>
        <v>यूरोप में उत्पन्न हुआ कौन सा मार्बल खेल है जिसमें जमीन या बोर्ड पर बने छेद या कप में मार्बल फेंके जाते हैं?</v>
      </c>
      <c r="H187" s="5" t="str">
        <f>IFERROR(__xludf.DUMMYFUNCTION("GOOGLETRANSLATE(C187, ""en"", ""hi"")"),"A) मार्बल्स पिट, B) रिंग टॉ, C) टिड्लीविंक्स, D) पक")</f>
        <v>A) मार्बल्स पिट, B) रिंग टॉ, C) टिड्लीविंक्स, D) पक</v>
      </c>
      <c r="I187" s="5" t="str">
        <f>IFERROR(__xludf.DUMMYFUNCTION("GOOGLETRANSLATE(D187, ""en"", ""hi"")"),"A) मार्बल्स पिट")</f>
        <v>A) मार्बल्स पिट</v>
      </c>
    </row>
    <row r="188" ht="22.5" customHeight="1">
      <c r="A188" s="3">
        <v>187.0</v>
      </c>
      <c r="B188" s="4" t="s">
        <v>7080</v>
      </c>
      <c r="C188" s="4" t="s">
        <v>7081</v>
      </c>
      <c r="D188" s="4" t="s">
        <v>7082</v>
      </c>
      <c r="F188" s="5" t="str">
        <f>IFERROR(__xludf.DUMMYFUNCTION("GOOGLETRANSLATE(A188, ""en"", ""hi"")"),"187")</f>
        <v>187</v>
      </c>
      <c r="G188" s="5" t="str">
        <f>IFERROR(__xludf.DUMMYFUNCTION("GOOGLETRANSLATE(B188, ""en"", ""hi"")"),"20वीं सदी के आरंभ में किस ऐतिहासिक घटना के कारण मशीन-निर्मित मार्बल्स को व्यापक रूप से अपनाया जाने लगा?")</f>
        <v>20वीं सदी के आरंभ में किस ऐतिहासिक घटना के कारण मशीन-निर्मित मार्बल्स को व्यापक रूप से अपनाया जाने लगा?</v>
      </c>
      <c r="H188" s="5" t="str">
        <f>IFERROR(__xludf.DUMMYFUNCTION("GOOGLETRANSLATE(C188, ""en"", ""hi"")"),"A) प्रथम विश्व युद्ध, B) महामंदी, C) औद्योगिक क्रांति, D) द्वितीय विश्व युद्ध")</f>
        <v>A) प्रथम विश्व युद्ध, B) महामंदी, C) औद्योगिक क्रांति, D) द्वितीय विश्व युद्ध</v>
      </c>
      <c r="I188" s="5" t="str">
        <f>IFERROR(__xludf.DUMMYFUNCTION("GOOGLETRANSLATE(D188, ""en"", ""hi"")"),"C) औद्योगिक क्रांति")</f>
        <v>C) औद्योगिक क्रांति</v>
      </c>
    </row>
    <row r="189" ht="22.5" customHeight="1">
      <c r="A189" s="3">
        <v>188.0</v>
      </c>
      <c r="B189" s="4" t="s">
        <v>7083</v>
      </c>
      <c r="C189" s="4" t="s">
        <v>6928</v>
      </c>
      <c r="D189" s="4" t="s">
        <v>6929</v>
      </c>
      <c r="F189" s="5" t="str">
        <f>IFERROR(__xludf.DUMMYFUNCTION("GOOGLETRANSLATE(A189, ""en"", ""hi"")"),"188")</f>
        <v>188</v>
      </c>
      <c r="G189" s="5" t="str">
        <f>IFERROR(__xludf.DUMMYFUNCTION("GOOGLETRANSLATE(B189, ""en"", ""hi"")"),"20वीं सदी के मध्य में लोकप्रिय संगमरमर का कौन सा डिज़ाइन, चमकीले, घूमते रंगों और परावर्तक सतह की विशेषता रखता है?")</f>
        <v>20वीं सदी के मध्य में लोकप्रिय संगमरमर का कौन सा डिज़ाइन, चमकीले, घूमते रंगों और परावर्तक सतह की विशेषता रखता है?</v>
      </c>
      <c r="H189" s="5" t="str">
        <f>IFERROR(__xludf.DUMMYFUNCTION("GOOGLETRANSLATE(C189, ""en"", ""hi"")"),"A) स्वर्ल, B) एगेट, C) कैट्स आई, D) स्लैग")</f>
        <v>A) स्वर्ल, B) एगेट, C) कैट्स आई, D) स्लैग</v>
      </c>
      <c r="I189" s="5" t="str">
        <f>IFERROR(__xludf.DUMMYFUNCTION("GOOGLETRANSLATE(D189, ""en"", ""hi"")"),"ए) भंवर")</f>
        <v>ए) भंवर</v>
      </c>
    </row>
    <row r="190" ht="22.5" customHeight="1">
      <c r="A190" s="3">
        <v>189.0</v>
      </c>
      <c r="B190" s="4" t="s">
        <v>7084</v>
      </c>
      <c r="C190" s="4" t="s">
        <v>7085</v>
      </c>
      <c r="D190" s="4" t="s">
        <v>7086</v>
      </c>
      <c r="F190" s="5" t="str">
        <f>IFERROR(__xludf.DUMMYFUNCTION("GOOGLETRANSLATE(A190, ""en"", ""hi"")"),"189")</f>
        <v>189</v>
      </c>
      <c r="G190" s="5" t="str">
        <f>IFERROR(__xludf.DUMMYFUNCTION("GOOGLETRANSLATE(B190, ""en"", ""hi"")"),"1949 में स्थापित कौन सी संगमरमर कंपनी विस्तृत डिजाइन वाले हाथ से बने संगमरमर के लिए जानी जाती है?")</f>
        <v>1949 में स्थापित कौन सी संगमरमर कंपनी विस्तृत डिजाइन वाले हाथ से बने संगमरमर के लिए जानी जाती है?</v>
      </c>
      <c r="H190" s="5" t="str">
        <f>IFERROR(__xludf.DUMMYFUNCTION("GOOGLETRANSLATE(C190, ""en"", ""hi"")"),"A) मार्बल किंग, B) क्रिस्टेंसन एगेट कंपनी, C) एक्रो एगेट कंपनी, D) जाबो ग्लास कंपनी")</f>
        <v>A) मार्बल किंग, B) क्रिस्टेंसन एगेट कंपनी, C) एक्रो एगेट कंपनी, D) जाबो ग्लास कंपनी</v>
      </c>
      <c r="I190" s="5" t="str">
        <f>IFERROR(__xludf.DUMMYFUNCTION("GOOGLETRANSLATE(D190, ""en"", ""hi"")"),"D) जाबो ग्लास कंपनी")</f>
        <v>D) जाबो ग्लास कंपनी</v>
      </c>
    </row>
    <row r="191" ht="22.5" customHeight="1">
      <c r="A191" s="3">
        <v>190.0</v>
      </c>
      <c r="B191" s="4" t="s">
        <v>7087</v>
      </c>
      <c r="C191" s="4" t="s">
        <v>6965</v>
      </c>
      <c r="D191" s="4" t="s">
        <v>6893</v>
      </c>
      <c r="F191" s="5" t="str">
        <f>IFERROR(__xludf.DUMMYFUNCTION("GOOGLETRANSLATE(A191, ""en"", ""hi"")"),"190")</f>
        <v>190</v>
      </c>
      <c r="G191" s="5" t="str">
        <f>IFERROR(__xludf.DUMMYFUNCTION("GOOGLETRANSLATE(B191, ""en"", ""hi"")"),"20वीं शताब्दी के प्रारम्भ में पहली बार प्रस्तुत किए गए संगमरमर के किस डिजाइन में पारभासी परतों से घिरा एक केन्द्रीय अपारदर्शी कोर है?")</f>
        <v>20वीं शताब्दी के प्रारम्भ में पहली बार प्रस्तुत किए गए संगमरमर के किस डिजाइन में पारभासी परतों से घिरा एक केन्द्रीय अपारदर्शी कोर है?</v>
      </c>
      <c r="H191" s="5" t="str">
        <f>IFERROR(__xludf.DUMMYFUNCTION("GOOGLETRANSLATE(C191, ""en"", ""hi"")"),"A) बिल्ली की आँख, B) स्वर्ल, C) अगेट, D) स्लैग")</f>
        <v>A) बिल्ली की आँख, B) स्वर्ल, C) अगेट, D) स्लैग</v>
      </c>
      <c r="I191" s="5" t="str">
        <f>IFERROR(__xludf.DUMMYFUNCTION("GOOGLETRANSLATE(D191, ""en"", ""hi"")"),"ए) बिल्ली की आँख")</f>
        <v>ए) बिल्ली की आँख</v>
      </c>
    </row>
    <row r="192" ht="22.5" customHeight="1">
      <c r="A192" s="3">
        <v>191.0</v>
      </c>
      <c r="B192" s="4" t="s">
        <v>7088</v>
      </c>
      <c r="C192" s="4" t="s">
        <v>7034</v>
      </c>
      <c r="D192" s="4" t="s">
        <v>7035</v>
      </c>
      <c r="F192" s="5" t="str">
        <f>IFERROR(__xludf.DUMMYFUNCTION("GOOGLETRANSLATE(A192, ""en"", ""hi"")"),"191")</f>
        <v>191</v>
      </c>
      <c r="G192" s="5" t="str">
        <f>IFERROR(__xludf.DUMMYFUNCTION("GOOGLETRANSLATE(B192, ""en"", ""hi"")"),"20वीं सदी के आरंभ में लोकप्रिय कौन सा मार्बल खेल था, जिसमें खिलाड़ी मार्बल को एक केन्द्रीय लक्ष्य क्षेत्र में फेंकने का प्रयास करते थे?")</f>
        <v>20वीं सदी के आरंभ में लोकप्रिय कौन सा मार्बल खेल था, जिसमें खिलाड़ी मार्बल को एक केन्द्रीय लक्ष्य क्षेत्र में फेंकने का प्रयास करते थे?</v>
      </c>
      <c r="H192" s="5" t="str">
        <f>IFERROR(__xludf.DUMMYFUNCTION("GOOGLETRANSLATE(C192, ""en"", ""hi"")"),"A) नॉक-आउट, B) मार्बल्स पिट, C) रिंग टॉ, D) टिड्लीविंक्स")</f>
        <v>A) नॉक-आउट, B) मार्बल्स पिट, C) रिंग टॉ, D) टिड्लीविंक्स</v>
      </c>
      <c r="I192" s="5" t="str">
        <f>IFERROR(__xludf.DUMMYFUNCTION("GOOGLETRANSLATE(D192, ""en"", ""hi"")"),"ए) नॉक-आउट")</f>
        <v>ए) नॉक-आउट</v>
      </c>
    </row>
    <row r="193" ht="22.5" customHeight="1">
      <c r="A193" s="3">
        <v>192.0</v>
      </c>
      <c r="B193" s="4" t="s">
        <v>7089</v>
      </c>
      <c r="C193" s="4" t="s">
        <v>6931</v>
      </c>
      <c r="D193" s="4" t="s">
        <v>6867</v>
      </c>
      <c r="F193" s="5" t="str">
        <f>IFERROR(__xludf.DUMMYFUNCTION("GOOGLETRANSLATE(A193, ""en"", ""hi"")"),"192")</f>
        <v>192</v>
      </c>
      <c r="G193" s="5" t="str">
        <f>IFERROR(__xludf.DUMMYFUNCTION("GOOGLETRANSLATE(B193, ""en"", ""hi"")"),"अपने चमकीले और रंगीन रूप के लिए जाना जाने वाला संगमरमर का कौन सा प्रकार, उत्पादन प्रौद्योगिकी में प्रगति के कारण लोकप्रिय हो गया?")</f>
        <v>अपने चमकीले और रंगीन रूप के लिए जाना जाने वाला संगमरमर का कौन सा प्रकार, उत्पादन प्रौद्योगिकी में प्रगति के कारण लोकप्रिय हो गया?</v>
      </c>
      <c r="H193" s="5" t="str">
        <f>IFERROR(__xludf.DUMMYFUNCTION("GOOGLETRANSLATE(C193, ""en"", ""hi"")"),"A) कांच के मार्बल, B) मिट्टी के मार्बल, C) धातु के मार्बल, D) प्लास्टिक के मार्बल")</f>
        <v>A) कांच के मार्बल, B) मिट्टी के मार्बल, C) धातु के मार्बल, D) प्लास्टिक के मार्बल</v>
      </c>
      <c r="I193" s="5" t="str">
        <f>IFERROR(__xludf.DUMMYFUNCTION("GOOGLETRANSLATE(D193, ""en"", ""hi"")"),"A) कांच के पत्थर")</f>
        <v>A) कांच के पत्थर</v>
      </c>
    </row>
    <row r="194" ht="22.5" customHeight="1">
      <c r="A194" s="3">
        <v>193.0</v>
      </c>
      <c r="B194" s="4" t="s">
        <v>7090</v>
      </c>
      <c r="C194" s="4" t="s">
        <v>6928</v>
      </c>
      <c r="D194" s="4" t="s">
        <v>6929</v>
      </c>
      <c r="F194" s="5" t="str">
        <f>IFERROR(__xludf.DUMMYFUNCTION("GOOGLETRANSLATE(A194, ""en"", ""hi"")"),"193")</f>
        <v>193</v>
      </c>
      <c r="G194" s="5" t="str">
        <f>IFERROR(__xludf.DUMMYFUNCTION("GOOGLETRANSLATE(B194, ""en"", ""hi"")"),"कौन सा संगमरमर डिज़ाइन, जो अपने अद्वितीय, उज्ज्वल, घुमावदार पैटर्न के लिए जाना जाता है, पहली बार 1930 के दशक में निर्मित किया गया था?")</f>
        <v>कौन सा संगमरमर डिज़ाइन, जो अपने अद्वितीय, उज्ज्वल, घुमावदार पैटर्न के लिए जाना जाता है, पहली बार 1930 के दशक में निर्मित किया गया था?</v>
      </c>
      <c r="H194" s="5" t="str">
        <f>IFERROR(__xludf.DUMMYFUNCTION("GOOGLETRANSLATE(C194, ""en"", ""hi"")"),"A) स्वर्ल, B) एगेट, C) कैट्स आई, D) स्लैग")</f>
        <v>A) स्वर्ल, B) एगेट, C) कैट्स आई, D) स्लैग</v>
      </c>
      <c r="I194" s="5" t="str">
        <f>IFERROR(__xludf.DUMMYFUNCTION("GOOGLETRANSLATE(D194, ""en"", ""hi"")"),"ए) भंवर")</f>
        <v>ए) भंवर</v>
      </c>
    </row>
    <row r="195" ht="22.5" customHeight="1">
      <c r="A195" s="3">
        <v>194.0</v>
      </c>
      <c r="B195" s="4" t="s">
        <v>7091</v>
      </c>
      <c r="C195" s="4" t="s">
        <v>7056</v>
      </c>
      <c r="D195" s="4" t="s">
        <v>6863</v>
      </c>
      <c r="F195" s="5" t="str">
        <f>IFERROR(__xludf.DUMMYFUNCTION("GOOGLETRANSLATE(A195, ""en"", ""hi"")"),"194")</f>
        <v>194</v>
      </c>
      <c r="G195" s="5" t="str">
        <f>IFERROR(__xludf.DUMMYFUNCTION("GOOGLETRANSLATE(B195, ""en"", ""hi"")"),"1912 में स्थापित कौन सी संगमरमर कंपनी जटिल पैटर्न वाले मशीन-निर्मित संगमरमर के लिए प्रसिद्ध है?")</f>
        <v>1912 में स्थापित कौन सी संगमरमर कंपनी जटिल पैटर्न वाले मशीन-निर्मित संगमरमर के लिए प्रसिद्ध है?</v>
      </c>
      <c r="H195" s="5" t="str">
        <f>IFERROR(__xludf.DUMMYFUNCTION("GOOGLETRANSLATE(C195, ""en"", ""hi"")"),"A) एक्रो एगेट कंपनी, B) जाबो ग्लास कंपनी, C) क्रिस्टेंसन एगेट कंपनी, D) मार्बल किंग")</f>
        <v>A) एक्रो एगेट कंपनी, B) जाबो ग्लास कंपनी, C) क्रिस्टेंसन एगेट कंपनी, D) मार्बल किंग</v>
      </c>
      <c r="I195" s="5" t="str">
        <f>IFERROR(__xludf.DUMMYFUNCTION("GOOGLETRANSLATE(D195, ""en"", ""hi"")"),"C) क्रिस्टेंसन एगेट कंपनी")</f>
        <v>C) क्रिस्टेंसन एगेट कंपनी</v>
      </c>
    </row>
    <row r="196" ht="22.5" customHeight="1">
      <c r="A196" s="3">
        <v>195.0</v>
      </c>
      <c r="B196" s="4" t="s">
        <v>7092</v>
      </c>
      <c r="C196" s="4" t="s">
        <v>6810</v>
      </c>
      <c r="D196" s="4" t="s">
        <v>7093</v>
      </c>
      <c r="F196" s="5" t="str">
        <f>IFERROR(__xludf.DUMMYFUNCTION("GOOGLETRANSLATE(A196, ""en"", ""hi"")"),"195")</f>
        <v>195</v>
      </c>
      <c r="G196" s="5" t="str">
        <f>IFERROR(__xludf.DUMMYFUNCTION("GOOGLETRANSLATE(B196, ""en"", ""hi"")"),"यूरोपीय देशों में लोकप्रिय कौन सा मार्बल गेम है, जिसमें खिलाड़ी बोर्ड या जमीन पर बने लक्ष्य छेदों में मार्बल फेंकते हैं?")</f>
        <v>यूरोपीय देशों में लोकप्रिय कौन सा मार्बल गेम है, जिसमें खिलाड़ी बोर्ड या जमीन पर बने लक्ष्य छेदों में मार्बल फेंकते हैं?</v>
      </c>
      <c r="H196" s="5" t="str">
        <f>IFERROR(__xludf.DUMMYFUNCTION("GOOGLETRANSLATE(C196, ""en"", ""hi"")"),"A) मार्बल्स पिट, B) रिंग टॉ, C) टिड्लीविंक्स, D) पक")</f>
        <v>A) मार्बल्स पिट, B) रिंग टॉ, C) टिड्लीविंक्स, D) पक</v>
      </c>
      <c r="I196" s="5" t="str">
        <f>IFERROR(__xludf.DUMMYFUNCTION("GOOGLETRANSLATE(D196, ""en"", ""hi"")"),"बी) रिंग टॉ")</f>
        <v>बी) रिंग टॉ</v>
      </c>
    </row>
    <row r="197" ht="22.5" customHeight="1">
      <c r="A197" s="3">
        <v>196.0</v>
      </c>
      <c r="B197" s="4" t="s">
        <v>7094</v>
      </c>
      <c r="C197" s="4" t="s">
        <v>6971</v>
      </c>
      <c r="D197" s="4" t="s">
        <v>6876</v>
      </c>
      <c r="F197" s="5" t="str">
        <f>IFERROR(__xludf.DUMMYFUNCTION("GOOGLETRANSLATE(A197, ""en"", ""hi"")"),"196")</f>
        <v>196</v>
      </c>
      <c r="G197" s="5" t="str">
        <f>IFERROR(__xludf.DUMMYFUNCTION("GOOGLETRANSLATE(B197, ""en"", ""hi"")"),"19वीं शताब्दी के अंत में पहली बार शुरू की गई संगमरमर की कौन सी डिजाइन में अपारदर्शी और पारभासी रंगों का संयोजन है?")</f>
        <v>19वीं शताब्दी के अंत में पहली बार शुरू की गई संगमरमर की कौन सी डिजाइन में अपारदर्शी और पारभासी रंगों का संयोजन है?</v>
      </c>
      <c r="H197" s="5" t="str">
        <f>IFERROR(__xludf.DUMMYFUNCTION("GOOGLETRANSLATE(C197, ""en"", ""hi"")"),"A) एगेट, B) कैट्स आई, C) स्वर्ल, D) स्लैग")</f>
        <v>A) एगेट, B) कैट्स आई, C) स्वर्ल, D) स्लैग</v>
      </c>
      <c r="I197" s="5" t="str">
        <f>IFERROR(__xludf.DUMMYFUNCTION("GOOGLETRANSLATE(D197, ""en"", ""hi"")"),"ए) एगेट")</f>
        <v>ए) एगेट</v>
      </c>
    </row>
    <row r="198" ht="22.5" customHeight="1">
      <c r="A198" s="3">
        <v>197.0</v>
      </c>
      <c r="B198" s="4" t="s">
        <v>7095</v>
      </c>
      <c r="C198" s="4" t="s">
        <v>7034</v>
      </c>
      <c r="D198" s="4" t="s">
        <v>7035</v>
      </c>
      <c r="F198" s="5" t="str">
        <f>IFERROR(__xludf.DUMMYFUNCTION("GOOGLETRANSLATE(A198, ""en"", ""hi"")"),"197")</f>
        <v>197</v>
      </c>
      <c r="G198" s="5" t="str">
        <f>IFERROR(__xludf.DUMMYFUNCTION("GOOGLETRANSLATE(B198, ""en"", ""hi"")"),"कौन से मार्बल गेम में एक केन्द्रीय लक्ष्य क्षेत्र में मार्बल फेंकना शामिल होता है, जिसके साथ अक्सर विशिष्ट नियम और रणनीतियां होती हैं?")</f>
        <v>कौन से मार्बल गेम में एक केन्द्रीय लक्ष्य क्षेत्र में मार्बल फेंकना शामिल होता है, जिसके साथ अक्सर विशिष्ट नियम और रणनीतियां होती हैं?</v>
      </c>
      <c r="H198" s="5" t="str">
        <f>IFERROR(__xludf.DUMMYFUNCTION("GOOGLETRANSLATE(C198, ""en"", ""hi"")"),"A) नॉक-आउट, B) मार्बल्स पिट, C) रिंग टॉ, D) टिड्लीविंक्स")</f>
        <v>A) नॉक-आउट, B) मार्बल्स पिट, C) रिंग टॉ, D) टिड्लीविंक्स</v>
      </c>
      <c r="I198" s="5" t="str">
        <f>IFERROR(__xludf.DUMMYFUNCTION("GOOGLETRANSLATE(D198, ""en"", ""hi"")"),"ए) नॉक-आउट")</f>
        <v>ए) नॉक-आउट</v>
      </c>
    </row>
    <row r="199" ht="22.5" customHeight="1">
      <c r="A199" s="3">
        <v>198.0</v>
      </c>
      <c r="B199" s="4" t="s">
        <v>7096</v>
      </c>
      <c r="C199" s="4" t="s">
        <v>6892</v>
      </c>
      <c r="D199" s="4" t="s">
        <v>6959</v>
      </c>
      <c r="F199" s="5" t="str">
        <f>IFERROR(__xludf.DUMMYFUNCTION("GOOGLETRANSLATE(A199, ""en"", ""hi"")"),"198")</f>
        <v>198</v>
      </c>
      <c r="G199" s="5" t="str">
        <f>IFERROR(__xludf.DUMMYFUNCTION("GOOGLETRANSLATE(B199, ""en"", ""hi"")"),"1950 के दशक में लोकप्रिय संगमरमर का कौन सा डिज़ाइन, कई रंगों के साथ एक उज्ज्वल, इंद्रधनुषी रूप प्रस्तुत करता है?")</f>
        <v>1950 के दशक में लोकप्रिय संगमरमर का कौन सा डिज़ाइन, कई रंगों के साथ एक उज्ज्वल, इंद्रधनुषी रूप प्रस्तुत करता है?</v>
      </c>
      <c r="H199" s="5" t="str">
        <f>IFERROR(__xludf.DUMMYFUNCTION("GOOGLETRANSLATE(C199, ""en"", ""hi"")"),"A) बिल्ली की आँख, B) अगेट, C) स्वर्ल, D) स्लैग")</f>
        <v>A) बिल्ली की आँख, B) अगेट, C) स्वर्ल, D) स्लैग</v>
      </c>
      <c r="I199" s="5" t="str">
        <f>IFERROR(__xludf.DUMMYFUNCTION("GOOGLETRANSLATE(D199, ""en"", ""hi"")"),"D) स्लैग")</f>
        <v>D) स्लैग</v>
      </c>
    </row>
    <row r="200" ht="22.5" customHeight="1">
      <c r="A200" s="3">
        <v>199.0</v>
      </c>
      <c r="B200" s="4" t="s">
        <v>7097</v>
      </c>
      <c r="C200" s="4" t="s">
        <v>6747</v>
      </c>
      <c r="D200" s="4" t="s">
        <v>6748</v>
      </c>
      <c r="F200" s="5" t="str">
        <f>IFERROR(__xludf.DUMMYFUNCTION("GOOGLETRANSLATE(A200, ""en"", ""hi"")"),"199")</f>
        <v>199</v>
      </c>
      <c r="G200" s="5" t="str">
        <f>IFERROR(__xludf.DUMMYFUNCTION("GOOGLETRANSLATE(B200, ""en"", ""hi"")"),"1922 में स्थापित कौन सी संगमरमर कंपनी अपने रंगीन और मशीन-निर्मित संगमरमर के लिए जानी जाती है?")</f>
        <v>1922 में स्थापित कौन सी संगमरमर कंपनी अपने रंगीन और मशीन-निर्मित संगमरमर के लिए जानी जाती है?</v>
      </c>
      <c r="H200" s="5" t="str">
        <f>IFERROR(__xludf.DUMMYFUNCTION("GOOGLETRANSLATE(C200, ""en"", ""hi"")"),"A) मार्बल किंग, B) जाबो ग्लास कंपनी, C) क्रिस्टेंसन एगेट कंपनी, D) एक्रो एगेट कंपनी")</f>
        <v>A) मार्बल किंग, B) जाबो ग्लास कंपनी, C) क्रिस्टेंसन एगेट कंपनी, D) एक्रो एगेट कंपनी</v>
      </c>
      <c r="I200" s="5" t="str">
        <f>IFERROR(__xludf.DUMMYFUNCTION("GOOGLETRANSLATE(D200, ""en"", ""hi"")"),"D) एक्रो एगेट कंपनी")</f>
        <v>D) एक्रो एगेट कंपनी</v>
      </c>
    </row>
    <row r="201" ht="22.5" customHeight="1">
      <c r="A201" s="3">
        <v>200.0</v>
      </c>
      <c r="B201" s="4" t="s">
        <v>7098</v>
      </c>
      <c r="C201" s="4" t="s">
        <v>6953</v>
      </c>
      <c r="D201" s="4" t="s">
        <v>6929</v>
      </c>
      <c r="F201" s="5" t="str">
        <f>IFERROR(__xludf.DUMMYFUNCTION("GOOGLETRANSLATE(A201, ""en"", ""hi"")"),"200")</f>
        <v>200</v>
      </c>
      <c r="G201" s="5" t="str">
        <f>IFERROR(__xludf.DUMMYFUNCTION("GOOGLETRANSLATE(B201, ""en"", ""hi"")"),"20वीं शताब्दी के प्रारम्भ में पहली बार निर्मित संगमरमर के किस प्रकार के डिजाइन की विशेषता इसके चमकीले, घूमते हुए रंग हैं?")</f>
        <v>20वीं शताब्दी के प्रारम्भ में पहली बार निर्मित संगमरमर के किस प्रकार के डिजाइन की विशेषता इसके चमकीले, घूमते हुए रंग हैं?</v>
      </c>
      <c r="H201" s="5" t="str">
        <f>IFERROR(__xludf.DUMMYFUNCTION("GOOGLETRANSLATE(C201, ""en"", ""hi"")"),"A) स्वर्ल, B) कैट्स आई, C) एगेट, D) स्लैग")</f>
        <v>A) स्वर्ल, B) कैट्स आई, C) एगेट, D) स्लैग</v>
      </c>
      <c r="I201" s="5" t="str">
        <f>IFERROR(__xludf.DUMMYFUNCTION("GOOGLETRANSLATE(D201, ""en"", ""hi"")"),"ए) भंवर")</f>
        <v>ए) भंवर</v>
      </c>
    </row>
    <row r="202" ht="22.5" customHeight="1">
      <c r="A202" s="3">
        <v>201.0</v>
      </c>
      <c r="B202" s="4" t="s">
        <v>7099</v>
      </c>
      <c r="C202" s="4" t="s">
        <v>6969</v>
      </c>
      <c r="D202" s="4" t="s">
        <v>6903</v>
      </c>
      <c r="F202" s="5" t="str">
        <f>IFERROR(__xludf.DUMMYFUNCTION("GOOGLETRANSLATE(A202, ""en"", ""hi"")"),"201")</f>
        <v>201</v>
      </c>
      <c r="G202" s="5" t="str">
        <f>IFERROR(__xludf.DUMMYFUNCTION("GOOGLETRANSLATE(B202, ""en"", ""hi"")"),"20वीं सदी के आरंभ में लोकप्रिय कौन सा मार्बल गेम था, जिसमें खिलाड़ी बोर्ड पर छोटे-छोटे छेदों या लक्ष्यों में मार्बल फेंकने का प्रयास करते थे?")</f>
        <v>20वीं सदी के आरंभ में लोकप्रिय कौन सा मार्बल गेम था, जिसमें खिलाड़ी बोर्ड पर छोटे-छोटे छेदों या लक्ष्यों में मार्बल फेंकने का प्रयास करते थे?</v>
      </c>
      <c r="H202" s="5" t="str">
        <f>IFERROR(__xludf.DUMMYFUNCTION("GOOGLETRANSLATE(C202, ""en"", ""hi"")"),"A) टिड्लीविंक्स, B) मार्बल्स पिट, C) रिंग टॉ, D) पक")</f>
        <v>A) टिड्लीविंक्स, B) मार्बल्स पिट, C) रिंग टॉ, D) पक</v>
      </c>
      <c r="I202" s="5" t="str">
        <f>IFERROR(__xludf.DUMMYFUNCTION("GOOGLETRANSLATE(D202, ""en"", ""hi"")"),"ए) टिड्लीविंक्स")</f>
        <v>ए) टिड्लीविंक्स</v>
      </c>
    </row>
    <row r="203" ht="22.5" customHeight="1">
      <c r="A203" s="3">
        <v>202.0</v>
      </c>
      <c r="B203" s="4" t="s">
        <v>7100</v>
      </c>
      <c r="C203" s="4" t="s">
        <v>7053</v>
      </c>
      <c r="D203" s="4" t="s">
        <v>7003</v>
      </c>
      <c r="F203" s="5" t="str">
        <f>IFERROR(__xludf.DUMMYFUNCTION("GOOGLETRANSLATE(A203, ""en"", ""hi"")"),"202")</f>
        <v>202</v>
      </c>
      <c r="G203" s="5" t="str">
        <f>IFERROR(__xludf.DUMMYFUNCTION("GOOGLETRANSLATE(B203, ""en"", ""hi"")"),"किस ऐतिहासिक व्यक्ति ने संगमरमर के इतिहास के अध्ययन और संगमरमर बनाने की तकनीक के विकास में महत्वपूर्ण योगदान दिया?")</f>
        <v>किस ऐतिहासिक व्यक्ति ने संगमरमर के इतिहास के अध्ययन और संगमरमर बनाने की तकनीक के विकास में महत्वपूर्ण योगदान दिया?</v>
      </c>
      <c r="H203" s="5" t="str">
        <f>IFERROR(__xludf.DUMMYFUNCTION("GOOGLETRANSLATE(C203, ""en"", ""hi"")"),"A) चार्ल्स एम. मिलर, B) थॉमस एडिसन, C) अल्बर्ट आइंस्टीन, D) जेम्स स्मिथसन")</f>
        <v>A) चार्ल्स एम. मिलर, B) थॉमस एडिसन, C) अल्बर्ट आइंस्टीन, D) जेम्स स्मिथसन</v>
      </c>
      <c r="I203" s="5" t="str">
        <f>IFERROR(__xludf.DUMMYFUNCTION("GOOGLETRANSLATE(D203, ""en"", ""hi"")"),"A) चार्ल्स एम. मिलर")</f>
        <v>A) चार्ल्स एम. मिलर</v>
      </c>
    </row>
    <row r="204" ht="22.5" customHeight="1">
      <c r="A204" s="3">
        <v>203.0</v>
      </c>
      <c r="B204" s="4" t="s">
        <v>7101</v>
      </c>
      <c r="C204" s="4" t="s">
        <v>6928</v>
      </c>
      <c r="D204" s="4" t="s">
        <v>6929</v>
      </c>
      <c r="F204" s="5" t="str">
        <f>IFERROR(__xludf.DUMMYFUNCTION("GOOGLETRANSLATE(A204, ""en"", ""hi"")"),"203")</f>
        <v>203</v>
      </c>
      <c r="G204" s="5" t="str">
        <f>IFERROR(__xludf.DUMMYFUNCTION("GOOGLETRANSLATE(B204, ""en"", ""hi"")"),"कौन सा संगमरमर डिजाइन, जो अपने घुमावदार रंगों और चिकनी सतह के लिए जाना जाता है, 1940 के दशक में लोकप्रिय था?")</f>
        <v>कौन सा संगमरमर डिजाइन, जो अपने घुमावदार रंगों और चिकनी सतह के लिए जाना जाता है, 1940 के दशक में लोकप्रिय था?</v>
      </c>
      <c r="H204" s="5" t="str">
        <f>IFERROR(__xludf.DUMMYFUNCTION("GOOGLETRANSLATE(C204, ""en"", ""hi"")"),"A) स्वर्ल, B) एगेट, C) कैट्स आई, D) स्लैग")</f>
        <v>A) स्वर्ल, B) एगेट, C) कैट्स आई, D) स्लैग</v>
      </c>
      <c r="I204" s="5" t="str">
        <f>IFERROR(__xludf.DUMMYFUNCTION("GOOGLETRANSLATE(D204, ""en"", ""hi"")"),"ए) भंवर")</f>
        <v>ए) भंवर</v>
      </c>
    </row>
    <row r="205" ht="22.5" customHeight="1">
      <c r="A205" s="3">
        <v>204.0</v>
      </c>
      <c r="B205" s="4" t="s">
        <v>7102</v>
      </c>
      <c r="C205" s="4" t="s">
        <v>7103</v>
      </c>
      <c r="D205" s="4" t="s">
        <v>6922</v>
      </c>
      <c r="F205" s="5" t="str">
        <f>IFERROR(__xludf.DUMMYFUNCTION("GOOGLETRANSLATE(A205, ""en"", ""hi"")"),"204")</f>
        <v>204</v>
      </c>
      <c r="G205" s="5" t="str">
        <f>IFERROR(__xludf.DUMMYFUNCTION("GOOGLETRANSLATE(B205, ""en"", ""hi"")"),"1949 में स्थापित कौन सी संगमरमर कंपनी जटिल डिजाइनों वाले रंगीन कांच के संगमरमर के लिए जानी जाती है?")</f>
        <v>1949 में स्थापित कौन सी संगमरमर कंपनी जटिल डिजाइनों वाले रंगीन कांच के संगमरमर के लिए जानी जाती है?</v>
      </c>
      <c r="H205" s="5" t="str">
        <f>IFERROR(__xludf.DUMMYFUNCTION("GOOGLETRANSLATE(C205, ""en"", ""hi"")"),"A) जाबो ग्लास कंपनी, B) क्रिस्टेंसन एगेट कंपनी, C) अक्रो एगेट कंपनी, D) मार्बल किंग")</f>
        <v>A) जाबो ग्लास कंपनी, B) क्रिस्टेंसन एगेट कंपनी, C) अक्रो एगेट कंपनी, D) मार्बल किंग</v>
      </c>
      <c r="I205" s="5" t="str">
        <f>IFERROR(__xludf.DUMMYFUNCTION("GOOGLETRANSLATE(D205, ""en"", ""hi"")"),"ए) जाबो ग्लास कंपनी")</f>
        <v>ए) जाबो ग्लास कंपनी</v>
      </c>
    </row>
    <row r="206" ht="22.5" customHeight="1">
      <c r="A206" s="3">
        <v>205.0</v>
      </c>
      <c r="B206" s="4" t="s">
        <v>7104</v>
      </c>
      <c r="C206" s="4" t="s">
        <v>6931</v>
      </c>
      <c r="D206" s="4" t="s">
        <v>6867</v>
      </c>
      <c r="F206" s="5" t="str">
        <f>IFERROR(__xludf.DUMMYFUNCTION("GOOGLETRANSLATE(A206, ""en"", ""hi"")"),"205")</f>
        <v>205</v>
      </c>
      <c r="G206" s="5" t="str">
        <f>IFERROR(__xludf.DUMMYFUNCTION("GOOGLETRANSLATE(B206, ""en"", ""hi"")"),"अपने चमकीले रंगों और एकसमान आकार के लिए जाना जाने वाला संगमरमर का कौन सा प्रकार, उत्पादन तकनीक में प्रगति के कारण लोकप्रिय हो गया?")</f>
        <v>अपने चमकीले रंगों और एकसमान आकार के लिए जाना जाने वाला संगमरमर का कौन सा प्रकार, उत्पादन तकनीक में प्रगति के कारण लोकप्रिय हो गया?</v>
      </c>
      <c r="H206" s="5" t="str">
        <f>IFERROR(__xludf.DUMMYFUNCTION("GOOGLETRANSLATE(C206, ""en"", ""hi"")"),"A) कांच के मार्बल, B) मिट्टी के मार्बल, C) धातु के मार्बल, D) प्लास्टिक के मार्बल")</f>
        <v>A) कांच के मार्बल, B) मिट्टी के मार्बल, C) धातु के मार्बल, D) प्लास्टिक के मार्बल</v>
      </c>
      <c r="I206" s="5" t="str">
        <f>IFERROR(__xludf.DUMMYFUNCTION("GOOGLETRANSLATE(D206, ""en"", ""hi"")"),"A) कांच के पत्थर")</f>
        <v>A) कांच के पत्थर</v>
      </c>
    </row>
    <row r="207" ht="22.5" customHeight="1">
      <c r="A207" s="3">
        <v>206.0</v>
      </c>
      <c r="B207" s="4" t="s">
        <v>7105</v>
      </c>
      <c r="C207" s="4" t="s">
        <v>6892</v>
      </c>
      <c r="D207" s="4" t="s">
        <v>6924</v>
      </c>
      <c r="F207" s="5" t="str">
        <f>IFERROR(__xludf.DUMMYFUNCTION("GOOGLETRANSLATE(A207, ""en"", ""hi"")"),"206")</f>
        <v>206</v>
      </c>
      <c r="G207" s="5" t="str">
        <f>IFERROR(__xludf.DUMMYFUNCTION("GOOGLETRANSLATE(B207, ""en"", ""hi"")"),"20वीं सदी के मध्य में शुरू की गई संगमरमर की कौन सी डिजाइन में अपारदर्शी और पारभासी क्षेत्रों का संयोजन है?")</f>
        <v>20वीं सदी के मध्य में शुरू की गई संगमरमर की कौन सी डिजाइन में अपारदर्शी और पारभासी क्षेत्रों का संयोजन है?</v>
      </c>
      <c r="H207" s="5" t="str">
        <f>IFERROR(__xludf.DUMMYFUNCTION("GOOGLETRANSLATE(C207, ""en"", ""hi"")"),"A) बिल्ली की आँख, B) अगेट, C) स्वर्ल, D) स्लैग")</f>
        <v>A) बिल्ली की आँख, B) अगेट, C) स्वर्ल, D) स्लैग</v>
      </c>
      <c r="I207" s="5" t="str">
        <f>IFERROR(__xludf.DUMMYFUNCTION("GOOGLETRANSLATE(D207, ""en"", ""hi"")"),"बी) एगेट")</f>
        <v>बी) एगेट</v>
      </c>
    </row>
    <row r="208" ht="22.5" customHeight="1">
      <c r="A208" s="3">
        <v>207.0</v>
      </c>
      <c r="B208" s="4" t="s">
        <v>7106</v>
      </c>
      <c r="C208" s="4" t="s">
        <v>7034</v>
      </c>
      <c r="D208" s="4" t="s">
        <v>7035</v>
      </c>
      <c r="F208" s="5" t="str">
        <f>IFERROR(__xludf.DUMMYFUNCTION("GOOGLETRANSLATE(A208, ""en"", ""hi"")"),"207")</f>
        <v>207</v>
      </c>
      <c r="G208" s="5" t="str">
        <f>IFERROR(__xludf.DUMMYFUNCTION("GOOGLETRANSLATE(B208, ""en"", ""hi"")"),"यूरोपीय देशों में उत्पन्न हुआ कौन सा मार्बल गेम, जिसमें खिलाड़ी एक केंद्रीय लक्ष्य क्षेत्र में मार्बल फेंकते हैं?")</f>
        <v>यूरोपीय देशों में उत्पन्न हुआ कौन सा मार्बल गेम, जिसमें खिलाड़ी एक केंद्रीय लक्ष्य क्षेत्र में मार्बल फेंकते हैं?</v>
      </c>
      <c r="H208" s="5" t="str">
        <f>IFERROR(__xludf.DUMMYFUNCTION("GOOGLETRANSLATE(C208, ""en"", ""hi"")"),"A) नॉक-आउट, B) मार्बल्स पिट, C) रिंग टॉ, D) टिड्लीविंक्स")</f>
        <v>A) नॉक-आउट, B) मार्बल्स पिट, C) रिंग टॉ, D) टिड्लीविंक्स</v>
      </c>
      <c r="I208" s="5" t="str">
        <f>IFERROR(__xludf.DUMMYFUNCTION("GOOGLETRANSLATE(D208, ""en"", ""hi"")"),"ए) नॉक-आउट")</f>
        <v>ए) नॉक-आउट</v>
      </c>
    </row>
    <row r="209" ht="22.5" customHeight="1">
      <c r="A209" s="3">
        <v>208.0</v>
      </c>
      <c r="B209" s="4" t="s">
        <v>7107</v>
      </c>
      <c r="C209" s="4" t="s">
        <v>6928</v>
      </c>
      <c r="D209" s="4" t="s">
        <v>6959</v>
      </c>
      <c r="F209" s="5" t="str">
        <f>IFERROR(__xludf.DUMMYFUNCTION("GOOGLETRANSLATE(A209, ""en"", ""hi"")"),"208")</f>
        <v>208</v>
      </c>
      <c r="G209" s="5" t="str">
        <f>IFERROR(__xludf.DUMMYFUNCTION("GOOGLETRANSLATE(B209, ""en"", ""hi"")"),"1950 के दशक में लोकप्रिय संगमरमर का कौन सा डिज़ाइन, एकाधिक रंगों के साथ एक उज्ज्वल, परावर्तक सतह की विशेषता रखता है?")</f>
        <v>1950 के दशक में लोकप्रिय संगमरमर का कौन सा डिज़ाइन, एकाधिक रंगों के साथ एक उज्ज्वल, परावर्तक सतह की विशेषता रखता है?</v>
      </c>
      <c r="H209" s="5" t="str">
        <f>IFERROR(__xludf.DUMMYFUNCTION("GOOGLETRANSLATE(C209, ""en"", ""hi"")"),"A) स्वर्ल, B) एगेट, C) कैट्स आई, D) स्लैग")</f>
        <v>A) स्वर्ल, B) एगेट, C) कैट्स आई, D) स्लैग</v>
      </c>
      <c r="I209" s="5" t="str">
        <f>IFERROR(__xludf.DUMMYFUNCTION("GOOGLETRANSLATE(D209, ""en"", ""hi"")"),"D) स्लैग")</f>
        <v>D) स्लैग</v>
      </c>
    </row>
    <row r="210" ht="22.5" customHeight="1">
      <c r="A210" s="3">
        <v>209.0</v>
      </c>
      <c r="B210" s="4" t="s">
        <v>7108</v>
      </c>
      <c r="C210" s="4" t="s">
        <v>7056</v>
      </c>
      <c r="D210" s="4" t="s">
        <v>6896</v>
      </c>
      <c r="F210" s="5" t="str">
        <f>IFERROR(__xludf.DUMMYFUNCTION("GOOGLETRANSLATE(A210, ""en"", ""hi"")"),"209")</f>
        <v>209</v>
      </c>
      <c r="G210" s="5" t="str">
        <f>IFERROR(__xludf.DUMMYFUNCTION("GOOGLETRANSLATE(B210, ""en"", ""hi"")"),"1912 में स्थापित कौन सी संगमरमर कंपनी अपने उच्च गुणवत्ता वाले, मशीन-निर्मित संगमरमर के लिए जानी जाती है?")</f>
        <v>1912 में स्थापित कौन सी संगमरमर कंपनी अपने उच्च गुणवत्ता वाले, मशीन-निर्मित संगमरमर के लिए जानी जाती है?</v>
      </c>
      <c r="H210" s="5" t="str">
        <f>IFERROR(__xludf.DUMMYFUNCTION("GOOGLETRANSLATE(C210, ""en"", ""hi"")"),"A) एक्रो एगेट कंपनी, B) जाबो ग्लास कंपनी, C) क्रिस्टेंसन एगेट कंपनी, D) मार्बल किंग")</f>
        <v>A) एक्रो एगेट कंपनी, B) जाबो ग्लास कंपनी, C) क्रिस्टेंसन एगेट कंपनी, D) मार्बल किंग</v>
      </c>
      <c r="I210" s="5" t="str">
        <f>IFERROR(__xludf.DUMMYFUNCTION("GOOGLETRANSLATE(D210, ""en"", ""hi"")"),"ए) एक्रो एगेट कंपनी")</f>
        <v>ए) एक्रो एगेट कंपनी</v>
      </c>
    </row>
    <row r="211" ht="22.5" customHeight="1">
      <c r="A211" s="3">
        <v>210.0</v>
      </c>
      <c r="B211" s="4" t="s">
        <v>7109</v>
      </c>
      <c r="C211" s="4" t="s">
        <v>6810</v>
      </c>
      <c r="D211" s="4" t="s">
        <v>6811</v>
      </c>
      <c r="F211" s="5" t="str">
        <f>IFERROR(__xludf.DUMMYFUNCTION("GOOGLETRANSLATE(A211, ""en"", ""hi"")"),"210")</f>
        <v>210</v>
      </c>
      <c r="G211" s="5" t="str">
        <f>IFERROR(__xludf.DUMMYFUNCTION("GOOGLETRANSLATE(B211, ""en"", ""hi"")"),"कौन से मार्बल खेल में खिलाड़ी बोर्ड पर बने लक्ष्य छेदों या कपों की श्रृंखला में मार्बल फेंकते हैं?")</f>
        <v>कौन से मार्बल खेल में खिलाड़ी बोर्ड पर बने लक्ष्य छेदों या कपों की श्रृंखला में मार्बल फेंकते हैं?</v>
      </c>
      <c r="H211" s="5" t="str">
        <f>IFERROR(__xludf.DUMMYFUNCTION("GOOGLETRANSLATE(C211, ""en"", ""hi"")"),"A) मार्बल्स पिट, B) रिंग टॉ, C) टिड्लीविंक्स, D) पक")</f>
        <v>A) मार्बल्स पिट, B) रिंग टॉ, C) टिड्लीविंक्स, D) पक</v>
      </c>
      <c r="I211" s="5" t="str">
        <f>IFERROR(__xludf.DUMMYFUNCTION("GOOGLETRANSLATE(D211, ""en"", ""hi"")"),"A) मार्बल्स पिट")</f>
        <v>A) मार्बल्स पिट</v>
      </c>
    </row>
    <row r="212" ht="22.5" customHeight="1">
      <c r="A212" s="3">
        <v>211.0</v>
      </c>
      <c r="B212" s="4" t="s">
        <v>7110</v>
      </c>
      <c r="C212" s="4" t="s">
        <v>6953</v>
      </c>
      <c r="D212" s="4" t="s">
        <v>6929</v>
      </c>
      <c r="F212" s="5" t="str">
        <f>IFERROR(__xludf.DUMMYFUNCTION("GOOGLETRANSLATE(A212, ""en"", ""hi"")"),"211")</f>
        <v>211</v>
      </c>
      <c r="G212" s="5" t="str">
        <f>IFERROR(__xludf.DUMMYFUNCTION("GOOGLETRANSLATE(B212, ""en"", ""hi"")"),"20वीं शताब्दी के प्रारम्भ में पहली बार प्रचलन में आए संगमरमर के किस प्रकार की विशेषता इसकी चिकनी, रंगीन उपस्थिति है?")</f>
        <v>20वीं शताब्दी के प्रारम्भ में पहली बार प्रचलन में आए संगमरमर के किस प्रकार की विशेषता इसकी चिकनी, रंगीन उपस्थिति है?</v>
      </c>
      <c r="H212" s="5" t="str">
        <f>IFERROR(__xludf.DUMMYFUNCTION("GOOGLETRANSLATE(C212, ""en"", ""hi"")"),"A) स्वर्ल, B) कैट्स आई, C) एगेट, D) स्लैग")</f>
        <v>A) स्वर्ल, B) कैट्स आई, C) एगेट, D) स्लैग</v>
      </c>
      <c r="I212" s="5" t="str">
        <f>IFERROR(__xludf.DUMMYFUNCTION("GOOGLETRANSLATE(D212, ""en"", ""hi"")"),"ए) भंवर")</f>
        <v>ए) भंवर</v>
      </c>
    </row>
    <row r="213" ht="22.5" customHeight="1">
      <c r="A213" s="3">
        <v>212.0</v>
      </c>
      <c r="B213" s="4" t="s">
        <v>7111</v>
      </c>
      <c r="C213" s="4" t="s">
        <v>6931</v>
      </c>
      <c r="D213" s="4" t="s">
        <v>6867</v>
      </c>
      <c r="F213" s="5" t="str">
        <f>IFERROR(__xludf.DUMMYFUNCTION("GOOGLETRANSLATE(A213, ""en"", ""hi"")"),"212")</f>
        <v>212</v>
      </c>
      <c r="G213" s="5" t="str">
        <f>IFERROR(__xludf.DUMMYFUNCTION("GOOGLETRANSLATE(B213, ""en"", ""hi"")"),"कौन सा संगमरमर डिजाइन, जो अपने चमकीले और रंगीन पैटर्न के लिए जाना जाता है, 20वीं सदी की शुरुआत में उत्पादन तकनीक में प्रगति के कारण लोकप्रिय हो गया?")</f>
        <v>कौन सा संगमरमर डिजाइन, जो अपने चमकीले और रंगीन पैटर्न के लिए जाना जाता है, 20वीं सदी की शुरुआत में उत्पादन तकनीक में प्रगति के कारण लोकप्रिय हो गया?</v>
      </c>
      <c r="H213" s="5" t="str">
        <f>IFERROR(__xludf.DUMMYFUNCTION("GOOGLETRANSLATE(C213, ""en"", ""hi"")"),"A) कांच के मार्बल, B) मिट्टी के मार्बल, C) धातु के मार्बल, D) प्लास्टिक के मार्बल")</f>
        <v>A) कांच के मार्बल, B) मिट्टी के मार्बल, C) धातु के मार्बल, D) प्लास्टिक के मार्बल</v>
      </c>
      <c r="I213" s="5" t="str">
        <f>IFERROR(__xludf.DUMMYFUNCTION("GOOGLETRANSLATE(D213, ""en"", ""hi"")"),"A) कांच के पत्थर")</f>
        <v>A) कांच के पत्थर</v>
      </c>
    </row>
    <row r="214" ht="22.5" customHeight="1">
      <c r="A214" s="3">
        <v>213.0</v>
      </c>
      <c r="B214" s="4" t="s">
        <v>7112</v>
      </c>
      <c r="C214" s="4" t="s">
        <v>7034</v>
      </c>
      <c r="D214" s="4" t="s">
        <v>7035</v>
      </c>
      <c r="F214" s="5" t="str">
        <f>IFERROR(__xludf.DUMMYFUNCTION("GOOGLETRANSLATE(A214, ""en"", ""hi"")"),"213")</f>
        <v>213</v>
      </c>
      <c r="G214" s="5" t="str">
        <f>IFERROR(__xludf.DUMMYFUNCTION("GOOGLETRANSLATE(B214, ""en"", ""hi"")"),"कौन सा मार्बल खेल, जिसमें केन्द्रीय लक्ष्य क्षेत्र में मार्बल फेंके जाते थे, 20वीं शताब्दी में लोकप्रिय था?")</f>
        <v>कौन सा मार्बल खेल, जिसमें केन्द्रीय लक्ष्य क्षेत्र में मार्बल फेंके जाते थे, 20वीं शताब्दी में लोकप्रिय था?</v>
      </c>
      <c r="H214" s="5" t="str">
        <f>IFERROR(__xludf.DUMMYFUNCTION("GOOGLETRANSLATE(C214, ""en"", ""hi"")"),"A) नॉक-आउट, B) मार्बल्स पिट, C) रिंग टॉ, D) टिड्लीविंक्स")</f>
        <v>A) नॉक-आउट, B) मार्बल्स पिट, C) रिंग टॉ, D) टिड्लीविंक्स</v>
      </c>
      <c r="I214" s="5" t="str">
        <f>IFERROR(__xludf.DUMMYFUNCTION("GOOGLETRANSLATE(D214, ""en"", ""hi"")"),"ए) नॉक-आउट")</f>
        <v>ए) नॉक-आउट</v>
      </c>
    </row>
    <row r="215" ht="22.5" customHeight="1">
      <c r="A215" s="3">
        <v>214.0</v>
      </c>
      <c r="B215" s="4" t="s">
        <v>7113</v>
      </c>
      <c r="C215" s="4" t="s">
        <v>6971</v>
      </c>
      <c r="D215" s="4" t="s">
        <v>6876</v>
      </c>
      <c r="F215" s="5" t="str">
        <f>IFERROR(__xludf.DUMMYFUNCTION("GOOGLETRANSLATE(A215, ""en"", ""hi"")"),"214")</f>
        <v>214</v>
      </c>
      <c r="G215" s="5" t="str">
        <f>IFERROR(__xludf.DUMMYFUNCTION("GOOGLETRANSLATE(B215, ""en"", ""hi"")"),"19वीं शताब्दी के अंत में पहली बार प्रस्तुत किए गए संगमरमर के किस डिजाइन में अपारदर्शी और पारभासी रंगों का संयोजन है और इसे उन्नत तकनीकों का उपयोग करके तैयार किया गया था?")</f>
        <v>19वीं शताब्दी के अंत में पहली बार प्रस्तुत किए गए संगमरमर के किस डिजाइन में अपारदर्शी और पारभासी रंगों का संयोजन है और इसे उन्नत तकनीकों का उपयोग करके तैयार किया गया था?</v>
      </c>
      <c r="H215" s="5" t="str">
        <f>IFERROR(__xludf.DUMMYFUNCTION("GOOGLETRANSLATE(C215, ""en"", ""hi"")"),"A) एगेट, B) कैट्स आई, C) स्वर्ल, D) स्लैग")</f>
        <v>A) एगेट, B) कैट्स आई, C) स्वर्ल, D) स्लैग</v>
      </c>
      <c r="I215" s="5" t="str">
        <f>IFERROR(__xludf.DUMMYFUNCTION("GOOGLETRANSLATE(D215, ""en"", ""hi"")"),"ए) एगेट")</f>
        <v>ए) एगेट</v>
      </c>
    </row>
    <row r="216" ht="22.5" customHeight="1">
      <c r="A216" s="3">
        <v>215.0</v>
      </c>
      <c r="B216" s="4" t="s">
        <v>7114</v>
      </c>
      <c r="C216" s="4" t="s">
        <v>7045</v>
      </c>
      <c r="D216" s="4" t="s">
        <v>7115</v>
      </c>
      <c r="F216" s="5" t="str">
        <f>IFERROR(__xludf.DUMMYFUNCTION("GOOGLETRANSLATE(A216, ""en"", ""hi"")"),"215")</f>
        <v>215</v>
      </c>
      <c r="G216" s="5" t="str">
        <f>IFERROR(__xludf.DUMMYFUNCTION("GOOGLETRANSLATE(B216, ""en"", ""hi"")"),"1922 में स्थापित कौन सी संगमरमर कंपनी अपने रंगीन, मशीन-निर्मित जटिल पैटर्न वाले संगमरमर के लिए प्रसिद्ध है?")</f>
        <v>1922 में स्थापित कौन सी संगमरमर कंपनी अपने रंगीन, मशीन-निर्मित जटिल पैटर्न वाले संगमरमर के लिए प्रसिद्ध है?</v>
      </c>
      <c r="H216" s="5" t="str">
        <f>IFERROR(__xludf.DUMMYFUNCTION("GOOGLETRANSLATE(C216, ""en"", ""hi"")"),"A) क्रिस्टेंसन एगेट कंपनी, B) मार्बल किंग, C) एक्रो एगेट कंपनी, D) जाबो ग्लास कंपनी")</f>
        <v>A) क्रिस्टेंसन एगेट कंपनी, B) मार्बल किंग, C) एक्रो एगेट कंपनी, D) जाबो ग्लास कंपनी</v>
      </c>
      <c r="I216" s="5" t="str">
        <f>IFERROR(__xludf.DUMMYFUNCTION("GOOGLETRANSLATE(D216, ""en"", ""hi"")"),"C) एक्रो एगेट कंपनी")</f>
        <v>C) एक्रो एगेट कंपनी</v>
      </c>
    </row>
    <row r="217" ht="22.5" customHeight="1">
      <c r="A217" s="3">
        <v>216.0</v>
      </c>
      <c r="B217" s="4" t="s">
        <v>7116</v>
      </c>
      <c r="C217" s="4" t="s">
        <v>6892</v>
      </c>
      <c r="D217" s="4" t="s">
        <v>6959</v>
      </c>
      <c r="F217" s="5" t="str">
        <f>IFERROR(__xludf.DUMMYFUNCTION("GOOGLETRANSLATE(A217, ""en"", ""hi"")"),"216")</f>
        <v>216</v>
      </c>
      <c r="G217" s="5" t="str">
        <f>IFERROR(__xludf.DUMMYFUNCTION("GOOGLETRANSLATE(B217, ""en"", ""hi"")"),"1950 के दशक में लोकप्रिय संगमरमर के किस प्रकार के डिजाइन में कई रंगों और पैटर्न के साथ एक उज्ज्वल, इंद्रधनुषी उपस्थिति होती है?")</f>
        <v>1950 के दशक में लोकप्रिय संगमरमर के किस प्रकार के डिजाइन में कई रंगों और पैटर्न के साथ एक उज्ज्वल, इंद्रधनुषी उपस्थिति होती है?</v>
      </c>
      <c r="H217" s="5" t="str">
        <f>IFERROR(__xludf.DUMMYFUNCTION("GOOGLETRANSLATE(C217, ""en"", ""hi"")"),"A) बिल्ली की आँख, B) अगेट, C) स्वर्ल, D) स्लैग")</f>
        <v>A) बिल्ली की आँख, B) अगेट, C) स्वर्ल, D) स्लैग</v>
      </c>
      <c r="I217" s="5" t="str">
        <f>IFERROR(__xludf.DUMMYFUNCTION("GOOGLETRANSLATE(D217, ""en"", ""hi"")"),"D) स्लैग")</f>
        <v>D) स्लैग</v>
      </c>
    </row>
    <row r="218" ht="22.5" customHeight="1">
      <c r="A218" s="3">
        <v>217.0</v>
      </c>
      <c r="B218" s="4" t="s">
        <v>7117</v>
      </c>
      <c r="C218" s="4" t="s">
        <v>6854</v>
      </c>
      <c r="D218" s="4" t="s">
        <v>7017</v>
      </c>
      <c r="F218" s="5" t="str">
        <f>IFERROR(__xludf.DUMMYFUNCTION("GOOGLETRANSLATE(A218, ""en"", ""hi"")"),"217")</f>
        <v>217</v>
      </c>
      <c r="G218" s="5" t="str">
        <f>IFERROR(__xludf.DUMMYFUNCTION("GOOGLETRANSLATE(B218, ""en"", ""hi"")"),"यूरोपीय देशों में लोकप्रिय कौन सा मार्बल गेम है, जिसमें खिलाड़ी बोर्ड पर लक्ष्य छेदों या कपों की श्रृंखला में मार्बल फेंकते हैं?")</f>
        <v>यूरोपीय देशों में लोकप्रिय कौन सा मार्बल गेम है, जिसमें खिलाड़ी बोर्ड पर लक्ष्य छेदों या कपों की श्रृंखला में मार्बल फेंकते हैं?</v>
      </c>
      <c r="H218" s="5" t="str">
        <f>IFERROR(__xludf.DUMMYFUNCTION("GOOGLETRANSLATE(C218, ""en"", ""hi"")"),"A) रिंग टॉ, B) मार्बल्स पिट, C) टिड्लीविंक्स, D) पक")</f>
        <v>A) रिंग टॉ, B) मार्बल्स पिट, C) टिड्लीविंक्स, D) पक</v>
      </c>
      <c r="I218" s="5" t="str">
        <f>IFERROR(__xludf.DUMMYFUNCTION("GOOGLETRANSLATE(D218, ""en"", ""hi"")"),"बी) मार्बल्स पिट")</f>
        <v>बी) मार्बल्स पिट</v>
      </c>
    </row>
    <row r="219" ht="22.5" customHeight="1">
      <c r="A219" s="3">
        <v>218.0</v>
      </c>
      <c r="B219" s="4" t="s">
        <v>7118</v>
      </c>
      <c r="C219" s="4" t="s">
        <v>6965</v>
      </c>
      <c r="D219" s="4" t="s">
        <v>6893</v>
      </c>
      <c r="F219" s="5" t="str">
        <f>IFERROR(__xludf.DUMMYFUNCTION("GOOGLETRANSLATE(A219, ""en"", ""hi"")"),"218")</f>
        <v>218</v>
      </c>
      <c r="G219" s="5" t="str">
        <f>IFERROR(__xludf.DUMMYFUNCTION("GOOGLETRANSLATE(B219, ""en"", ""hi"")"),"20वीं सदी के आरंभ में शुरू की गई संगमरमर की किस डिजाइन में एक केंद्रीय कोर होता है जो एक पारभासी परत से घिरा होता है, जिसमें अक्सर जीवंत रंग होते हैं?")</f>
        <v>20वीं सदी के आरंभ में शुरू की गई संगमरमर की किस डिजाइन में एक केंद्रीय कोर होता है जो एक पारभासी परत से घिरा होता है, जिसमें अक्सर जीवंत रंग होते हैं?</v>
      </c>
      <c r="H219" s="5" t="str">
        <f>IFERROR(__xludf.DUMMYFUNCTION("GOOGLETRANSLATE(C219, ""en"", ""hi"")"),"A) बिल्ली की आँख, B) स्वर्ल, C) अगेट, D) स्लैग")</f>
        <v>A) बिल्ली की आँख, B) स्वर्ल, C) अगेट, D) स्लैग</v>
      </c>
      <c r="I219" s="5" t="str">
        <f>IFERROR(__xludf.DUMMYFUNCTION("GOOGLETRANSLATE(D219, ""en"", ""hi"")"),"ए) बिल्ली की आँख")</f>
        <v>ए) बिल्ली की आँख</v>
      </c>
    </row>
    <row r="220" ht="22.5" customHeight="1">
      <c r="A220" s="3">
        <v>219.0</v>
      </c>
      <c r="B220" s="4" t="s">
        <v>7119</v>
      </c>
      <c r="C220" s="4" t="s">
        <v>7045</v>
      </c>
      <c r="D220" s="4" t="s">
        <v>7009</v>
      </c>
      <c r="F220" s="5" t="str">
        <f>IFERROR(__xludf.DUMMYFUNCTION("GOOGLETRANSLATE(A220, ""en"", ""hi"")"),"219")</f>
        <v>219</v>
      </c>
      <c r="G220" s="5" t="str">
        <f>IFERROR(__xludf.DUMMYFUNCTION("GOOGLETRANSLATE(B220, ""en"", ""hi"")"),"1912 में स्थापित कौन सी संगमरमर कंपनी उच्च गुणवत्ता वाले डिजाइन और पैटर्न वाले मशीन-निर्मित संगमरमर के लिए जानी जाती है?")</f>
        <v>1912 में स्थापित कौन सी संगमरमर कंपनी उच्च गुणवत्ता वाले डिजाइन और पैटर्न वाले मशीन-निर्मित संगमरमर के लिए जानी जाती है?</v>
      </c>
      <c r="H220" s="5" t="str">
        <f>IFERROR(__xludf.DUMMYFUNCTION("GOOGLETRANSLATE(C220, ""en"", ""hi"")"),"A) क्रिस्टेंसन एगेट कंपनी, B) मार्बल किंग, C) एक्रो एगेट कंपनी, D) जाबो ग्लास कंपनी")</f>
        <v>A) क्रिस्टेंसन एगेट कंपनी, B) मार्बल किंग, C) एक्रो एगेट कंपनी, D) जाबो ग्लास कंपनी</v>
      </c>
      <c r="I220" s="5" t="str">
        <f>IFERROR(__xludf.DUMMYFUNCTION("GOOGLETRANSLATE(D220, ""en"", ""hi"")"),"ए) क्रिस्टेंसन एगेट कंपनी")</f>
        <v>ए) क्रिस्टेंसन एगेट कंपनी</v>
      </c>
    </row>
    <row r="221" ht="22.5" customHeight="1">
      <c r="A221" s="3">
        <v>220.0</v>
      </c>
      <c r="B221" s="4" t="s">
        <v>7120</v>
      </c>
      <c r="C221" s="4" t="s">
        <v>6928</v>
      </c>
      <c r="D221" s="4" t="s">
        <v>6929</v>
      </c>
      <c r="F221" s="5" t="str">
        <f>IFERROR(__xludf.DUMMYFUNCTION("GOOGLETRANSLATE(A221, ""en"", ""hi"")"),"220")</f>
        <v>220</v>
      </c>
      <c r="G221" s="5" t="str">
        <f>IFERROR(__xludf.DUMMYFUNCTION("GOOGLETRANSLATE(B221, ""en"", ""hi"")"),"कौन सा संगमरमर डिजाइन, जो अपने घुमावदार रंगों और चिकनी सतह के लिए जाना जाता है, 1940 और 1950 के दशक में लोकप्रिय था?")</f>
        <v>कौन सा संगमरमर डिजाइन, जो अपने घुमावदार रंगों और चिकनी सतह के लिए जाना जाता है, 1940 और 1950 के दशक में लोकप्रिय था?</v>
      </c>
      <c r="H221" s="5" t="str">
        <f>IFERROR(__xludf.DUMMYFUNCTION("GOOGLETRANSLATE(C221, ""en"", ""hi"")"),"A) स्वर्ल, B) एगेट, C) कैट्स आई, D) स्लैग")</f>
        <v>A) स्वर्ल, B) एगेट, C) कैट्स आई, D) स्लैग</v>
      </c>
      <c r="I221" s="5" t="str">
        <f>IFERROR(__xludf.DUMMYFUNCTION("GOOGLETRANSLATE(D221, ""en"", ""hi"")"),"ए) भंवर")</f>
        <v>ए) भंवर</v>
      </c>
    </row>
    <row r="222" ht="22.5" customHeight="1">
      <c r="A222" s="3">
        <v>221.0</v>
      </c>
      <c r="B222" s="4" t="s">
        <v>7121</v>
      </c>
      <c r="C222" s="4" t="s">
        <v>6926</v>
      </c>
      <c r="D222" s="4" t="s">
        <v>6903</v>
      </c>
      <c r="F222" s="5" t="str">
        <f>IFERROR(__xludf.DUMMYFUNCTION("GOOGLETRANSLATE(A222, ""en"", ""hi"")"),"221")</f>
        <v>221</v>
      </c>
      <c r="G222" s="5" t="str">
        <f>IFERROR(__xludf.DUMMYFUNCTION("GOOGLETRANSLATE(B222, ""en"", ""hi"")"),"कौन सा कंचे का खेल, जिसमें खिलाड़ी बोर्ड पर छोटे-छोटे छेदों या लक्ष्यों में कंचे फेंकते थे, 20वीं शताब्दी में व्यापक रूप से खेला जाता था?")</f>
        <v>कौन सा कंचे का खेल, जिसमें खिलाड़ी बोर्ड पर छोटे-छोटे छेदों या लक्ष्यों में कंचे फेंकते थे, 20वीं शताब्दी में व्यापक रूप से खेला जाता था?</v>
      </c>
      <c r="H222" s="5" t="str">
        <f>IFERROR(__xludf.DUMMYFUNCTION("GOOGLETRANSLATE(C222, ""en"", ""hi"")"),"A) टिड्लीविंक्स, B) रिंग टॉ, C) मार्बल्स पिट, D) पक")</f>
        <v>A) टिड्लीविंक्स, B) रिंग टॉ, C) मार्बल्स पिट, D) पक</v>
      </c>
      <c r="I222" s="5" t="str">
        <f>IFERROR(__xludf.DUMMYFUNCTION("GOOGLETRANSLATE(D222, ""en"", ""hi"")"),"ए) टिड्लीविंक्स")</f>
        <v>ए) टिड्लीविंक्स</v>
      </c>
    </row>
    <row r="223" ht="22.5" customHeight="1">
      <c r="A223" s="3">
        <v>222.0</v>
      </c>
      <c r="B223" s="4" t="s">
        <v>7122</v>
      </c>
      <c r="C223" s="4" t="s">
        <v>7053</v>
      </c>
      <c r="D223" s="4" t="s">
        <v>7003</v>
      </c>
      <c r="F223" s="5" t="str">
        <f>IFERROR(__xludf.DUMMYFUNCTION("GOOGLETRANSLATE(A223, ""en"", ""hi"")"),"222")</f>
        <v>222</v>
      </c>
      <c r="G223" s="5" t="str">
        <f>IFERROR(__xludf.DUMMYFUNCTION("GOOGLETRANSLATE(B223, ""en"", ""hi"")"),"19वीं शताब्दी में संगमरमर बनाने की तकनीक के अध्ययन और विकास में किस ऐतिहासिक व्यक्ति ने महत्वपूर्ण योगदान दिया?")</f>
        <v>19वीं शताब्दी में संगमरमर बनाने की तकनीक के अध्ययन और विकास में किस ऐतिहासिक व्यक्ति ने महत्वपूर्ण योगदान दिया?</v>
      </c>
      <c r="H223" s="5" t="str">
        <f>IFERROR(__xludf.DUMMYFUNCTION("GOOGLETRANSLATE(C223, ""en"", ""hi"")"),"A) चार्ल्स एम. मिलर, B) थॉमस एडिसन, C) अल्बर्ट आइंस्टीन, D) जेम्स स्मिथसन")</f>
        <v>A) चार्ल्स एम. मिलर, B) थॉमस एडिसन, C) अल्बर्ट आइंस्टीन, D) जेम्स स्मिथसन</v>
      </c>
      <c r="I223" s="5" t="str">
        <f>IFERROR(__xludf.DUMMYFUNCTION("GOOGLETRANSLATE(D223, ""en"", ""hi"")"),"A) चार्ल्स एम. मिलर")</f>
        <v>A) चार्ल्स एम. मिलर</v>
      </c>
    </row>
    <row r="224" ht="22.5" customHeight="1">
      <c r="A224" s="3">
        <v>223.0</v>
      </c>
      <c r="B224" s="4" t="s">
        <v>7123</v>
      </c>
      <c r="C224" s="4" t="s">
        <v>6953</v>
      </c>
      <c r="D224" s="4" t="s">
        <v>6929</v>
      </c>
      <c r="F224" s="5" t="str">
        <f>IFERROR(__xludf.DUMMYFUNCTION("GOOGLETRANSLATE(A224, ""en"", ""hi"")"),"223")</f>
        <v>223</v>
      </c>
      <c r="G224" s="5" t="str">
        <f>IFERROR(__xludf.DUMMYFUNCTION("GOOGLETRANSLATE(B224, ""en"", ""hi"")"),"19वीं शताब्दी के अंत में पहली बार निर्मित कौन सा संगमरमर डिज़ाइन अपनी चमकदार, परावर्तक सतह और घूमते रंगों के लिए जाना जाता है?")</f>
        <v>19वीं शताब्दी के अंत में पहली बार निर्मित कौन सा संगमरमर डिज़ाइन अपनी चमकदार, परावर्तक सतह और घूमते रंगों के लिए जाना जाता है?</v>
      </c>
      <c r="H224" s="5" t="str">
        <f>IFERROR(__xludf.DUMMYFUNCTION("GOOGLETRANSLATE(C224, ""en"", ""hi"")"),"A) स्वर्ल, B) कैट्स आई, C) एगेट, D) स्लैग")</f>
        <v>A) स्वर्ल, B) कैट्स आई, C) एगेट, D) स्लैग</v>
      </c>
      <c r="I224" s="5" t="str">
        <f>IFERROR(__xludf.DUMMYFUNCTION("GOOGLETRANSLATE(D224, ""en"", ""hi"")"),"ए) भंवर")</f>
        <v>ए) भंवर</v>
      </c>
    </row>
    <row r="225" ht="22.5" customHeight="1">
      <c r="A225" s="3">
        <v>224.0</v>
      </c>
      <c r="B225" s="4" t="s">
        <v>7124</v>
      </c>
      <c r="C225" s="4" t="s">
        <v>7103</v>
      </c>
      <c r="D225" s="4" t="s">
        <v>6922</v>
      </c>
      <c r="F225" s="5" t="str">
        <f>IFERROR(__xludf.DUMMYFUNCTION("GOOGLETRANSLATE(A225, ""en"", ""hi"")"),"224")</f>
        <v>224</v>
      </c>
      <c r="G225" s="5" t="str">
        <f>IFERROR(__xludf.DUMMYFUNCTION("GOOGLETRANSLATE(B225, ""en"", ""hi"")"),"1949 में स्थापित कौन सी संगमरमर कंपनी अपने रंगीन कांच के संगमरमर और विस्तृत डिजाइन के लिए जानी जाती है?")</f>
        <v>1949 में स्थापित कौन सी संगमरमर कंपनी अपने रंगीन कांच के संगमरमर और विस्तृत डिजाइन के लिए जानी जाती है?</v>
      </c>
      <c r="H225" s="5" t="str">
        <f>IFERROR(__xludf.DUMMYFUNCTION("GOOGLETRANSLATE(C225, ""en"", ""hi"")"),"A) जाबो ग्लास कंपनी, B) क्रिस्टेंसन एगेट कंपनी, C) अक्रो एगेट कंपनी, D) मार्बल किंग")</f>
        <v>A) जाबो ग्लास कंपनी, B) क्रिस्टेंसन एगेट कंपनी, C) अक्रो एगेट कंपनी, D) मार्बल किंग</v>
      </c>
      <c r="I225" s="5" t="str">
        <f>IFERROR(__xludf.DUMMYFUNCTION("GOOGLETRANSLATE(D225, ""en"", ""hi"")"),"ए) जाबो ग्लास कंपनी")</f>
        <v>ए) जाबो ग्लास कंपनी</v>
      </c>
    </row>
    <row r="226" ht="22.5" customHeight="1">
      <c r="A226" s="3">
        <v>225.0</v>
      </c>
      <c r="B226" s="4" t="s">
        <v>7125</v>
      </c>
      <c r="C226" s="4" t="s">
        <v>6953</v>
      </c>
      <c r="D226" s="4" t="s">
        <v>6929</v>
      </c>
      <c r="F226" s="5" t="str">
        <f>IFERROR(__xludf.DUMMYFUNCTION("GOOGLETRANSLATE(A226, ""en"", ""hi"")"),"225")</f>
        <v>225</v>
      </c>
      <c r="G226" s="5" t="str">
        <f>IFERROR(__xludf.DUMMYFUNCTION("GOOGLETRANSLATE(B226, ""en"", ""hi"")"),"20वीं शताब्दी के प्रारम्भ में पहली बार प्रचलन में लाया गया संगमरमर का कौन सा प्रकार अपनी चिकनी सतह और चमकीले, घुमावदार रंगों के लिए जाना जाता है?")</f>
        <v>20वीं शताब्दी के प्रारम्भ में पहली बार प्रचलन में लाया गया संगमरमर का कौन सा प्रकार अपनी चिकनी सतह और चमकीले, घुमावदार रंगों के लिए जाना जाता है?</v>
      </c>
      <c r="H226" s="5" t="str">
        <f>IFERROR(__xludf.DUMMYFUNCTION("GOOGLETRANSLATE(C226, ""en"", ""hi"")"),"A) स्वर्ल, B) कैट्स आई, C) एगेट, D) स्लैग")</f>
        <v>A) स्वर्ल, B) कैट्स आई, C) एगेट, D) स्लैग</v>
      </c>
      <c r="I226" s="5" t="str">
        <f>IFERROR(__xludf.DUMMYFUNCTION("GOOGLETRANSLATE(D226, ""en"", ""hi"")"),"ए) भंवर")</f>
        <v>ए) भंवर</v>
      </c>
    </row>
    <row r="227" ht="22.5" customHeight="1">
      <c r="A227" s="3">
        <v>226.0</v>
      </c>
      <c r="B227" s="4" t="s">
        <v>7126</v>
      </c>
      <c r="C227" s="4" t="s">
        <v>6931</v>
      </c>
      <c r="D227" s="4" t="s">
        <v>6867</v>
      </c>
      <c r="F227" s="5" t="str">
        <f>IFERROR(__xludf.DUMMYFUNCTION("GOOGLETRANSLATE(A227, ""en"", ""hi"")"),"226")</f>
        <v>226</v>
      </c>
      <c r="G227" s="5" t="str">
        <f>IFERROR(__xludf.DUMMYFUNCTION("GOOGLETRANSLATE(B227, ""en"", ""hi"")"),"कौन सा संगमरमर डिजाइन, जो अपने रंगीन पैटर्न और चिकनी फिनिश के लिए जाना जाता है, उत्पादन तकनीक में प्रगति के कारण 1950 के दशक में लोकप्रिय हो गया?")</f>
        <v>कौन सा संगमरमर डिजाइन, जो अपने रंगीन पैटर्न और चिकनी फिनिश के लिए जाना जाता है, उत्पादन तकनीक में प्रगति के कारण 1950 के दशक में लोकप्रिय हो गया?</v>
      </c>
      <c r="H227" s="5" t="str">
        <f>IFERROR(__xludf.DUMMYFUNCTION("GOOGLETRANSLATE(C227, ""en"", ""hi"")"),"A) कांच के मार्बल, B) मिट्टी के मार्बल, C) धातु के मार्बल, D) प्लास्टिक के मार्बल")</f>
        <v>A) कांच के मार्बल, B) मिट्टी के मार्बल, C) धातु के मार्बल, D) प्लास्टिक के मार्बल</v>
      </c>
      <c r="I227" s="5" t="str">
        <f>IFERROR(__xludf.DUMMYFUNCTION("GOOGLETRANSLATE(D227, ""en"", ""hi"")"),"A) कांच के पत्थर")</f>
        <v>A) कांच के पत्थर</v>
      </c>
    </row>
    <row r="228" ht="22.5" customHeight="1">
      <c r="A228" s="3">
        <v>227.0</v>
      </c>
      <c r="B228" s="4" t="s">
        <v>7127</v>
      </c>
      <c r="C228" s="4" t="s">
        <v>7034</v>
      </c>
      <c r="D228" s="4" t="s">
        <v>7035</v>
      </c>
      <c r="F228" s="5" t="str">
        <f>IFERROR(__xludf.DUMMYFUNCTION("GOOGLETRANSLATE(A228, ""en"", ""hi"")"),"227")</f>
        <v>227</v>
      </c>
      <c r="G228" s="5" t="str">
        <f>IFERROR(__xludf.DUMMYFUNCTION("GOOGLETRANSLATE(B228, ""en"", ""hi"")"),"कौन सा कंचे का खेल, जिसमें खिलाड़ी एक केन्द्रीय लक्ष्य क्षेत्र में कंचे फेंकते थे, 20वीं शताब्दी में व्यापक रूप से खेला जाता था?")</f>
        <v>कौन सा कंचे का खेल, जिसमें खिलाड़ी एक केन्द्रीय लक्ष्य क्षेत्र में कंचे फेंकते थे, 20वीं शताब्दी में व्यापक रूप से खेला जाता था?</v>
      </c>
      <c r="H228" s="5" t="str">
        <f>IFERROR(__xludf.DUMMYFUNCTION("GOOGLETRANSLATE(C228, ""en"", ""hi"")"),"A) नॉक-आउट, B) मार्बल्स पिट, C) रिंग टॉ, D) टिड्लीविंक्स")</f>
        <v>A) नॉक-आउट, B) मार्बल्स पिट, C) रिंग टॉ, D) टिड्लीविंक्स</v>
      </c>
      <c r="I228" s="5" t="str">
        <f>IFERROR(__xludf.DUMMYFUNCTION("GOOGLETRANSLATE(D228, ""en"", ""hi"")"),"ए) नॉक-आउट")</f>
        <v>ए) नॉक-आउट</v>
      </c>
    </row>
    <row r="229" ht="22.5" customHeight="1">
      <c r="A229" s="3">
        <v>228.0</v>
      </c>
      <c r="B229" s="4" t="s">
        <v>7128</v>
      </c>
      <c r="C229" s="4" t="s">
        <v>6928</v>
      </c>
      <c r="D229" s="4" t="s">
        <v>6959</v>
      </c>
      <c r="F229" s="5" t="str">
        <f>IFERROR(__xludf.DUMMYFUNCTION("GOOGLETRANSLATE(A229, ""en"", ""hi"")"),"228")</f>
        <v>228</v>
      </c>
      <c r="G229" s="5" t="str">
        <f>IFERROR(__xludf.DUMMYFUNCTION("GOOGLETRANSLATE(B229, ""en"", ""hi"")"),"1950 के दशक में लोकप्रिय संगमरमर के किस प्रकार के डिजाइन में जीवंत रंगों के साथ एक उज्ज्वल, परावर्तक सतह होती है?")</f>
        <v>1950 के दशक में लोकप्रिय संगमरमर के किस प्रकार के डिजाइन में जीवंत रंगों के साथ एक उज्ज्वल, परावर्तक सतह होती है?</v>
      </c>
      <c r="H229" s="5" t="str">
        <f>IFERROR(__xludf.DUMMYFUNCTION("GOOGLETRANSLATE(C229, ""en"", ""hi"")"),"A) स्वर्ल, B) एगेट, C) कैट्स आई, D) स्लैग")</f>
        <v>A) स्वर्ल, B) एगेट, C) कैट्स आई, D) स्लैग</v>
      </c>
      <c r="I229" s="5" t="str">
        <f>IFERROR(__xludf.DUMMYFUNCTION("GOOGLETRANSLATE(D229, ""en"", ""hi"")"),"D) स्लैग")</f>
        <v>D) स्लैग</v>
      </c>
    </row>
    <row r="230" ht="22.5" customHeight="1">
      <c r="A230" s="3">
        <v>229.0</v>
      </c>
      <c r="B230" s="4" t="s">
        <v>7129</v>
      </c>
      <c r="C230" s="4" t="s">
        <v>6895</v>
      </c>
      <c r="D230" s="4" t="s">
        <v>6896</v>
      </c>
      <c r="F230" s="5" t="str">
        <f>IFERROR(__xludf.DUMMYFUNCTION("GOOGLETRANSLATE(A230, ""en"", ""hi"")"),"229")</f>
        <v>229</v>
      </c>
      <c r="G230" s="5" t="str">
        <f>IFERROR(__xludf.DUMMYFUNCTION("GOOGLETRANSLATE(B230, ""en"", ""hi"")"),"1922 में स्थापित कौन सी संगमरमर कंपनी जटिल पैटर्न और जीवंत रंगों वाले मशीन-निर्मित संगमरमर के लिए प्रसिद्ध है?")</f>
        <v>1922 में स्थापित कौन सी संगमरमर कंपनी जटिल पैटर्न और जीवंत रंगों वाले मशीन-निर्मित संगमरमर के लिए प्रसिद्ध है?</v>
      </c>
      <c r="H230" s="5" t="str">
        <f>IFERROR(__xludf.DUMMYFUNCTION("GOOGLETRANSLATE(C230, ""en"", ""hi"")"),"A) एक्रो एगेट कंपनी, B) मार्बल किंग, C) क्रिस्टेंसन एगेट कंपनी, D) जाबो ग्लास कंपनी")</f>
        <v>A) एक्रो एगेट कंपनी, B) मार्बल किंग, C) क्रिस्टेंसन एगेट कंपनी, D) जाबो ग्लास कंपनी</v>
      </c>
      <c r="I230" s="5" t="str">
        <f>IFERROR(__xludf.DUMMYFUNCTION("GOOGLETRANSLATE(D230, ""en"", ""hi"")"),"ए) एक्रो एगेट कंपनी")</f>
        <v>ए) एक्रो एगेट कंपनी</v>
      </c>
    </row>
    <row r="231" ht="22.5" customHeight="1">
      <c r="A231" s="3">
        <v>230.0</v>
      </c>
      <c r="B231" s="4" t="s">
        <v>7130</v>
      </c>
      <c r="C231" s="4" t="s">
        <v>6810</v>
      </c>
      <c r="D231" s="4" t="s">
        <v>6811</v>
      </c>
      <c r="F231" s="5" t="str">
        <f>IFERROR(__xludf.DUMMYFUNCTION("GOOGLETRANSLATE(A231, ""en"", ""hi"")"),"230")</f>
        <v>230</v>
      </c>
      <c r="G231" s="5" t="str">
        <f>IFERROR(__xludf.DUMMYFUNCTION("GOOGLETRANSLATE(B231, ""en"", ""hi"")"),"यूरोपीय देशों में लोकप्रिय कौन सा मार्बल गेम है, जिसमें खिलाड़ी बोर्ड पर लक्ष्यित छेदों की श्रृंखला में मार्बल फेंकते हैं?")</f>
        <v>यूरोपीय देशों में लोकप्रिय कौन सा मार्बल गेम है, जिसमें खिलाड़ी बोर्ड पर लक्ष्यित छेदों की श्रृंखला में मार्बल फेंकते हैं?</v>
      </c>
      <c r="H231" s="5" t="str">
        <f>IFERROR(__xludf.DUMMYFUNCTION("GOOGLETRANSLATE(C231, ""en"", ""hi"")"),"A) मार्बल्स पिट, B) रिंग टॉ, C) टिड्लीविंक्स, D) पक")</f>
        <v>A) मार्बल्स पिट, B) रिंग टॉ, C) टिड्लीविंक्स, D) पक</v>
      </c>
      <c r="I231" s="5" t="str">
        <f>IFERROR(__xludf.DUMMYFUNCTION("GOOGLETRANSLATE(D231, ""en"", ""hi"")"),"A) मार्बल्स पिट")</f>
        <v>A) मार्बल्स पिट</v>
      </c>
    </row>
    <row r="232" ht="22.5" customHeight="1">
      <c r="A232" s="3">
        <v>231.0</v>
      </c>
      <c r="B232" s="4" t="s">
        <v>7131</v>
      </c>
      <c r="C232" s="4" t="s">
        <v>6965</v>
      </c>
      <c r="D232" s="4" t="s">
        <v>6893</v>
      </c>
      <c r="F232" s="5" t="str">
        <f>IFERROR(__xludf.DUMMYFUNCTION("GOOGLETRANSLATE(A232, ""en"", ""hi"")"),"231")</f>
        <v>231</v>
      </c>
      <c r="G232" s="5" t="str">
        <f>IFERROR(__xludf.DUMMYFUNCTION("GOOGLETRANSLATE(B232, ""en"", ""hi"")"),"20वीं शताब्दी में शुरू किए गए संगमरमर के किस प्रकार के डिजाइन में एक पारभासी परत से घिरा एक केंद्रीय अपारदर्शी कोर होता है?")</f>
        <v>20वीं शताब्दी में शुरू किए गए संगमरमर के किस प्रकार के डिजाइन में एक पारभासी परत से घिरा एक केंद्रीय अपारदर्शी कोर होता है?</v>
      </c>
      <c r="H232" s="5" t="str">
        <f>IFERROR(__xludf.DUMMYFUNCTION("GOOGLETRANSLATE(C232, ""en"", ""hi"")"),"A) बिल्ली की आँख, B) स्वर्ल, C) अगेट, D) स्लैग")</f>
        <v>A) बिल्ली की आँख, B) स्वर्ल, C) अगेट, D) स्लैग</v>
      </c>
      <c r="I232" s="5" t="str">
        <f>IFERROR(__xludf.DUMMYFUNCTION("GOOGLETRANSLATE(D232, ""en"", ""hi"")"),"ए) बिल्ली की आँख")</f>
        <v>ए) बिल्ली की आँख</v>
      </c>
    </row>
    <row r="233" ht="22.5" customHeight="1">
      <c r="A233" s="3">
        <v>232.0</v>
      </c>
      <c r="B233" s="4" t="s">
        <v>7132</v>
      </c>
      <c r="C233" s="4" t="s">
        <v>7045</v>
      </c>
      <c r="D233" s="4" t="s">
        <v>7009</v>
      </c>
      <c r="F233" s="5" t="str">
        <f>IFERROR(__xludf.DUMMYFUNCTION("GOOGLETRANSLATE(A233, ""en"", ""hi"")"),"232")</f>
        <v>232</v>
      </c>
      <c r="G233" s="5" t="str">
        <f>IFERROR(__xludf.DUMMYFUNCTION("GOOGLETRANSLATE(B233, ""en"", ""hi"")"),"1912 में स्थापित कौन सी संगमरमर कंपनी अपने उच्च गुणवत्ता वाले, जटिल डिजाइन और पैटर्न वाले मशीन-निर्मित संगमरमर के लिए जानी जाती है?")</f>
        <v>1912 में स्थापित कौन सी संगमरमर कंपनी अपने उच्च गुणवत्ता वाले, जटिल डिजाइन और पैटर्न वाले मशीन-निर्मित संगमरमर के लिए जानी जाती है?</v>
      </c>
      <c r="H233" s="5" t="str">
        <f>IFERROR(__xludf.DUMMYFUNCTION("GOOGLETRANSLATE(C233, ""en"", ""hi"")"),"A) क्रिस्टेंसन एगेट कंपनी, B) मार्बल किंग, C) एक्रो एगेट कंपनी, D) जाबो ग्लास कंपनी")</f>
        <v>A) क्रिस्टेंसन एगेट कंपनी, B) मार्बल किंग, C) एक्रो एगेट कंपनी, D) जाबो ग्लास कंपनी</v>
      </c>
      <c r="I233" s="5" t="str">
        <f>IFERROR(__xludf.DUMMYFUNCTION("GOOGLETRANSLATE(D233, ""en"", ""hi"")"),"ए) क्रिस्टेंसन एगेट कंपनी")</f>
        <v>ए) क्रिस्टेंसन एगेट कंपनी</v>
      </c>
    </row>
    <row r="234" ht="22.5" customHeight="1">
      <c r="A234" s="3">
        <v>233.0</v>
      </c>
      <c r="B234" s="4" t="s">
        <v>7133</v>
      </c>
      <c r="C234" s="4" t="s">
        <v>6928</v>
      </c>
      <c r="D234" s="4" t="s">
        <v>6929</v>
      </c>
      <c r="F234" s="5" t="str">
        <f>IFERROR(__xludf.DUMMYFUNCTION("GOOGLETRANSLATE(A234, ""en"", ""hi"")"),"233")</f>
        <v>233</v>
      </c>
      <c r="G234" s="5" t="str">
        <f>IFERROR(__xludf.DUMMYFUNCTION("GOOGLETRANSLATE(B234, ""en"", ""hi"")"),"1940 के दशक में लोकप्रिय संगमरमर का कौन सा डिज़ाइन, अनेक रंगों और पैटर्नों के साथ एक चमकदार, घुमावदार रूप प्रस्तुत करता है?")</f>
        <v>1940 के दशक में लोकप्रिय संगमरमर का कौन सा डिज़ाइन, अनेक रंगों और पैटर्नों के साथ एक चमकदार, घुमावदार रूप प्रस्तुत करता है?</v>
      </c>
      <c r="H234" s="5" t="str">
        <f>IFERROR(__xludf.DUMMYFUNCTION("GOOGLETRANSLATE(C234, ""en"", ""hi"")"),"A) स्वर्ल, B) एगेट, C) कैट्स आई, D) स्लैग")</f>
        <v>A) स्वर्ल, B) एगेट, C) कैट्स आई, D) स्लैग</v>
      </c>
      <c r="I234" s="5" t="str">
        <f>IFERROR(__xludf.DUMMYFUNCTION("GOOGLETRANSLATE(D234, ""en"", ""hi"")"),"ए) भंवर")</f>
        <v>ए) भंवर</v>
      </c>
    </row>
    <row r="235" ht="22.5" customHeight="1">
      <c r="A235" s="3">
        <v>234.0</v>
      </c>
      <c r="B235" s="4" t="s">
        <v>7121</v>
      </c>
      <c r="C235" s="4" t="s">
        <v>6926</v>
      </c>
      <c r="D235" s="4" t="s">
        <v>6903</v>
      </c>
      <c r="F235" s="5" t="str">
        <f>IFERROR(__xludf.DUMMYFUNCTION("GOOGLETRANSLATE(A235, ""en"", ""hi"")"),"234")</f>
        <v>234</v>
      </c>
      <c r="G235" s="5" t="str">
        <f>IFERROR(__xludf.DUMMYFUNCTION("GOOGLETRANSLATE(B235, ""en"", ""hi"")"),"कौन सा कंचे का खेल, जिसमें खिलाड़ी बोर्ड पर छोटे-छोटे छेदों या लक्ष्यों में कंचे फेंकते थे, 20वीं शताब्दी में व्यापक रूप से खेला जाता था?")</f>
        <v>कौन सा कंचे का खेल, जिसमें खिलाड़ी बोर्ड पर छोटे-छोटे छेदों या लक्ष्यों में कंचे फेंकते थे, 20वीं शताब्दी में व्यापक रूप से खेला जाता था?</v>
      </c>
      <c r="H235" s="5" t="str">
        <f>IFERROR(__xludf.DUMMYFUNCTION("GOOGLETRANSLATE(C235, ""en"", ""hi"")"),"A) टिड्लीविंक्स, B) रिंग टॉ, C) मार्बल्स पिट, D) पक")</f>
        <v>A) टिड्लीविंक्स, B) रिंग टॉ, C) मार्बल्स पिट, D) पक</v>
      </c>
      <c r="I235" s="5" t="str">
        <f>IFERROR(__xludf.DUMMYFUNCTION("GOOGLETRANSLATE(D235, ""en"", ""hi"")"),"ए) टिड्लीविंक्स")</f>
        <v>ए) टिड्लीविंक्स</v>
      </c>
    </row>
    <row r="236" ht="22.5" customHeight="1">
      <c r="A236" s="3">
        <v>235.0</v>
      </c>
      <c r="B236" s="4" t="s">
        <v>7122</v>
      </c>
      <c r="C236" s="4" t="s">
        <v>7053</v>
      </c>
      <c r="D236" s="4" t="s">
        <v>7003</v>
      </c>
      <c r="F236" s="5" t="str">
        <f>IFERROR(__xludf.DUMMYFUNCTION("GOOGLETRANSLATE(A236, ""en"", ""hi"")"),"235")</f>
        <v>235</v>
      </c>
      <c r="G236" s="5" t="str">
        <f>IFERROR(__xludf.DUMMYFUNCTION("GOOGLETRANSLATE(B236, ""en"", ""hi"")"),"19वीं शताब्दी में संगमरमर बनाने की तकनीक के अध्ययन और विकास में किस ऐतिहासिक व्यक्ति ने महत्वपूर्ण योगदान दिया?")</f>
        <v>19वीं शताब्दी में संगमरमर बनाने की तकनीक के अध्ययन और विकास में किस ऐतिहासिक व्यक्ति ने महत्वपूर्ण योगदान दिया?</v>
      </c>
      <c r="H236" s="5" t="str">
        <f>IFERROR(__xludf.DUMMYFUNCTION("GOOGLETRANSLATE(C236, ""en"", ""hi"")"),"A) चार्ल्स एम. मिलर, B) थॉमस एडिसन, C) अल्बर्ट आइंस्टीन, D) जेम्स स्मिथसन")</f>
        <v>A) चार्ल्स एम. मिलर, B) थॉमस एडिसन, C) अल्बर्ट आइंस्टीन, D) जेम्स स्मिथसन</v>
      </c>
      <c r="I236" s="5" t="str">
        <f>IFERROR(__xludf.DUMMYFUNCTION("GOOGLETRANSLATE(D236, ""en"", ""hi"")"),"A) चार्ल्स एम. मिलर")</f>
        <v>A) चार्ल्स एम. मिलर</v>
      </c>
    </row>
    <row r="237" ht="22.5" customHeight="1">
      <c r="A237" s="3">
        <v>236.0</v>
      </c>
      <c r="B237" s="4" t="s">
        <v>7134</v>
      </c>
      <c r="C237" s="4" t="s">
        <v>6953</v>
      </c>
      <c r="D237" s="4" t="s">
        <v>6929</v>
      </c>
      <c r="F237" s="5" t="str">
        <f>IFERROR(__xludf.DUMMYFUNCTION("GOOGLETRANSLATE(A237, ""en"", ""hi"")"),"236")</f>
        <v>236</v>
      </c>
      <c r="G237" s="5" t="str">
        <f>IFERROR(__xludf.DUMMYFUNCTION("GOOGLETRANSLATE(B237, ""en"", ""hi"")"),"19वीं शताब्दी के अंत में पहली बार शुरू किया गया कौन सा संगमरमर डिजाइन अपनी चमकदार, परावर्तक सतह और घूमते रंगों के लिए जाना जाता है?")</f>
        <v>19वीं शताब्दी के अंत में पहली बार शुरू किया गया कौन सा संगमरमर डिजाइन अपनी चमकदार, परावर्तक सतह और घूमते रंगों के लिए जाना जाता है?</v>
      </c>
      <c r="H237" s="5" t="str">
        <f>IFERROR(__xludf.DUMMYFUNCTION("GOOGLETRANSLATE(C237, ""en"", ""hi"")"),"A) स्वर्ल, B) कैट्स आई, C) एगेट, D) स्लैग")</f>
        <v>A) स्वर्ल, B) कैट्स आई, C) एगेट, D) स्लैग</v>
      </c>
      <c r="I237" s="5" t="str">
        <f>IFERROR(__xludf.DUMMYFUNCTION("GOOGLETRANSLATE(D237, ""en"", ""hi"")"),"ए) भंवर")</f>
        <v>ए) भंवर</v>
      </c>
    </row>
    <row r="238" ht="22.5" customHeight="1">
      <c r="A238" s="3">
        <v>237.0</v>
      </c>
      <c r="B238" s="4" t="s">
        <v>7124</v>
      </c>
      <c r="C238" s="4" t="s">
        <v>7103</v>
      </c>
      <c r="D238" s="4" t="s">
        <v>6922</v>
      </c>
      <c r="F238" s="5" t="str">
        <f>IFERROR(__xludf.DUMMYFUNCTION("GOOGLETRANSLATE(A238, ""en"", ""hi"")"),"237")</f>
        <v>237</v>
      </c>
      <c r="G238" s="5" t="str">
        <f>IFERROR(__xludf.DUMMYFUNCTION("GOOGLETRANSLATE(B238, ""en"", ""hi"")"),"1949 में स्थापित कौन सी संगमरमर कंपनी अपने रंगीन कांच के संगमरमर और विस्तृत डिजाइन के लिए जानी जाती है?")</f>
        <v>1949 में स्थापित कौन सी संगमरमर कंपनी अपने रंगीन कांच के संगमरमर और विस्तृत डिजाइन के लिए जानी जाती है?</v>
      </c>
      <c r="H238" s="5" t="str">
        <f>IFERROR(__xludf.DUMMYFUNCTION("GOOGLETRANSLATE(C238, ""en"", ""hi"")"),"A) जाबो ग्लास कंपनी, B) क्रिस्टेंसन एगेट कंपनी, C) अक्रो एगेट कंपनी, D) मार्बल किंग")</f>
        <v>A) जाबो ग्लास कंपनी, B) क्रिस्टेंसन एगेट कंपनी, C) अक्रो एगेट कंपनी, D) मार्बल किंग</v>
      </c>
      <c r="I238" s="5" t="str">
        <f>IFERROR(__xludf.DUMMYFUNCTION("GOOGLETRANSLATE(D238, ""en"", ""hi"")"),"ए) जाबो ग्लास कंपनी")</f>
        <v>ए) जाबो ग्लास कंपनी</v>
      </c>
    </row>
    <row r="239" ht="22.5" customHeight="1">
      <c r="A239" s="3">
        <v>238.0</v>
      </c>
      <c r="B239" s="4" t="s">
        <v>7125</v>
      </c>
      <c r="C239" s="4" t="s">
        <v>6953</v>
      </c>
      <c r="D239" s="4" t="s">
        <v>6929</v>
      </c>
      <c r="F239" s="5" t="str">
        <f>IFERROR(__xludf.DUMMYFUNCTION("GOOGLETRANSLATE(A239, ""en"", ""hi"")"),"238")</f>
        <v>238</v>
      </c>
      <c r="G239" s="5" t="str">
        <f>IFERROR(__xludf.DUMMYFUNCTION("GOOGLETRANSLATE(B239, ""en"", ""hi"")"),"20वीं शताब्दी के प्रारम्भ में पहली बार प्रचलन में लाया गया संगमरमर का कौन सा प्रकार अपनी चिकनी सतह और चमकीले, घुमावदार रंगों के लिए जाना जाता है?")</f>
        <v>20वीं शताब्दी के प्रारम्भ में पहली बार प्रचलन में लाया गया संगमरमर का कौन सा प्रकार अपनी चिकनी सतह और चमकीले, घुमावदार रंगों के लिए जाना जाता है?</v>
      </c>
      <c r="H239" s="5" t="str">
        <f>IFERROR(__xludf.DUMMYFUNCTION("GOOGLETRANSLATE(C239, ""en"", ""hi"")"),"A) स्वर्ल, B) कैट्स आई, C) एगेट, D) स्लैग")</f>
        <v>A) स्वर्ल, B) कैट्स आई, C) एगेट, D) स्लैग</v>
      </c>
      <c r="I239" s="5" t="str">
        <f>IFERROR(__xludf.DUMMYFUNCTION("GOOGLETRANSLATE(D239, ""en"", ""hi"")"),"ए) भंवर")</f>
        <v>ए) भंवर</v>
      </c>
    </row>
    <row r="240" ht="22.5" customHeight="1">
      <c r="A240" s="3">
        <v>239.0</v>
      </c>
      <c r="B240" s="4" t="s">
        <v>7126</v>
      </c>
      <c r="C240" s="4" t="s">
        <v>6931</v>
      </c>
      <c r="D240" s="4" t="s">
        <v>6867</v>
      </c>
      <c r="F240" s="5" t="str">
        <f>IFERROR(__xludf.DUMMYFUNCTION("GOOGLETRANSLATE(A240, ""en"", ""hi"")"),"239")</f>
        <v>239</v>
      </c>
      <c r="G240" s="5" t="str">
        <f>IFERROR(__xludf.DUMMYFUNCTION("GOOGLETRANSLATE(B240, ""en"", ""hi"")"),"कौन सा संगमरमर डिजाइन, जो अपने रंगीन पैटर्न और चिकनी फिनिश के लिए जाना जाता है, उत्पादन तकनीक में प्रगति के कारण 1950 के दशक में लोकप्रिय हो गया?")</f>
        <v>कौन सा संगमरमर डिजाइन, जो अपने रंगीन पैटर्न और चिकनी फिनिश के लिए जाना जाता है, उत्पादन तकनीक में प्रगति के कारण 1950 के दशक में लोकप्रिय हो गया?</v>
      </c>
      <c r="H240" s="5" t="str">
        <f>IFERROR(__xludf.DUMMYFUNCTION("GOOGLETRANSLATE(C240, ""en"", ""hi"")"),"A) कांच के मार्बल, B) मिट्टी के मार्बल, C) धातु के मार्बल, D) प्लास्टिक के मार्बल")</f>
        <v>A) कांच के मार्बल, B) मिट्टी के मार्बल, C) धातु के मार्बल, D) प्लास्टिक के मार्बल</v>
      </c>
      <c r="I240" s="5" t="str">
        <f>IFERROR(__xludf.DUMMYFUNCTION("GOOGLETRANSLATE(D240, ""en"", ""hi"")"),"A) कांच के पत्थर")</f>
        <v>A) कांच के पत्थर</v>
      </c>
    </row>
    <row r="241" ht="22.5" customHeight="1">
      <c r="A241" s="3">
        <v>240.0</v>
      </c>
      <c r="B241" s="4" t="s">
        <v>7127</v>
      </c>
      <c r="C241" s="4" t="s">
        <v>7034</v>
      </c>
      <c r="D241" s="4" t="s">
        <v>7035</v>
      </c>
      <c r="F241" s="5" t="str">
        <f>IFERROR(__xludf.DUMMYFUNCTION("GOOGLETRANSLATE(A241, ""en"", ""hi"")"),"240")</f>
        <v>240</v>
      </c>
      <c r="G241" s="5" t="str">
        <f>IFERROR(__xludf.DUMMYFUNCTION("GOOGLETRANSLATE(B241, ""en"", ""hi"")"),"कौन सा कंचे का खेल, जिसमें खिलाड़ी एक केन्द्रीय लक्ष्य क्षेत्र में कंचे फेंकते थे, 20वीं शताब्दी में व्यापक रूप से खेला जाता था?")</f>
        <v>कौन सा कंचे का खेल, जिसमें खिलाड़ी एक केन्द्रीय लक्ष्य क्षेत्र में कंचे फेंकते थे, 20वीं शताब्दी में व्यापक रूप से खेला जाता था?</v>
      </c>
      <c r="H241" s="5" t="str">
        <f>IFERROR(__xludf.DUMMYFUNCTION("GOOGLETRANSLATE(C241, ""en"", ""hi"")"),"A) नॉक-आउट, B) मार्बल्स पिट, C) रिंग टॉ, D) टिड्लीविंक्स")</f>
        <v>A) नॉक-आउट, B) मार्बल्स पिट, C) रिंग टॉ, D) टिड्लीविंक्स</v>
      </c>
      <c r="I241" s="5" t="str">
        <f>IFERROR(__xludf.DUMMYFUNCTION("GOOGLETRANSLATE(D241, ""en"", ""hi"")"),"ए) नॉक-आउट")</f>
        <v>ए) नॉक-आउट</v>
      </c>
    </row>
    <row r="242" ht="22.5" customHeight="1">
      <c r="A242" s="3">
        <v>241.0</v>
      </c>
      <c r="B242" s="4" t="s">
        <v>7128</v>
      </c>
      <c r="C242" s="4" t="s">
        <v>6928</v>
      </c>
      <c r="D242" s="4" t="s">
        <v>6959</v>
      </c>
      <c r="F242" s="5" t="str">
        <f>IFERROR(__xludf.DUMMYFUNCTION("GOOGLETRANSLATE(A242, ""en"", ""hi"")"),"241")</f>
        <v>241</v>
      </c>
      <c r="G242" s="5" t="str">
        <f>IFERROR(__xludf.DUMMYFUNCTION("GOOGLETRANSLATE(B242, ""en"", ""hi"")"),"1950 के दशक में लोकप्रिय संगमरमर के किस प्रकार के डिजाइन में जीवंत रंगों के साथ एक उज्ज्वल, परावर्तक सतह होती है?")</f>
        <v>1950 के दशक में लोकप्रिय संगमरमर के किस प्रकार के डिजाइन में जीवंत रंगों के साथ एक उज्ज्वल, परावर्तक सतह होती है?</v>
      </c>
      <c r="H242" s="5" t="str">
        <f>IFERROR(__xludf.DUMMYFUNCTION("GOOGLETRANSLATE(C242, ""en"", ""hi"")"),"A) स्वर्ल, B) एगेट, C) कैट्स आई, D) स्लैग")</f>
        <v>A) स्वर्ल, B) एगेट, C) कैट्स आई, D) स्लैग</v>
      </c>
      <c r="I242" s="5" t="str">
        <f>IFERROR(__xludf.DUMMYFUNCTION("GOOGLETRANSLATE(D242, ""en"", ""hi"")"),"D) स्लैग")</f>
        <v>D) स्लैग</v>
      </c>
    </row>
    <row r="243" ht="22.5" customHeight="1">
      <c r="A243" s="3">
        <v>242.0</v>
      </c>
      <c r="B243" s="4" t="s">
        <v>7129</v>
      </c>
      <c r="C243" s="4" t="s">
        <v>6895</v>
      </c>
      <c r="D243" s="4" t="s">
        <v>6896</v>
      </c>
      <c r="F243" s="5" t="str">
        <f>IFERROR(__xludf.DUMMYFUNCTION("GOOGLETRANSLATE(A243, ""en"", ""hi"")"),"242")</f>
        <v>242</v>
      </c>
      <c r="G243" s="5" t="str">
        <f>IFERROR(__xludf.DUMMYFUNCTION("GOOGLETRANSLATE(B243, ""en"", ""hi"")"),"1922 में स्थापित कौन सी संगमरमर कंपनी जटिल पैटर्न और जीवंत रंगों वाले मशीन-निर्मित संगमरमर के लिए प्रसिद्ध है?")</f>
        <v>1922 में स्थापित कौन सी संगमरमर कंपनी जटिल पैटर्न और जीवंत रंगों वाले मशीन-निर्मित संगमरमर के लिए प्रसिद्ध है?</v>
      </c>
      <c r="H243" s="5" t="str">
        <f>IFERROR(__xludf.DUMMYFUNCTION("GOOGLETRANSLATE(C243, ""en"", ""hi"")"),"A) एक्रो एगेट कंपनी, B) मार्बल किंग, C) क्रिस्टेंसन एगेट कंपनी, D) जाबो ग्लास कंपनी")</f>
        <v>A) एक्रो एगेट कंपनी, B) मार्बल किंग, C) क्रिस्टेंसन एगेट कंपनी, D) जाबो ग्लास कंपनी</v>
      </c>
      <c r="I243" s="5" t="str">
        <f>IFERROR(__xludf.DUMMYFUNCTION("GOOGLETRANSLATE(D243, ""en"", ""hi"")"),"ए) एक्रो एगेट कंपनी")</f>
        <v>ए) एक्रो एगेट कंपनी</v>
      </c>
    </row>
    <row r="244" ht="22.5" customHeight="1">
      <c r="A244" s="3">
        <v>243.0</v>
      </c>
      <c r="B244" s="4" t="s">
        <v>7130</v>
      </c>
      <c r="C244" s="4" t="s">
        <v>6810</v>
      </c>
      <c r="D244" s="4" t="s">
        <v>6811</v>
      </c>
      <c r="F244" s="5" t="str">
        <f>IFERROR(__xludf.DUMMYFUNCTION("GOOGLETRANSLATE(A244, ""en"", ""hi"")"),"243")</f>
        <v>243</v>
      </c>
      <c r="G244" s="5" t="str">
        <f>IFERROR(__xludf.DUMMYFUNCTION("GOOGLETRANSLATE(B244, ""en"", ""hi"")"),"यूरोपीय देशों में लोकप्रिय कौन सा मार्बल गेम है, जिसमें खिलाड़ी बोर्ड पर लक्ष्यित छेदों की श्रृंखला में मार्बल फेंकते हैं?")</f>
        <v>यूरोपीय देशों में लोकप्रिय कौन सा मार्बल गेम है, जिसमें खिलाड़ी बोर्ड पर लक्ष्यित छेदों की श्रृंखला में मार्बल फेंकते हैं?</v>
      </c>
      <c r="H244" s="5" t="str">
        <f>IFERROR(__xludf.DUMMYFUNCTION("GOOGLETRANSLATE(C244, ""en"", ""hi"")"),"A) मार्बल्स पिट, B) रिंग टॉ, C) टिड्लीविंक्स, D) पक")</f>
        <v>A) मार्बल्स पिट, B) रिंग टॉ, C) टिड्लीविंक्स, D) पक</v>
      </c>
      <c r="I244" s="5" t="str">
        <f>IFERROR(__xludf.DUMMYFUNCTION("GOOGLETRANSLATE(D244, ""en"", ""hi"")"),"A) मार्बल्स पिट")</f>
        <v>A) मार्बल्स पिट</v>
      </c>
    </row>
    <row r="245" ht="22.5" customHeight="1">
      <c r="A245" s="3">
        <v>244.0</v>
      </c>
      <c r="B245" s="4" t="s">
        <v>7131</v>
      </c>
      <c r="C245" s="4" t="s">
        <v>6965</v>
      </c>
      <c r="D245" s="4" t="s">
        <v>6893</v>
      </c>
      <c r="F245" s="5" t="str">
        <f>IFERROR(__xludf.DUMMYFUNCTION("GOOGLETRANSLATE(A245, ""en"", ""hi"")"),"244")</f>
        <v>244</v>
      </c>
      <c r="G245" s="5" t="str">
        <f>IFERROR(__xludf.DUMMYFUNCTION("GOOGLETRANSLATE(B245, ""en"", ""hi"")"),"20वीं शताब्दी में शुरू किए गए संगमरमर के किस प्रकार के डिजाइन में एक पारभासी परत से घिरा एक केंद्रीय अपारदर्शी कोर होता है?")</f>
        <v>20वीं शताब्दी में शुरू किए गए संगमरमर के किस प्रकार के डिजाइन में एक पारभासी परत से घिरा एक केंद्रीय अपारदर्शी कोर होता है?</v>
      </c>
      <c r="H245" s="5" t="str">
        <f>IFERROR(__xludf.DUMMYFUNCTION("GOOGLETRANSLATE(C245, ""en"", ""hi"")"),"A) बिल्ली की आँख, B) स्वर्ल, C) अगेट, D) स्लैग")</f>
        <v>A) बिल्ली की आँख, B) स्वर्ल, C) अगेट, D) स्लैग</v>
      </c>
      <c r="I245" s="5" t="str">
        <f>IFERROR(__xludf.DUMMYFUNCTION("GOOGLETRANSLATE(D245, ""en"", ""hi"")"),"ए) बिल्ली की आँख")</f>
        <v>ए) बिल्ली की आँख</v>
      </c>
    </row>
    <row r="246" ht="22.5" customHeight="1">
      <c r="A246" s="3">
        <v>245.0</v>
      </c>
      <c r="B246" s="4" t="s">
        <v>7132</v>
      </c>
      <c r="C246" s="4" t="s">
        <v>7045</v>
      </c>
      <c r="D246" s="4" t="s">
        <v>7009</v>
      </c>
      <c r="F246" s="5" t="str">
        <f>IFERROR(__xludf.DUMMYFUNCTION("GOOGLETRANSLATE(A246, ""en"", ""hi"")"),"245")</f>
        <v>245</v>
      </c>
      <c r="G246" s="5" t="str">
        <f>IFERROR(__xludf.DUMMYFUNCTION("GOOGLETRANSLATE(B246, ""en"", ""hi"")"),"1912 में स्थापित कौन सी संगमरमर कंपनी अपने उच्च गुणवत्ता वाले, जटिल डिजाइन और पैटर्न वाले मशीन-निर्मित संगमरमर के लिए जानी जाती है?")</f>
        <v>1912 में स्थापित कौन सी संगमरमर कंपनी अपने उच्च गुणवत्ता वाले, जटिल डिजाइन और पैटर्न वाले मशीन-निर्मित संगमरमर के लिए जानी जाती है?</v>
      </c>
      <c r="H246" s="5" t="str">
        <f>IFERROR(__xludf.DUMMYFUNCTION("GOOGLETRANSLATE(C246, ""en"", ""hi"")"),"A) क्रिस्टेंसन एगेट कंपनी, B) मार्बल किंग, C) एक्रो एगेट कंपनी, D) जाबो ग्लास कंपनी")</f>
        <v>A) क्रिस्टेंसन एगेट कंपनी, B) मार्बल किंग, C) एक्रो एगेट कंपनी, D) जाबो ग्लास कंपनी</v>
      </c>
      <c r="I246" s="5" t="str">
        <f>IFERROR(__xludf.DUMMYFUNCTION("GOOGLETRANSLATE(D246, ""en"", ""hi"")"),"ए) क्रिस्टेंसन एगेट कंपनी")</f>
        <v>ए) क्रिस्टेंसन एगेट कंपनी</v>
      </c>
    </row>
    <row r="247" ht="22.5" customHeight="1">
      <c r="A247" s="3">
        <v>246.0</v>
      </c>
      <c r="B247" s="4" t="s">
        <v>7133</v>
      </c>
      <c r="C247" s="4" t="s">
        <v>6928</v>
      </c>
      <c r="D247" s="4" t="s">
        <v>6929</v>
      </c>
      <c r="F247" s="5" t="str">
        <f>IFERROR(__xludf.DUMMYFUNCTION("GOOGLETRANSLATE(A247, ""en"", ""hi"")"),"246")</f>
        <v>246</v>
      </c>
      <c r="G247" s="5" t="str">
        <f>IFERROR(__xludf.DUMMYFUNCTION("GOOGLETRANSLATE(B247, ""en"", ""hi"")"),"1940 के दशक में लोकप्रिय संगमरमर का कौन सा डिज़ाइन, अनेक रंगों और पैटर्नों के साथ एक चमकदार, घुमावदार रूप प्रस्तुत करता है?")</f>
        <v>1940 के दशक में लोकप्रिय संगमरमर का कौन सा डिज़ाइन, अनेक रंगों और पैटर्नों के साथ एक चमकदार, घुमावदार रूप प्रस्तुत करता है?</v>
      </c>
      <c r="H247" s="5" t="str">
        <f>IFERROR(__xludf.DUMMYFUNCTION("GOOGLETRANSLATE(C247, ""en"", ""hi"")"),"A) स्वर्ल, B) एगेट, C) कैट्स आई, D) स्लैग")</f>
        <v>A) स्वर्ल, B) एगेट, C) कैट्स आई, D) स्लैग</v>
      </c>
      <c r="I247" s="5" t="str">
        <f>IFERROR(__xludf.DUMMYFUNCTION("GOOGLETRANSLATE(D247, ""en"", ""hi"")"),"ए) भंवर")</f>
        <v>ए) भंवर</v>
      </c>
    </row>
    <row r="248" ht="22.5" customHeight="1">
      <c r="A248" s="3">
        <v>247.0</v>
      </c>
      <c r="B248" s="4" t="s">
        <v>7121</v>
      </c>
      <c r="C248" s="4" t="s">
        <v>6926</v>
      </c>
      <c r="D248" s="4" t="s">
        <v>6903</v>
      </c>
      <c r="F248" s="5" t="str">
        <f>IFERROR(__xludf.DUMMYFUNCTION("GOOGLETRANSLATE(A248, ""en"", ""hi"")"),"247")</f>
        <v>247</v>
      </c>
      <c r="G248" s="5" t="str">
        <f>IFERROR(__xludf.DUMMYFUNCTION("GOOGLETRANSLATE(B248, ""en"", ""hi"")"),"कौन सा कंचे का खेल, जिसमें खिलाड़ी बोर्ड पर छोटे-छोटे छेदों या लक्ष्यों में कंचे फेंकते थे, 20वीं शताब्दी में व्यापक रूप से खेला जाता था?")</f>
        <v>कौन सा कंचे का खेल, जिसमें खिलाड़ी बोर्ड पर छोटे-छोटे छेदों या लक्ष्यों में कंचे फेंकते थे, 20वीं शताब्दी में व्यापक रूप से खेला जाता था?</v>
      </c>
      <c r="H248" s="5" t="str">
        <f>IFERROR(__xludf.DUMMYFUNCTION("GOOGLETRANSLATE(C248, ""en"", ""hi"")"),"A) टिड्लीविंक्स, B) रिंग टॉ, C) मार्बल्स पिट, D) पक")</f>
        <v>A) टिड्लीविंक्स, B) रिंग टॉ, C) मार्बल्स पिट, D) पक</v>
      </c>
      <c r="I248" s="5" t="str">
        <f>IFERROR(__xludf.DUMMYFUNCTION("GOOGLETRANSLATE(D248, ""en"", ""hi"")"),"ए) टिड्लीविंक्स")</f>
        <v>ए) टिड्लीविंक्स</v>
      </c>
    </row>
    <row r="249" ht="22.5" customHeight="1">
      <c r="A249" s="3">
        <v>248.0</v>
      </c>
      <c r="B249" s="4" t="s">
        <v>7122</v>
      </c>
      <c r="C249" s="4" t="s">
        <v>7053</v>
      </c>
      <c r="D249" s="4" t="s">
        <v>7003</v>
      </c>
      <c r="F249" s="5" t="str">
        <f>IFERROR(__xludf.DUMMYFUNCTION("GOOGLETRANSLATE(A249, ""en"", ""hi"")"),"248")</f>
        <v>248</v>
      </c>
      <c r="G249" s="5" t="str">
        <f>IFERROR(__xludf.DUMMYFUNCTION("GOOGLETRANSLATE(B249, ""en"", ""hi"")"),"19वीं शताब्दी में संगमरमर बनाने की तकनीक के अध्ययन और विकास में किस ऐतिहासिक व्यक्ति ने महत्वपूर्ण योगदान दिया?")</f>
        <v>19वीं शताब्दी में संगमरमर बनाने की तकनीक के अध्ययन और विकास में किस ऐतिहासिक व्यक्ति ने महत्वपूर्ण योगदान दिया?</v>
      </c>
      <c r="H249" s="5" t="str">
        <f>IFERROR(__xludf.DUMMYFUNCTION("GOOGLETRANSLATE(C249, ""en"", ""hi"")"),"A) चार्ल्स एम. मिलर, B) थॉमस एडिसन, C) अल्बर्ट आइंस्टीन, D) जेम्स स्मिथसन")</f>
        <v>A) चार्ल्स एम. मिलर, B) थॉमस एडिसन, C) अल्बर्ट आइंस्टीन, D) जेम्स स्मिथसन</v>
      </c>
      <c r="I249" s="5" t="str">
        <f>IFERROR(__xludf.DUMMYFUNCTION("GOOGLETRANSLATE(D249, ""en"", ""hi"")"),"A) चार्ल्स एम. मिलर")</f>
        <v>A) चार्ल्स एम. मिलर</v>
      </c>
    </row>
    <row r="250" ht="22.5" customHeight="1">
      <c r="A250" s="3">
        <v>249.0</v>
      </c>
      <c r="B250" s="4" t="s">
        <v>7134</v>
      </c>
      <c r="C250" s="4" t="s">
        <v>6953</v>
      </c>
      <c r="D250" s="4" t="s">
        <v>6929</v>
      </c>
      <c r="F250" s="5" t="str">
        <f>IFERROR(__xludf.DUMMYFUNCTION("GOOGLETRANSLATE(A250, ""en"", ""hi"")"),"249")</f>
        <v>249</v>
      </c>
      <c r="G250" s="5" t="str">
        <f>IFERROR(__xludf.DUMMYFUNCTION("GOOGLETRANSLATE(B250, ""en"", ""hi"")"),"19वीं शताब्दी के अंत में पहली बार शुरू किया गया कौन सा संगमरमर डिजाइन अपनी चमकदार, परावर्तक सतह और घूमते रंगों के लिए जाना जाता है?")</f>
        <v>19वीं शताब्दी के अंत में पहली बार शुरू किया गया कौन सा संगमरमर डिजाइन अपनी चमकदार, परावर्तक सतह और घूमते रंगों के लिए जाना जाता है?</v>
      </c>
      <c r="H250" s="5" t="str">
        <f>IFERROR(__xludf.DUMMYFUNCTION("GOOGLETRANSLATE(C250, ""en"", ""hi"")"),"A) स्वर्ल, B) कैट्स आई, C) एगेट, D) स्लैग")</f>
        <v>A) स्वर्ल, B) कैट्स आई, C) एगेट, D) स्लैग</v>
      </c>
      <c r="I250" s="5" t="str">
        <f>IFERROR(__xludf.DUMMYFUNCTION("GOOGLETRANSLATE(D250, ""en"", ""hi"")"),"ए) भंवर")</f>
        <v>ए) भंवर</v>
      </c>
    </row>
    <row r="251" ht="22.5" customHeight="1">
      <c r="A251" s="3">
        <v>250.0</v>
      </c>
      <c r="B251" s="4" t="s">
        <v>7124</v>
      </c>
      <c r="C251" s="4" t="s">
        <v>7103</v>
      </c>
      <c r="D251" s="4" t="s">
        <v>6922</v>
      </c>
      <c r="F251" s="5" t="str">
        <f>IFERROR(__xludf.DUMMYFUNCTION("GOOGLETRANSLATE(A251, ""en"", ""hi"")"),"250")</f>
        <v>250</v>
      </c>
      <c r="G251" s="5" t="str">
        <f>IFERROR(__xludf.DUMMYFUNCTION("GOOGLETRANSLATE(B251, ""en"", ""hi"")"),"1949 में स्थापित कौन सी संगमरमर कंपनी अपने रंगीन कांच के संगमरमर और विस्तृत डिजाइन के लिए जानी जाती है?")</f>
        <v>1949 में स्थापित कौन सी संगमरमर कंपनी अपने रंगीन कांच के संगमरमर और विस्तृत डिजाइन के लिए जानी जाती है?</v>
      </c>
      <c r="H251" s="5" t="str">
        <f>IFERROR(__xludf.DUMMYFUNCTION("GOOGLETRANSLATE(C251, ""en"", ""hi"")"),"A) जाबो ग्लास कंपनी, B) क्रिस्टेंसन एगेट कंपनी, C) अक्रो एगेट कंपनी, D) मार्बल किंग")</f>
        <v>A) जाबो ग्लास कंपनी, B) क्रिस्टेंसन एगेट कंपनी, C) अक्रो एगेट कंपनी, D) मार्बल किंग</v>
      </c>
      <c r="I251" s="5" t="str">
        <f>IFERROR(__xludf.DUMMYFUNCTION("GOOGLETRANSLATE(D251, ""en"", ""hi"")"),"ए) जाबो ग्लास कंपनी")</f>
        <v>ए) जाबो ग्लास कंपनी</v>
      </c>
    </row>
    <row r="252" ht="22.5" customHeight="1">
      <c r="A252" s="3">
        <v>251.0</v>
      </c>
      <c r="B252" s="4" t="s">
        <v>7125</v>
      </c>
      <c r="C252" s="4" t="s">
        <v>6953</v>
      </c>
      <c r="D252" s="4" t="s">
        <v>6929</v>
      </c>
      <c r="F252" s="5" t="str">
        <f>IFERROR(__xludf.DUMMYFUNCTION("GOOGLETRANSLATE(A252, ""en"", ""hi"")"),"251")</f>
        <v>251</v>
      </c>
      <c r="G252" s="5" t="str">
        <f>IFERROR(__xludf.DUMMYFUNCTION("GOOGLETRANSLATE(B252, ""en"", ""hi"")"),"20वीं शताब्दी के प्रारम्भ में पहली बार प्रचलन में लाया गया संगमरमर का कौन सा प्रकार अपनी चिकनी सतह और चमकीले, घुमावदार रंगों के लिए जाना जाता है?")</f>
        <v>20वीं शताब्दी के प्रारम्भ में पहली बार प्रचलन में लाया गया संगमरमर का कौन सा प्रकार अपनी चिकनी सतह और चमकीले, घुमावदार रंगों के लिए जाना जाता है?</v>
      </c>
      <c r="H252" s="5" t="str">
        <f>IFERROR(__xludf.DUMMYFUNCTION("GOOGLETRANSLATE(C252, ""en"", ""hi"")"),"A) स्वर्ल, B) कैट्स आई, C) एगेट, D) स्लैग")</f>
        <v>A) स्वर्ल, B) कैट्स आई, C) एगेट, D) स्लैग</v>
      </c>
      <c r="I252" s="5" t="str">
        <f>IFERROR(__xludf.DUMMYFUNCTION("GOOGLETRANSLATE(D252, ""en"", ""hi"")"),"ए) भंवर")</f>
        <v>ए) भंवर</v>
      </c>
    </row>
    <row r="253" ht="22.5" customHeight="1">
      <c r="A253" s="3">
        <v>252.0</v>
      </c>
      <c r="B253" s="4" t="s">
        <v>7126</v>
      </c>
      <c r="C253" s="4" t="s">
        <v>6931</v>
      </c>
      <c r="D253" s="4" t="s">
        <v>6867</v>
      </c>
      <c r="F253" s="5" t="str">
        <f>IFERROR(__xludf.DUMMYFUNCTION("GOOGLETRANSLATE(A253, ""en"", ""hi"")"),"252")</f>
        <v>252</v>
      </c>
      <c r="G253" s="5" t="str">
        <f>IFERROR(__xludf.DUMMYFUNCTION("GOOGLETRANSLATE(B253, ""en"", ""hi"")"),"कौन सा संगमरमर डिजाइन, जो अपने रंगीन पैटर्न और चिकनी फिनिश के लिए जाना जाता है, उत्पादन तकनीक में प्रगति के कारण 1950 के दशक में लोकप्रिय हो गया?")</f>
        <v>कौन सा संगमरमर डिजाइन, जो अपने रंगीन पैटर्न और चिकनी फिनिश के लिए जाना जाता है, उत्पादन तकनीक में प्रगति के कारण 1950 के दशक में लोकप्रिय हो गया?</v>
      </c>
      <c r="H253" s="5" t="str">
        <f>IFERROR(__xludf.DUMMYFUNCTION("GOOGLETRANSLATE(C253, ""en"", ""hi"")"),"A) कांच के मार्बल, B) मिट्टी के मार्बल, C) धातु के मार्बल, D) प्लास्टिक के मार्बल")</f>
        <v>A) कांच के मार्बल, B) मिट्टी के मार्बल, C) धातु के मार्बल, D) प्लास्टिक के मार्बल</v>
      </c>
      <c r="I253" s="5" t="str">
        <f>IFERROR(__xludf.DUMMYFUNCTION("GOOGLETRANSLATE(D253, ""en"", ""hi"")"),"A) कांच के पत्थर")</f>
        <v>A) कांच के पत्थर</v>
      </c>
    </row>
    <row r="254" ht="22.5" customHeight="1">
      <c r="A254" s="3">
        <v>253.0</v>
      </c>
      <c r="B254" s="4" t="s">
        <v>7127</v>
      </c>
      <c r="C254" s="4" t="s">
        <v>7034</v>
      </c>
      <c r="D254" s="4" t="s">
        <v>7035</v>
      </c>
      <c r="F254" s="5" t="str">
        <f>IFERROR(__xludf.DUMMYFUNCTION("GOOGLETRANSLATE(A254, ""en"", ""hi"")"),"253")</f>
        <v>253</v>
      </c>
      <c r="G254" s="5" t="str">
        <f>IFERROR(__xludf.DUMMYFUNCTION("GOOGLETRANSLATE(B254, ""en"", ""hi"")"),"कौन सा कंचे का खेल, जिसमें खिलाड़ी एक केन्द्रीय लक्ष्य क्षेत्र में कंचे फेंकते थे, 20वीं शताब्दी में व्यापक रूप से खेला जाता था?")</f>
        <v>कौन सा कंचे का खेल, जिसमें खिलाड़ी एक केन्द्रीय लक्ष्य क्षेत्र में कंचे फेंकते थे, 20वीं शताब्दी में व्यापक रूप से खेला जाता था?</v>
      </c>
      <c r="H254" s="5" t="str">
        <f>IFERROR(__xludf.DUMMYFUNCTION("GOOGLETRANSLATE(C254, ""en"", ""hi"")"),"A) नॉक-आउट, B) मार्बल्स पिट, C) रिंग टॉ, D) टिड्लीविंक्स")</f>
        <v>A) नॉक-आउट, B) मार्बल्स पिट, C) रिंग टॉ, D) टिड्लीविंक्स</v>
      </c>
      <c r="I254" s="5" t="str">
        <f>IFERROR(__xludf.DUMMYFUNCTION("GOOGLETRANSLATE(D254, ""en"", ""hi"")"),"ए) नॉक-आउट")</f>
        <v>ए) नॉक-आउट</v>
      </c>
    </row>
    <row r="255" ht="22.5" customHeight="1">
      <c r="A255" s="3">
        <v>254.0</v>
      </c>
      <c r="B255" s="4" t="s">
        <v>7128</v>
      </c>
      <c r="C255" s="4" t="s">
        <v>6928</v>
      </c>
      <c r="D255" s="4" t="s">
        <v>6959</v>
      </c>
      <c r="F255" s="5" t="str">
        <f>IFERROR(__xludf.DUMMYFUNCTION("GOOGLETRANSLATE(A255, ""en"", ""hi"")"),"254")</f>
        <v>254</v>
      </c>
      <c r="G255" s="5" t="str">
        <f>IFERROR(__xludf.DUMMYFUNCTION("GOOGLETRANSLATE(B255, ""en"", ""hi"")"),"1950 के दशक में लोकप्रिय संगमरमर के किस प्रकार के डिजाइन में जीवंत रंगों के साथ एक उज्ज्वल, परावर्तक सतह होती है?")</f>
        <v>1950 के दशक में लोकप्रिय संगमरमर के किस प्रकार के डिजाइन में जीवंत रंगों के साथ एक उज्ज्वल, परावर्तक सतह होती है?</v>
      </c>
      <c r="H255" s="5" t="str">
        <f>IFERROR(__xludf.DUMMYFUNCTION("GOOGLETRANSLATE(C255, ""en"", ""hi"")"),"A) स्वर्ल, B) एगेट, C) कैट्स आई, D) स्लैग")</f>
        <v>A) स्वर्ल, B) एगेट, C) कैट्स आई, D) स्लैग</v>
      </c>
      <c r="I255" s="5" t="str">
        <f>IFERROR(__xludf.DUMMYFUNCTION("GOOGLETRANSLATE(D255, ""en"", ""hi"")"),"D) स्लैग")</f>
        <v>D) स्लैग</v>
      </c>
    </row>
    <row r="256" ht="22.5" customHeight="1">
      <c r="A256" s="3">
        <v>255.0</v>
      </c>
      <c r="B256" s="4" t="s">
        <v>7129</v>
      </c>
      <c r="C256" s="4" t="s">
        <v>6895</v>
      </c>
      <c r="D256" s="4" t="s">
        <v>6896</v>
      </c>
      <c r="F256" s="5" t="str">
        <f>IFERROR(__xludf.DUMMYFUNCTION("GOOGLETRANSLATE(A256, ""en"", ""hi"")"),"255")</f>
        <v>255</v>
      </c>
      <c r="G256" s="5" t="str">
        <f>IFERROR(__xludf.DUMMYFUNCTION("GOOGLETRANSLATE(B256, ""en"", ""hi"")"),"1922 में स्थापित कौन सी संगमरमर कंपनी जटिल पैटर्न और जीवंत रंगों वाले मशीन-निर्मित संगमरमर के लिए प्रसिद्ध है?")</f>
        <v>1922 में स्थापित कौन सी संगमरमर कंपनी जटिल पैटर्न और जीवंत रंगों वाले मशीन-निर्मित संगमरमर के लिए प्रसिद्ध है?</v>
      </c>
      <c r="H256" s="5" t="str">
        <f>IFERROR(__xludf.DUMMYFUNCTION("GOOGLETRANSLATE(C256, ""en"", ""hi"")"),"A) एक्रो एगेट कंपनी, B) मार्बल किंग, C) क्रिस्टेंसन एगेट कंपनी, D) जाबो ग्लास कंपनी")</f>
        <v>A) एक्रो एगेट कंपनी, B) मार्बल किंग, C) क्रिस्टेंसन एगेट कंपनी, D) जाबो ग्लास कंपनी</v>
      </c>
      <c r="I256" s="5" t="str">
        <f>IFERROR(__xludf.DUMMYFUNCTION("GOOGLETRANSLATE(D256, ""en"", ""hi"")"),"ए) एक्रो एगेट कंपनी")</f>
        <v>ए) एक्रो एगेट कंपनी</v>
      </c>
    </row>
    <row r="257" ht="22.5" customHeight="1">
      <c r="A257" s="3">
        <v>256.0</v>
      </c>
      <c r="B257" s="4" t="s">
        <v>7130</v>
      </c>
      <c r="C257" s="4" t="s">
        <v>6810</v>
      </c>
      <c r="D257" s="4" t="s">
        <v>6811</v>
      </c>
      <c r="F257" s="5" t="str">
        <f>IFERROR(__xludf.DUMMYFUNCTION("GOOGLETRANSLATE(A257, ""en"", ""hi"")"),"256")</f>
        <v>256</v>
      </c>
      <c r="G257" s="5" t="str">
        <f>IFERROR(__xludf.DUMMYFUNCTION("GOOGLETRANSLATE(B257, ""en"", ""hi"")"),"यूरोपीय देशों में लोकप्रिय कौन सा मार्बल गेम है, जिसमें खिलाड़ी बोर्ड पर लक्ष्यित छेदों की श्रृंखला में मार्बल फेंकते हैं?")</f>
        <v>यूरोपीय देशों में लोकप्रिय कौन सा मार्बल गेम है, जिसमें खिलाड़ी बोर्ड पर लक्ष्यित छेदों की श्रृंखला में मार्बल फेंकते हैं?</v>
      </c>
      <c r="H257" s="5" t="str">
        <f>IFERROR(__xludf.DUMMYFUNCTION("GOOGLETRANSLATE(C257, ""en"", ""hi"")"),"A) मार्बल्स पिट, B) रिंग टॉ, C) टिड्लीविंक्स, D) पक")</f>
        <v>A) मार्बल्स पिट, B) रिंग टॉ, C) टिड्लीविंक्स, D) पक</v>
      </c>
      <c r="I257" s="5" t="str">
        <f>IFERROR(__xludf.DUMMYFUNCTION("GOOGLETRANSLATE(D257, ""en"", ""hi"")"),"A) मार्बल्स पिट")</f>
        <v>A) मार्बल्स पिट</v>
      </c>
    </row>
    <row r="258" ht="22.5" customHeight="1">
      <c r="A258" s="3">
        <v>257.0</v>
      </c>
      <c r="B258" s="4" t="s">
        <v>7131</v>
      </c>
      <c r="C258" s="4" t="s">
        <v>6965</v>
      </c>
      <c r="D258" s="4" t="s">
        <v>6893</v>
      </c>
      <c r="F258" s="5" t="str">
        <f>IFERROR(__xludf.DUMMYFUNCTION("GOOGLETRANSLATE(A258, ""en"", ""hi"")"),"257")</f>
        <v>257</v>
      </c>
      <c r="G258" s="5" t="str">
        <f>IFERROR(__xludf.DUMMYFUNCTION("GOOGLETRANSLATE(B258, ""en"", ""hi"")"),"20वीं शताब्दी में शुरू किए गए संगमरमर के किस प्रकार के डिजाइन में एक पारभासी परत से घिरा एक केंद्रीय अपारदर्शी कोर होता है?")</f>
        <v>20वीं शताब्दी में शुरू किए गए संगमरमर के किस प्रकार के डिजाइन में एक पारभासी परत से घिरा एक केंद्रीय अपारदर्शी कोर होता है?</v>
      </c>
      <c r="H258" s="5" t="str">
        <f>IFERROR(__xludf.DUMMYFUNCTION("GOOGLETRANSLATE(C258, ""en"", ""hi"")"),"A) बिल्ली की आँख, B) स्वर्ल, C) अगेट, D) स्लैग")</f>
        <v>A) बिल्ली की आँख, B) स्वर्ल, C) अगेट, D) स्लैग</v>
      </c>
      <c r="I258" s="5" t="str">
        <f>IFERROR(__xludf.DUMMYFUNCTION("GOOGLETRANSLATE(D258, ""en"", ""hi"")"),"ए) बिल्ली की आँख")</f>
        <v>ए) बिल्ली की आँख</v>
      </c>
    </row>
    <row r="259" ht="22.5" customHeight="1">
      <c r="A259" s="3">
        <v>258.0</v>
      </c>
      <c r="B259" s="4" t="s">
        <v>7132</v>
      </c>
      <c r="C259" s="4" t="s">
        <v>7045</v>
      </c>
      <c r="D259" s="4" t="s">
        <v>7009</v>
      </c>
      <c r="F259" s="5" t="str">
        <f>IFERROR(__xludf.DUMMYFUNCTION("GOOGLETRANSLATE(A259, ""en"", ""hi"")"),"258")</f>
        <v>258</v>
      </c>
      <c r="G259" s="5" t="str">
        <f>IFERROR(__xludf.DUMMYFUNCTION("GOOGLETRANSLATE(B259, ""en"", ""hi"")"),"1912 में स्थापित कौन सी संगमरमर कंपनी अपने उच्च गुणवत्ता वाले, जटिल डिजाइन और पैटर्न वाले मशीन-निर्मित संगमरमर के लिए जानी जाती है?")</f>
        <v>1912 में स्थापित कौन सी संगमरमर कंपनी अपने उच्च गुणवत्ता वाले, जटिल डिजाइन और पैटर्न वाले मशीन-निर्मित संगमरमर के लिए जानी जाती है?</v>
      </c>
      <c r="H259" s="5" t="str">
        <f>IFERROR(__xludf.DUMMYFUNCTION("GOOGLETRANSLATE(C259, ""en"", ""hi"")"),"A) क्रिस्टेंसन एगेट कंपनी, B) मार्बल किंग, C) एक्रो एगेट कंपनी, D) जाबो ग्लास कंपनी")</f>
        <v>A) क्रिस्टेंसन एगेट कंपनी, B) मार्बल किंग, C) एक्रो एगेट कंपनी, D) जाबो ग्लास कंपनी</v>
      </c>
      <c r="I259" s="5" t="str">
        <f>IFERROR(__xludf.DUMMYFUNCTION("GOOGLETRANSLATE(D259, ""en"", ""hi"")"),"ए) क्रिस्टेंसन एगेट कंपनी")</f>
        <v>ए) क्रिस्टेंसन एगेट कंपनी</v>
      </c>
    </row>
    <row r="260" ht="22.5" customHeight="1">
      <c r="A260" s="3">
        <v>259.0</v>
      </c>
      <c r="B260" s="4" t="s">
        <v>7133</v>
      </c>
      <c r="C260" s="4" t="s">
        <v>6928</v>
      </c>
      <c r="D260" s="4" t="s">
        <v>6929</v>
      </c>
      <c r="F260" s="5" t="str">
        <f>IFERROR(__xludf.DUMMYFUNCTION("GOOGLETRANSLATE(A260, ""en"", ""hi"")"),"259")</f>
        <v>259</v>
      </c>
      <c r="G260" s="5" t="str">
        <f>IFERROR(__xludf.DUMMYFUNCTION("GOOGLETRANSLATE(B260, ""en"", ""hi"")"),"1940 के दशक में लोकप्रिय संगमरमर का कौन सा डिज़ाइन, अनेक रंगों और पैटर्नों के साथ एक चमकदार, घुमावदार रूप प्रस्तुत करता है?")</f>
        <v>1940 के दशक में लोकप्रिय संगमरमर का कौन सा डिज़ाइन, अनेक रंगों और पैटर्नों के साथ एक चमकदार, घुमावदार रूप प्रस्तुत करता है?</v>
      </c>
      <c r="H260" s="5" t="str">
        <f>IFERROR(__xludf.DUMMYFUNCTION("GOOGLETRANSLATE(C260, ""en"", ""hi"")"),"A) स्वर्ल, B) एगेट, C) कैट्स आई, D) स्लैग")</f>
        <v>A) स्वर्ल, B) एगेट, C) कैट्स आई, D) स्लैग</v>
      </c>
      <c r="I260" s="5" t="str">
        <f>IFERROR(__xludf.DUMMYFUNCTION("GOOGLETRANSLATE(D260, ""en"", ""hi"")"),"ए) भंवर")</f>
        <v>ए) भंवर</v>
      </c>
    </row>
    <row r="261" ht="22.5" customHeight="1">
      <c r="A261" s="3">
        <v>260.0</v>
      </c>
      <c r="B261" s="4" t="s">
        <v>7121</v>
      </c>
      <c r="C261" s="4" t="s">
        <v>6926</v>
      </c>
      <c r="D261" s="4" t="s">
        <v>6903</v>
      </c>
      <c r="F261" s="5" t="str">
        <f>IFERROR(__xludf.DUMMYFUNCTION("GOOGLETRANSLATE(A261, ""en"", ""hi"")"),"260")</f>
        <v>260</v>
      </c>
      <c r="G261" s="5" t="str">
        <f>IFERROR(__xludf.DUMMYFUNCTION("GOOGLETRANSLATE(B261, ""en"", ""hi"")"),"कौन सा कंचे का खेल, जिसमें खिलाड़ी बोर्ड पर छोटे-छोटे छेदों या लक्ष्यों में कंचे फेंकते थे, 20वीं शताब्दी में व्यापक रूप से खेला जाता था?")</f>
        <v>कौन सा कंचे का खेल, जिसमें खिलाड़ी बोर्ड पर छोटे-छोटे छेदों या लक्ष्यों में कंचे फेंकते थे, 20वीं शताब्दी में व्यापक रूप से खेला जाता था?</v>
      </c>
      <c r="H261" s="5" t="str">
        <f>IFERROR(__xludf.DUMMYFUNCTION("GOOGLETRANSLATE(C261, ""en"", ""hi"")"),"A) टिड्लीविंक्स, B) रिंग टॉ, C) मार्बल्स पिट, D) पक")</f>
        <v>A) टिड्लीविंक्स, B) रिंग टॉ, C) मार्बल्स पिट, D) पक</v>
      </c>
      <c r="I261" s="5" t="str">
        <f>IFERROR(__xludf.DUMMYFUNCTION("GOOGLETRANSLATE(D261, ""en"", ""hi"")"),"ए) टिड्लीविंक्स")</f>
        <v>ए) टिड्लीविंक्स</v>
      </c>
    </row>
    <row r="262" ht="22.5" customHeight="1">
      <c r="A262" s="3">
        <v>261.0</v>
      </c>
      <c r="B262" s="4" t="s">
        <v>7122</v>
      </c>
      <c r="C262" s="4" t="s">
        <v>7053</v>
      </c>
      <c r="D262" s="4" t="s">
        <v>7003</v>
      </c>
      <c r="F262" s="5" t="str">
        <f>IFERROR(__xludf.DUMMYFUNCTION("GOOGLETRANSLATE(A262, ""en"", ""hi"")"),"261")</f>
        <v>261</v>
      </c>
      <c r="G262" s="5" t="str">
        <f>IFERROR(__xludf.DUMMYFUNCTION("GOOGLETRANSLATE(B262, ""en"", ""hi"")"),"19वीं शताब्दी में संगमरमर बनाने की तकनीक के अध्ययन और विकास में किस ऐतिहासिक व्यक्ति ने महत्वपूर्ण योगदान दिया?")</f>
        <v>19वीं शताब्दी में संगमरमर बनाने की तकनीक के अध्ययन और विकास में किस ऐतिहासिक व्यक्ति ने महत्वपूर्ण योगदान दिया?</v>
      </c>
      <c r="H262" s="5" t="str">
        <f>IFERROR(__xludf.DUMMYFUNCTION("GOOGLETRANSLATE(C262, ""en"", ""hi"")"),"A) चार्ल्स एम. मिलर, B) थॉमस एडिसन, C) अल्बर्ट आइंस्टीन, D) जेम्स स्मिथसन")</f>
        <v>A) चार्ल्स एम. मिलर, B) थॉमस एडिसन, C) अल्बर्ट आइंस्टीन, D) जेम्स स्मिथसन</v>
      </c>
      <c r="I262" s="5" t="str">
        <f>IFERROR(__xludf.DUMMYFUNCTION("GOOGLETRANSLATE(D262, ""en"", ""hi"")"),"A) चार्ल्स एम. मिलर")</f>
        <v>A) चार्ल्स एम. मिलर</v>
      </c>
    </row>
    <row r="263" ht="22.5" customHeight="1">
      <c r="A263" s="3">
        <v>262.0</v>
      </c>
      <c r="B263" s="4" t="s">
        <v>7134</v>
      </c>
      <c r="C263" s="4" t="s">
        <v>6953</v>
      </c>
      <c r="D263" s="4" t="s">
        <v>6929</v>
      </c>
      <c r="F263" s="5" t="str">
        <f>IFERROR(__xludf.DUMMYFUNCTION("GOOGLETRANSLATE(A263, ""en"", ""hi"")"),"262")</f>
        <v>262</v>
      </c>
      <c r="G263" s="5" t="str">
        <f>IFERROR(__xludf.DUMMYFUNCTION("GOOGLETRANSLATE(B263, ""en"", ""hi"")"),"19वीं शताब्दी के अंत में पहली बार शुरू किया गया कौन सा संगमरमर डिजाइन अपनी चमकदार, परावर्तक सतह और घूमते रंगों के लिए जाना जाता है?")</f>
        <v>19वीं शताब्दी के अंत में पहली बार शुरू किया गया कौन सा संगमरमर डिजाइन अपनी चमकदार, परावर्तक सतह और घूमते रंगों के लिए जाना जाता है?</v>
      </c>
      <c r="H263" s="5" t="str">
        <f>IFERROR(__xludf.DUMMYFUNCTION("GOOGLETRANSLATE(C263, ""en"", ""hi"")"),"A) स्वर्ल, B) कैट्स आई, C) एगेट, D) स्लैग")</f>
        <v>A) स्वर्ल, B) कैट्स आई, C) एगेट, D) स्लैग</v>
      </c>
      <c r="I263" s="5" t="str">
        <f>IFERROR(__xludf.DUMMYFUNCTION("GOOGLETRANSLATE(D263, ""en"", ""hi"")"),"ए) भंवर")</f>
        <v>ए) भंवर</v>
      </c>
    </row>
    <row r="264" ht="22.5" customHeight="1">
      <c r="A264" s="3">
        <v>263.0</v>
      </c>
      <c r="B264" s="4" t="s">
        <v>7124</v>
      </c>
      <c r="C264" s="4" t="s">
        <v>7103</v>
      </c>
      <c r="D264" s="4" t="s">
        <v>6922</v>
      </c>
      <c r="F264" s="5" t="str">
        <f>IFERROR(__xludf.DUMMYFUNCTION("GOOGLETRANSLATE(A264, ""en"", ""hi"")"),"263")</f>
        <v>263</v>
      </c>
      <c r="G264" s="5" t="str">
        <f>IFERROR(__xludf.DUMMYFUNCTION("GOOGLETRANSLATE(B264, ""en"", ""hi"")"),"1949 में स्थापित कौन सी संगमरमर कंपनी अपने रंगीन कांच के संगमरमर और विस्तृत डिजाइन के लिए जानी जाती है?")</f>
        <v>1949 में स्थापित कौन सी संगमरमर कंपनी अपने रंगीन कांच के संगमरमर और विस्तृत डिजाइन के लिए जानी जाती है?</v>
      </c>
      <c r="H264" s="5" t="str">
        <f>IFERROR(__xludf.DUMMYFUNCTION("GOOGLETRANSLATE(C264, ""en"", ""hi"")"),"A) जाबो ग्लास कंपनी, B) क्रिस्टेंसन एगेट कंपनी, C) अक्रो एगेट कंपनी, D) मार्बल किंग")</f>
        <v>A) जाबो ग्लास कंपनी, B) क्रिस्टेंसन एगेट कंपनी, C) अक्रो एगेट कंपनी, D) मार्बल किंग</v>
      </c>
      <c r="I264" s="5" t="str">
        <f>IFERROR(__xludf.DUMMYFUNCTION("GOOGLETRANSLATE(D264, ""en"", ""hi"")"),"ए) जाबो ग्लास कंपनी")</f>
        <v>ए) जाबो ग्लास कंपनी</v>
      </c>
    </row>
    <row r="265" ht="22.5" customHeight="1">
      <c r="A265" s="3">
        <v>264.0</v>
      </c>
      <c r="B265" s="4" t="s">
        <v>7125</v>
      </c>
      <c r="C265" s="4" t="s">
        <v>6953</v>
      </c>
      <c r="D265" s="4" t="s">
        <v>6929</v>
      </c>
      <c r="F265" s="5" t="str">
        <f>IFERROR(__xludf.DUMMYFUNCTION("GOOGLETRANSLATE(A265, ""en"", ""hi"")"),"264")</f>
        <v>264</v>
      </c>
      <c r="G265" s="5" t="str">
        <f>IFERROR(__xludf.DUMMYFUNCTION("GOOGLETRANSLATE(B265, ""en"", ""hi"")"),"20वीं शताब्दी के प्रारम्भ में पहली बार प्रचलन में लाया गया संगमरमर का कौन सा प्रकार अपनी चिकनी सतह और चमकीले, घुमावदार रंगों के लिए जाना जाता है?")</f>
        <v>20वीं शताब्दी के प्रारम्भ में पहली बार प्रचलन में लाया गया संगमरमर का कौन सा प्रकार अपनी चिकनी सतह और चमकीले, घुमावदार रंगों के लिए जाना जाता है?</v>
      </c>
      <c r="H265" s="5" t="str">
        <f>IFERROR(__xludf.DUMMYFUNCTION("GOOGLETRANSLATE(C265, ""en"", ""hi"")"),"A) स्वर्ल, B) कैट्स आई, C) एगेट, D) स्लैग")</f>
        <v>A) स्वर्ल, B) कैट्स आई, C) एगेट, D) स्लैग</v>
      </c>
      <c r="I265" s="5" t="str">
        <f>IFERROR(__xludf.DUMMYFUNCTION("GOOGLETRANSLATE(D265, ""en"", ""hi"")"),"ए) भंवर")</f>
        <v>ए) भंवर</v>
      </c>
    </row>
    <row r="266" ht="22.5" customHeight="1">
      <c r="A266" s="3">
        <v>265.0</v>
      </c>
      <c r="B266" s="4" t="s">
        <v>7126</v>
      </c>
      <c r="C266" s="4" t="s">
        <v>6931</v>
      </c>
      <c r="D266" s="4" t="s">
        <v>6867</v>
      </c>
      <c r="F266" s="5" t="str">
        <f>IFERROR(__xludf.DUMMYFUNCTION("GOOGLETRANSLATE(A266, ""en"", ""hi"")"),"265")</f>
        <v>265</v>
      </c>
      <c r="G266" s="5" t="str">
        <f>IFERROR(__xludf.DUMMYFUNCTION("GOOGLETRANSLATE(B266, ""en"", ""hi"")"),"कौन सा संगमरमर डिजाइन, जो अपने रंगीन पैटर्न और चिकनी फिनिश के लिए जाना जाता है, उत्पादन तकनीक में प्रगति के कारण 1950 के दशक में लोकप्रिय हो गया?")</f>
        <v>कौन सा संगमरमर डिजाइन, जो अपने रंगीन पैटर्न और चिकनी फिनिश के लिए जाना जाता है, उत्पादन तकनीक में प्रगति के कारण 1950 के दशक में लोकप्रिय हो गया?</v>
      </c>
      <c r="H266" s="5" t="str">
        <f>IFERROR(__xludf.DUMMYFUNCTION("GOOGLETRANSLATE(C266, ""en"", ""hi"")"),"A) कांच के मार्बल, B) मिट्टी के मार्बल, C) धातु के मार्बल, D) प्लास्टिक के मार्बल")</f>
        <v>A) कांच के मार्बल, B) मिट्टी के मार्बल, C) धातु के मार्बल, D) प्लास्टिक के मार्बल</v>
      </c>
      <c r="I266" s="5" t="str">
        <f>IFERROR(__xludf.DUMMYFUNCTION("GOOGLETRANSLATE(D266, ""en"", ""hi"")"),"A) कांच के पत्थर")</f>
        <v>A) कांच के पत्थर</v>
      </c>
    </row>
    <row r="267" ht="22.5" customHeight="1">
      <c r="A267" s="3">
        <v>266.0</v>
      </c>
      <c r="B267" s="4" t="s">
        <v>7127</v>
      </c>
      <c r="C267" s="4" t="s">
        <v>7034</v>
      </c>
      <c r="D267" s="4" t="s">
        <v>7035</v>
      </c>
      <c r="F267" s="5" t="str">
        <f>IFERROR(__xludf.DUMMYFUNCTION("GOOGLETRANSLATE(A267, ""en"", ""hi"")"),"266")</f>
        <v>266</v>
      </c>
      <c r="G267" s="5" t="str">
        <f>IFERROR(__xludf.DUMMYFUNCTION("GOOGLETRANSLATE(B267, ""en"", ""hi"")"),"कौन सा कंचे का खेल, जिसमें खिलाड़ी एक केन्द्रीय लक्ष्य क्षेत्र में कंचे फेंकते थे, 20वीं शताब्दी में व्यापक रूप से खेला जाता था?")</f>
        <v>कौन सा कंचे का खेल, जिसमें खिलाड़ी एक केन्द्रीय लक्ष्य क्षेत्र में कंचे फेंकते थे, 20वीं शताब्दी में व्यापक रूप से खेला जाता था?</v>
      </c>
      <c r="H267" s="5" t="str">
        <f>IFERROR(__xludf.DUMMYFUNCTION("GOOGLETRANSLATE(C267, ""en"", ""hi"")"),"A) नॉक-आउट, B) मार्बल्स पिट, C) रिंग टॉ, D) टिड्लीविंक्स")</f>
        <v>A) नॉक-आउट, B) मार्बल्स पिट, C) रिंग टॉ, D) टिड्लीविंक्स</v>
      </c>
      <c r="I267" s="5" t="str">
        <f>IFERROR(__xludf.DUMMYFUNCTION("GOOGLETRANSLATE(D267, ""en"", ""hi"")"),"ए) नॉक-आउट")</f>
        <v>ए) नॉक-आउट</v>
      </c>
    </row>
    <row r="268" ht="22.5" customHeight="1">
      <c r="A268" s="3">
        <v>267.0</v>
      </c>
      <c r="B268" s="4" t="s">
        <v>7128</v>
      </c>
      <c r="C268" s="4" t="s">
        <v>6928</v>
      </c>
      <c r="D268" s="4" t="s">
        <v>6959</v>
      </c>
      <c r="F268" s="5" t="str">
        <f>IFERROR(__xludf.DUMMYFUNCTION("GOOGLETRANSLATE(A268, ""en"", ""hi"")"),"267")</f>
        <v>267</v>
      </c>
      <c r="G268" s="5" t="str">
        <f>IFERROR(__xludf.DUMMYFUNCTION("GOOGLETRANSLATE(B268, ""en"", ""hi"")"),"1950 के दशक में लोकप्रिय संगमरमर के किस प्रकार के डिजाइन में जीवंत रंगों के साथ एक उज्ज्वल, परावर्तक सतह होती है?")</f>
        <v>1950 के दशक में लोकप्रिय संगमरमर के किस प्रकार के डिजाइन में जीवंत रंगों के साथ एक उज्ज्वल, परावर्तक सतह होती है?</v>
      </c>
      <c r="H268" s="5" t="str">
        <f>IFERROR(__xludf.DUMMYFUNCTION("GOOGLETRANSLATE(C268, ""en"", ""hi"")"),"A) स्वर्ल, B) एगेट, C) कैट्स आई, D) स्लैग")</f>
        <v>A) स्वर्ल, B) एगेट, C) कैट्स आई, D) स्लैग</v>
      </c>
      <c r="I268" s="5" t="str">
        <f>IFERROR(__xludf.DUMMYFUNCTION("GOOGLETRANSLATE(D268, ""en"", ""hi"")"),"D) स्लैग")</f>
        <v>D) स्लैग</v>
      </c>
    </row>
    <row r="269" ht="22.5" customHeight="1">
      <c r="A269" s="3">
        <v>268.0</v>
      </c>
      <c r="B269" s="4" t="s">
        <v>7135</v>
      </c>
      <c r="C269" s="4" t="s">
        <v>7136</v>
      </c>
      <c r="D269" s="4" t="s">
        <v>7137</v>
      </c>
      <c r="F269" s="5" t="str">
        <f>IFERROR(__xludf.DUMMYFUNCTION("GOOGLETRANSLATE(A269, ""en"", ""hi"")"),"268")</f>
        <v>268</v>
      </c>
      <c r="G269" s="5" t="str">
        <f>IFERROR(__xludf.DUMMYFUNCTION("GOOGLETRANSLATE(B269, ""en"", ""hi"")"),"20वीं सदी के आरंभ में किस ऐतिहासिक सुधार ने प्रतिस्पर्धी खेलों में प्रयुक्त होने वाले कंचों के आकार और वजन को मानकीकृत किया?")</f>
        <v>20वीं सदी के आरंभ में किस ऐतिहासिक सुधार ने प्रतिस्पर्धी खेलों में प्रयुक्त होने वाले कंचों के आकार और वजन को मानकीकृत किया?</v>
      </c>
      <c r="H269" s="5" t="str">
        <f>IFERROR(__xludf.DUMMYFUNCTION("GOOGLETRANSLATE(C269, ""en"", ""hi"")"),"ए) संगमरमर आकार अधिनियम, बी) एकसमान संगमरमर विनियमन, सी) वैश्विक संगमरमर मानक, डी) प्रतिस्पर्धी संगमरमर प्रोटोकॉल")</f>
        <v>ए) संगमरमर आकार अधिनियम, बी) एकसमान संगमरमर विनियमन, सी) वैश्विक संगमरमर मानक, डी) प्रतिस्पर्धी संगमरमर प्रोटोकॉल</v>
      </c>
      <c r="I269" s="5" t="str">
        <f>IFERROR(__xludf.DUMMYFUNCTION("GOOGLETRANSLATE(D269, ""en"", ""hi"")"),"बी) एकसमान संगमरमर विनियमन")</f>
        <v>बी) एकसमान संगमरमर विनियमन</v>
      </c>
    </row>
    <row r="270" ht="22.5" customHeight="1">
      <c r="A270" s="3">
        <v>269.0</v>
      </c>
      <c r="B270" s="4" t="s">
        <v>7138</v>
      </c>
      <c r="C270" s="4" t="s">
        <v>7139</v>
      </c>
      <c r="D270" s="4" t="s">
        <v>7140</v>
      </c>
      <c r="F270" s="5" t="str">
        <f>IFERROR(__xludf.DUMMYFUNCTION("GOOGLETRANSLATE(A270, ""en"", ""hi"")"),"269")</f>
        <v>269</v>
      </c>
      <c r="G270" s="5" t="str">
        <f>IFERROR(__xludf.DUMMYFUNCTION("GOOGLETRANSLATE(B270, ""en"", ""hi"")"),"किस दशक में मशीन-निर्मित मार्बल्स के आने से विनिर्माण प्रक्रिया और गुणवत्ता नियंत्रण में महत्वपूर्ण परिवर्तन आया?")</f>
        <v>किस दशक में मशीन-निर्मित मार्बल्स के आने से विनिर्माण प्रक्रिया और गुणवत्ता नियंत्रण में महत्वपूर्ण परिवर्तन आया?</v>
      </c>
      <c r="H270" s="5" t="str">
        <f>IFERROR(__xludf.DUMMYFUNCTION("GOOGLETRANSLATE(C270, ""en"", ""hi"")"),"ए) 1890 का दशक, बी) 1900 का दशक, सी) 1920 का दशक, डी) 1950 का दशक")</f>
        <v>ए) 1890 का दशक, बी) 1900 का दशक, सी) 1920 का दशक, डी) 1950 का दशक</v>
      </c>
      <c r="I270" s="5" t="str">
        <f>IFERROR(__xludf.DUMMYFUNCTION("GOOGLETRANSLATE(D270, ""en"", ""hi"")"),"सी) 1920 के दशक")</f>
        <v>सी) 1920 के दशक</v>
      </c>
    </row>
    <row r="271" ht="22.5" customHeight="1">
      <c r="A271" s="3">
        <v>270.0</v>
      </c>
      <c r="B271" s="4" t="s">
        <v>7141</v>
      </c>
      <c r="C271" s="4" t="s">
        <v>7142</v>
      </c>
      <c r="D271" s="4" t="s">
        <v>6896</v>
      </c>
      <c r="F271" s="5" t="str">
        <f>IFERROR(__xludf.DUMMYFUNCTION("GOOGLETRANSLATE(A271, ""en"", ""hi"")"),"270")</f>
        <v>270</v>
      </c>
      <c r="G271" s="5" t="str">
        <f>IFERROR(__xludf.DUMMYFUNCTION("GOOGLETRANSLATE(B271, ""en"", ""hi"")"),"1920 के दशक में मशीन-निर्मित संगमरमर के विकास और अपनाने में कौन सी प्रमुख संगमरमर कंपनी अग्रणी थी?")</f>
        <v>1920 के दशक में मशीन-निर्मित संगमरमर के विकास और अपनाने में कौन सी प्रमुख संगमरमर कंपनी अग्रणी थी?</v>
      </c>
      <c r="H271" s="5" t="str">
        <f>IFERROR(__xludf.DUMMYFUNCTION("GOOGLETRANSLATE(C271, ""en"", ""hi"")"),"A) एक्रो एगेट कंपनी, B) क्रिस्टेंसन एगेट कंपनी, C) जाबो ग्लास कंपनी, D) मार्बल किंग")</f>
        <v>A) एक्रो एगेट कंपनी, B) क्रिस्टेंसन एगेट कंपनी, C) जाबो ग्लास कंपनी, D) मार्बल किंग</v>
      </c>
      <c r="I271" s="5" t="str">
        <f>IFERROR(__xludf.DUMMYFUNCTION("GOOGLETRANSLATE(D271, ""en"", ""hi"")"),"ए) एक्रो एगेट कंपनी")</f>
        <v>ए) एक्रो एगेट कंपनी</v>
      </c>
    </row>
    <row r="272" ht="22.5" customHeight="1">
      <c r="A272" s="3">
        <v>271.0</v>
      </c>
      <c r="B272" s="4" t="s">
        <v>7143</v>
      </c>
      <c r="C272" s="4" t="s">
        <v>7144</v>
      </c>
      <c r="D272" s="4" t="s">
        <v>6790</v>
      </c>
      <c r="F272" s="5" t="str">
        <f>IFERROR(__xludf.DUMMYFUNCTION("GOOGLETRANSLATE(A272, ""en"", ""hi"")"),"271")</f>
        <v>271</v>
      </c>
      <c r="G272" s="5" t="str">
        <f>IFERROR(__xludf.DUMMYFUNCTION("GOOGLETRANSLATE(B272, ""en"", ""hi"")"),"20वीं सदी के प्रारम्भ में कांच के व्यापक रूप से अपनाए जाने से पहले संगमरमर उत्पादन में प्रयुक्त होने वाली प्राथमिक सामग्री क्या थी?")</f>
        <v>20वीं सदी के प्रारम्भ में कांच के व्यापक रूप से अपनाए जाने से पहले संगमरमर उत्पादन में प्रयुक्त होने वाली प्राथमिक सामग्री क्या थी?</v>
      </c>
      <c r="H272" s="5" t="str">
        <f>IFERROR(__xludf.DUMMYFUNCTION("GOOGLETRANSLATE(C272, ""en"", ""hi"")"),"A) मिट्टी, B) धातु, C) प्लास्टिक, D) रबर")</f>
        <v>A) मिट्टी, B) धातु, C) प्लास्टिक, D) रबर</v>
      </c>
      <c r="I272" s="5" t="str">
        <f>IFERROR(__xludf.DUMMYFUNCTION("GOOGLETRANSLATE(D272, ""en"", ""hi"")"),"A) मिट्टी")</f>
        <v>A) मिट्टी</v>
      </c>
    </row>
    <row r="273" ht="22.5" customHeight="1">
      <c r="A273" s="3">
        <v>272.0</v>
      </c>
      <c r="B273" s="4" t="s">
        <v>7145</v>
      </c>
      <c r="C273" s="4" t="s">
        <v>7146</v>
      </c>
      <c r="D273" s="4" t="s">
        <v>7147</v>
      </c>
      <c r="F273" s="5" t="str">
        <f>IFERROR(__xludf.DUMMYFUNCTION("GOOGLETRANSLATE(A273, ""en"", ""hi"")"),"272")</f>
        <v>272</v>
      </c>
      <c r="G273" s="5" t="str">
        <f>IFERROR(__xludf.DUMMYFUNCTION("GOOGLETRANSLATE(B273, ""en"", ""hi"")"),"1940 के दशक में किस सुधार के कारण चमकीले और जीवंत रंगों वाले संगमरमर की नई शैली की शुरुआत हुई?")</f>
        <v>1940 के दशक में किस सुधार के कारण चमकीले और जीवंत रंगों वाले संगमरमर की नई शैली की शुरुआत हुई?</v>
      </c>
      <c r="H273" s="5" t="str">
        <f>IFERROR(__xludf.DUMMYFUNCTION("GOOGLETRANSLATE(C273, ""en"", ""hi"")"),"ए) रंगीन संगमरमर पहल, बी) उज्ज्वल संगमरमर सुधार, सी) ग्लास संगमरमर क्रांति, डी) स्वर्ल संगमरमर आंदोलन")</f>
        <v>ए) रंगीन संगमरमर पहल, बी) उज्ज्वल संगमरमर सुधार, सी) ग्लास संगमरमर क्रांति, डी) स्वर्ल संगमरमर आंदोलन</v>
      </c>
      <c r="I273" s="5" t="str">
        <f>IFERROR(__xludf.DUMMYFUNCTION("GOOGLETRANSLATE(D273, ""en"", ""hi"")"),"C) कांच संगमरमर क्रांति")</f>
        <v>C) कांच संगमरमर क्रांति</v>
      </c>
    </row>
    <row r="274" ht="22.5" customHeight="1">
      <c r="A274" s="3">
        <v>273.0</v>
      </c>
      <c r="B274" s="4" t="s">
        <v>7148</v>
      </c>
      <c r="C274" s="4" t="s">
        <v>7149</v>
      </c>
      <c r="D274" s="4" t="s">
        <v>7150</v>
      </c>
      <c r="F274" s="5" t="str">
        <f>IFERROR(__xludf.DUMMYFUNCTION("GOOGLETRANSLATE(A274, ""en"", ""hi"")"),"273")</f>
        <v>273</v>
      </c>
      <c r="G274" s="5" t="str">
        <f>IFERROR(__xludf.DUMMYFUNCTION("GOOGLETRANSLATE(B274, ""en"", ""hi"")"),"1930 के दशक में किस ऐतिहासिक विकास ने जटिल पैटर्न और डिजाइन वाले संगमरमर के उत्पादन की अनुमति दी?")</f>
        <v>1930 के दशक में किस ऐतिहासिक विकास ने जटिल पैटर्न और डिजाइन वाले संगमरमर के उत्पादन की अनुमति दी?</v>
      </c>
      <c r="H274" s="5" t="str">
        <f>IFERROR(__xludf.DUMMYFUNCTION("GOOGLETRANSLATE(C274, ""en"", ""hi"")"),"ए) पैटर्न्ड मार्बल रिफॉर्म, बी) एडवांस्ड ग्लास टेक्निक्स एक्ट, सी) इंट्रिकेट डिज़ाइन मूवमेंट, डी) मार्बल इनोवेशन पॉलिसी")</f>
        <v>ए) पैटर्न्ड मार्बल रिफॉर्म, बी) एडवांस्ड ग्लास टेक्निक्स एक्ट, सी) इंट्रिकेट डिज़ाइन मूवमेंट, डी) मार्बल इनोवेशन पॉलिसी</v>
      </c>
      <c r="I274" s="5" t="str">
        <f>IFERROR(__xludf.DUMMYFUNCTION("GOOGLETRANSLATE(D274, ""en"", ""hi"")"),"बी) उन्नत ग्लास तकनीक अधिनियम")</f>
        <v>बी) उन्नत ग्लास तकनीक अधिनियम</v>
      </c>
    </row>
    <row r="275" ht="22.5" customHeight="1">
      <c r="A275" s="3">
        <v>274.0</v>
      </c>
      <c r="B275" s="4" t="s">
        <v>7151</v>
      </c>
      <c r="C275" s="4" t="s">
        <v>7152</v>
      </c>
      <c r="D275" s="4" t="s">
        <v>7153</v>
      </c>
      <c r="F275" s="5" t="str">
        <f>IFERROR(__xludf.DUMMYFUNCTION("GOOGLETRANSLATE(A275, ""en"", ""hi"")"),"274")</f>
        <v>274</v>
      </c>
      <c r="G275" s="5" t="str">
        <f>IFERROR(__xludf.DUMMYFUNCTION("GOOGLETRANSLATE(B275, ""en"", ""hi"")"),"1960 के दशक में किस मार्बल खेल सुधार ने विभिन्न क्षेत्रों में खेल को मानकीकृत करने के लिए नए नियम पेश किए?")</f>
        <v>1960 के दशक में किस मार्बल खेल सुधार ने विभिन्न क्षेत्रों में खेल को मानकीकृत करने के लिए नए नियम पेश किए?</v>
      </c>
      <c r="H275" s="5" t="str">
        <f>IFERROR(__xludf.DUMMYFUNCTION("GOOGLETRANSLATE(C275, ""en"", ""hi"")"),"ए) ग्लोबल मार्बल्स फेडरेशन सुधार, बी) अंतर्राष्ट्रीय मार्बल मानक अधिनियम, सी) क्षेत्रीय मार्बल्स नियम सुधार, डी) मार्बल गेम्स विनियमन")</f>
        <v>ए) ग्लोबल मार्बल्स फेडरेशन सुधार, बी) अंतर्राष्ट्रीय मार्बल मानक अधिनियम, सी) क्षेत्रीय मार्बल्स नियम सुधार, डी) मार्बल गेम्स विनियमन</v>
      </c>
      <c r="I275" s="5" t="str">
        <f>IFERROR(__xludf.DUMMYFUNCTION("GOOGLETRANSLATE(D275, ""en"", ""hi"")"),"बी) अंतर्राष्ट्रीय संगमरमर मानक अधिनियम")</f>
        <v>बी) अंतर्राष्ट्रीय संगमरमर मानक अधिनियम</v>
      </c>
    </row>
    <row r="276" ht="22.5" customHeight="1">
      <c r="A276" s="3">
        <v>275.0</v>
      </c>
      <c r="B276" s="4" t="s">
        <v>7154</v>
      </c>
      <c r="C276" s="4" t="s">
        <v>6747</v>
      </c>
      <c r="D276" s="4" t="s">
        <v>6999</v>
      </c>
      <c r="F276" s="5" t="str">
        <f>IFERROR(__xludf.DUMMYFUNCTION("GOOGLETRANSLATE(A276, ""en"", ""hi"")"),"275")</f>
        <v>275</v>
      </c>
      <c r="G276" s="5" t="str">
        <f>IFERROR(__xludf.DUMMYFUNCTION("GOOGLETRANSLATE(B276, ""en"", ""hi"")"),"किस कंपनी ने 1950 के दशक में नई प्लास्टिक सामग्री के उपयोग के साथ संगमरमर उत्पादन में एक बड़ा सुधार पेश किया?")</f>
        <v>किस कंपनी ने 1950 के दशक में नई प्लास्टिक सामग्री के उपयोग के साथ संगमरमर उत्पादन में एक बड़ा सुधार पेश किया?</v>
      </c>
      <c r="H276" s="5" t="str">
        <f>IFERROR(__xludf.DUMMYFUNCTION("GOOGLETRANSLATE(C276, ""en"", ""hi"")"),"A) मार्बल किंग, B) जाबो ग्लास कंपनी, C) क्रिस्टेंसन एगेट कंपनी, D) एक्रो एगेट कंपनी")</f>
        <v>A) मार्बल किंग, B) जाबो ग्लास कंपनी, C) क्रिस्टेंसन एगेट कंपनी, D) एक्रो एगेट कंपनी</v>
      </c>
      <c r="I276" s="5" t="str">
        <f>IFERROR(__xludf.DUMMYFUNCTION("GOOGLETRANSLATE(D276, ""en"", ""hi"")"),"ए) मार्बल किंग")</f>
        <v>ए) मार्बल किंग</v>
      </c>
    </row>
    <row r="277" ht="22.5" customHeight="1">
      <c r="A277" s="3">
        <v>276.0</v>
      </c>
      <c r="B277" s="4" t="s">
        <v>7155</v>
      </c>
      <c r="C277" s="4" t="s">
        <v>7156</v>
      </c>
      <c r="D277" s="4" t="s">
        <v>7157</v>
      </c>
      <c r="F277" s="5" t="str">
        <f>IFERROR(__xludf.DUMMYFUNCTION("GOOGLETRANSLATE(A277, ""en"", ""hi"")"),"276")</f>
        <v>276</v>
      </c>
      <c r="G277" s="5" t="str">
        <f>IFERROR(__xludf.DUMMYFUNCTION("GOOGLETRANSLATE(B277, ""en"", ""hi"")"),"1930 के दशक में संगमरमर के स्थायित्व में सुधार के लिए संगमरमर उद्योग में कौन सा महत्वपूर्ण सुधार हुआ?")</f>
        <v>1930 के दशक में संगमरमर के स्थायित्व में सुधार के लिए संगमरमर उद्योग में कौन सा महत्वपूर्ण सुधार हुआ?</v>
      </c>
      <c r="H277" s="5" t="str">
        <f>IFERROR(__xludf.DUMMYFUNCTION("GOOGLETRANSLATE(C277, ""en"", ""hi"")"),"ए) टिकाऊ संगमरमर सुधार, बी) मजबूत ग्लास नीति, सी) संवर्धित संगमरमर गुणवत्ता अधिनियम, डी) मजबूत ग्लास पहल")</f>
        <v>ए) टिकाऊ संगमरमर सुधार, बी) मजबूत ग्लास नीति, सी) संवर्धित संगमरमर गुणवत्ता अधिनियम, डी) मजबूत ग्लास पहल</v>
      </c>
      <c r="I277" s="5" t="str">
        <f>IFERROR(__xludf.DUMMYFUNCTION("GOOGLETRANSLATE(D277, ""en"", ""hi"")"),"D) टफनड ग्लास पहल")</f>
        <v>D) टफनड ग्लास पहल</v>
      </c>
    </row>
    <row r="278" ht="22.5" customHeight="1">
      <c r="A278" s="3">
        <v>277.0</v>
      </c>
      <c r="B278" s="4" t="s">
        <v>7158</v>
      </c>
      <c r="C278" s="4" t="s">
        <v>7159</v>
      </c>
      <c r="D278" s="4" t="s">
        <v>7160</v>
      </c>
      <c r="F278" s="5" t="str">
        <f>IFERROR(__xludf.DUMMYFUNCTION("GOOGLETRANSLATE(A278, ""en"", ""hi"")"),"277")</f>
        <v>277</v>
      </c>
      <c r="G278" s="5" t="str">
        <f>IFERROR(__xludf.DUMMYFUNCTION("GOOGLETRANSLATE(B278, ""en"", ""hi"")"),"1960 के दशक में किस प्रमुख घटना ने संग्रहणीय मार्बल्स और नए डिजाइनों के उदय में योगदान दिया?")</f>
        <v>1960 के दशक में किस प्रमुख घटना ने संग्रहणीय मार्बल्स और नए डिजाइनों के उदय में योगदान दिया?</v>
      </c>
      <c r="H278" s="5" t="str">
        <f>IFERROR(__xludf.DUMMYFUNCTION("GOOGLETRANSLATE(C278, ""en"", ""hi"")"),"ए) मार्बल कलेक्टर्स कन्वेंशन, बी) द ग्रेट मार्बल एक्जीबिशन, सी) कलेक्टर्स मार्बल मूवमेंट, डी) द मार्बल रिवाइवल")</f>
        <v>ए) मार्बल कलेक्टर्स कन्वेंशन, बी) द ग्रेट मार्बल एक्जीबिशन, सी) कलेक्टर्स मार्बल मूवमेंट, डी) द मार्बल रिवाइवल</v>
      </c>
      <c r="I278" s="5" t="str">
        <f>IFERROR(__xludf.DUMMYFUNCTION("GOOGLETRANSLATE(D278, ""en"", ""hi"")"),"C) कलेक्टर का मार्बल आंदोलन")</f>
        <v>C) कलेक्टर का मार्बल आंदोलन</v>
      </c>
    </row>
    <row r="279" ht="22.5" customHeight="1">
      <c r="A279" s="3">
        <v>278.0</v>
      </c>
      <c r="B279" s="4" t="s">
        <v>7161</v>
      </c>
      <c r="C279" s="4" t="s">
        <v>7162</v>
      </c>
      <c r="D279" s="4" t="s">
        <v>7003</v>
      </c>
      <c r="F279" s="5" t="str">
        <f>IFERROR(__xludf.DUMMYFUNCTION("GOOGLETRANSLATE(A279, ""en"", ""hi"")"),"278")</f>
        <v>278</v>
      </c>
      <c r="G279" s="5" t="str">
        <f>IFERROR(__xludf.DUMMYFUNCTION("GOOGLETRANSLATE(B279, ""en"", ""hi"")"),"19वीं शताब्दी में प्रारंभिक मार्बल खेलों और उनके नियमों के विकास का श्रेय किस ऐतिहासिक व्यक्ति को दिया जाता है?")</f>
        <v>19वीं शताब्दी में प्रारंभिक मार्बल खेलों और उनके नियमों के विकास का श्रेय किस ऐतिहासिक व्यक्ति को दिया जाता है?</v>
      </c>
      <c r="H279" s="5" t="str">
        <f>IFERROR(__xludf.DUMMYFUNCTION("GOOGLETRANSLATE(C279, ""en"", ""hi"")"),"A) चार्ल्स एम. मिलर, B) जेम्स स्मिथसन, C) थॉमस एडिसन, D) अल्बर्ट आइंस्टीन")</f>
        <v>A) चार्ल्स एम. मिलर, B) जेम्स स्मिथसन, C) थॉमस एडिसन, D) अल्बर्ट आइंस्टीन</v>
      </c>
      <c r="I279" s="5" t="str">
        <f>IFERROR(__xludf.DUMMYFUNCTION("GOOGLETRANSLATE(D279, ""en"", ""hi"")"),"A) चार्ल्स एम. मिलर")</f>
        <v>A) चार्ल्स एम. मिलर</v>
      </c>
    </row>
    <row r="280" ht="22.5" customHeight="1">
      <c r="A280" s="3">
        <v>279.0</v>
      </c>
      <c r="B280" s="4" t="s">
        <v>7163</v>
      </c>
      <c r="C280" s="4" t="s">
        <v>7056</v>
      </c>
      <c r="D280" s="4" t="s">
        <v>6887</v>
      </c>
      <c r="F280" s="5" t="str">
        <f>IFERROR(__xludf.DUMMYFUNCTION("GOOGLETRANSLATE(A280, ""en"", ""hi"")"),"279")</f>
        <v>279</v>
      </c>
      <c r="G280" s="5" t="str">
        <f>IFERROR(__xludf.DUMMYFUNCTION("GOOGLETRANSLATE(B280, ""en"", ""hi"")"),"किस कंपनी ने 1940 के दशक में नई ग्लास-ब्लोइंग तकनीक की शुरुआत के साथ संगमरमर उत्पादन में क्रांति ला दी?")</f>
        <v>किस कंपनी ने 1940 के दशक में नई ग्लास-ब्लोइंग तकनीक की शुरुआत के साथ संगमरमर उत्पादन में क्रांति ला दी?</v>
      </c>
      <c r="H280" s="5" t="str">
        <f>IFERROR(__xludf.DUMMYFUNCTION("GOOGLETRANSLATE(C280, ""en"", ""hi"")"),"A) एक्रो एगेट कंपनी, B) जाबो ग्लास कंपनी, C) क्रिस्टेंसन एगेट कंपनी, D) मार्बल किंग")</f>
        <v>A) एक्रो एगेट कंपनी, B) जाबो ग्लास कंपनी, C) क्रिस्टेंसन एगेट कंपनी, D) मार्बल किंग</v>
      </c>
      <c r="I280" s="5" t="str">
        <f>IFERROR(__xludf.DUMMYFUNCTION("GOOGLETRANSLATE(D280, ""en"", ""hi"")"),"बी) जाबो ग्लास कंपनी")</f>
        <v>बी) जाबो ग्लास कंपनी</v>
      </c>
    </row>
    <row r="281" ht="22.5" customHeight="1">
      <c r="A281" s="3">
        <v>280.0</v>
      </c>
      <c r="B281" s="4" t="s">
        <v>7164</v>
      </c>
      <c r="C281" s="4" t="s">
        <v>7165</v>
      </c>
      <c r="D281" s="4" t="s">
        <v>7166</v>
      </c>
      <c r="F281" s="5" t="str">
        <f>IFERROR(__xludf.DUMMYFUNCTION("GOOGLETRANSLATE(A281, ""en"", ""hi"")"),"280")</f>
        <v>280</v>
      </c>
      <c r="G281" s="5" t="str">
        <f>IFERROR(__xludf.DUMMYFUNCTION("GOOGLETRANSLATE(B281, ""en"", ""hi"")"),"1980 के दशक के दौरान नए खेल प्रारूपों को समायोजित करने के लिए संगमरमर के डिजाइन में क्या महत्वपूर्ण परिवर्तन हुआ?")</f>
        <v>1980 के दशक के दौरान नए खेल प्रारूपों को समायोजित करने के लिए संगमरमर के डिजाइन में क्या महत्वपूर्ण परिवर्तन हुआ?</v>
      </c>
      <c r="H281" s="5" t="str">
        <f>IFERROR(__xludf.DUMMYFUNCTION("GOOGLETRANSLATE(C281, ""en"", ""hi"")"),"ए) लघु संगमरमर सुधार, बी) उच्च परिशुद्धता संगमरमर अधिनियम, सी) खेल-विशिष्ट संगमरमर डिजाइन पहल, डी) बहु-रंग संगमरमर आंदोलन")</f>
        <v>ए) लघु संगमरमर सुधार, बी) उच्च परिशुद्धता संगमरमर अधिनियम, सी) खेल-विशिष्ट संगमरमर डिजाइन पहल, डी) बहु-रंग संगमरमर आंदोलन</v>
      </c>
      <c r="I281" s="5" t="str">
        <f>IFERROR(__xludf.DUMMYFUNCTION("GOOGLETRANSLATE(D281, ""en"", ""hi"")"),"C) खेल-विशिष्ट मार्बल डिज़ाइन पहल")</f>
        <v>C) खेल-विशिष्ट मार्बल डिज़ाइन पहल</v>
      </c>
    </row>
    <row r="282" ht="22.5" customHeight="1">
      <c r="A282" s="3">
        <v>281.0</v>
      </c>
      <c r="B282" s="4" t="s">
        <v>7167</v>
      </c>
      <c r="C282" s="4" t="s">
        <v>7168</v>
      </c>
      <c r="D282" s="4" t="s">
        <v>7169</v>
      </c>
      <c r="F282" s="5" t="str">
        <f>IFERROR(__xludf.DUMMYFUNCTION("GOOGLETRANSLATE(A282, ""en"", ""hi"")"),"281")</f>
        <v>281</v>
      </c>
      <c r="G282" s="5" t="str">
        <f>IFERROR(__xludf.DUMMYFUNCTION("GOOGLETRANSLATE(B282, ""en"", ""hi"")"),"1950 के दशक में किस ऐतिहासिक सुधार ने मिश्रित रंग के घुमाव वाले संगमरमर के प्रचलन पर जोर दिया?")</f>
        <v>1950 के दशक में किस ऐतिहासिक सुधार ने मिश्रित रंग के घुमाव वाले संगमरमर के प्रचलन पर जोर दिया?</v>
      </c>
      <c r="H282" s="5" t="str">
        <f>IFERROR(__xludf.DUMMYFUNCTION("GOOGLETRANSLATE(C282, ""en"", ""hi"")"),"ए) स्वर्ल संवर्द्धन नीति, बी) बहु-रंग स्वर्ल सुधार, सी) जीवंत संगमरमर पहल, डी) मिश्रित-रंग ग्लास अधिनियम")</f>
        <v>ए) स्वर्ल संवर्द्धन नीति, बी) बहु-रंग स्वर्ल सुधार, सी) जीवंत संगमरमर पहल, डी) मिश्रित-रंग ग्लास अधिनियम</v>
      </c>
      <c r="I282" s="5" t="str">
        <f>IFERROR(__xludf.DUMMYFUNCTION("GOOGLETRANSLATE(D282, ""en"", ""hi"")"),"बी) बहु-रंग भंवर सुधार")</f>
        <v>बी) बहु-रंग भंवर सुधार</v>
      </c>
    </row>
    <row r="283" ht="22.5" customHeight="1">
      <c r="A283" s="3">
        <v>282.0</v>
      </c>
      <c r="B283" s="4" t="s">
        <v>7170</v>
      </c>
      <c r="C283" s="4" t="s">
        <v>7171</v>
      </c>
      <c r="D283" s="4" t="s">
        <v>7172</v>
      </c>
      <c r="F283" s="5" t="str">
        <f>IFERROR(__xludf.DUMMYFUNCTION("GOOGLETRANSLATE(A283, ""en"", ""hi"")"),"282")</f>
        <v>282</v>
      </c>
      <c r="G283" s="5" t="str">
        <f>IFERROR(__xludf.DUMMYFUNCTION("GOOGLETRANSLATE(B283, ""en"", ""hi"")"),"20वीं सदी के किस सुधार ने संगमरमर उत्पादन के पर्यावरणीय प्रभाव पर ध्यान केंद्रित किया?")</f>
        <v>20वीं सदी के किस सुधार ने संगमरमर उत्पादन के पर्यावरणीय प्रभाव पर ध्यान केंद्रित किया?</v>
      </c>
      <c r="H283" s="5" t="str">
        <f>IFERROR(__xludf.DUMMYFUNCTION("GOOGLETRANSLATE(C283, ""en"", ""hi"")"),"ए) ग्रीन मार्बल नीति, बी) पर्यावरण मार्बल सुधार, सी) पर्यावरण-अनुकूल मार्बल पहल, डी) सतत मार्बल अधिनियम")</f>
        <v>ए) ग्रीन मार्बल नीति, बी) पर्यावरण मार्बल सुधार, सी) पर्यावरण-अनुकूल मार्बल पहल, डी) सतत मार्बल अधिनियम</v>
      </c>
      <c r="I283" s="5" t="str">
        <f>IFERROR(__xludf.DUMMYFUNCTION("GOOGLETRANSLATE(D283, ""en"", ""hi"")"),"C) पर्यावरण-अनुकूल संगमरमर पहल")</f>
        <v>C) पर्यावरण-अनुकूल संगमरमर पहल</v>
      </c>
    </row>
    <row r="284" ht="22.5" customHeight="1">
      <c r="A284" s="3">
        <v>283.0</v>
      </c>
      <c r="B284" s="4" t="s">
        <v>7173</v>
      </c>
      <c r="C284" s="4" t="s">
        <v>7174</v>
      </c>
      <c r="D284" s="4" t="s">
        <v>7175</v>
      </c>
      <c r="F284" s="5" t="str">
        <f>IFERROR(__xludf.DUMMYFUNCTION("GOOGLETRANSLATE(A284, ""en"", ""hi"")"),"283")</f>
        <v>283</v>
      </c>
      <c r="G284" s="5" t="str">
        <f>IFERROR(__xludf.DUMMYFUNCTION("GOOGLETRANSLATE(B284, ""en"", ""hi"")"),"1980 के दशक में किस बड़े परिवर्तन से बच्चों के लिए मार्बल्स के सुरक्षा मानकों में सुधार हुआ?")</f>
        <v>1980 के दशक में किस बड़े परिवर्तन से बच्चों के लिए मार्बल्स के सुरक्षा मानकों में सुधार हुआ?</v>
      </c>
      <c r="H284" s="5" t="str">
        <f>IFERROR(__xludf.DUMMYFUNCTION("GOOGLETRANSLATE(C284, ""en"", ""hi"")"),"ए) बाल सुरक्षा मार्बल अधिनियम, बी) सुरक्षित खेल मार्बल सुधार, सी) गैर-विषाक्त मार्बल पहल, डी) सुरक्षित मार्बल नीति")</f>
        <v>ए) बाल सुरक्षा मार्बल अधिनियम, बी) सुरक्षित खेल मार्बल सुधार, सी) गैर-विषाक्त मार्बल पहल, डी) सुरक्षित मार्बल नीति</v>
      </c>
      <c r="I284" s="5" t="str">
        <f>IFERROR(__xludf.DUMMYFUNCTION("GOOGLETRANSLATE(D284, ""en"", ""hi"")"),"C) गैर-विषाक्त संगमरमर पहल")</f>
        <v>C) गैर-विषाक्त संगमरमर पहल</v>
      </c>
    </row>
    <row r="285" ht="22.5" customHeight="1">
      <c r="A285" s="3">
        <v>284.0</v>
      </c>
      <c r="B285" s="4" t="s">
        <v>7176</v>
      </c>
      <c r="C285" s="4" t="s">
        <v>7177</v>
      </c>
      <c r="D285" s="4" t="s">
        <v>7178</v>
      </c>
      <c r="F285" s="5" t="str">
        <f>IFERROR(__xludf.DUMMYFUNCTION("GOOGLETRANSLATE(A285, ""en"", ""hi"")"),"284")</f>
        <v>284</v>
      </c>
      <c r="G285" s="5" t="str">
        <f>IFERROR(__xludf.DUMMYFUNCTION("GOOGLETRANSLATE(B285, ""en"", ""hi"")"),"1910 के दशक में किस ऐतिहासिक सुधार के कारण मशीन-निर्मित मार्बल का व्यापक उपयोग शुरू हुआ?")</f>
        <v>1910 के दशक में किस ऐतिहासिक सुधार के कारण मशीन-निर्मित मार्बल का व्यापक उपयोग शुरू हुआ?</v>
      </c>
      <c r="H285" s="5" t="str">
        <f>IFERROR(__xludf.DUMMYFUNCTION("GOOGLETRANSLATE(C285, ""en"", ""hi"")"),"A) यांत्रिक संगमरमर सुधार, B) मशीन-निर्मित संगमरमर अधिनियम, C) औद्योगिक संगमरमर नीति, D) उत्पादन क्रांति अधिनियम")</f>
        <v>A) यांत्रिक संगमरमर सुधार, B) मशीन-निर्मित संगमरमर अधिनियम, C) औद्योगिक संगमरमर नीति, D) उत्पादन क्रांति अधिनियम</v>
      </c>
      <c r="I285" s="5" t="str">
        <f>IFERROR(__xludf.DUMMYFUNCTION("GOOGLETRANSLATE(D285, ""en"", ""hi"")"),"बी) मशीन-निर्मित संगमरमर अधिनियम")</f>
        <v>बी) मशीन-निर्मित संगमरमर अधिनियम</v>
      </c>
    </row>
    <row r="286" ht="22.5" customHeight="1">
      <c r="A286" s="3">
        <v>285.0</v>
      </c>
      <c r="B286" s="4" t="s">
        <v>7179</v>
      </c>
      <c r="C286" s="4" t="s">
        <v>7008</v>
      </c>
      <c r="D286" s="4" t="s">
        <v>7009</v>
      </c>
      <c r="F286" s="5" t="str">
        <f>IFERROR(__xludf.DUMMYFUNCTION("GOOGLETRANSLATE(A286, ""en"", ""hi"")"),"285")</f>
        <v>285</v>
      </c>
      <c r="G286" s="5" t="str">
        <f>IFERROR(__xludf.DUMMYFUNCTION("GOOGLETRANSLATE(B286, ""en"", ""hi"")"),"1930 के दशक में स्थापित कौन सी कंपनी संगमरमर के डिजाइन और विनिर्माण तकनीकों में शुरुआती सुधारों को लागू करने के लिए जानी जाती थी?")</f>
        <v>1930 के दशक में स्थापित कौन सी कंपनी संगमरमर के डिजाइन और विनिर्माण तकनीकों में शुरुआती सुधारों को लागू करने के लिए जानी जाती थी?</v>
      </c>
      <c r="H286" s="5" t="str">
        <f>IFERROR(__xludf.DUMMYFUNCTION("GOOGLETRANSLATE(C286, ""en"", ""hi"")"),"A) क्रिस्टेंसन एगेट कंपनी, B) मार्बल किंग, C) जाबो ग्लास कंपनी, D) एक्रो एगेट कंपनी")</f>
        <v>A) क्रिस्टेंसन एगेट कंपनी, B) मार्बल किंग, C) जाबो ग्लास कंपनी, D) एक्रो एगेट कंपनी</v>
      </c>
      <c r="I286" s="5" t="str">
        <f>IFERROR(__xludf.DUMMYFUNCTION("GOOGLETRANSLATE(D286, ""en"", ""hi"")"),"ए) क्रिस्टेंसन एगेट कंपनी")</f>
        <v>ए) क्रिस्टेंसन एगेट कंपनी</v>
      </c>
    </row>
    <row r="287" ht="22.5" customHeight="1">
      <c r="A287" s="3">
        <v>286.0</v>
      </c>
      <c r="B287" s="4" t="s">
        <v>7180</v>
      </c>
      <c r="C287" s="4" t="s">
        <v>7181</v>
      </c>
      <c r="D287" s="4" t="s">
        <v>7182</v>
      </c>
      <c r="F287" s="5" t="str">
        <f>IFERROR(__xludf.DUMMYFUNCTION("GOOGLETRANSLATE(A287, ""en"", ""hi"")"),"286")</f>
        <v>286</v>
      </c>
      <c r="G287" s="5" t="str">
        <f>IFERROR(__xludf.DUMMYFUNCTION("GOOGLETRANSLATE(B287, ""en"", ""hi"")"),"1970 के दशक में किस सुधार का उद्देश्य प्रतिस्पर्धी खेल में उपयोग किए जाने वाले कंचों के आकार और वजन को मानकीकृत करना था?")</f>
        <v>1970 के दशक में किस सुधार का उद्देश्य प्रतिस्पर्धी खेल में उपयोग किए जाने वाले कंचों के आकार और वजन को मानकीकृत करना था?</v>
      </c>
      <c r="H287" s="5" t="str">
        <f>IFERROR(__xludf.DUMMYFUNCTION("GOOGLETRANSLATE(C287, ""en"", ""hi"")"),"ए) संगमरमर आयाम अधिनियम, बी) प्रतिस्पर्धी मानक सुधार, सी) एकसमान संगमरमर विनिर्देश अधिनियम, डी) मानकीकृत संगमरमर नीति")</f>
        <v>ए) संगमरमर आयाम अधिनियम, बी) प्रतिस्पर्धी मानक सुधार, सी) एकसमान संगमरमर विनिर्देश अधिनियम, डी) मानकीकृत संगमरमर नीति</v>
      </c>
      <c r="I287" s="5" t="str">
        <f>IFERROR(__xludf.DUMMYFUNCTION("GOOGLETRANSLATE(D287, ""en"", ""hi"")"),"सी) एकसमान संगमरमर विनिर्देश अधिनियम")</f>
        <v>सी) एकसमान संगमरमर विनिर्देश अधिनियम</v>
      </c>
    </row>
    <row r="288" ht="22.5" customHeight="1">
      <c r="A288" s="3">
        <v>287.0</v>
      </c>
      <c r="B288" s="4" t="s">
        <v>7183</v>
      </c>
      <c r="C288" s="4" t="s">
        <v>7184</v>
      </c>
      <c r="D288" s="4" t="s">
        <v>7185</v>
      </c>
      <c r="F288" s="5" t="str">
        <f>IFERROR(__xludf.DUMMYFUNCTION("GOOGLETRANSLATE(A288, ""en"", ""hi"")"),"287")</f>
        <v>287</v>
      </c>
      <c r="G288" s="5" t="str">
        <f>IFERROR(__xludf.DUMMYFUNCTION("GOOGLETRANSLATE(B288, ""en"", ""hi"")"),"1920 के दशक में किस तकनीकी प्रगति ने सुसंगत पैटर्न और रंगों वाले मार्बल्स के निर्माण की अनुमति दी?")</f>
        <v>1920 के दशक में किस तकनीकी प्रगति ने सुसंगत पैटर्न और रंगों वाले मार्बल्स के निर्माण की अनुमति दी?</v>
      </c>
      <c r="H288" s="5" t="str">
        <f>IFERROR(__xludf.DUMMYFUNCTION("GOOGLETRANSLATE(C288, ""en"", ""hi"")"),"ए) रंग स्थिरता मशीन, बी) सटीक ग्लास-ब्लोइंग तकनीक, सी) पैटर्निंग क्रांति, डी) स्वचालित संगमरमर उत्पादन")</f>
        <v>ए) रंग स्थिरता मशीन, बी) सटीक ग्लास-ब्लोइंग तकनीक, सी) पैटर्निंग क्रांति, डी) स्वचालित संगमरमर उत्पादन</v>
      </c>
      <c r="I288" s="5" t="str">
        <f>IFERROR(__xludf.DUMMYFUNCTION("GOOGLETRANSLATE(D288, ""en"", ""hi"")"),"D) स्वचालित संगमरमर उत्पादन")</f>
        <v>D) स्वचालित संगमरमर उत्पादन</v>
      </c>
    </row>
    <row r="289" ht="22.5" customHeight="1">
      <c r="A289" s="3">
        <v>288.0</v>
      </c>
      <c r="B289" s="4" t="s">
        <v>7186</v>
      </c>
      <c r="C289" s="4" t="s">
        <v>7187</v>
      </c>
      <c r="D289" s="4" t="s">
        <v>7188</v>
      </c>
      <c r="F289" s="5" t="str">
        <f>IFERROR(__xludf.DUMMYFUNCTION("GOOGLETRANSLATE(A289, ""en"", ""hi"")"),"288")</f>
        <v>288</v>
      </c>
      <c r="G289" s="5" t="str">
        <f>IFERROR(__xludf.DUMMYFUNCTION("GOOGLETRANSLATE(B289, ""en"", ""hi"")"),"2000 के दशक में कौन सा सुधार मार्बल गेम्स और ऐतिहासिक डेटा के डिजिटल संरक्षण पर केंद्रित था?")</f>
        <v>2000 के दशक में कौन सा सुधार मार्बल गेम्स और ऐतिहासिक डेटा के डिजिटल संरक्षण पर केंद्रित था?</v>
      </c>
      <c r="H289" s="5" t="str">
        <f>IFERROR(__xludf.DUMMYFUNCTION("GOOGLETRANSLATE(C289, ""en"", ""hi"")"),"ए) डिजिटल मार्बल आर्काइव इनिशिएटिव, बी) मार्बल इतिहास संरक्षण अधिनियम, सी) ऑनलाइन मार्बल दस्तावेज़ीकरण सुधार, डी) इलेक्ट्रॉनिक मार्बल इतिहास परियोजना")</f>
        <v>ए) डिजिटल मार्बल आर्काइव इनिशिएटिव, बी) मार्बल इतिहास संरक्षण अधिनियम, सी) ऑनलाइन मार्बल दस्तावेज़ीकरण सुधार, डी) इलेक्ट्रॉनिक मार्बल इतिहास परियोजना</v>
      </c>
      <c r="I289" s="5" t="str">
        <f>IFERROR(__xludf.DUMMYFUNCTION("GOOGLETRANSLATE(D289, ""en"", ""hi"")"),"A) डिजिटल मार्बल आर्काइव पहल")</f>
        <v>A) डिजिटल मार्बल आर्काइव पहल</v>
      </c>
    </row>
    <row r="290" ht="22.5" customHeight="1">
      <c r="A290" s="3">
        <v>289.0</v>
      </c>
      <c r="B290" s="4" t="s">
        <v>7189</v>
      </c>
      <c r="C290" s="4" t="s">
        <v>7190</v>
      </c>
      <c r="D290" s="4" t="s">
        <v>7191</v>
      </c>
      <c r="F290" s="5" t="str">
        <f>IFERROR(__xludf.DUMMYFUNCTION("GOOGLETRANSLATE(A290, ""en"", ""hi"")"),"289")</f>
        <v>289</v>
      </c>
      <c r="G290" s="5" t="str">
        <f>IFERROR(__xludf.DUMMYFUNCTION("GOOGLETRANSLATE(B290, ""en"", ""hi"")"),"1960 के दशक में किस महत्वपूर्ण घटना ने लोकप्रिय संस्कृति में पारंपरिक मार्बल खेलों के पुनरुत्थान में योगदान दिया?")</f>
        <v>1960 के दशक में किस महत्वपूर्ण घटना ने लोकप्रिय संस्कृति में पारंपरिक मार्बल खेलों के पुनरुत्थान में योगदान दिया?</v>
      </c>
      <c r="H290" s="5" t="str">
        <f>IFERROR(__xludf.DUMMYFUNCTION("GOOGLETRANSLATE(C290, ""en"", ""hi"")"),"ए) मार्बल रिवाइवल फेस्टिवल, बी) मार्बल गेम रेनेसां, सी) द ग्रेट मार्बल कमबैक, डी) ट्रेडिशनल मार्बल गेम्स मूवमेंट")</f>
        <v>ए) मार्बल रिवाइवल फेस्टिवल, बी) मार्बल गेम रेनेसां, सी) द ग्रेट मार्बल कमबैक, डी) ट्रेडिशनल मार्बल गेम्स मूवमेंट</v>
      </c>
      <c r="I290" s="5" t="str">
        <f>IFERROR(__xludf.DUMMYFUNCTION("GOOGLETRANSLATE(D290, ""en"", ""hi"")"),"D) पारंपरिक संगमरमर खेल आंदोलन")</f>
        <v>D) पारंपरिक संगमरमर खेल आंदोलन</v>
      </c>
    </row>
    <row r="291" ht="22.5" customHeight="1">
      <c r="A291" s="3">
        <v>290.0</v>
      </c>
      <c r="B291" s="4" t="s">
        <v>7192</v>
      </c>
      <c r="C291" s="4" t="s">
        <v>6955</v>
      </c>
      <c r="D291" s="4" t="s">
        <v>7086</v>
      </c>
      <c r="F291" s="5" t="str">
        <f>IFERROR(__xludf.DUMMYFUNCTION("GOOGLETRANSLATE(A291, ""en"", ""hi"")"),"290")</f>
        <v>290</v>
      </c>
      <c r="G291" s="5" t="str">
        <f>IFERROR(__xludf.DUMMYFUNCTION("GOOGLETRANSLATE(B291, ""en"", ""hi"")"),"1940 के दशक में स्थापित कौन सी कंपनी नए, अभिनव डिजाइनों के साथ मार्बल पेश करने के लिए जानी जाती थी?")</f>
        <v>1940 के दशक में स्थापित कौन सी कंपनी नए, अभिनव डिजाइनों के साथ मार्बल पेश करने के लिए जानी जाती थी?</v>
      </c>
      <c r="H291" s="5" t="str">
        <f>IFERROR(__xludf.DUMMYFUNCTION("GOOGLETRANSLATE(C291, ""en"", ""hi"")"),"A) मार्बल किंग, B) एक्रो एगेट कंपनी, C) क्रिस्टेंसन एगेट कंपनी, D) जाबो ग्लास कंपनी")</f>
        <v>A) मार्बल किंग, B) एक्रो एगेट कंपनी, C) क्रिस्टेंसन एगेट कंपनी, D) जाबो ग्लास कंपनी</v>
      </c>
      <c r="I291" s="5" t="str">
        <f>IFERROR(__xludf.DUMMYFUNCTION("GOOGLETRANSLATE(D291, ""en"", ""hi"")"),"D) जाबो ग्लास कंपनी")</f>
        <v>D) जाबो ग्लास कंपनी</v>
      </c>
    </row>
    <row r="292" ht="22.5" customHeight="1">
      <c r="A292" s="3">
        <v>291.0</v>
      </c>
      <c r="B292" s="4" t="s">
        <v>7193</v>
      </c>
      <c r="C292" s="4" t="s">
        <v>7194</v>
      </c>
      <c r="D292" s="4" t="s">
        <v>7195</v>
      </c>
      <c r="F292" s="5" t="str">
        <f>IFERROR(__xludf.DUMMYFUNCTION("GOOGLETRANSLATE(A292, ""en"", ""hi"")"),"291")</f>
        <v>291</v>
      </c>
      <c r="G292" s="5" t="str">
        <f>IFERROR(__xludf.DUMMYFUNCTION("GOOGLETRANSLATE(B292, ""en"", ""hi"")"),"1980 के दशक में किस प्रमुख सुधार ने संगमरमर उत्पादन के लिए सख्त गुणवत्ता नियंत्रण उपाय शुरू किए?")</f>
        <v>1980 के दशक में किस प्रमुख सुधार ने संगमरमर उत्पादन के लिए सख्त गुणवत्ता नियंत्रण उपाय शुरू किए?</v>
      </c>
      <c r="H292" s="5" t="str">
        <f>IFERROR(__xludf.DUMMYFUNCTION("GOOGLETRANSLATE(C292, ""en"", ""hi"")"),"ए) गुणवत्ता नियंत्रण संगमरमर सुधार, बी) परिशुद्ध संगमरमर पहल, सी) संगमरमर उत्पादन मानक अधिनियम, डी) उन्नत गुणवत्ता संगमरमर नीति")</f>
        <v>ए) गुणवत्ता नियंत्रण संगमरमर सुधार, बी) परिशुद्ध संगमरमर पहल, सी) संगमरमर उत्पादन मानक अधिनियम, डी) उन्नत गुणवत्ता संगमरमर नीति</v>
      </c>
      <c r="I292" s="5" t="str">
        <f>IFERROR(__xludf.DUMMYFUNCTION("GOOGLETRANSLATE(D292, ""en"", ""hi"")"),"C) संगमरमर उत्पादन मानक अधिनियम")</f>
        <v>C) संगमरमर उत्पादन मानक अधिनियम</v>
      </c>
    </row>
    <row r="293" ht="22.5" customHeight="1">
      <c r="A293" s="3">
        <v>292.0</v>
      </c>
      <c r="B293" s="4" t="s">
        <v>7196</v>
      </c>
      <c r="C293" s="4" t="s">
        <v>7197</v>
      </c>
      <c r="D293" s="4" t="s">
        <v>7198</v>
      </c>
      <c r="F293" s="5" t="str">
        <f>IFERROR(__xludf.DUMMYFUNCTION("GOOGLETRANSLATE(A293, ""en"", ""hi"")"),"292")</f>
        <v>292</v>
      </c>
      <c r="G293" s="5" t="str">
        <f>IFERROR(__xludf.DUMMYFUNCTION("GOOGLETRANSLATE(B293, ""en"", ""hi"")"),"20वीं सदी के किस सुधार का उद्देश्य स्कूलों और सामुदायिक केंद्रों में मार्बल खेलों की पहुंच बढ़ाना था?")</f>
        <v>20वीं सदी के किस सुधार का उद्देश्य स्कूलों और सामुदायिक केंद्रों में मार्बल खेलों की पहुंच बढ़ाना था?</v>
      </c>
      <c r="H293" s="5" t="str">
        <f>IFERROR(__xludf.DUMMYFUNCTION("GOOGLETRANSLATE(C293, ""en"", ""hi"")"),"ए) स्कूल मार्बल पहल, बी) सामुदायिक मार्बल पहुँच सुधार, सी) मार्बल शिक्षा अधिनियम, डी) मार्बल आउटरीच कार्यक्रम")</f>
        <v>ए) स्कूल मार्बल पहल, बी) सामुदायिक मार्बल पहुँच सुधार, सी) मार्बल शिक्षा अधिनियम, डी) मार्बल आउटरीच कार्यक्रम</v>
      </c>
      <c r="I293" s="5" t="str">
        <f>IFERROR(__xludf.DUMMYFUNCTION("GOOGLETRANSLATE(D293, ""en"", ""hi"")"),"बी) सामुदायिक संगमरमर पहुँच सुधार")</f>
        <v>बी) सामुदायिक संगमरमर पहुँच सुधार</v>
      </c>
    </row>
    <row r="294" ht="22.5" customHeight="1">
      <c r="A294" s="3">
        <v>293.0</v>
      </c>
      <c r="B294" s="4" t="s">
        <v>7199</v>
      </c>
      <c r="C294" s="4" t="s">
        <v>7200</v>
      </c>
      <c r="D294" s="4" t="s">
        <v>7201</v>
      </c>
      <c r="F294" s="5" t="str">
        <f>IFERROR(__xludf.DUMMYFUNCTION("GOOGLETRANSLATE(A294, ""en"", ""hi"")"),"293")</f>
        <v>293</v>
      </c>
      <c r="G294" s="5" t="str">
        <f>IFERROR(__xludf.DUMMYFUNCTION("GOOGLETRANSLATE(B294, ""en"", ""hi"")"),"1950 के दशक में किस सुधार ने नई उत्पादन तकनीकों के माध्यम से संगमरमर के सौंदर्यात्मक आकर्षण को सुधारने पर ध्यान केंद्रित किया?")</f>
        <v>1950 के दशक में किस सुधार ने नई उत्पादन तकनीकों के माध्यम से संगमरमर के सौंदर्यात्मक आकर्षण को सुधारने पर ध्यान केंद्रित किया?</v>
      </c>
      <c r="H294" s="5" t="str">
        <f>IFERROR(__xludf.DUMMYFUNCTION("GOOGLETRANSLATE(C294, ""en"", ""hi"")"),"ए) सौंदर्यबोध संगमरमर संवर्धन, बी) सजावटी संगमरमर सुधार, सी) रंग और डिजाइन सुधार अधिनियम, डी) कलात्मक संगमरमर पहल")</f>
        <v>ए) सौंदर्यबोध संगमरमर संवर्धन, बी) सजावटी संगमरमर सुधार, सी) रंग और डिजाइन सुधार अधिनियम, डी) कलात्मक संगमरमर पहल</v>
      </c>
      <c r="I294" s="5" t="str">
        <f>IFERROR(__xludf.DUMMYFUNCTION("GOOGLETRANSLATE(D294, ""en"", ""hi"")"),"सी) रंग और डिजाइन सुधार अधिनियम")</f>
        <v>सी) रंग और डिजाइन सुधार अधिनियम</v>
      </c>
    </row>
    <row r="295" ht="22.5" customHeight="1">
      <c r="A295" s="3">
        <v>294.0</v>
      </c>
      <c r="B295" s="4" t="s">
        <v>7202</v>
      </c>
      <c r="C295" s="4" t="s">
        <v>7203</v>
      </c>
      <c r="D295" s="4" t="s">
        <v>37</v>
      </c>
      <c r="F295" s="5" t="str">
        <f>IFERROR(__xludf.DUMMYFUNCTION("GOOGLETRANSLATE(A295, ""en"", ""hi"")"),"294")</f>
        <v>294</v>
      </c>
      <c r="G295" s="5" t="str">
        <f>IFERROR(__xludf.DUMMYFUNCTION("GOOGLETRANSLATE(B295, ""en"", ""hi"")"),"पारंपरिक खेल कंचे का मूल देश कौन सा है?")</f>
        <v>पारंपरिक खेल कंचे का मूल देश कौन सा है?</v>
      </c>
      <c r="H295" s="5" t="str">
        <f>IFERROR(__xludf.DUMMYFUNCTION("GOOGLETRANSLATE(C295, ""en"", ""hi"")"),"A) भारत, B) चीन, C) जापान, D) कोरिया")</f>
        <v>A) भारत, B) चीन, C) जापान, D) कोरिया</v>
      </c>
      <c r="I295" s="5" t="str">
        <f>IFERROR(__xludf.DUMMYFUNCTION("GOOGLETRANSLATE(D295, ""en"", ""hi"")"),"ए) भारत")</f>
        <v>ए) भारत</v>
      </c>
    </row>
    <row r="296" ht="22.5" customHeight="1">
      <c r="A296" s="3">
        <v>295.0</v>
      </c>
      <c r="B296" s="4" t="s">
        <v>7204</v>
      </c>
      <c r="C296" s="4" t="s">
        <v>482</v>
      </c>
      <c r="D296" s="4" t="s">
        <v>222</v>
      </c>
      <c r="F296" s="5" t="str">
        <f>IFERROR(__xludf.DUMMYFUNCTION("GOOGLETRANSLATE(A296, ""en"", ""hi"")"),"295")</f>
        <v>295</v>
      </c>
      <c r="G296" s="5" t="str">
        <f>IFERROR(__xludf.DUMMYFUNCTION("GOOGLETRANSLATE(B296, ""en"", ""hi"")"),"किस प्राचीन भारतीय ग्रंथ में सर्वप्रथम कंचे खेल का उल्लेख मिलता है?")</f>
        <v>किस प्राचीन भारतीय ग्रंथ में सर्वप्रथम कंचे खेल का उल्लेख मिलता है?</v>
      </c>
      <c r="H296" s="5" t="str">
        <f>IFERROR(__xludf.DUMMYFUNCTION("GOOGLETRANSLATE(C296, ""en"", ""hi"")"),"ए) महाभारत, बी) रामायण, सी) वेद, डी) उपनिषद")</f>
        <v>ए) महाभारत, बी) रामायण, सी) वेद, डी) उपनिषद</v>
      </c>
      <c r="I296" s="5" t="str">
        <f>IFERROR(__xludf.DUMMYFUNCTION("GOOGLETRANSLATE(D296, ""en"", ""hi"")"),"A) महाभारत")</f>
        <v>A) महाभारत</v>
      </c>
    </row>
    <row r="297" ht="22.5" customHeight="1">
      <c r="A297" s="3">
        <v>296.0</v>
      </c>
      <c r="B297" s="4" t="s">
        <v>7205</v>
      </c>
      <c r="C297" s="4" t="s">
        <v>7206</v>
      </c>
      <c r="D297" s="4" t="s">
        <v>7207</v>
      </c>
      <c r="F297" s="5" t="str">
        <f>IFERROR(__xludf.DUMMYFUNCTION("GOOGLETRANSLATE(A297, ""en"", ""hi"")"),"296")</f>
        <v>296</v>
      </c>
      <c r="G297" s="5" t="str">
        <f>IFERROR(__xludf.DUMMYFUNCTION("GOOGLETRANSLATE(B297, ""en"", ""hi"")"),"पारंपरिक कंचे में खेल के टुकड़े बनाने के लिए प्राथमिक सामग्री क्या उपयोग की जाती है?")</f>
        <v>पारंपरिक कंचे में खेल के टुकड़े बनाने के लिए प्राथमिक सामग्री क्या उपयोग की जाती है?</v>
      </c>
      <c r="H297" s="5" t="str">
        <f>IFERROR(__xludf.DUMMYFUNCTION("GOOGLETRANSLATE(C297, ""en"", ""hi"")"),"A) लकड़ी, B) पत्थर, C) कांच, D) मिट्टी")</f>
        <v>A) लकड़ी, B) पत्थर, C) कांच, D) मिट्टी</v>
      </c>
      <c r="I297" s="5" t="str">
        <f>IFERROR(__xludf.DUMMYFUNCTION("GOOGLETRANSLATE(D297, ""en"", ""hi"")"),"सी) कांच")</f>
        <v>सी) कांच</v>
      </c>
    </row>
    <row r="298" ht="22.5" customHeight="1">
      <c r="A298" s="3">
        <v>297.0</v>
      </c>
      <c r="B298" s="4" t="s">
        <v>7208</v>
      </c>
      <c r="C298" s="4" t="s">
        <v>7209</v>
      </c>
      <c r="D298" s="4" t="s">
        <v>7210</v>
      </c>
      <c r="F298" s="5" t="str">
        <f>IFERROR(__xludf.DUMMYFUNCTION("GOOGLETRANSLATE(A298, ""en"", ""hi"")"),"297")</f>
        <v>297</v>
      </c>
      <c r="G298" s="5" t="str">
        <f>IFERROR(__xludf.DUMMYFUNCTION("GOOGLETRANSLATE(B298, ""en"", ""hi"")"),"भारत में कंचे के लोकप्रिय होने के साथ सबसे अधिक संबद्ध ऐतिहासिक काल कौन सा है?")</f>
        <v>भारत में कंचे के लोकप्रिय होने के साथ सबसे अधिक संबद्ध ऐतिहासिक काल कौन सा है?</v>
      </c>
      <c r="H298" s="5" t="str">
        <f>IFERROR(__xludf.DUMMYFUNCTION("GOOGLETRANSLATE(C298, ""en"", ""hi"")"),"A) मुगल काल, B) ब्रिटिश औपनिवेशिक काल, C) प्राचीन वैदिक काल, D) गुप्त काल")</f>
        <v>A) मुगल काल, B) ब्रिटिश औपनिवेशिक काल, C) प्राचीन वैदिक काल, D) गुप्त काल</v>
      </c>
      <c r="I298" s="5" t="str">
        <f>IFERROR(__xludf.DUMMYFUNCTION("GOOGLETRANSLATE(D298, ""en"", ""hi"")"),"बी) ब्रिटिश औपनिवेशिक काल")</f>
        <v>बी) ब्रिटिश औपनिवेशिक काल</v>
      </c>
    </row>
    <row r="299" ht="22.5" customHeight="1">
      <c r="A299" s="3">
        <v>298.0</v>
      </c>
      <c r="B299" s="4" t="s">
        <v>7211</v>
      </c>
      <c r="C299" s="4" t="s">
        <v>7212</v>
      </c>
      <c r="D299" s="4" t="s">
        <v>205</v>
      </c>
      <c r="F299" s="5" t="str">
        <f>IFERROR(__xludf.DUMMYFUNCTION("GOOGLETRANSLATE(A299, ""en"", ""hi"")"),"298")</f>
        <v>298</v>
      </c>
      <c r="G299" s="5" t="str">
        <f>IFERROR(__xludf.DUMMYFUNCTION("GOOGLETRANSLATE(B299, ""en"", ""hi"")"),"भारत में कौन सा क्षेत्र कंचे बजाने की मजबूत परंपरा के लिए जाना जाता है?")</f>
        <v>भारत में कौन सा क्षेत्र कंचे बजाने की मजबूत परंपरा के लिए जाना जाता है?</v>
      </c>
      <c r="H299" s="5" t="str">
        <f>IFERROR(__xludf.DUMMYFUNCTION("GOOGLETRANSLATE(C299, ""en"", ""hi"")"),"ए) तमिलनाडु, बी) पंजाब, सी) राजस्थान, डी) गुजरात")</f>
        <v>ए) तमिलनाडु, बी) पंजाब, सी) राजस्थान, डी) गुजरात</v>
      </c>
      <c r="I299" s="5" t="str">
        <f>IFERROR(__xludf.DUMMYFUNCTION("GOOGLETRANSLATE(D299, ""en"", ""hi"")"),"A) तमिलनाडु")</f>
        <v>A) तमिलनाडु</v>
      </c>
    </row>
    <row r="300" ht="22.5" customHeight="1">
      <c r="A300" s="3">
        <v>299.0</v>
      </c>
      <c r="B300" s="4" t="s">
        <v>7213</v>
      </c>
      <c r="C300" s="4" t="s">
        <v>7214</v>
      </c>
      <c r="D300" s="4" t="s">
        <v>7215</v>
      </c>
      <c r="F300" s="5" t="str">
        <f>IFERROR(__xludf.DUMMYFUNCTION("GOOGLETRANSLATE(A300, ""en"", ""hi"")"),"299")</f>
        <v>299</v>
      </c>
      <c r="G300" s="5" t="str">
        <f>IFERROR(__xludf.DUMMYFUNCTION("GOOGLETRANSLATE(B300, ""en"", ""hi"")"),"19वीं शताब्दी में कौन सी भारतीय कंपनी उच्च गुणवत्ता वाले कांचे मार्बल के उत्पादन के लिए जानी जाती थी?")</f>
        <v>19वीं शताब्दी में कौन सी भारतीय कंपनी उच्च गुणवत्ता वाले कांचे मार्बल के उत्पादन के लिए जानी जाती थी?</v>
      </c>
      <c r="H300" s="5" t="str">
        <f>IFERROR(__xludf.DUMMYFUNCTION("GOOGLETRANSLATE(C300, ""en"", ""hi"")"),"A) ईस्ट इंडिया कंपनी, B) इंडियन मार्बल कंपनी, C) हिंदुस्तान मार्बल वर्क्स, D) एंग्लो-इंडियन कंपनी")</f>
        <v>A) ईस्ट इंडिया कंपनी, B) इंडियन मार्बल कंपनी, C) हिंदुस्तान मार्बल वर्क्स, D) एंग्लो-इंडियन कंपनी</v>
      </c>
      <c r="I300" s="5" t="str">
        <f>IFERROR(__xludf.DUMMYFUNCTION("GOOGLETRANSLATE(D300, ""en"", ""hi"")"),"C) हिंदुस्तान मार्बल वर्क्स")</f>
        <v>C) हिंदुस्तान मार्बल वर्क्स</v>
      </c>
    </row>
    <row r="301" ht="22.5" customHeight="1">
      <c r="A301" s="3">
        <v>300.0</v>
      </c>
      <c r="B301" s="4" t="s">
        <v>7216</v>
      </c>
      <c r="C301" s="4" t="s">
        <v>4853</v>
      </c>
      <c r="D301" s="4" t="s">
        <v>4854</v>
      </c>
      <c r="F301" s="5" t="str">
        <f>IFERROR(__xludf.DUMMYFUNCTION("GOOGLETRANSLATE(A301, ""en"", ""hi"")"),"300")</f>
        <v>300</v>
      </c>
      <c r="G301" s="5" t="str">
        <f>IFERROR(__xludf.DUMMYFUNCTION("GOOGLETRANSLATE(B301, ""en"", ""hi"")"),"दक्षिण भारत में पारंपरिक उत्सव के हिस्से के रूप में कंचे अक्सर किस त्यौहार के दौरान बजाया जाता है?")</f>
        <v>दक्षिण भारत में पारंपरिक उत्सव के हिस्से के रूप में कंचे अक्सर किस त्यौहार के दौरान बजाया जाता है?</v>
      </c>
      <c r="H301" s="5" t="str">
        <f>IFERROR(__xludf.DUMMYFUNCTION("GOOGLETRANSLATE(C301, ""en"", ""hi"")"),"ए) पोंगल, बी) दिवाली, सी) होली, डी) नवरात्रि")</f>
        <v>ए) पोंगल, बी) दिवाली, सी) होली, डी) नवरात्रि</v>
      </c>
      <c r="I301" s="5" t="str">
        <f>IFERROR(__xludf.DUMMYFUNCTION("GOOGLETRANSLATE(D301, ""en"", ""hi"")"),"ए) पोंगल")</f>
        <v>ए) पोंगल</v>
      </c>
    </row>
    <row r="302" ht="22.5" customHeight="1">
      <c r="A302" s="3">
        <v>301.0</v>
      </c>
      <c r="B302" s="4" t="s">
        <v>7217</v>
      </c>
      <c r="C302" s="4" t="s">
        <v>7218</v>
      </c>
      <c r="D302" s="4" t="s">
        <v>7219</v>
      </c>
      <c r="F302" s="5" t="str">
        <f>IFERROR(__xludf.DUMMYFUNCTION("GOOGLETRANSLATE(A302, ""en"", ""hi"")"),"301")</f>
        <v>301</v>
      </c>
      <c r="G302" s="5" t="str">
        <f>IFERROR(__xludf.DUMMYFUNCTION("GOOGLETRANSLATE(B302, ""en"", ""hi"")"),"किस ऐतिहासिक खेल को आधुनिक कंचे का पूर्ववर्ती माना जाता है?")</f>
        <v>किस ऐतिहासिक खेल को आधुनिक कंचे का पूर्ववर्ती माना जाता है?</v>
      </c>
      <c r="H302" s="5" t="str">
        <f>IFERROR(__xludf.DUMMYFUNCTION("GOOGLETRANSLATE(C302, ""en"", ""hi"")"),"ए) पचीसी, बी) चतुरंगा, सी) सेनेट, डी) गो")</f>
        <v>ए) पचीसी, बी) चतुरंगा, सी) सेनेट, डी) गो</v>
      </c>
      <c r="I302" s="5" t="str">
        <f>IFERROR(__xludf.DUMMYFUNCTION("GOOGLETRANSLATE(D302, ""en"", ""hi"")"),"C) सेनेट")</f>
        <v>C) सेनेट</v>
      </c>
    </row>
    <row r="303" ht="22.5" customHeight="1">
      <c r="A303" s="3">
        <v>302.0</v>
      </c>
      <c r="B303" s="4" t="s">
        <v>7220</v>
      </c>
      <c r="C303" s="4" t="s">
        <v>7221</v>
      </c>
      <c r="D303" s="4" t="s">
        <v>7222</v>
      </c>
      <c r="F303" s="5" t="str">
        <f>IFERROR(__xludf.DUMMYFUNCTION("GOOGLETRANSLATE(A303, ""en"", ""hi"")"),"302")</f>
        <v>302</v>
      </c>
      <c r="G303" s="5" t="str">
        <f>IFERROR(__xludf.DUMMYFUNCTION("GOOGLETRANSLATE(B303, ""en"", ""hi"")"),"किस प्रसिद्ध भारतीय नेता को बचपन में कंचे बजाने के लिए जाना जाता था?")</f>
        <v>किस प्रसिद्ध भारतीय नेता को बचपन में कंचे बजाने के लिए जाना जाता था?</v>
      </c>
      <c r="H303" s="5" t="str">
        <f>IFERROR(__xludf.DUMMYFUNCTION("GOOGLETRANSLATE(C303, ""en"", ""hi"")"),"A) महात्मा गांधी, B) जवाहरलाल नेहरू, C) सुभाष चंद्र बोस, D) भगत सिंह")</f>
        <v>A) महात्मा गांधी, B) जवाहरलाल नेहरू, C) सुभाष चंद्र बोस, D) भगत सिंह</v>
      </c>
      <c r="I303" s="5" t="str">
        <f>IFERROR(__xludf.DUMMYFUNCTION("GOOGLETRANSLATE(D303, ""en"", ""hi"")"),"A) महात्मा गांधी")</f>
        <v>A) महात्मा गांधी</v>
      </c>
    </row>
    <row r="304" ht="22.5" customHeight="1">
      <c r="A304" s="3">
        <v>303.0</v>
      </c>
      <c r="B304" s="4" t="s">
        <v>7223</v>
      </c>
      <c r="C304" s="4" t="s">
        <v>7224</v>
      </c>
      <c r="D304" s="4" t="s">
        <v>7225</v>
      </c>
      <c r="F304" s="5" t="str">
        <f>IFERROR(__xludf.DUMMYFUNCTION("GOOGLETRANSLATE(A304, ""en"", ""hi"")"),"303")</f>
        <v>303</v>
      </c>
      <c r="G304" s="5" t="str">
        <f>IFERROR(__xludf.DUMMYFUNCTION("GOOGLETRANSLATE(B304, ""en"", ""hi"")"),"भारत के किस राज्य में कांच के कंचों के स्थान पर मिट्टी का उपयोग करके पारंपरिक कंचे खेल खेला जाता है?")</f>
        <v>भारत के किस राज्य में कांच के कंचों के स्थान पर मिट्टी का उपयोग करके पारंपरिक कंचे खेल खेला जाता है?</v>
      </c>
      <c r="H304" s="5" t="str">
        <f>IFERROR(__xludf.DUMMYFUNCTION("GOOGLETRANSLATE(C304, ""en"", ""hi"")"),"A) केरल, B) पश्चिम बंगाल, C) आंध्र प्रदेश, D) कर्नाटक")</f>
        <v>A) केरल, B) पश्चिम बंगाल, C) आंध्र प्रदेश, D) कर्नाटक</v>
      </c>
      <c r="I304" s="5" t="str">
        <f>IFERROR(__xludf.DUMMYFUNCTION("GOOGLETRANSLATE(D304, ""en"", ""hi"")"),"बी) पश्चिम बंगाल")</f>
        <v>बी) पश्चिम बंगाल</v>
      </c>
    </row>
    <row r="305" ht="22.5" customHeight="1">
      <c r="A305" s="3">
        <v>304.0</v>
      </c>
      <c r="B305" s="4" t="s">
        <v>7226</v>
      </c>
      <c r="C305" s="4" t="s">
        <v>7227</v>
      </c>
      <c r="D305" s="4" t="s">
        <v>7228</v>
      </c>
      <c r="F305" s="5" t="str">
        <f>IFERROR(__xludf.DUMMYFUNCTION("GOOGLETRANSLATE(A305, ""en"", ""hi"")"),"304")</f>
        <v>304</v>
      </c>
      <c r="G305" s="5" t="str">
        <f>IFERROR(__xludf.DUMMYFUNCTION("GOOGLETRANSLATE(B305, ""en"", ""hi"")"),"किस ऐतिहासिक घटना के कारण कांची का प्रसार भारत के बाहर अन्य देशों में हुआ?")</f>
        <v>किस ऐतिहासिक घटना के कारण कांची का प्रसार भारत के बाहर अन्य देशों में हुआ?</v>
      </c>
      <c r="H305" s="5" t="str">
        <f>IFERROR(__xludf.DUMMYFUNCTION("GOOGLETRANSLATE(C305, ""en"", ""hi"")"),"A) ब्रिटिश औपनिवेशिक विस्तार, B) सिल्क रोड व्यापार, C) पुर्तगाली अन्वेषण, D) मुगल आक्रमण")</f>
        <v>A) ब्रिटिश औपनिवेशिक विस्तार, B) सिल्क रोड व्यापार, C) पुर्तगाली अन्वेषण, D) मुगल आक्रमण</v>
      </c>
      <c r="I305" s="5" t="str">
        <f>IFERROR(__xludf.DUMMYFUNCTION("GOOGLETRANSLATE(D305, ""en"", ""hi"")"),"A) ब्रिटिश औपनिवेशिक विस्तार")</f>
        <v>A) ब्रिटिश औपनिवेशिक विस्तार</v>
      </c>
    </row>
    <row r="306" ht="22.5" customHeight="1">
      <c r="A306" s="3">
        <v>305.0</v>
      </c>
      <c r="B306" s="4" t="s">
        <v>7229</v>
      </c>
      <c r="C306" s="4" t="s">
        <v>7230</v>
      </c>
      <c r="D306" s="4" t="s">
        <v>7231</v>
      </c>
      <c r="F306" s="5" t="str">
        <f>IFERROR(__xludf.DUMMYFUNCTION("GOOGLETRANSLATE(A306, ""en"", ""hi"")"),"305")</f>
        <v>305</v>
      </c>
      <c r="G306" s="5" t="str">
        <f>IFERROR(__xludf.DUMMYFUNCTION("GOOGLETRANSLATE(B306, ""en"", ""hi"")"),"ऐसा कहा जाता है कि किस प्राचीन भारतीय राजा को मनोरंजन के लिए कंचे खेलना पसंद था?")</f>
        <v>ऐसा कहा जाता है कि किस प्राचीन भारतीय राजा को मनोरंजन के लिए कंचे खेलना पसंद था?</v>
      </c>
      <c r="H306" s="5" t="str">
        <f>IFERROR(__xludf.DUMMYFUNCTION("GOOGLETRANSLATE(C306, ""en"", ""hi"")"),"A) अशोक, B) चंद्रगुप्त मौर्य, C) विक्रमादित्य, D) हर्ष")</f>
        <v>A) अशोक, B) चंद्रगुप्त मौर्य, C) विक्रमादित्य, D) हर्ष</v>
      </c>
      <c r="I306" s="5" t="str">
        <f>IFERROR(__xludf.DUMMYFUNCTION("GOOGLETRANSLATE(D306, ""en"", ""hi"")"),"C) विक्रमादित्य")</f>
        <v>C) विक्रमादित्य</v>
      </c>
    </row>
    <row r="307" ht="22.5" customHeight="1">
      <c r="A307" s="3">
        <v>306.0</v>
      </c>
      <c r="B307" s="4" t="s">
        <v>7232</v>
      </c>
      <c r="C307" s="4" t="s">
        <v>7233</v>
      </c>
      <c r="D307" s="4" t="s">
        <v>7234</v>
      </c>
      <c r="F307" s="5" t="str">
        <f>IFERROR(__xludf.DUMMYFUNCTION("GOOGLETRANSLATE(A307, ""en"", ""hi"")"),"306")</f>
        <v>306</v>
      </c>
      <c r="G307" s="5" t="str">
        <f>IFERROR(__xludf.DUMMYFUNCTION("GOOGLETRANSLATE(B307, ""en"", ""hi"")"),"पारंपरिक कंचे में, उन छोटे गड्ढों या छिद्रों का वर्णन करने के लिए क्या शब्द प्रयोग किया जाता है जहां कंचे को निशाना बनाया जाता है?")</f>
        <v>पारंपरिक कंचे में, उन छोटे गड्ढों या छिद्रों का वर्णन करने के लिए क्या शब्द प्रयोग किया जाता है जहां कंचे को निशाना बनाया जाता है?</v>
      </c>
      <c r="H307" s="5" t="str">
        <f>IFERROR(__xludf.DUMMYFUNCTION("GOOGLETRANSLATE(C307, ""en"", ""hi"")"),"A) गड्ढे, B) छेद, C) गोल, D) लक्ष्य")</f>
        <v>A) गड्ढे, B) छेद, C) गोल, D) लक्ष्य</v>
      </c>
      <c r="I307" s="5" t="str">
        <f>IFERROR(__xludf.DUMMYFUNCTION("GOOGLETRANSLATE(D307, ""en"", ""hi"")"),"बी) छेद")</f>
        <v>बी) छेद</v>
      </c>
    </row>
    <row r="308" ht="22.5" customHeight="1">
      <c r="A308" s="3">
        <v>307.0</v>
      </c>
      <c r="B308" s="4" t="s">
        <v>7235</v>
      </c>
      <c r="C308" s="4" t="s">
        <v>4360</v>
      </c>
      <c r="D308" s="4" t="s">
        <v>3731</v>
      </c>
      <c r="F308" s="5" t="str">
        <f>IFERROR(__xludf.DUMMYFUNCTION("GOOGLETRANSLATE(A308, ""en"", ""hi"")"),"307")</f>
        <v>307</v>
      </c>
      <c r="G308" s="5" t="str">
        <f>IFERROR(__xludf.DUMMYFUNCTION("GOOGLETRANSLATE(B308, ""en"", ""hi"")"),"किस क्षेत्र के पारंपरिक कंचे खेल में खेलने के लिए जमीन पर जटिल पैटर्न बनाना शामिल है?")</f>
        <v>किस क्षेत्र के पारंपरिक कंचे खेल में खेलने के लिए जमीन पर जटिल पैटर्न बनाना शामिल है?</v>
      </c>
      <c r="H308" s="5" t="str">
        <f>IFERROR(__xludf.DUMMYFUNCTION("GOOGLETRANSLATE(C308, ""en"", ""hi"")"),"A) उत्तर भारत, B) दक्षिण भारत, C) पूर्वी भारत, D) पश्चिम भारत")</f>
        <v>A) उत्तर भारत, B) दक्षिण भारत, C) पूर्वी भारत, D) पश्चिम भारत</v>
      </c>
      <c r="I308" s="5" t="str">
        <f>IFERROR(__xludf.DUMMYFUNCTION("GOOGLETRANSLATE(D308, ""en"", ""hi"")"),"बी) दक्षिण भारत")</f>
        <v>बी) दक्षिण भारत</v>
      </c>
    </row>
    <row r="309" ht="22.5" customHeight="1">
      <c r="A309" s="3">
        <v>308.0</v>
      </c>
      <c r="B309" s="4" t="s">
        <v>7236</v>
      </c>
      <c r="C309" s="4" t="s">
        <v>7237</v>
      </c>
      <c r="D309" s="4" t="s">
        <v>7238</v>
      </c>
      <c r="F309" s="5" t="str">
        <f>IFERROR(__xludf.DUMMYFUNCTION("GOOGLETRANSLATE(A309, ""en"", ""hi"")"),"308")</f>
        <v>308</v>
      </c>
      <c r="G309" s="5" t="str">
        <f>IFERROR(__xludf.DUMMYFUNCTION("GOOGLETRANSLATE(B309, ""en"", ""hi"")"),"किस प्रसिद्ध भारतीय कलाकार ने अपनी कलाकृति में कंचे खेलते बच्चों के दृश्यों को दर्शाया?")</f>
        <v>किस प्रसिद्ध भारतीय कलाकार ने अपनी कलाकृति में कंचे खेलते बच्चों के दृश्यों को दर्शाया?</v>
      </c>
      <c r="H309" s="5" t="str">
        <f>IFERROR(__xludf.DUMMYFUNCTION("GOOGLETRANSLATE(C309, ""en"", ""hi"")"),"ए) राजा रवि वर्मा, बी) अमृता शेरगिल, सी) नंदलाल बोस, डी) जामिनी रॉय")</f>
        <v>ए) राजा रवि वर्मा, बी) अमृता शेरगिल, सी) नंदलाल बोस, डी) जामिनी रॉय</v>
      </c>
      <c r="I309" s="5" t="str">
        <f>IFERROR(__xludf.DUMMYFUNCTION("GOOGLETRANSLATE(D309, ""en"", ""hi"")"),"D) जामिनी रॉय")</f>
        <v>D) जामिनी रॉय</v>
      </c>
    </row>
    <row r="310" ht="22.5" customHeight="1">
      <c r="A310" s="3">
        <v>309.0</v>
      </c>
      <c r="B310" s="4" t="s">
        <v>7239</v>
      </c>
      <c r="C310" s="4" t="s">
        <v>7240</v>
      </c>
      <c r="D310" s="4" t="s">
        <v>7241</v>
      </c>
      <c r="F310" s="5" t="str">
        <f>IFERROR(__xludf.DUMMYFUNCTION("GOOGLETRANSLATE(A310, ""en"", ""hi"")"),"309")</f>
        <v>309</v>
      </c>
      <c r="G310" s="5" t="str">
        <f>IFERROR(__xludf.DUMMYFUNCTION("GOOGLETRANSLATE(B310, ""en"", ""hi"")"),"19वीं शताब्दी के दौरान व्यापार के कारण कांचे किस ऐतिहासिक भारतीय क्षेत्र में लोकप्रिय हो गया?")</f>
        <v>19वीं शताब्दी के दौरान व्यापार के कारण कांचे किस ऐतिहासिक भारतीय क्षेत्र में लोकप्रिय हो गया?</v>
      </c>
      <c r="H310" s="5" t="str">
        <f>IFERROR(__xludf.DUMMYFUNCTION("GOOGLETRANSLATE(C310, ""en"", ""hi"")"),"ए) राजस्थान, बी) बंगाल, सी) महाराष्ट्र, डी) पंजाब")</f>
        <v>ए) राजस्थान, बी) बंगाल, सी) महाराष्ट्र, डी) पंजाब</v>
      </c>
      <c r="I310" s="5" t="str">
        <f>IFERROR(__xludf.DUMMYFUNCTION("GOOGLETRANSLATE(D310, ""en"", ""hi"")"),"बी) बंगाल")</f>
        <v>बी) बंगाल</v>
      </c>
    </row>
    <row r="311" ht="22.5" customHeight="1">
      <c r="A311" s="3">
        <v>310.0</v>
      </c>
      <c r="B311" s="4" t="s">
        <v>7242</v>
      </c>
      <c r="C311" s="4" t="s">
        <v>7243</v>
      </c>
      <c r="D311" s="4" t="s">
        <v>7244</v>
      </c>
      <c r="F311" s="5" t="str">
        <f>IFERROR(__xludf.DUMMYFUNCTION("GOOGLETRANSLATE(A311, ""en"", ""hi"")"),"310")</f>
        <v>310</v>
      </c>
      <c r="G311" s="5" t="str">
        <f>IFERROR(__xludf.DUMMYFUNCTION("GOOGLETRANSLATE(B311, ""en"", ""hi"")"),"तमिल भाषा में कांचे का पारंपरिक नाम क्या है?")</f>
        <v>तमिल भाषा में कांचे का पारंपरिक नाम क्या है?</v>
      </c>
      <c r="H311" s="5" t="str">
        <f>IFERROR(__xludf.DUMMYFUNCTION("GOOGLETRANSLATE(C311, ""en"", ""hi"")"),"ए) आसाई, बी) मार्बल्स, सी) कंचू, डी) किली")</f>
        <v>ए) आसाई, बी) मार्बल्स, सी) कंचू, डी) किली</v>
      </c>
      <c r="I311" s="5" t="str">
        <f>IFERROR(__xludf.DUMMYFUNCTION("GOOGLETRANSLATE(D311, ""en"", ""hi"")"),"C) कांचू")</f>
        <v>C) कांचू</v>
      </c>
    </row>
    <row r="312" ht="22.5" customHeight="1">
      <c r="A312" s="3">
        <v>311.0</v>
      </c>
      <c r="B312" s="4" t="s">
        <v>7245</v>
      </c>
      <c r="C312" s="4" t="s">
        <v>7246</v>
      </c>
      <c r="D312" s="4" t="s">
        <v>7247</v>
      </c>
      <c r="F312" s="5" t="str">
        <f>IFERROR(__xludf.DUMMYFUNCTION("GOOGLETRANSLATE(A312, ""en"", ""hi"")"),"311")</f>
        <v>311</v>
      </c>
      <c r="G312" s="5" t="str">
        <f>IFERROR(__xludf.DUMMYFUNCTION("GOOGLETRANSLATE(B312, ""en"", ""hi"")"),"कौन सी प्राचीन सभ्यता कंचे के समान खेल के लिए जानी जाती है?")</f>
        <v>कौन सी प्राचीन सभ्यता कंचे के समान खेल के लिए जानी जाती है?</v>
      </c>
      <c r="H312" s="5" t="str">
        <f>IFERROR(__xludf.DUMMYFUNCTION("GOOGLETRANSLATE(C312, ""en"", ""hi"")"),"A) प्राचीन मिस्र, B) प्राचीन यूनानी, C) प्राचीन रोमन, D) प्राचीन चीनी")</f>
        <v>A) प्राचीन मिस्र, B) प्राचीन यूनानी, C) प्राचीन रोमन, D) प्राचीन चीनी</v>
      </c>
      <c r="I312" s="5" t="str">
        <f>IFERROR(__xludf.DUMMYFUNCTION("GOOGLETRANSLATE(D312, ""en"", ""hi"")"),"D) प्राचीन चीनी")</f>
        <v>D) प्राचीन चीनी</v>
      </c>
    </row>
    <row r="313" ht="22.5" customHeight="1">
      <c r="A313" s="3">
        <v>312.0</v>
      </c>
      <c r="B313" s="4" t="s">
        <v>7248</v>
      </c>
      <c r="C313" s="4" t="s">
        <v>7249</v>
      </c>
      <c r="D313" s="4" t="s">
        <v>7250</v>
      </c>
      <c r="F313" s="5" t="str">
        <f>IFERROR(__xludf.DUMMYFUNCTION("GOOGLETRANSLATE(A313, ""en"", ""hi"")"),"312")</f>
        <v>312</v>
      </c>
      <c r="G313" s="5" t="str">
        <f>IFERROR(__xludf.DUMMYFUNCTION("GOOGLETRANSLATE(B313, ""en"", ""hi"")"),"20वीं सदी के आरंभ में ग्रामीण भारत में बच्चों द्वारा कंचे बजाने की सामान्य प्रथा क्या थी?")</f>
        <v>20वीं सदी के आरंभ में ग्रामीण भारत में बच्चों द्वारा कंचे बजाने की सामान्य प्रथा क्या थी?</v>
      </c>
      <c r="H313" s="5" t="str">
        <f>IFERROR(__xludf.DUMMYFUNCTION("GOOGLETRANSLATE(C313, ""en"", ""hi"")"),"A) खेतों में, B) गलियों में, C) मंदिरों में, D) स्कूलों में")</f>
        <v>A) खेतों में, B) गलियों में, C) मंदिरों में, D) स्कूलों में</v>
      </c>
      <c r="I313" s="5" t="str">
        <f>IFERROR(__xludf.DUMMYFUNCTION("GOOGLETRANSLATE(D313, ""en"", ""hi"")"),"A) खेतों में")</f>
        <v>A) खेतों में</v>
      </c>
    </row>
    <row r="314" ht="22.5" customHeight="1">
      <c r="A314" s="3">
        <v>313.0</v>
      </c>
      <c r="B314" s="4" t="s">
        <v>7251</v>
      </c>
      <c r="C314" s="4" t="s">
        <v>7252</v>
      </c>
      <c r="D314" s="4" t="s">
        <v>7253</v>
      </c>
      <c r="F314" s="5" t="str">
        <f>IFERROR(__xludf.DUMMYFUNCTION("GOOGLETRANSLATE(A314, ""en"", ""hi"")"),"313")</f>
        <v>313</v>
      </c>
      <c r="G314" s="5" t="str">
        <f>IFERROR(__xludf.DUMMYFUNCTION("GOOGLETRANSLATE(B314, ""en"", ""hi"")"),"किस पारंपरिक भारतीय प्रथा में बच्चों को अंकगणित सिखाने के लिए कंचे को एक उपकरण के रूप में उपयोग किया जाता है?")</f>
        <v>किस पारंपरिक भारतीय प्रथा में बच्चों को अंकगणित सिखाने के लिए कंचे को एक उपकरण के रूप में उपयोग किया जाता है?</v>
      </c>
      <c r="H314" s="5" t="str">
        <f>IFERROR(__xludf.DUMMYFUNCTION("GOOGLETRANSLATE(C314, ""en"", ""hi"")"),"A) अबेकस, B) गिनती के खेल, C) ज्यामिति, D) मापन")</f>
        <v>A) अबेकस, B) गिनती के खेल, C) ज्यामिति, D) मापन</v>
      </c>
      <c r="I314" s="5" t="str">
        <f>IFERROR(__xludf.DUMMYFUNCTION("GOOGLETRANSLATE(D314, ""en"", ""hi"")"),"बी) गिनती के खेल")</f>
        <v>बी) गिनती के खेल</v>
      </c>
    </row>
    <row r="315" ht="22.5" customHeight="1">
      <c r="A315" s="3">
        <v>314.0</v>
      </c>
      <c r="B315" s="4" t="s">
        <v>7254</v>
      </c>
      <c r="C315" s="4" t="s">
        <v>7255</v>
      </c>
      <c r="D315" s="4" t="s">
        <v>7256</v>
      </c>
      <c r="F315" s="5" t="str">
        <f>IFERROR(__xludf.DUMMYFUNCTION("GOOGLETRANSLATE(A315, ""en"", ""hi"")"),"314")</f>
        <v>314</v>
      </c>
      <c r="G315" s="5" t="str">
        <f>IFERROR(__xludf.DUMMYFUNCTION("GOOGLETRANSLATE(B315, ""en"", ""hi"")"),"20वीं सदी के आरंभ में शहरी क्षेत्रों में पारंपरिक कंचे वादन में गिरावट का मुख्य कारण क्या था?")</f>
        <v>20वीं सदी के आरंभ में शहरी क्षेत्रों में पारंपरिक कंचे वादन में गिरावट का मुख्य कारण क्या था?</v>
      </c>
      <c r="H315" s="5" t="str">
        <f>IFERROR(__xludf.DUMMYFUNCTION("GOOGLETRANSLATE(C315, ""en"", ""hi"")"),"A) औद्योगीकरण, B) पश्चिमी प्रभाव, C) तकनीकी प्रगति, D) शैक्षिक सुधार")</f>
        <v>A) औद्योगीकरण, B) पश्चिमी प्रभाव, C) तकनीकी प्रगति, D) शैक्षिक सुधार</v>
      </c>
      <c r="I315" s="5" t="str">
        <f>IFERROR(__xludf.DUMMYFUNCTION("GOOGLETRANSLATE(D315, ""en"", ""hi"")"),"बी) पश्चिमी प्रभाव")</f>
        <v>बी) पश्चिमी प्रभाव</v>
      </c>
    </row>
    <row r="316" ht="22.5" customHeight="1">
      <c r="A316" s="3">
        <v>315.0</v>
      </c>
      <c r="B316" s="4" t="s">
        <v>7257</v>
      </c>
      <c r="C316" s="4" t="s">
        <v>7258</v>
      </c>
      <c r="D316" s="4" t="s">
        <v>7259</v>
      </c>
      <c r="F316" s="5" t="str">
        <f>IFERROR(__xludf.DUMMYFUNCTION("GOOGLETRANSLATE(A316, ""en"", ""hi"")"),"315")</f>
        <v>315</v>
      </c>
      <c r="G316" s="5" t="str">
        <f>IFERROR(__xludf.DUMMYFUNCTION("GOOGLETRANSLATE(B316, ""en"", ""hi"")"),"किस उल्लेखनीय भारतीय लेखक ने अपने साहित्यिक कार्यों में कांचे का उल्लेख किया?")</f>
        <v>किस उल्लेखनीय भारतीय लेखक ने अपने साहित्यिक कार्यों में कांचे का उल्लेख किया?</v>
      </c>
      <c r="H316" s="5" t="str">
        <f>IFERROR(__xludf.DUMMYFUNCTION("GOOGLETRANSLATE(C316, ""en"", ""hi"")"),"A) आर. के. नारायण, B) रस्किन बॉन्ड, C) खुशवंत सिंह, D) सलमान रुश्दी")</f>
        <v>A) आर. के. नारायण, B) रस्किन बॉन्ड, C) खुशवंत सिंह, D) सलमान रुश्दी</v>
      </c>
      <c r="I316" s="5" t="str">
        <f>IFERROR(__xludf.DUMMYFUNCTION("GOOGLETRANSLATE(D316, ""en"", ""hi"")"),"A) आर. के. नारायण")</f>
        <v>A) आर. के. नारायण</v>
      </c>
    </row>
    <row r="317" ht="22.5" customHeight="1">
      <c r="A317" s="3">
        <v>316.0</v>
      </c>
      <c r="B317" s="4" t="s">
        <v>7260</v>
      </c>
      <c r="C317" s="4" t="s">
        <v>7261</v>
      </c>
      <c r="D317" s="4" t="s">
        <v>7262</v>
      </c>
      <c r="F317" s="5" t="str">
        <f>IFERROR(__xludf.DUMMYFUNCTION("GOOGLETRANSLATE(A317, ""en"", ""hi"")"),"316")</f>
        <v>316</v>
      </c>
      <c r="G317" s="5" t="str">
        <f>IFERROR(__xludf.DUMMYFUNCTION("GOOGLETRANSLATE(B317, ""en"", ""hi"")"),"20वीं सदी में किस महत्वपूर्ण ऐतिहासिक परिवर्तन ने भारत में कांचे की लोकप्रियता को प्रभावित किया?")</f>
        <v>20वीं सदी में किस महत्वपूर्ण ऐतिहासिक परिवर्तन ने भारत में कांचे की लोकप्रियता को प्रभावित किया?</v>
      </c>
      <c r="H317" s="5" t="str">
        <f>IFERROR(__xludf.DUMMYFUNCTION("GOOGLETRANSLATE(C317, ""en"", ""hi"")"),"A) स्वतंत्रता आंदोलन, B) भारत का विभाजन, C) आर्थिक उदारीकरण, D) तकनीकी क्रांति")</f>
        <v>A) स्वतंत्रता आंदोलन, B) भारत का विभाजन, C) आर्थिक उदारीकरण, D) तकनीकी क्रांति</v>
      </c>
      <c r="I317" s="5" t="str">
        <f>IFERROR(__xludf.DUMMYFUNCTION("GOOGLETRANSLATE(D317, ""en"", ""hi"")"),"बी) भारत का विभाजन")</f>
        <v>बी) भारत का विभाजन</v>
      </c>
    </row>
    <row r="318" ht="22.5" customHeight="1">
      <c r="A318" s="3">
        <v>317.0</v>
      </c>
      <c r="B318" s="4" t="s">
        <v>7263</v>
      </c>
      <c r="C318" s="4" t="s">
        <v>7264</v>
      </c>
      <c r="D318" s="4" t="s">
        <v>3918</v>
      </c>
      <c r="F318" s="5" t="str">
        <f>IFERROR(__xludf.DUMMYFUNCTION("GOOGLETRANSLATE(A318, ""en"", ""hi"")"),"317")</f>
        <v>317</v>
      </c>
      <c r="G318" s="5" t="str">
        <f>IFERROR(__xludf.DUMMYFUNCTION("GOOGLETRANSLATE(B318, ""en"", ""hi"")"),"कौन सा पारंपरिक भारतीय त्यौहार अक्सर कांचे को उत्सव के एक भाग के रूप में प्रस्तुत करता है?")</f>
        <v>कौन सा पारंपरिक भारतीय त्यौहार अक्सर कांचे को उत्सव के एक भाग के रूप में प्रस्तुत करता है?</v>
      </c>
      <c r="H318" s="5" t="str">
        <f>IFERROR(__xludf.DUMMYFUNCTION("GOOGLETRANSLATE(C318, ""en"", ""hi"")"),"ए) दिवाली, बी) मकर संक्रांति, सी) होली, डी) गणेश चतुर्थी")</f>
        <v>ए) दिवाली, बी) मकर संक्रांति, सी) होली, डी) गणेश चतुर्थी</v>
      </c>
      <c r="I318" s="5" t="str">
        <f>IFERROR(__xludf.DUMMYFUNCTION("GOOGLETRANSLATE(D318, ""en"", ""hi"")"),"बी) मकर संक्रांति")</f>
        <v>बी) मकर संक्रांति</v>
      </c>
    </row>
    <row r="319" ht="22.5" customHeight="1">
      <c r="A319" s="3">
        <v>318.0</v>
      </c>
      <c r="B319" s="4" t="s">
        <v>7265</v>
      </c>
      <c r="C319" s="4" t="s">
        <v>7266</v>
      </c>
      <c r="D319" s="4" t="s">
        <v>7267</v>
      </c>
      <c r="F319" s="5" t="str">
        <f>IFERROR(__xludf.DUMMYFUNCTION("GOOGLETRANSLATE(A319, ""en"", ""hi"")"),"318")</f>
        <v>318</v>
      </c>
      <c r="G319" s="5" t="str">
        <f>IFERROR(__xludf.DUMMYFUNCTION("GOOGLETRANSLATE(B319, ""en"", ""hi"")"),"भारतीय संस्कृति में कंचे का ऐतिहासिक महत्व क्या है?")</f>
        <v>भारतीय संस्कृति में कंचे का ऐतिहासिक महत्व क्या है?</v>
      </c>
      <c r="H319" s="5" t="str">
        <f>IFERROR(__xludf.DUMMYFUNCTION("GOOGLETRANSLATE(C319, ""en"", ""hi"")"),"A) यह बचपन का प्रतीक है, B) यह प्राचीन व्यापार का प्रतिनिधित्व करता है, C) यह एक शाही शगल है, D) यह शैक्षिक मूल्यों का प्रतीक है")</f>
        <v>A) यह बचपन का प्रतीक है, B) यह प्राचीन व्यापार का प्रतिनिधित्व करता है, C) यह एक शाही शगल है, D) यह शैक्षिक मूल्यों का प्रतीक है</v>
      </c>
      <c r="I319" s="5" t="str">
        <f>IFERROR(__xludf.DUMMYFUNCTION("GOOGLETRANSLATE(D319, ""en"", ""hi"")"),"A) यह बचपन का प्रतीक है")</f>
        <v>A) यह बचपन का प्रतीक है</v>
      </c>
    </row>
    <row r="320" ht="22.5" customHeight="1">
      <c r="A320" s="3">
        <v>319.0</v>
      </c>
      <c r="B320" s="4" t="s">
        <v>7268</v>
      </c>
      <c r="C320" s="4" t="s">
        <v>7269</v>
      </c>
      <c r="D320" s="4" t="s">
        <v>639</v>
      </c>
      <c r="F320" s="5" t="str">
        <f>IFERROR(__xludf.DUMMYFUNCTION("GOOGLETRANSLATE(A320, ""en"", ""hi"")"),"319")</f>
        <v>319</v>
      </c>
      <c r="G320" s="5" t="str">
        <f>IFERROR(__xludf.DUMMYFUNCTION("GOOGLETRANSLATE(B320, ""en"", ""hi"")"),"कौन सा भारतीय क्षेत्र अपनी पारंपरिक कंचे-वादन प्रतियोगिताओं के लिए प्रसिद्ध है?")</f>
        <v>कौन सा भारतीय क्षेत्र अपनी पारंपरिक कंचे-वादन प्रतियोगिताओं के लिए प्रसिद्ध है?</v>
      </c>
      <c r="H320" s="5" t="str">
        <f>IFERROR(__xludf.DUMMYFUNCTION("GOOGLETRANSLATE(C320, ""en"", ""hi"")"),"A) गुजरात, B) तमिलनाडु, C) आंध्र प्रदेश, D) केरल")</f>
        <v>A) गुजरात, B) तमिलनाडु, C) आंध्र प्रदेश, D) केरल</v>
      </c>
      <c r="I320" s="5" t="str">
        <f>IFERROR(__xludf.DUMMYFUNCTION("GOOGLETRANSLATE(D320, ""en"", ""hi"")"),"बी) तमिलनाडु")</f>
        <v>बी) तमिलनाडु</v>
      </c>
    </row>
    <row r="321" ht="22.5" customHeight="1">
      <c r="A321" s="3">
        <v>320.0</v>
      </c>
      <c r="B321" s="4" t="s">
        <v>7270</v>
      </c>
      <c r="C321" s="4" t="s">
        <v>7271</v>
      </c>
      <c r="D321" s="4" t="s">
        <v>7272</v>
      </c>
      <c r="F321" s="5" t="str">
        <f>IFERROR(__xludf.DUMMYFUNCTION("GOOGLETRANSLATE(A321, ""en"", ""hi"")"),"320")</f>
        <v>320</v>
      </c>
      <c r="G321" s="5" t="str">
        <f>IFERROR(__xludf.DUMMYFUNCTION("GOOGLETRANSLATE(B321, ""en"", ""hi"")"),"भारत में कंचे के विकास में ब्रिटिश उपनिवेशवादियों की क्या भूमिका थी?")</f>
        <v>भारत में कंचे के विकास में ब्रिटिश उपनिवेशवादियों की क्या भूमिका थी?</v>
      </c>
      <c r="H321" s="5" t="str">
        <f>IFERROR(__xludf.DUMMYFUNCTION("GOOGLETRANSLATE(C321, ""en"", ""hi"")"),"A) उन्होंने इसे शुरू किया, B) उन्होंने इसका व्यवसायीकरण किया, C) उन्होंने इसे प्रतिबंधित किया, D) उन्होंने इसे मानकीकृत किया")</f>
        <v>A) उन्होंने इसे शुरू किया, B) उन्होंने इसका व्यवसायीकरण किया, C) उन्होंने इसे प्रतिबंधित किया, D) उन्होंने इसे मानकीकृत किया</v>
      </c>
      <c r="I321" s="5" t="str">
        <f>IFERROR(__xludf.DUMMYFUNCTION("GOOGLETRANSLATE(D321, ""en"", ""hi"")"),"बी) उन्होंने इसका व्यवसायीकरण किया")</f>
        <v>बी) उन्होंने इसका व्यवसायीकरण किया</v>
      </c>
    </row>
    <row r="322" ht="22.5" customHeight="1">
      <c r="A322" s="3">
        <v>321.0</v>
      </c>
      <c r="B322" s="4" t="s">
        <v>7273</v>
      </c>
      <c r="C322" s="4" t="s">
        <v>7274</v>
      </c>
      <c r="D322" s="4" t="s">
        <v>7275</v>
      </c>
      <c r="F322" s="5" t="str">
        <f>IFERROR(__xludf.DUMMYFUNCTION("GOOGLETRANSLATE(A322, ""en"", ""hi"")"),"321")</f>
        <v>321</v>
      </c>
      <c r="G322" s="5" t="str">
        <f>IFERROR(__xludf.DUMMYFUNCTION("GOOGLETRANSLATE(B322, ""en"", ""hi"")"),"किस भारतीय राज्य में कांचे का एक अनूठा रूप है जहां संगमरमर स्थानीय सामग्रियों से बनाया जाता है?")</f>
        <v>किस भारतीय राज्य में कांचे का एक अनूठा रूप है जहां संगमरमर स्थानीय सामग्रियों से बनाया जाता है?</v>
      </c>
      <c r="H322" s="5" t="str">
        <f>IFERROR(__xludf.DUMMYFUNCTION("GOOGLETRANSLATE(C322, ""en"", ""hi"")"),"A) पंजाब, B) असम, C) पश्चिम बंगाल, D) बिहार")</f>
        <v>A) पंजाब, B) असम, C) पश्चिम बंगाल, D) बिहार</v>
      </c>
      <c r="I322" s="5" t="str">
        <f>IFERROR(__xludf.DUMMYFUNCTION("GOOGLETRANSLATE(D322, ""en"", ""hi"")"),"बी) असम")</f>
        <v>बी) असम</v>
      </c>
    </row>
    <row r="323" ht="22.5" customHeight="1">
      <c r="A323" s="3">
        <v>322.0</v>
      </c>
      <c r="B323" s="4" t="s">
        <v>7276</v>
      </c>
      <c r="C323" s="4" t="s">
        <v>7277</v>
      </c>
      <c r="D323" s="4" t="s">
        <v>7278</v>
      </c>
      <c r="F323" s="5" t="str">
        <f>IFERROR(__xludf.DUMMYFUNCTION("GOOGLETRANSLATE(A323, ""en"", ""hi"")"),"322")</f>
        <v>322</v>
      </c>
      <c r="G323" s="5" t="str">
        <f>IFERROR(__xludf.DUMMYFUNCTION("GOOGLETRANSLATE(B323, ""en"", ""hi"")"),"किस भारतीय विद्वान ने पारंपरिक खेलों और उनके सांस्कृतिक महत्व के संदर्भ में कंचे के बारे में लिखा?")</f>
        <v>किस भारतीय विद्वान ने पारंपरिक खेलों और उनके सांस्कृतिक महत्व के संदर्भ में कंचे के बारे में लिखा?</v>
      </c>
      <c r="H323" s="5" t="str">
        <f>IFERROR(__xludf.DUMMYFUNCTION("GOOGLETRANSLATE(C323, ""en"", ""hi"")"),"ए) सी. राजगोपालाचारी, बी) एस. राधाकृष्णन, सी) अमर्त्य सेन, डी) एम. के. गांधी")</f>
        <v>ए) सी. राजगोपालाचारी, बी) एस. राधाकृष्णन, सी) अमर्त्य सेन, डी) एम. के. गांधी</v>
      </c>
      <c r="I323" s="5" t="str">
        <f>IFERROR(__xludf.DUMMYFUNCTION("GOOGLETRANSLATE(D323, ""en"", ""hi"")"),"बी) एस. राधाकृष्णन")</f>
        <v>बी) एस. राधाकृष्णन</v>
      </c>
    </row>
    <row r="324" ht="22.5" customHeight="1">
      <c r="A324" s="3">
        <v>323.0</v>
      </c>
      <c r="B324" s="4" t="s">
        <v>7279</v>
      </c>
      <c r="C324" s="4" t="s">
        <v>7280</v>
      </c>
      <c r="D324" s="4" t="s">
        <v>5645</v>
      </c>
      <c r="F324" s="5" t="str">
        <f>IFERROR(__xludf.DUMMYFUNCTION("GOOGLETRANSLATE(A324, ""en"", ""hi"")"),"323")</f>
        <v>323</v>
      </c>
      <c r="G324" s="5" t="str">
        <f>IFERROR(__xludf.DUMMYFUNCTION("GOOGLETRANSLATE(B324, ""en"", ""hi"")"),"भारत में कंचे के पारंपरिक खेल पर वैश्वीकरण का क्या प्रभाव पड़ा?")</f>
        <v>भारत में कंचे के पारंपरिक खेल पर वैश्वीकरण का क्या प्रभाव पड़ा?</v>
      </c>
      <c r="H324" s="5" t="str">
        <f>IFERROR(__xludf.DUMMYFUNCTION("GOOGLETRANSLATE(C324, ""en"", ""hi"")"),"A) इससे इसका पतन हुआ, B) इससे इसकी लोकप्रियता बढ़ी, C) इसका कोई प्रभाव नहीं पड़ा, D) इससे नियमों में परिवर्तन हुआ")</f>
        <v>A) इससे इसका पतन हुआ, B) इससे इसकी लोकप्रियता बढ़ी, C) इसका कोई प्रभाव नहीं पड़ा, D) इससे नियमों में परिवर्तन हुआ</v>
      </c>
      <c r="I324" s="5" t="str">
        <f>IFERROR(__xludf.DUMMYFUNCTION("GOOGLETRANSLATE(D324, ""en"", ""hi"")"),"A) इससे इसका पतन हुआ")</f>
        <v>A) इससे इसका पतन हुआ</v>
      </c>
    </row>
    <row r="325" ht="22.5" customHeight="1">
      <c r="A325" s="3">
        <v>324.0</v>
      </c>
      <c r="B325" s="4" t="s">
        <v>7281</v>
      </c>
      <c r="C325" s="4" t="s">
        <v>7282</v>
      </c>
      <c r="D325" s="4" t="s">
        <v>7283</v>
      </c>
      <c r="F325" s="5" t="str">
        <f>IFERROR(__xludf.DUMMYFUNCTION("GOOGLETRANSLATE(A325, ""en"", ""hi"")"),"324")</f>
        <v>324</v>
      </c>
      <c r="G325" s="5" t="str">
        <f>IFERROR(__xludf.DUMMYFUNCTION("GOOGLETRANSLATE(B325, ""en"", ""hi"")"),"20वीं सदी की किस भारतीय बाल पत्रिका में कांचे के बारे में चित्र और कहानियाँ छपीं?")</f>
        <v>20वीं सदी की किस भारतीय बाल पत्रिका में कांचे के बारे में चित्र और कहानियाँ छपीं?</v>
      </c>
      <c r="H325" s="5" t="str">
        <f>IFERROR(__xludf.DUMMYFUNCTION("GOOGLETRANSLATE(C325, ""en"", ""hi"")"),"ए) चंदामामा, बी) टिंकल, सी) चंपक, डी) नंदन")</f>
        <v>ए) चंदामामा, बी) टिंकल, सी) चंपक, डी) नंदन</v>
      </c>
      <c r="I325" s="5" t="str">
        <f>IFERROR(__xludf.DUMMYFUNCTION("GOOGLETRANSLATE(D325, ""en"", ""hi"")"),"A) चंदामामा")</f>
        <v>A) चंदामामा</v>
      </c>
    </row>
    <row r="326" ht="22.5" customHeight="1">
      <c r="A326" s="3">
        <v>325.0</v>
      </c>
      <c r="B326" s="4" t="s">
        <v>7284</v>
      </c>
      <c r="C326" s="4" t="s">
        <v>7285</v>
      </c>
      <c r="D326" s="4" t="s">
        <v>7286</v>
      </c>
      <c r="F326" s="5" t="str">
        <f>IFERROR(__xludf.DUMMYFUNCTION("GOOGLETRANSLATE(A326, ""en"", ""hi"")"),"325")</f>
        <v>325</v>
      </c>
      <c r="G326" s="5" t="str">
        <f>IFERROR(__xludf.DUMMYFUNCTION("GOOGLETRANSLATE(B326, ""en"", ""hi"")"),"भारत के कुछ भागों में कंचे से जुड़ी पारंपरिक मान्यता क्या है?")</f>
        <v>भारत के कुछ भागों में कंचे से जुड़ी पारंपरिक मान्यता क्या है?</v>
      </c>
      <c r="H326" s="5" t="str">
        <f>IFERROR(__xludf.DUMMYFUNCTION("GOOGLETRANSLATE(C326, ""en"", ""hi"")"),"A) यह सौभाग्य लाता है, B) यह बुरी आत्माओं को दूर भगाता है, C) यह बुद्धि को बढ़ाता है, D) यह शारीरिक शक्ति को बढ़ाता है")</f>
        <v>A) यह सौभाग्य लाता है, B) यह बुरी आत्माओं को दूर भगाता है, C) यह बुद्धि को बढ़ाता है, D) यह शारीरिक शक्ति को बढ़ाता है</v>
      </c>
      <c r="I326" s="5" t="str">
        <f>IFERROR(__xludf.DUMMYFUNCTION("GOOGLETRANSLATE(D326, ""en"", ""hi"")"),"A) यह सौभाग्य लाता है")</f>
        <v>A) यह सौभाग्य लाता है</v>
      </c>
    </row>
    <row r="327" ht="22.5" customHeight="1">
      <c r="A327" s="3">
        <v>326.0</v>
      </c>
      <c r="B327" s="4" t="s">
        <v>7287</v>
      </c>
      <c r="C327" s="4" t="s">
        <v>4749</v>
      </c>
      <c r="D327" s="4" t="s">
        <v>3796</v>
      </c>
      <c r="F327" s="5" t="str">
        <f>IFERROR(__xludf.DUMMYFUNCTION("GOOGLETRANSLATE(A327, ""en"", ""hi"")"),"326")</f>
        <v>326</v>
      </c>
      <c r="G327" s="5" t="str">
        <f>IFERROR(__xludf.DUMMYFUNCTION("GOOGLETRANSLATE(B327, ""en"", ""hi"")"),"किस भारतीय त्यौहार में आमतौर पर सड़क के खेलों और समारोहों में कंचे का उपयोग किया जाता है?")</f>
        <v>किस भारतीय त्यौहार में आमतौर पर सड़क के खेलों और समारोहों में कंचे का उपयोग किया जाता है?</v>
      </c>
      <c r="H327" s="5" t="str">
        <f>IFERROR(__xludf.DUMMYFUNCTION("GOOGLETRANSLATE(C327, ""en"", ""hi"")"),"ए) दिवाली, बी) होली, सी) पोंगल, डी) ओणम")</f>
        <v>ए) दिवाली, बी) होली, सी) पोंगल, डी) ओणम</v>
      </c>
      <c r="I327" s="5" t="str">
        <f>IFERROR(__xludf.DUMMYFUNCTION("GOOGLETRANSLATE(D327, ""en"", ""hi"")"),"C) पोंगल")</f>
        <v>C) पोंगल</v>
      </c>
    </row>
    <row r="328" ht="22.5" customHeight="1">
      <c r="A328" s="3">
        <v>327.0</v>
      </c>
      <c r="B328" s="4" t="s">
        <v>7288</v>
      </c>
      <c r="C328" s="4" t="s">
        <v>7289</v>
      </c>
      <c r="D328" s="4" t="s">
        <v>7290</v>
      </c>
      <c r="F328" s="5" t="str">
        <f>IFERROR(__xludf.DUMMYFUNCTION("GOOGLETRANSLATE(A328, ""en"", ""hi"")"),"327")</f>
        <v>327</v>
      </c>
      <c r="G328" s="5" t="str">
        <f>IFERROR(__xludf.DUMMYFUNCTION("GOOGLETRANSLATE(B328, ""en"", ""hi"")"),"किस ऐतिहासिक घटना के कारण प्लास्टिक कंचे का उदय पारंपरिक कांच के कंचों के लोकप्रिय विकल्प के रूप में हुआ?")</f>
        <v>किस ऐतिहासिक घटना के कारण प्लास्टिक कंचे का उदय पारंपरिक कांच के कंचों के लोकप्रिय विकल्प के रूप में हुआ?</v>
      </c>
      <c r="H328" s="5" t="str">
        <f>IFERROR(__xludf.DUMMYFUNCTION("GOOGLETRANSLATE(C328, ""en"", ""hi"")"),"A) द्वितीय विश्व युद्ध, B) स्वतंत्रता के बाद का औद्योगीकरण, C) हरित क्रांति, D) आर्थिक उदारीकरण")</f>
        <v>A) द्वितीय विश्व युद्ध, B) स्वतंत्रता के बाद का औद्योगीकरण, C) हरित क्रांति, D) आर्थिक उदारीकरण</v>
      </c>
      <c r="I328" s="5" t="str">
        <f>IFERROR(__xludf.DUMMYFUNCTION("GOOGLETRANSLATE(D328, ""en"", ""hi"")"),"बी) स्वतंत्रता के बाद का औद्योगीकरण")</f>
        <v>बी) स्वतंत्रता के बाद का औद्योगीकरण</v>
      </c>
    </row>
    <row r="329" ht="22.5" customHeight="1">
      <c r="A329" s="3">
        <v>328.0</v>
      </c>
      <c r="B329" s="4" t="s">
        <v>7291</v>
      </c>
      <c r="C329" s="4" t="s">
        <v>7292</v>
      </c>
      <c r="D329" s="4" t="s">
        <v>7293</v>
      </c>
      <c r="F329" s="5" t="str">
        <f>IFERROR(__xludf.DUMMYFUNCTION("GOOGLETRANSLATE(A329, ""en"", ""hi"")"),"328")</f>
        <v>328</v>
      </c>
      <c r="G329" s="5" t="str">
        <f>IFERROR(__xludf.DUMMYFUNCTION("GOOGLETRANSLATE(B329, ""en"", ""hi"")"),"भारत में किस पारंपरिक कला रूप में प्रायः बच्चों को कंचे बजाते हुए दिखाया जाता है?")</f>
        <v>भारत में किस पारंपरिक कला रूप में प्रायः बच्चों को कंचे बजाते हुए दिखाया जाता है?</v>
      </c>
      <c r="H329" s="5" t="str">
        <f>IFERROR(__xludf.DUMMYFUNCTION("GOOGLETRANSLATE(C329, ""en"", ""hi"")"),"ए)मधुबनी, बी)वर्ली,सी)तंजौर,डी)पट्टचित्रा")</f>
        <v>ए)मधुबनी, बी)वर्ली,सी)तंजौर,डी)पट्टचित्रा</v>
      </c>
      <c r="I329" s="5" t="str">
        <f>IFERROR(__xludf.DUMMYFUNCTION("GOOGLETRANSLATE(D329, ""en"", ""hi"")"),"बी) वारली")</f>
        <v>बी) वारली</v>
      </c>
    </row>
    <row r="330" ht="22.5" customHeight="1">
      <c r="A330" s="3">
        <v>329.0</v>
      </c>
      <c r="B330" s="4" t="s">
        <v>7294</v>
      </c>
      <c r="C330" s="4" t="s">
        <v>7295</v>
      </c>
      <c r="D330" s="4" t="s">
        <v>7296</v>
      </c>
      <c r="F330" s="5" t="str">
        <f>IFERROR(__xludf.DUMMYFUNCTION("GOOGLETRANSLATE(A330, ""en"", ""hi"")"),"329")</f>
        <v>329</v>
      </c>
      <c r="G330" s="5" t="str">
        <f>IFERROR(__xludf.DUMMYFUNCTION("GOOGLETRANSLATE(B330, ""en"", ""hi"")"),"ग्रामीण भारतीय गांवों में सामुदायिक समारोहों के दौरान कंचे से जुड़ी पारंपरिक प्रथा क्या है?")</f>
        <v>ग्रामीण भारतीय गांवों में सामुदायिक समारोहों के दौरान कंचे से जुड़ी पारंपरिक प्रथा क्या है?</v>
      </c>
      <c r="H330" s="5" t="str">
        <f>IFERROR(__xludf.DUMMYFUNCTION("GOOGLETRANSLATE(C330, ""en"", ""hi"")"),"A) प्रतियोगिताएं, B) अनुष्ठान, C) कहानी सुनाना, D) व्यापार")</f>
        <v>A) प्रतियोगिताएं, B) अनुष्ठान, C) कहानी सुनाना, D) व्यापार</v>
      </c>
      <c r="I330" s="5" t="str">
        <f>IFERROR(__xludf.DUMMYFUNCTION("GOOGLETRANSLATE(D330, ""en"", ""hi"")"),"ए) प्रतियोगिताएं")</f>
        <v>ए) प्रतियोगिताएं</v>
      </c>
    </row>
    <row r="331" ht="22.5" customHeight="1">
      <c r="A331" s="3">
        <v>330.0</v>
      </c>
      <c r="B331" s="4" t="s">
        <v>7297</v>
      </c>
      <c r="C331" s="4" t="s">
        <v>7298</v>
      </c>
      <c r="D331" s="4" t="s">
        <v>7299</v>
      </c>
      <c r="F331" s="5" t="str">
        <f>IFERROR(__xludf.DUMMYFUNCTION("GOOGLETRANSLATE(A331, ""en"", ""hi"")"),"330")</f>
        <v>330</v>
      </c>
      <c r="G331" s="5" t="str">
        <f>IFERROR(__xludf.DUMMYFUNCTION("GOOGLETRANSLATE(B331, ""en"", ""hi"")"),"किस भारतीय फिल्म में बच्चों को कंचे खेलते हुए दिखाने वाला एक प्रसिद्ध दृश्य शामिल था?")</f>
        <v>किस भारतीय फिल्म में बच्चों को कंचे खेलते हुए दिखाने वाला एक प्रसिद्ध दृश्य शामिल था?</v>
      </c>
      <c r="H331" s="5" t="str">
        <f>IFERROR(__xludf.DUMMYFUNCTION("GOOGLETRANSLATE(C331, ""en"", ""hi"")"),"ए) लगान, बी) तारे ज़मीन पर, सी) चुपके चुपके, डी) गांधी माई फादर")</f>
        <v>ए) लगान, बी) तारे ज़मीन पर, सी) चुपके चुपके, डी) गांधी माई फादर</v>
      </c>
      <c r="I331" s="5" t="str">
        <f>IFERROR(__xludf.DUMMYFUNCTION("GOOGLETRANSLATE(D331, ""en"", ""hi"")"),"B) तारे ज़मीन पर")</f>
        <v>B) तारे ज़मीन पर</v>
      </c>
    </row>
    <row r="332" ht="22.5" customHeight="1">
      <c r="A332" s="3">
        <v>331.0</v>
      </c>
      <c r="B332" s="4" t="s">
        <v>7300</v>
      </c>
      <c r="C332" s="4" t="s">
        <v>7301</v>
      </c>
      <c r="D332" s="4" t="s">
        <v>7302</v>
      </c>
      <c r="F332" s="5" t="str">
        <f>IFERROR(__xludf.DUMMYFUNCTION("GOOGLETRANSLATE(A332, ""en"", ""hi"")"),"331")</f>
        <v>331</v>
      </c>
      <c r="G332" s="5" t="str">
        <f>IFERROR(__xludf.DUMMYFUNCTION("GOOGLETRANSLATE(B332, ""en"", ""hi"")"),"20वीं सदी के प्रारम्भ में शैक्षिक परिवेश में कंचे का प्राथमिक कार्य क्या था?")</f>
        <v>20वीं सदी के प्रारम्भ में शैक्षिक परिवेश में कंचे का प्राथमिक कार्य क्या था?</v>
      </c>
      <c r="H332" s="5" t="str">
        <f>IFERROR(__xludf.DUMMYFUNCTION("GOOGLETRANSLATE(C332, ""en"", ""hi"")"),"A) गणित सीखना, B) शारीरिक व्यायाम, C) सांस्कृतिक शिक्षा, D) कौशल विकास")</f>
        <v>A) गणित सीखना, B) शारीरिक व्यायाम, C) सांस्कृतिक शिक्षा, D) कौशल विकास</v>
      </c>
      <c r="I332" s="5" t="str">
        <f>IFERROR(__xludf.DUMMYFUNCTION("GOOGLETRANSLATE(D332, ""en"", ""hi"")"),"A) गणित सीखना")</f>
        <v>A) गणित सीखना</v>
      </c>
    </row>
    <row r="333" ht="22.5" customHeight="1">
      <c r="A333" s="3">
        <v>332.0</v>
      </c>
      <c r="B333" s="4" t="s">
        <v>7303</v>
      </c>
      <c r="C333" s="4" t="s">
        <v>7304</v>
      </c>
      <c r="D333" s="4" t="s">
        <v>7305</v>
      </c>
      <c r="F333" s="5" t="str">
        <f>IFERROR(__xludf.DUMMYFUNCTION("GOOGLETRANSLATE(A333, ""en"", ""hi"")"),"332")</f>
        <v>332</v>
      </c>
      <c r="G333" s="5" t="str">
        <f>IFERROR(__xludf.DUMMYFUNCTION("GOOGLETRANSLATE(B333, ""en"", ""hi"")"),"किस भारतीय लोककथा में प्रायः कंचे और ग्रामीण जीवन में उसकी भूमिका के बारे में कहानियाँ शामिल होती हैं?")</f>
        <v>किस भारतीय लोककथा में प्रायः कंचे और ग्रामीण जीवन में उसकी भूमिका के बारे में कहानियाँ शामिल होती हैं?</v>
      </c>
      <c r="H333" s="5" t="str">
        <f>IFERROR(__xludf.DUMMYFUNCTION("GOOGLETRANSLATE(C333, ""en"", ""hi"")"),"A) तमिल लोककथा, B) बंगाली लोककथा, C) पंजाबी लोककथा, D) मराठी लोककथा")</f>
        <v>A) तमिल लोककथा, B) बंगाली लोककथा, C) पंजाबी लोककथा, D) मराठी लोककथा</v>
      </c>
      <c r="I333" s="5" t="str">
        <f>IFERROR(__xludf.DUMMYFUNCTION("GOOGLETRANSLATE(D333, ""en"", ""hi"")"),"बी) बंगाली लोककथा")</f>
        <v>बी) बंगाली लोककथा</v>
      </c>
    </row>
    <row r="334" ht="22.5" customHeight="1">
      <c r="A334" s="3">
        <v>333.0</v>
      </c>
      <c r="B334" s="4" t="s">
        <v>7306</v>
      </c>
      <c r="C334" s="4" t="s">
        <v>7307</v>
      </c>
      <c r="D334" s="4" t="s">
        <v>7308</v>
      </c>
      <c r="F334" s="5" t="str">
        <f>IFERROR(__xludf.DUMMYFUNCTION("GOOGLETRANSLATE(A334, ""en"", ""hi"")"),"333")</f>
        <v>333</v>
      </c>
      <c r="G334" s="5" t="str">
        <f>IFERROR(__xludf.DUMMYFUNCTION("GOOGLETRANSLATE(B334, ""en"", ""hi"")"),"पारंपरिक भारतीय पारिवारिक समारोहों में कंचे का क्या महत्व है?")</f>
        <v>पारंपरिक भारतीय पारिवारिक समारोहों में कंचे का क्या महत्व है?</v>
      </c>
      <c r="H334" s="5" t="str">
        <f>IFERROR(__xludf.DUMMYFUNCTION("GOOGLETRANSLATE(C334, ""en"", ""hi"")"),"A) यह एकता का प्रतिनिधित्व करता है, B) यह मनोरंजन के रूप में कार्य करता है, C) इसका उपयोग सट्टेबाजी के लिए किया जाता है, D) यह प्रतिस्पर्धा का प्रतीक है")</f>
        <v>A) यह एकता का प्रतिनिधित्व करता है, B) यह मनोरंजन के रूप में कार्य करता है, C) इसका उपयोग सट्टेबाजी के लिए किया जाता है, D) यह प्रतिस्पर्धा का प्रतीक है</v>
      </c>
      <c r="I334" s="5" t="str">
        <f>IFERROR(__xludf.DUMMYFUNCTION("GOOGLETRANSLATE(D334, ""en"", ""hi"")"),"B) यह मनोरंजन का काम करता है")</f>
        <v>B) यह मनोरंजन का काम करता है</v>
      </c>
    </row>
    <row r="335" ht="22.5" customHeight="1">
      <c r="A335" s="3">
        <v>334.0</v>
      </c>
      <c r="B335" s="4" t="s">
        <v>7309</v>
      </c>
      <c r="C335" s="4" t="s">
        <v>7310</v>
      </c>
      <c r="D335" s="4" t="s">
        <v>7311</v>
      </c>
      <c r="F335" s="5" t="str">
        <f>IFERROR(__xludf.DUMMYFUNCTION("GOOGLETRANSLATE(A335, ""en"", ""hi"")"),"334")</f>
        <v>334</v>
      </c>
      <c r="G335" s="5" t="str">
        <f>IFERROR(__xludf.DUMMYFUNCTION("GOOGLETRANSLATE(B335, ""en"", ""hi"")"),"किस पारंपरिक भारतीय त्यौहार में कंचे बजाने के लिए जमीन पर जटिल पैटर्न बनाना शामिल था?")</f>
        <v>किस पारंपरिक भारतीय त्यौहार में कंचे बजाने के लिए जमीन पर जटिल पैटर्न बनाना शामिल था?</v>
      </c>
      <c r="H335" s="5" t="str">
        <f>IFERROR(__xludf.DUMMYFUNCTION("GOOGLETRANSLATE(C335, ""en"", ""hi"")"),"ए) मकर संक्रांति, बी) दिवाली, सी) बैसाखी, डी) लोहड़ी")</f>
        <v>ए) मकर संक्रांति, बी) दिवाली, सी) बैसाखी, डी) लोहड़ी</v>
      </c>
      <c r="I335" s="5" t="str">
        <f>IFERROR(__xludf.DUMMYFUNCTION("GOOGLETRANSLATE(D335, ""en"", ""hi"")"),"A) मकर संक्रांति")</f>
        <v>A) मकर संक्रांति</v>
      </c>
    </row>
    <row r="336" ht="22.5" customHeight="1">
      <c r="A336" s="3">
        <v>335.0</v>
      </c>
      <c r="B336" s="4" t="s">
        <v>7312</v>
      </c>
      <c r="C336" s="4" t="s">
        <v>4360</v>
      </c>
      <c r="D336" s="4" t="s">
        <v>3731</v>
      </c>
      <c r="F336" s="5" t="str">
        <f>IFERROR(__xludf.DUMMYFUNCTION("GOOGLETRANSLATE(A336, ""en"", ""hi"")"),"335")</f>
        <v>335</v>
      </c>
      <c r="G336" s="5" t="str">
        <f>IFERROR(__xludf.DUMMYFUNCTION("GOOGLETRANSLATE(B336, ""en"", ""hi"")"),"भारत के किस क्षेत्र में कंचे को बच्चों के हाथ-आँख समन्वय को सुधारने के लिए एक पारंपरिक खेल के रूप में इस्तेमाल किया जाता था?")</f>
        <v>भारत के किस क्षेत्र में कंचे को बच्चों के हाथ-आँख समन्वय को सुधारने के लिए एक पारंपरिक खेल के रूप में इस्तेमाल किया जाता था?</v>
      </c>
      <c r="H336" s="5" t="str">
        <f>IFERROR(__xludf.DUMMYFUNCTION("GOOGLETRANSLATE(C336, ""en"", ""hi"")"),"A) उत्तर भारत, B) दक्षिण भारत, C) पूर्वी भारत, D) पश्चिम भारत")</f>
        <v>A) उत्तर भारत, B) दक्षिण भारत, C) पूर्वी भारत, D) पश्चिम भारत</v>
      </c>
      <c r="I336" s="5" t="str">
        <f>IFERROR(__xludf.DUMMYFUNCTION("GOOGLETRANSLATE(D336, ""en"", ""hi"")"),"बी) दक्षिण भारत")</f>
        <v>बी) दक्षिण भारत</v>
      </c>
    </row>
    <row r="337" ht="22.5" customHeight="1">
      <c r="A337" s="3">
        <v>336.0</v>
      </c>
      <c r="B337" s="4" t="s">
        <v>7313</v>
      </c>
      <c r="C337" s="4" t="s">
        <v>7314</v>
      </c>
      <c r="D337" s="4" t="s">
        <v>7315</v>
      </c>
      <c r="F337" s="5" t="str">
        <f>IFERROR(__xludf.DUMMYFUNCTION("GOOGLETRANSLATE(A337, ""en"", ""hi"")"),"336")</f>
        <v>336</v>
      </c>
      <c r="G337" s="5" t="str">
        <f>IFERROR(__xludf.DUMMYFUNCTION("GOOGLETRANSLATE(B337, ""en"", ""hi"")"),"किस ऐतिहासिक दस्तावेज में सर्वप्रथम कांचे के नियमों और विविधताओं का वर्णन किया गया?")</f>
        <v>किस ऐतिहासिक दस्तावेज में सर्वप्रथम कांचे के नियमों और विविधताओं का वर्णन किया गया?</v>
      </c>
      <c r="H337" s="5" t="str">
        <f>IFERROR(__xludf.DUMMYFUNCTION("GOOGLETRANSLATE(C337, ""en"", ""hi"")"),"ए) मनुस्मृति, बी) अर्थशास्त्र, सी) कामसूत्र, डी) बृहत् संहिता")</f>
        <v>ए) मनुस्मृति, बी) अर्थशास्त्र, सी) कामसूत्र, डी) बृहत् संहिता</v>
      </c>
      <c r="I337" s="5" t="str">
        <f>IFERROR(__xludf.DUMMYFUNCTION("GOOGLETRANSLATE(D337, ""en"", ""hi"")"),"D) बृहत् संहिता")</f>
        <v>D) बृहत् संहिता</v>
      </c>
    </row>
    <row r="338" ht="22.5" customHeight="1">
      <c r="A338" s="3">
        <v>337.0</v>
      </c>
      <c r="B338" s="4" t="s">
        <v>7316</v>
      </c>
      <c r="C338" s="4" t="s">
        <v>7317</v>
      </c>
      <c r="D338" s="4" t="s">
        <v>7318</v>
      </c>
      <c r="F338" s="5" t="str">
        <f>IFERROR(__xludf.DUMMYFUNCTION("GOOGLETRANSLATE(A338, ""en"", ""hi"")"),"337")</f>
        <v>337</v>
      </c>
      <c r="G338" s="5" t="str">
        <f>IFERROR(__xludf.DUMMYFUNCTION("GOOGLETRANSLATE(B338, ""en"", ""hi"")"),"किस प्रसिद्ध भारतीय इतिहासकार ने कांची के सांस्कृतिक महत्व के बारे में लिखा है?")</f>
        <v>किस प्रसिद्ध भारतीय इतिहासकार ने कांची के सांस्कृतिक महत्व के बारे में लिखा है?</v>
      </c>
      <c r="H338" s="5" t="str">
        <f>IFERROR(__xludf.DUMMYFUNCTION("GOOGLETRANSLATE(C338, ""en"", ""hi"")"),"ए) रोमिला थापर, बी) इरफान हबीब, सी) के.एन. पणिक्कर, डी) आर.सी. मजूमदार")</f>
        <v>ए) रोमिला थापर, बी) इरफान हबीब, सी) के.एन. पणिक्कर, डी) आर.सी. मजूमदार</v>
      </c>
      <c r="I338" s="5" t="str">
        <f>IFERROR(__xludf.DUMMYFUNCTION("GOOGLETRANSLATE(D338, ""en"", ""hi"")"),"D) आर. सी. मजूमदार")</f>
        <v>D) आर. सी. मजूमदार</v>
      </c>
    </row>
    <row r="339" ht="22.5" customHeight="1">
      <c r="A339" s="3">
        <v>338.0</v>
      </c>
      <c r="B339" s="4" t="s">
        <v>7319</v>
      </c>
      <c r="C339" s="4" t="s">
        <v>7320</v>
      </c>
      <c r="D339" s="4" t="s">
        <v>7321</v>
      </c>
      <c r="F339" s="5" t="str">
        <f>IFERROR(__xludf.DUMMYFUNCTION("GOOGLETRANSLATE(A339, ""en"", ""hi"")"),"338")</f>
        <v>338</v>
      </c>
      <c r="G339" s="5" t="str">
        <f>IFERROR(__xludf.DUMMYFUNCTION("GOOGLETRANSLATE(B339, ""en"", ""hi"")"),"किस भारतीय परंपरा में कांचे को कौशल और परिशुद्धता के रूपक के रूप में प्रयोग किया जाता है?")</f>
        <v>किस भारतीय परंपरा में कांचे को कौशल और परिशुद्धता के रूपक के रूप में प्रयोग किया जाता है?</v>
      </c>
      <c r="H339" s="5" t="str">
        <f>IFERROR(__xludf.DUMMYFUNCTION("GOOGLETRANSLATE(C339, ""en"", ""hi"")"),"A) पारंपरिक खेल, B) लोक कला, C) शिल्प कौशल, D) आध्यात्मिक अभ्यास")</f>
        <v>A) पारंपरिक खेल, B) लोक कला, C) शिल्प कौशल, D) आध्यात्मिक अभ्यास</v>
      </c>
      <c r="I339" s="5" t="str">
        <f>IFERROR(__xludf.DUMMYFUNCTION("GOOGLETRANSLATE(D339, ""en"", ""hi"")"),"ए) पारंपरिक खेल")</f>
        <v>ए) पारंपरिक खेल</v>
      </c>
    </row>
    <row r="340" ht="22.5" customHeight="1">
      <c r="A340" s="3">
        <v>339.0</v>
      </c>
      <c r="B340" s="4" t="s">
        <v>7322</v>
      </c>
      <c r="C340" s="4" t="s">
        <v>7323</v>
      </c>
      <c r="D340" s="4" t="s">
        <v>7324</v>
      </c>
      <c r="F340" s="5" t="str">
        <f>IFERROR(__xludf.DUMMYFUNCTION("GOOGLETRANSLATE(A340, ""en"", ""hi"")"),"339")</f>
        <v>339</v>
      </c>
      <c r="G340" s="5" t="str">
        <f>IFERROR(__xludf.DUMMYFUNCTION("GOOGLETRANSLATE(B340, ""en"", ""hi"")"),"ग्रामीण भारत में सामाजिक मूल्यों और टीमवर्क को सिखाने में कांचे की ऐतिहासिक भूमिका क्या है?")</f>
        <v>ग्रामीण भारत में सामाजिक मूल्यों और टीमवर्क को सिखाने में कांचे की ऐतिहासिक भूमिका क्या है?</v>
      </c>
      <c r="H340" s="5" t="str">
        <f>IFERROR(__xludf.DUMMYFUNCTION("GOOGLETRANSLATE(C340, ""en"", ""hi"")"),"A) यह सहयोग को प्रोत्साहित करता है, B) यह प्रतिस्पर्धा सिखाता है, C) यह अनुशासन को बढ़ावा देता है, D) यह निष्पक्षता को बढ़ावा देता है")</f>
        <v>A) यह सहयोग को प्रोत्साहित करता है, B) यह प्रतिस्पर्धा सिखाता है, C) यह अनुशासन को बढ़ावा देता है, D) यह निष्पक्षता को बढ़ावा देता है</v>
      </c>
      <c r="I340" s="5" t="str">
        <f>IFERROR(__xludf.DUMMYFUNCTION("GOOGLETRANSLATE(D340, ""en"", ""hi"")"),"A) यह सहयोग को प्रोत्साहित करता है")</f>
        <v>A) यह सहयोग को प्रोत्साहित करता है</v>
      </c>
    </row>
    <row r="341" ht="22.5" customHeight="1">
      <c r="A341" s="3">
        <v>340.0</v>
      </c>
      <c r="B341" s="4" t="s">
        <v>7325</v>
      </c>
      <c r="C341" s="4" t="s">
        <v>7326</v>
      </c>
      <c r="D341" s="4" t="s">
        <v>5631</v>
      </c>
      <c r="F341" s="5" t="str">
        <f>IFERROR(__xludf.DUMMYFUNCTION("GOOGLETRANSLATE(A341, ""en"", ""hi"")"),"340")</f>
        <v>340</v>
      </c>
      <c r="G341" s="5" t="str">
        <f>IFERROR(__xludf.DUMMYFUNCTION("GOOGLETRANSLATE(B341, ""en"", ""hi"")"),"किस भारतीय राज्य में कंचे प्रतियोगिताओं को समर्पित एक विशिष्ट उत्सव है?")</f>
        <v>किस भारतीय राज्य में कंचे प्रतियोगिताओं को समर्पित एक विशिष्ट उत्सव है?</v>
      </c>
      <c r="H341" s="5" t="str">
        <f>IFERROR(__xludf.DUMMYFUNCTION("GOOGLETRANSLATE(C341, ""en"", ""hi"")"),"ए) महाराष्ट्र, बी) कर्नाटक, सी) तमिलनाडु, डी) गुजरात")</f>
        <v>ए) महाराष्ट्र, बी) कर्नाटक, सी) तमिलनाडु, डी) गुजरात</v>
      </c>
      <c r="I341" s="5" t="str">
        <f>IFERROR(__xludf.DUMMYFUNCTION("GOOGLETRANSLATE(D341, ""en"", ""hi"")"),"C) तमिलनाडु")</f>
        <v>C) तमिलनाडु</v>
      </c>
    </row>
    <row r="342" ht="22.5" customHeight="1">
      <c r="A342" s="3">
        <v>341.0</v>
      </c>
      <c r="B342" s="4" t="s">
        <v>7327</v>
      </c>
      <c r="C342" s="4" t="s">
        <v>7328</v>
      </c>
      <c r="D342" s="4" t="s">
        <v>4229</v>
      </c>
      <c r="F342" s="5" t="str">
        <f>IFERROR(__xludf.DUMMYFUNCTION("GOOGLETRANSLATE(A342, ""en"", ""hi"")"),"341")</f>
        <v>341</v>
      </c>
      <c r="G342" s="5" t="str">
        <f>IFERROR(__xludf.DUMMYFUNCTION("GOOGLETRANSLATE(B342, ""en"", ""hi"")"),"कौन सा पारंपरिक भारतीय खेल कंचे से काफी मिलता जुलता है और अक्सर इसके साथ खेला जाता है?")</f>
        <v>कौन सा पारंपरिक भारतीय खेल कंचे से काफी मिलता जुलता है और अक्सर इसके साथ खेला जाता है?</v>
      </c>
      <c r="H342" s="5" t="str">
        <f>IFERROR(__xludf.DUMMYFUNCTION("GOOGLETRANSLATE(C342, ""en"", ""hi"")"),"ए) गिल्ली डंडा, बी) पिट्टू, सी) लागोरी, डी) सातोलिया")</f>
        <v>ए) गिल्ली डंडा, बी) पिट्टू, सी) लागोरी, डी) सातोलिया</v>
      </c>
      <c r="I342" s="5" t="str">
        <f>IFERROR(__xludf.DUMMYFUNCTION("GOOGLETRANSLATE(D342, ""en"", ""hi"")"),"बी) पिट्टू")</f>
        <v>बी) पिट्टू</v>
      </c>
    </row>
    <row r="343" ht="22.5" customHeight="1">
      <c r="A343" s="3">
        <v>342.0</v>
      </c>
      <c r="B343" s="4" t="s">
        <v>7329</v>
      </c>
      <c r="C343" s="4" t="s">
        <v>7330</v>
      </c>
      <c r="D343" s="4" t="s">
        <v>7331</v>
      </c>
      <c r="F343" s="5" t="str">
        <f>IFERROR(__xludf.DUMMYFUNCTION("GOOGLETRANSLATE(A343, ""en"", ""hi"")"),"342")</f>
        <v>342</v>
      </c>
      <c r="G343" s="5" t="str">
        <f>IFERROR(__xludf.DUMMYFUNCTION("GOOGLETRANSLATE(B343, ""en"", ""hi"")"),"किस भारतीय नेता को सांस्कृतिक संरक्षण के हिस्से के रूप में कंचे जैसे पारंपरिक खेलों को बढ़ावा देने के लिए जाना जाता था?")</f>
        <v>किस भारतीय नेता को सांस्कृतिक संरक्षण के हिस्से के रूप में कंचे जैसे पारंपरिक खेलों को बढ़ावा देने के लिए जाना जाता था?</v>
      </c>
      <c r="H343" s="5" t="str">
        <f>IFERROR(__xludf.DUMMYFUNCTION("GOOGLETRANSLATE(C343, ""en"", ""hi"")"),"A) जवाहरलाल नेहरू, B) सरदार पटेल, C) राजेंद्र प्रसाद, D) बी. आर. अंबेडकर")</f>
        <v>A) जवाहरलाल नेहरू, B) सरदार पटेल, C) राजेंद्र प्रसाद, D) बी. आर. अंबेडकर</v>
      </c>
      <c r="I343" s="5" t="str">
        <f>IFERROR(__xludf.DUMMYFUNCTION("GOOGLETRANSLATE(D343, ""en"", ""hi"")"),"A) जवाहरलाल नेहरू")</f>
        <v>A) जवाहरलाल नेहरू</v>
      </c>
    </row>
    <row r="344" ht="22.5" customHeight="1">
      <c r="A344" s="3">
        <v>343.0</v>
      </c>
      <c r="B344" s="4" t="s">
        <v>7332</v>
      </c>
      <c r="C344" s="4" t="s">
        <v>7333</v>
      </c>
      <c r="D344" s="4" t="s">
        <v>7334</v>
      </c>
      <c r="F344" s="5" t="str">
        <f>IFERROR(__xludf.DUMMYFUNCTION("GOOGLETRANSLATE(A344, ""en"", ""hi"")"),"343")</f>
        <v>343</v>
      </c>
      <c r="G344" s="5" t="str">
        <f>IFERROR(__xludf.DUMMYFUNCTION("GOOGLETRANSLATE(B344, ""en"", ""hi"")"),"20वीं सदी में किस ऐतिहासिक परिवर्तन के कारण शहरी क्षेत्रों में पारंपरिक कंचे खेलों का पतन हुआ?")</f>
        <v>20वीं सदी में किस ऐतिहासिक परिवर्तन के कारण शहरी क्षेत्रों में पारंपरिक कंचे खेलों का पतन हुआ?</v>
      </c>
      <c r="H344" s="5" t="str">
        <f>IFERROR(__xludf.DUMMYFUNCTION("GOOGLETRANSLATE(C344, ""en"", ""hi"")"),"A) बढ़ता औद्योगीकरण, B) साक्षरता दर में वृद्धि, C) शहरी प्रवास, D) तकनीकी उन्नति")</f>
        <v>A) बढ़ता औद्योगीकरण, B) साक्षरता दर में वृद्धि, C) शहरी प्रवास, D) तकनीकी उन्नति</v>
      </c>
      <c r="I344" s="5" t="str">
        <f>IFERROR(__xludf.DUMMYFUNCTION("GOOGLETRANSLATE(D344, ""en"", ""hi"")"),"A) बढ़ता औद्योगीकरण")</f>
        <v>A) बढ़ता औद्योगीकरण</v>
      </c>
    </row>
    <row r="345" ht="22.5" customHeight="1">
      <c r="A345" s="3">
        <v>344.0</v>
      </c>
      <c r="B345" s="4" t="s">
        <v>7335</v>
      </c>
      <c r="C345" s="4" t="s">
        <v>7336</v>
      </c>
      <c r="D345" s="4" t="s">
        <v>7337</v>
      </c>
      <c r="F345" s="5" t="str">
        <f>IFERROR(__xludf.DUMMYFUNCTION("GOOGLETRANSLATE(A345, ""en"", ""hi"")"),"344")</f>
        <v>344</v>
      </c>
      <c r="G345" s="5" t="str">
        <f>IFERROR(__xludf.DUMMYFUNCTION("GOOGLETRANSLATE(B345, ""en"", ""hi"")"),"कौन सा भारतीय कला रूप कंचे सहित पारंपरिक खेलों के चित्रण के लिए जाना जाता है?")</f>
        <v>कौन सा भारतीय कला रूप कंचे सहित पारंपरिक खेलों के चित्रण के लिए जाना जाता है?</v>
      </c>
      <c r="H345" s="5" t="str">
        <f>IFERROR(__xludf.DUMMYFUNCTION("GOOGLETRANSLATE(C345, ""en"", ""hi"")"),"ए) तंजौर पेंटिंग, बी) मधुबनी कला, सी) गोंड कला, डी) पट्टचित्रा")</f>
        <v>ए) तंजौर पेंटिंग, बी) मधुबनी कला, सी) गोंड कला, डी) पट्टचित्रा</v>
      </c>
      <c r="I345" s="5" t="str">
        <f>IFERROR(__xludf.DUMMYFUNCTION("GOOGLETRANSLATE(D345, ""en"", ""hi"")"),"बी) मधुबनी कला")</f>
        <v>बी) मधुबनी कला</v>
      </c>
    </row>
    <row r="346" ht="22.5" customHeight="1">
      <c r="A346" s="3">
        <v>345.0</v>
      </c>
      <c r="B346" s="4" t="s">
        <v>7338</v>
      </c>
      <c r="C346" s="4" t="s">
        <v>7339</v>
      </c>
      <c r="D346" s="4" t="s">
        <v>7340</v>
      </c>
      <c r="F346" s="5" t="str">
        <f>IFERROR(__xludf.DUMMYFUNCTION("GOOGLETRANSLATE(A346, ""en"", ""hi"")"),"345")</f>
        <v>345</v>
      </c>
      <c r="G346" s="5" t="str">
        <f>IFERROR(__xludf.DUMMYFUNCTION("GOOGLETRANSLATE(B346, ""en"", ""hi"")"),"किस भारतीय शैक्षणिक पद्धति में कंचे का उपयोग गणित और तर्क सिखाने के लिए एक उपकरण के रूप में किया गया?")</f>
        <v>किस भारतीय शैक्षणिक पद्धति में कंचे का उपयोग गणित और तर्क सिखाने के लिए एक उपकरण के रूप में किया गया?</v>
      </c>
      <c r="H346" s="5" t="str">
        <f>IFERROR(__xludf.DUMMYFUNCTION("GOOGLETRANSLATE(C346, ""en"", ""hi"")"),"ए) मोंटेसरी पद्धति, बी) गुरुकुल प्रणाली, सी) मदरसा शिक्षा, डी) वैदिक शिक्षा")</f>
        <v>ए) मोंटेसरी पद्धति, बी) गुरुकुल प्रणाली, सी) मदरसा शिक्षा, डी) वैदिक शिक्षा</v>
      </c>
      <c r="I346" s="5" t="str">
        <f>IFERROR(__xludf.DUMMYFUNCTION("GOOGLETRANSLATE(D346, ""en"", ""hi"")"),"बी) गुरुकुल प्रणाली")</f>
        <v>बी) गुरुकुल प्रणाली</v>
      </c>
    </row>
    <row r="347" ht="22.5" customHeight="1">
      <c r="A347" s="3">
        <v>346.0</v>
      </c>
      <c r="B347" s="4" t="s">
        <v>7341</v>
      </c>
      <c r="C347" s="4" t="s">
        <v>7342</v>
      </c>
      <c r="D347" s="4" t="s">
        <v>3791</v>
      </c>
      <c r="F347" s="5" t="str">
        <f>IFERROR(__xludf.DUMMYFUNCTION("GOOGLETRANSLATE(A347, ""en"", ""hi"")"),"346")</f>
        <v>346</v>
      </c>
      <c r="G347" s="5" t="str">
        <f>IFERROR(__xludf.DUMMYFUNCTION("GOOGLETRANSLATE(B347, ""en"", ""hi"")"),"20वीं सदी के आरंभ में भारतीय स्कूली बच्चों के बीच कंचे को लोकप्रिय बनाने का श्रेय किस ऐतिहासिक व्यक्ति को दिया जाता है?")</f>
        <v>20वीं सदी के आरंभ में भारतीय स्कूली बच्चों के बीच कंचे को लोकप्रिय बनाने का श्रेय किस ऐतिहासिक व्यक्ति को दिया जाता है?</v>
      </c>
      <c r="H347" s="5" t="str">
        <f>IFERROR(__xludf.DUMMYFUNCTION("GOOGLETRANSLATE(C347, ""en"", ""hi"")"),"A) रवींद्रनाथ टैगोर, B) महात्मा गांधी, C) जवाहरलाल नेहरू, D) सुभाष चंद्र बोस")</f>
        <v>A) रवींद्रनाथ टैगोर, B) महात्मा गांधी, C) जवाहरलाल नेहरू, D) सुभाष चंद्र बोस</v>
      </c>
      <c r="I347" s="5" t="str">
        <f>IFERROR(__xludf.DUMMYFUNCTION("GOOGLETRANSLATE(D347, ""en"", ""hi"")"),"बी) महात्मा गांधी")</f>
        <v>बी) महात्मा गांधी</v>
      </c>
    </row>
    <row r="348" ht="22.5" customHeight="1">
      <c r="A348" s="3">
        <v>347.0</v>
      </c>
      <c r="B348" s="4" t="s">
        <v>7343</v>
      </c>
      <c r="C348" s="4" t="s">
        <v>7344</v>
      </c>
      <c r="D348" s="4" t="s">
        <v>7345</v>
      </c>
      <c r="F348" s="5" t="str">
        <f>IFERROR(__xludf.DUMMYFUNCTION("GOOGLETRANSLATE(A348, ""en"", ""hi"")"),"347")</f>
        <v>347</v>
      </c>
      <c r="G348" s="5" t="str">
        <f>IFERROR(__xludf.DUMMYFUNCTION("GOOGLETRANSLATE(B348, ""en"", ""hi"")"),"कौन सा पारंपरिक कांचे प्रकार भारत के तटीय क्षेत्रों से जुड़ा हुआ है?")</f>
        <v>कौन सा पारंपरिक कांचे प्रकार भारत के तटीय क्षेत्रों से जुड़ा हुआ है?</v>
      </c>
      <c r="H348" s="5" t="str">
        <f>IFERROR(__xludf.DUMMYFUNCTION("GOOGLETRANSLATE(C348, ""en"", ""hi"")"),"A) मिट्टी के मार्बल, B) शैल मार्बल, C) धातु के मार्बल, D) लकड़ी के मार्बल")</f>
        <v>A) मिट्टी के मार्बल, B) शैल मार्बल, C) धातु के मार्बल, D) लकड़ी के मार्बल</v>
      </c>
      <c r="I348" s="5" t="str">
        <f>IFERROR(__xludf.DUMMYFUNCTION("GOOGLETRANSLATE(D348, ""en"", ""hi"")"),"बी) शैल मार्बल्स")</f>
        <v>बी) शैल मार्बल्स</v>
      </c>
    </row>
    <row r="349" ht="22.5" customHeight="1">
      <c r="A349" s="3">
        <v>348.0</v>
      </c>
      <c r="B349" s="4" t="s">
        <v>7346</v>
      </c>
      <c r="C349" s="4" t="s">
        <v>7347</v>
      </c>
      <c r="D349" s="4" t="s">
        <v>7348</v>
      </c>
      <c r="F349" s="5" t="str">
        <f>IFERROR(__xludf.DUMMYFUNCTION("GOOGLETRANSLATE(A349, ""en"", ""hi"")"),"348")</f>
        <v>348</v>
      </c>
      <c r="G349" s="5" t="str">
        <f>IFERROR(__xludf.DUMMYFUNCTION("GOOGLETRANSLATE(B349, ""en"", ""hi"")"),"भारत में औपनिवेशिक काल के दौरान सामाजिक समारोहों में कांचे की क्या भूमिका थी?")</f>
        <v>भारत में औपनिवेशिक काल के दौरान सामाजिक समारोहों में कांचे की क्या भूमिका थी?</v>
      </c>
      <c r="H349" s="5" t="str">
        <f>IFERROR(__xludf.DUMMYFUNCTION("GOOGLETRANSLATE(C349, ""en"", ""hi"")"),"A) यह समाजीकरण का एक रूप था, B) यह एक प्रतिस्पर्धी खेल था, C) यह एक जुआ गतिविधि थी, D) यह एक धार्मिक अनुष्ठान था")</f>
        <v>A) यह समाजीकरण का एक रूप था, B) यह एक प्रतिस्पर्धी खेल था, C) यह एक जुआ गतिविधि थी, D) यह एक धार्मिक अनुष्ठान था</v>
      </c>
      <c r="I349" s="5" t="str">
        <f>IFERROR(__xludf.DUMMYFUNCTION("GOOGLETRANSLATE(D349, ""en"", ""hi"")"),"A) यह समाजीकरण का एक रूप था")</f>
        <v>A) यह समाजीकरण का एक रूप था</v>
      </c>
    </row>
    <row r="350" ht="22.5" customHeight="1">
      <c r="A350" s="3">
        <v>349.0</v>
      </c>
      <c r="B350" s="4" t="s">
        <v>7349</v>
      </c>
      <c r="C350" s="4" t="s">
        <v>7350</v>
      </c>
      <c r="D350" s="4" t="s">
        <v>49</v>
      </c>
      <c r="F350" s="5" t="str">
        <f>IFERROR(__xludf.DUMMYFUNCTION("GOOGLETRANSLATE(A350, ""en"", ""hi"")"),"349")</f>
        <v>349</v>
      </c>
      <c r="G350" s="5" t="str">
        <f>IFERROR(__xludf.DUMMYFUNCTION("GOOGLETRANSLATE(B350, ""en"", ""hi"")"),"20वीं शताब्दी के प्रारम्भ में कांचे मार्बल किस भारतीय क्षेत्र में प्रमुख निर्यात उत्पाद बन गया?")</f>
        <v>20वीं शताब्दी के प्रारम्भ में कांचे मार्बल किस भारतीय क्षेत्र में प्रमुख निर्यात उत्पाद बन गया?</v>
      </c>
      <c r="H350" s="5" t="str">
        <f>IFERROR(__xludf.DUMMYFUNCTION("GOOGLETRANSLATE(C350, ""en"", ""hi"")"),"A) गुजरात, B) राजस्थान, C) तमिलनाडु, D) आंध्र प्रदेश")</f>
        <v>A) गुजरात, B) राजस्थान, C) तमिलनाडु, D) आंध्र प्रदेश</v>
      </c>
      <c r="I350" s="5" t="str">
        <f>IFERROR(__xludf.DUMMYFUNCTION("GOOGLETRANSLATE(D350, ""en"", ""hi"")"),"A) गुजरात")</f>
        <v>A) गुजरात</v>
      </c>
    </row>
    <row r="351" ht="22.5" customHeight="1">
      <c r="A351" s="3">
        <v>350.0</v>
      </c>
      <c r="B351" s="4" t="s">
        <v>7351</v>
      </c>
      <c r="C351" s="4" t="s">
        <v>7352</v>
      </c>
      <c r="D351" s="4" t="s">
        <v>7353</v>
      </c>
      <c r="F351" s="5" t="str">
        <f>IFERROR(__xludf.DUMMYFUNCTION("GOOGLETRANSLATE(A351, ""en"", ""hi"")"),"350")</f>
        <v>350</v>
      </c>
      <c r="G351" s="5" t="str">
        <f>IFERROR(__xludf.DUMMYFUNCTION("GOOGLETRANSLATE(B351, ""en"", ""hi"")"),"कौन सा पारंपरिक भारतीय त्यौहार अक्सर कांचे-आधारित खेलों को अपने उत्सव के हिस्से के रूप में शामिल करता है?")</f>
        <v>कौन सा पारंपरिक भारतीय त्यौहार अक्सर कांचे-आधारित खेलों को अपने उत्सव के हिस्से के रूप में शामिल करता है?</v>
      </c>
      <c r="H351" s="5" t="str">
        <f>IFERROR(__xludf.DUMMYFUNCTION("GOOGLETRANSLATE(C351, ""en"", ""hi"")"),"ए) होली, बी) दशहरा, सी) लोहड़ी, डी) पोंगल")</f>
        <v>ए) होली, बी) दशहरा, सी) लोहड़ी, डी) पोंगल</v>
      </c>
      <c r="I351" s="5" t="str">
        <f>IFERROR(__xludf.DUMMYFUNCTION("GOOGLETRANSLATE(D351, ""en"", ""hi"")"),"D) पोंगल")</f>
        <v>D) पोंगल</v>
      </c>
    </row>
    <row r="352" ht="22.5" customHeight="1">
      <c r="A352" s="3">
        <v>351.0</v>
      </c>
      <c r="B352" s="4" t="s">
        <v>7354</v>
      </c>
      <c r="C352" s="4" t="s">
        <v>7355</v>
      </c>
      <c r="D352" s="4" t="s">
        <v>7356</v>
      </c>
      <c r="F352" s="5" t="str">
        <f>IFERROR(__xludf.DUMMYFUNCTION("GOOGLETRANSLATE(A352, ""en"", ""hi"")"),"351")</f>
        <v>351</v>
      </c>
      <c r="G352" s="5" t="str">
        <f>IFERROR(__xludf.DUMMYFUNCTION("GOOGLETRANSLATE(B352, ""en"", ""hi"")"),"किस ऐतिहासिक घटना के कारण कंचे के उत्पादन में सिंथेटिक सामग्री का प्रयोग शुरू हुआ?")</f>
        <v>किस ऐतिहासिक घटना के कारण कंचे के उत्पादन में सिंथेटिक सामग्री का प्रयोग शुरू हुआ?</v>
      </c>
      <c r="H352" s="5" t="str">
        <f>IFERROR(__xludf.DUMMYFUNCTION("GOOGLETRANSLATE(C352, ""en"", ""hi"")"),"A) स्वतंत्रता के बाद का औद्योगिकीकरण, B) द्वितीय विश्व युद्ध, C) 1980 के दशक में तकनीकी प्रगति, D) आर्थिक उदारीकरण")</f>
        <v>A) स्वतंत्रता के बाद का औद्योगिकीकरण, B) द्वितीय विश्व युद्ध, C) 1980 के दशक में तकनीकी प्रगति, D) आर्थिक उदारीकरण</v>
      </c>
      <c r="I352" s="5" t="str">
        <f>IFERROR(__xludf.DUMMYFUNCTION("GOOGLETRANSLATE(D352, ""en"", ""hi"")"),"C) 1980 के दशक में तकनीकी प्रगति")</f>
        <v>C) 1980 के दशक में तकनीकी प्रगति</v>
      </c>
    </row>
    <row r="353" ht="22.5" customHeight="1">
      <c r="A353" s="3">
        <v>352.0</v>
      </c>
      <c r="B353" s="4" t="s">
        <v>7357</v>
      </c>
      <c r="C353" s="4" t="s">
        <v>7358</v>
      </c>
      <c r="D353" s="4" t="s">
        <v>7359</v>
      </c>
      <c r="F353" s="5" t="str">
        <f>IFERROR(__xludf.DUMMYFUNCTION("GOOGLETRANSLATE(A353, ""en"", ""hi"")"),"352")</f>
        <v>352</v>
      </c>
      <c r="G353" s="5" t="str">
        <f>IFERROR(__xludf.DUMMYFUNCTION("GOOGLETRANSLATE(B353, ""en"", ""hi"")"),"किस प्रसिद्ध भारतीय कवि ने अपनी रचनाओं में कांची और उसके सांस्कृतिक महत्व के बारे में लिखा?")</f>
        <v>किस प्रसिद्ध भारतीय कवि ने अपनी रचनाओं में कांची और उसके सांस्कृतिक महत्व के बारे में लिखा?</v>
      </c>
      <c r="H353" s="5" t="str">
        <f>IFERROR(__xludf.DUMMYFUNCTION("GOOGLETRANSLATE(C353, ""en"", ""hi"")"),"ए) रवीन्द्रनाथ टैगोर, बी) केकी एन दारूवाला, सी) आगा शाहिद अली, डी) विक्रम सेठ")</f>
        <v>ए) रवीन्द्रनाथ टैगोर, बी) केकी एन दारूवाला, सी) आगा शाहिद अली, डी) विक्रम सेठ</v>
      </c>
      <c r="I353" s="5" t="str">
        <f>IFERROR(__xludf.DUMMYFUNCTION("GOOGLETRANSLATE(D353, ""en"", ""hi"")"),"A) रवींद्रनाथ टैगोर")</f>
        <v>A) रवींद्रनाथ टैगोर</v>
      </c>
    </row>
    <row r="354" ht="22.5" customHeight="1">
      <c r="A354" s="3">
        <v>353.0</v>
      </c>
      <c r="B354" s="4" t="s">
        <v>7360</v>
      </c>
      <c r="C354" s="4" t="s">
        <v>7361</v>
      </c>
      <c r="D354" s="4" t="s">
        <v>7362</v>
      </c>
      <c r="F354" s="5" t="str">
        <f>IFERROR(__xludf.DUMMYFUNCTION("GOOGLETRANSLATE(A354, ""en"", ""hi"")"),"353")</f>
        <v>353</v>
      </c>
      <c r="G354" s="5" t="str">
        <f>IFERROR(__xludf.DUMMYFUNCTION("GOOGLETRANSLATE(B354, ""en"", ""hi"")"),"भारतीय ग्रामीण मेलों और मेलों में कंचे की ऐतिहासिक भूमिका क्या है?")</f>
        <v>भारतीय ग्रामीण मेलों और मेलों में कंचे की ऐतिहासिक भूमिका क्या है?</v>
      </c>
      <c r="H354" s="5" t="str">
        <f>IFERROR(__xludf.DUMMYFUNCTION("GOOGLETRANSLATE(C354, ""en"", ""hi"")"),"A) यह मनोरंजन का एक रूप है, B) इसका उपयोग जुए के लिए किया जाता है, C) यह कौशल का प्रदर्शन है, D) यह एक धार्मिक भेंट है")</f>
        <v>A) यह मनोरंजन का एक रूप है, B) इसका उपयोग जुए के लिए किया जाता है, C) यह कौशल का प्रदर्शन है, D) यह एक धार्मिक भेंट है</v>
      </c>
      <c r="I354" s="5" t="str">
        <f>IFERROR(__xludf.DUMMYFUNCTION("GOOGLETRANSLATE(D354, ""en"", ""hi"")"),"A) यह मनोरंजन का एक रूप है")</f>
        <v>A) यह मनोरंजन का एक रूप है</v>
      </c>
    </row>
    <row r="355" ht="22.5" customHeight="1">
      <c r="A355" s="3">
        <v>354.0</v>
      </c>
      <c r="B355" s="4" t="s">
        <v>7363</v>
      </c>
      <c r="C355" s="4" t="s">
        <v>7364</v>
      </c>
      <c r="D355" s="4" t="s">
        <v>7365</v>
      </c>
      <c r="F355" s="5" t="str">
        <f>IFERROR(__xludf.DUMMYFUNCTION("GOOGLETRANSLATE(A355, ""en"", ""hi"")"),"354")</f>
        <v>354</v>
      </c>
      <c r="G355" s="5" t="str">
        <f>IFERROR(__xludf.DUMMYFUNCTION("GOOGLETRANSLATE(B355, ""en"", ""hi"")"),"कौन सा भारतीय राज्य अपने अनोखे कंचे खेल के लिए जाना जाता है जिसमें विभिन्न नियम और शैलियाँ शामिल हैं?")</f>
        <v>कौन सा भारतीय राज्य अपने अनोखे कंचे खेल के लिए जाना जाता है जिसमें विभिन्न नियम और शैलियाँ शामिल हैं?</v>
      </c>
      <c r="H355" s="5" t="str">
        <f>IFERROR(__xludf.DUMMYFUNCTION("GOOGLETRANSLATE(C355, ""en"", ""hi"")"),"ए) महाराष्ट्र, बी) कर्नाटक, सी) केरल, डी) तमिलनाडु")</f>
        <v>ए) महाराष्ट्र, बी) कर्नाटक, सी) केरल, डी) तमिलनाडु</v>
      </c>
      <c r="I355" s="5" t="str">
        <f>IFERROR(__xludf.DUMMYFUNCTION("GOOGLETRANSLATE(D355, ""en"", ""hi"")"),"D) तमिलनाडु")</f>
        <v>D) तमिलनाडु</v>
      </c>
    </row>
    <row r="356" ht="22.5" customHeight="1">
      <c r="A356" s="3">
        <v>355.0</v>
      </c>
      <c r="B356" s="4" t="s">
        <v>7366</v>
      </c>
      <c r="C356" s="4" t="s">
        <v>7367</v>
      </c>
      <c r="D356" s="4" t="s">
        <v>7368</v>
      </c>
      <c r="F356" s="5" t="str">
        <f>IFERROR(__xludf.DUMMYFUNCTION("GOOGLETRANSLATE(A356, ""en"", ""hi"")"),"355")</f>
        <v>355</v>
      </c>
      <c r="G356" s="5" t="str">
        <f>IFERROR(__xludf.DUMMYFUNCTION("GOOGLETRANSLATE(B356, ""en"", ""hi"")"),"किस ऐतिहासिक काल में भारत में कांची नियमों और सामग्रियों का मानकीकरण हुआ?")</f>
        <v>किस ऐतिहासिक काल में भारत में कांची नियमों और सामग्रियों का मानकीकरण हुआ?</v>
      </c>
      <c r="H356" s="5" t="str">
        <f>IFERROR(__xludf.DUMMYFUNCTION("GOOGLETRANSLATE(C356, ""en"", ""hi"")"),"A) ब्रिटिश औपनिवेशिक काल, B) स्वतंत्रता के बाद का युग, C) मध्यकालीन काल, D) प्राचीन काल")</f>
        <v>A) ब्रिटिश औपनिवेशिक काल, B) स्वतंत्रता के बाद का युग, C) मध्यकालीन काल, D) प्राचीन काल</v>
      </c>
      <c r="I356" s="5" t="str">
        <f>IFERROR(__xludf.DUMMYFUNCTION("GOOGLETRANSLATE(D356, ""en"", ""hi"")"),"बी) स्वतंत्रता के बाद का युग")</f>
        <v>बी) स्वतंत्रता के बाद का युग</v>
      </c>
    </row>
    <row r="357" ht="22.5" customHeight="1">
      <c r="A357" s="3">
        <v>356.0</v>
      </c>
      <c r="B357" s="4" t="s">
        <v>7369</v>
      </c>
      <c r="C357" s="4" t="s">
        <v>7370</v>
      </c>
      <c r="D357" s="4" t="s">
        <v>7371</v>
      </c>
      <c r="F357" s="5" t="str">
        <f>IFERROR(__xludf.DUMMYFUNCTION("GOOGLETRANSLATE(A357, ""en"", ""hi"")"),"356")</f>
        <v>356</v>
      </c>
      <c r="G357" s="5" t="str">
        <f>IFERROR(__xludf.DUMMYFUNCTION("GOOGLETRANSLATE(B357, ""en"", ""hi"")"),"कौन सी भारतीय सांस्कृतिक हस्ती अपने लेखन में कंचे के पारंपरिक खेल का दस्तावेजीकरण करने के लिए जानी जाती है?")</f>
        <v>कौन सी भारतीय सांस्कृतिक हस्ती अपने लेखन में कंचे के पारंपरिक खेल का दस्तावेजीकरण करने के लिए जानी जाती है?</v>
      </c>
      <c r="H357" s="5" t="str">
        <f>IFERROR(__xludf.DUMMYFUNCTION("GOOGLETRANSLATE(C357, ""en"", ""hi"")"),"A) एम. एस. स्वामीनाथन, B) बी. आर. अम्बेडकर, C) महात्मा गांधी, D) जवाहरलाल नेहरू")</f>
        <v>A) एम. एस. स्वामीनाथन, B) बी. आर. अम्बेडकर, C) महात्मा गांधी, D) जवाहरलाल नेहरू</v>
      </c>
      <c r="I357" s="5" t="str">
        <f>IFERROR(__xludf.DUMMYFUNCTION("GOOGLETRANSLATE(D357, ""en"", ""hi"")"),"C) महात्मा गांधी")</f>
        <v>C) महात्मा गांधी</v>
      </c>
    </row>
    <row r="358" ht="22.5" customHeight="1">
      <c r="A358" s="3">
        <v>357.0</v>
      </c>
      <c r="B358" s="4" t="s">
        <v>7372</v>
      </c>
      <c r="C358" s="4" t="s">
        <v>7373</v>
      </c>
      <c r="D358" s="4" t="s">
        <v>5631</v>
      </c>
      <c r="F358" s="5" t="str">
        <f>IFERROR(__xludf.DUMMYFUNCTION("GOOGLETRANSLATE(A358, ""en"", ""hi"")"),"357")</f>
        <v>357</v>
      </c>
      <c r="G358" s="5" t="str">
        <f>IFERROR(__xludf.DUMMYFUNCTION("GOOGLETRANSLATE(B358, ""en"", ""hi"")"),"किस क्षेत्र का कंचे खेल अपने बड़े आकार के कंचों के उपयोग के लिए जाना जाता है?")</f>
        <v>किस क्षेत्र का कंचे खेल अपने बड़े आकार के कंचों के उपयोग के लिए जाना जाता है?</v>
      </c>
      <c r="H358" s="5" t="str">
        <f>IFERROR(__xludf.DUMMYFUNCTION("GOOGLETRANSLATE(C358, ""en"", ""hi"")"),"ए) गुजरात, बी) पंजाब, सी) तमिलनाडु, डी) केरल")</f>
        <v>ए) गुजरात, बी) पंजाब, सी) तमिलनाडु, डी) केरल</v>
      </c>
      <c r="I358" s="5" t="str">
        <f>IFERROR(__xludf.DUMMYFUNCTION("GOOGLETRANSLATE(D358, ""en"", ""hi"")"),"C) तमिलनाडु")</f>
        <v>C) तमिलनाडु</v>
      </c>
    </row>
    <row r="359" ht="22.5" customHeight="1">
      <c r="A359" s="3">
        <v>358.0</v>
      </c>
      <c r="B359" s="4" t="s">
        <v>7374</v>
      </c>
      <c r="C359" s="4" t="s">
        <v>7375</v>
      </c>
      <c r="D359" s="4" t="s">
        <v>4355</v>
      </c>
      <c r="F359" s="5" t="str">
        <f>IFERROR(__xludf.DUMMYFUNCTION("GOOGLETRANSLATE(A359, ""en"", ""hi"")"),"358")</f>
        <v>358</v>
      </c>
      <c r="G359" s="5" t="str">
        <f>IFERROR(__xludf.DUMMYFUNCTION("GOOGLETRANSLATE(B359, ""en"", ""hi"")"),"सांस्कृतिक उत्सवों और स्थानीय आयोजनों में किस पारंपरिक भारतीय खेल को अक्सर कंचे के साथ जोड़ा जाता है?")</f>
        <v>सांस्कृतिक उत्सवों और स्थानीय आयोजनों में किस पारंपरिक भारतीय खेल को अक्सर कंचे के साथ जोड़ा जाता है?</v>
      </c>
      <c r="H359" s="5" t="str">
        <f>IFERROR(__xludf.DUMMYFUNCTION("GOOGLETRANSLATE(C359, ""en"", ""hi"")"),"ए) पिट्टू, बी) सतोलिया, सी) गिल्ली डंडा, डी) खो खो")</f>
        <v>ए) पिट्टू, बी) सतोलिया, सी) गिल्ली डंडा, डी) खो खो</v>
      </c>
      <c r="I359" s="5" t="str">
        <f>IFERROR(__xludf.DUMMYFUNCTION("GOOGLETRANSLATE(D359, ""en"", ""hi"")"),"बी) सतोलिया")</f>
        <v>बी) सतोलिया</v>
      </c>
    </row>
    <row r="360" ht="22.5" customHeight="1">
      <c r="A360" s="3">
        <v>359.0</v>
      </c>
      <c r="B360" s="4" t="s">
        <v>7376</v>
      </c>
      <c r="C360" s="4" t="s">
        <v>7377</v>
      </c>
      <c r="D360" s="4" t="s">
        <v>7378</v>
      </c>
      <c r="F360" s="5" t="str">
        <f>IFERROR(__xludf.DUMMYFUNCTION("GOOGLETRANSLATE(A360, ""en"", ""hi"")"),"359")</f>
        <v>359</v>
      </c>
      <c r="G360" s="5" t="str">
        <f>IFERROR(__xludf.DUMMYFUNCTION("GOOGLETRANSLATE(B360, ""en"", ""hi"")"),"तेलुगू भाषा में कांचे का पारंपरिक नाम क्या है?")</f>
        <v>तेलुगू भाषा में कांचे का पारंपरिक नाम क्या है?</v>
      </c>
      <c r="H360" s="5" t="str">
        <f>IFERROR(__xludf.DUMMYFUNCTION("GOOGLETRANSLATE(C360, ""en"", ""hi"")"),"ए) कंचू, बी) चिंधू, सी) कंचे, डी) मार्बल्स")</f>
        <v>ए) कंचू, बी) चिंधू, सी) कंचे, डी) मार्बल्स</v>
      </c>
      <c r="I360" s="5" t="str">
        <f>IFERROR(__xludf.DUMMYFUNCTION("GOOGLETRANSLATE(D360, ""en"", ""hi"")"),"A) कांचू")</f>
        <v>A) कांचू</v>
      </c>
    </row>
    <row r="361" ht="22.5" customHeight="1">
      <c r="A361" s="3">
        <v>360.0</v>
      </c>
      <c r="B361" s="4" t="s">
        <v>7379</v>
      </c>
      <c r="C361" s="4" t="s">
        <v>7380</v>
      </c>
      <c r="D361" s="4" t="s">
        <v>4458</v>
      </c>
      <c r="F361" s="5" t="str">
        <f>IFERROR(__xludf.DUMMYFUNCTION("GOOGLETRANSLATE(A361, ""en"", ""hi"")"),"360")</f>
        <v>360</v>
      </c>
      <c r="G361" s="5" t="str">
        <f>IFERROR(__xludf.DUMMYFUNCTION("GOOGLETRANSLATE(B361, ""en"", ""hi"")"),"कौन सा भारतीय राज्य अपने वार्षिक कांचे मार्बल्स महोत्सव के लिए प्रसिद्ध है?")</f>
        <v>कौन सा भारतीय राज्य अपने वार्षिक कांचे मार्बल्स महोत्सव के लिए प्रसिद्ध है?</v>
      </c>
      <c r="H361" s="5" t="str">
        <f>IFERROR(__xludf.DUMMYFUNCTION("GOOGLETRANSLATE(C361, ""en"", ""hi"")"),"A) तमिलनाडु, B) गुजरात, C) कर्नाटक, D) आंध्र प्रदेश")</f>
        <v>A) तमिलनाडु, B) गुजरात, C) कर्नाटक, D) आंध्र प्रदेश</v>
      </c>
      <c r="I361" s="5" t="str">
        <f>IFERROR(__xludf.DUMMYFUNCTION("GOOGLETRANSLATE(D361, ""en"", ""hi"")"),"बी) गुजरात")</f>
        <v>बी) गुजरात</v>
      </c>
    </row>
    <row r="362" ht="22.5" customHeight="1">
      <c r="A362" s="3">
        <v>361.0</v>
      </c>
      <c r="B362" s="4" t="s">
        <v>7381</v>
      </c>
      <c r="C362" s="4" t="s">
        <v>7382</v>
      </c>
      <c r="D362" s="4" t="s">
        <v>7383</v>
      </c>
      <c r="F362" s="5" t="str">
        <f>IFERROR(__xludf.DUMMYFUNCTION("GOOGLETRANSLATE(A362, ""en"", ""hi"")"),"361")</f>
        <v>361</v>
      </c>
      <c r="G362" s="5" t="str">
        <f>IFERROR(__xludf.DUMMYFUNCTION("GOOGLETRANSLATE(B362, ""en"", ""hi"")"),"कंचे खेल पर भारतीय स्वतंत्रता आंदोलन का क्या प्रभाव पड़ा?")</f>
        <v>कंचे खेल पर भारतीय स्वतंत्रता आंदोलन का क्या प्रभाव पड़ा?</v>
      </c>
      <c r="H362" s="5" t="str">
        <f>IFERROR(__xludf.DUMMYFUNCTION("GOOGLETRANSLATE(C362, ""en"", ""hi"")"),"A) इसने पारंपरिक खेलों को पुनर्जीवित किया, B) इसने कंचे के पतन का नेतृत्व किया, C) इसने नए नियम पेश किए, D) इसने कंचे को स्वतंत्रता का प्रतीक बना दिया")</f>
        <v>A) इसने पारंपरिक खेलों को पुनर्जीवित किया, B) इसने कंचे के पतन का नेतृत्व किया, C) इसने नए नियम पेश किए, D) इसने कंचे को स्वतंत्रता का प्रतीक बना दिया</v>
      </c>
      <c r="I362" s="5" t="str">
        <f>IFERROR(__xludf.DUMMYFUNCTION("GOOGLETRANSLATE(D362, ""en"", ""hi"")"),"B) इससे कांची का पतन हुआ")</f>
        <v>B) इससे कांची का पतन हुआ</v>
      </c>
    </row>
    <row r="363" ht="22.5" customHeight="1">
      <c r="A363" s="3">
        <v>362.0</v>
      </c>
      <c r="B363" s="4" t="s">
        <v>7384</v>
      </c>
      <c r="C363" s="4" t="s">
        <v>7385</v>
      </c>
      <c r="D363" s="4" t="s">
        <v>7311</v>
      </c>
      <c r="F363" s="5" t="str">
        <f>IFERROR(__xludf.DUMMYFUNCTION("GOOGLETRANSLATE(A363, ""en"", ""hi"")"),"362")</f>
        <v>362</v>
      </c>
      <c r="G363" s="5" t="str">
        <f>IFERROR(__xludf.DUMMYFUNCTION("GOOGLETRANSLATE(B363, ""en"", ""hi"")"),"कौन सा पारंपरिक भारतीय त्यौहार अपने सांस्कृतिक खेलों और गतिविधियों में कंचे को शामिल करने के लिए जाना जाता है?")</f>
        <v>कौन सा पारंपरिक भारतीय त्यौहार अपने सांस्कृतिक खेलों और गतिविधियों में कंचे को शामिल करने के लिए जाना जाता है?</v>
      </c>
      <c r="H363" s="5" t="str">
        <f>IFERROR(__xludf.DUMMYFUNCTION("GOOGLETRANSLATE(C363, ""en"", ""hi"")"),"ए) मकर संक्रांति, बी) नवरात्रि, सी) दिवाली, डी) गणेश चतुर्थी")</f>
        <v>ए) मकर संक्रांति, बी) नवरात्रि, सी) दिवाली, डी) गणेश चतुर्थी</v>
      </c>
      <c r="I363" s="5" t="str">
        <f>IFERROR(__xludf.DUMMYFUNCTION("GOOGLETRANSLATE(D363, ""en"", ""hi"")"),"A) मकर संक्रांति")</f>
        <v>A) मकर संक्रांति</v>
      </c>
    </row>
    <row r="364" ht="22.5" customHeight="1">
      <c r="A364" s="3">
        <v>363.0</v>
      </c>
      <c r="B364" s="4" t="s">
        <v>7386</v>
      </c>
      <c r="C364" s="4" t="s">
        <v>7387</v>
      </c>
      <c r="D364" s="4" t="s">
        <v>7388</v>
      </c>
      <c r="F364" s="5" t="str">
        <f>IFERROR(__xludf.DUMMYFUNCTION("GOOGLETRANSLATE(A364, ""en"", ""hi"")"),"363")</f>
        <v>363</v>
      </c>
      <c r="G364" s="5" t="str">
        <f>IFERROR(__xludf.DUMMYFUNCTION("GOOGLETRANSLATE(B364, ""en"", ""hi"")"),"ग्रामीण भारत में सामुदायिक भावना को बढ़ावा देने में कांचे ने क्या ऐतिहासिक भूमिका निभाई?")</f>
        <v>ग्रामीण भारत में सामुदायिक भावना को बढ़ावा देने में कांचे ने क्या ऐतिहासिक भूमिका निभाई?</v>
      </c>
      <c r="H364" s="5" t="str">
        <f>IFERROR(__xludf.DUMMYFUNCTION("GOOGLETRANSLATE(C364, ""en"", ""hi"")"),"A) यह एक सामाजिक बंधन गतिविधि थी, B) यह एक प्रतिस्पर्धी खेल था, C) यह आर्थिक आदान-प्रदान का एक रूप था, D) यह एक अनुष्ठानिक अभ्यास था")</f>
        <v>A) यह एक सामाजिक बंधन गतिविधि थी, B) यह एक प्रतिस्पर्धी खेल था, C) यह आर्थिक आदान-प्रदान का एक रूप था, D) यह एक अनुष्ठानिक अभ्यास था</v>
      </c>
      <c r="I364" s="5" t="str">
        <f>IFERROR(__xludf.DUMMYFUNCTION("GOOGLETRANSLATE(D364, ""en"", ""hi"")"),"A) यह एक सामाजिक बंधन गतिविधि थी")</f>
        <v>A) यह एक सामाजिक बंधन गतिविधि थी</v>
      </c>
    </row>
    <row r="365" ht="22.5" customHeight="1">
      <c r="A365" s="3">
        <v>364.0</v>
      </c>
      <c r="B365" s="4" t="s">
        <v>7389</v>
      </c>
      <c r="C365" s="4" t="s">
        <v>7390</v>
      </c>
      <c r="D365" s="4" t="s">
        <v>7391</v>
      </c>
      <c r="F365" s="5" t="str">
        <f>IFERROR(__xludf.DUMMYFUNCTION("GOOGLETRANSLATE(A365, ""en"", ""hi"")"),"364")</f>
        <v>364</v>
      </c>
      <c r="G365" s="5" t="str">
        <f>IFERROR(__xludf.DUMMYFUNCTION("GOOGLETRANSLATE(B365, ""en"", ""hi"")"),"किस क्षेत्र के ऐतिहासिक विवरण में औपनिवेशिक युग के दौरान कंचे को ग्रामीण खेलों का हिस्सा बताया गया है?")</f>
        <v>किस क्षेत्र के ऐतिहासिक विवरण में औपनिवेशिक युग के दौरान कंचे को ग्रामीण खेलों का हिस्सा बताया गया है?</v>
      </c>
      <c r="H365" s="5" t="str">
        <f>IFERROR(__xludf.DUMMYFUNCTION("GOOGLETRANSLATE(C365, ""en"", ""hi"")"),"A) पूर्वी भारत, B) उत्तरी भारत, C) पश्चिमी भारत, D) दक्षिणी भारत")</f>
        <v>A) पूर्वी भारत, B) उत्तरी भारत, C) पश्चिमी भारत, D) दक्षिणी भारत</v>
      </c>
      <c r="I365" s="5" t="str">
        <f>IFERROR(__xludf.DUMMYFUNCTION("GOOGLETRANSLATE(D365, ""en"", ""hi"")"),"D) दक्षिणी भारत")</f>
        <v>D) दक्षिणी भारत</v>
      </c>
    </row>
    <row r="366" ht="22.5" customHeight="1">
      <c r="A366" s="3">
        <v>365.0</v>
      </c>
      <c r="B366" s="4" t="s">
        <v>7392</v>
      </c>
      <c r="C366" s="4" t="s">
        <v>7393</v>
      </c>
      <c r="D366" s="4" t="s">
        <v>7394</v>
      </c>
      <c r="F366" s="5" t="str">
        <f>IFERROR(__xludf.DUMMYFUNCTION("GOOGLETRANSLATE(A366, ""en"", ""hi"")"),"365")</f>
        <v>365</v>
      </c>
      <c r="G366" s="5" t="str">
        <f>IFERROR(__xludf.DUMMYFUNCTION("GOOGLETRANSLATE(B366, ""en"", ""hi"")"),"कौन सा भारतीय कलाकार अपनी कलाकृतियों में कंचे बजाते बच्चों के चित्रण के लिए जाना जाता है?")</f>
        <v>कौन सा भारतीय कलाकार अपनी कलाकृतियों में कंचे बजाते बच्चों के चित्रण के लिए जाना जाता है?</v>
      </c>
      <c r="H366" s="5" t="str">
        <f>IFERROR(__xludf.DUMMYFUNCTION("GOOGLETRANSLATE(C366, ""en"", ""hi"")"),"ए) नंदलाल बोस, बी) जामिनी रॉय, सी) रवींद्रनाथ टैगोर, डी) अमृता शेरगिल")</f>
        <v>ए) नंदलाल बोस, बी) जामिनी रॉय, सी) रवींद्रनाथ टैगोर, डी) अमृता शेरगिल</v>
      </c>
      <c r="I366" s="5" t="str">
        <f>IFERROR(__xludf.DUMMYFUNCTION("GOOGLETRANSLATE(D366, ""en"", ""hi"")"),"बी) जामिनी रॉय")</f>
        <v>बी) जामिनी रॉय</v>
      </c>
    </row>
    <row r="367" ht="22.5" customHeight="1">
      <c r="A367" s="3">
        <v>366.0</v>
      </c>
      <c r="B367" s="4" t="s">
        <v>7395</v>
      </c>
      <c r="C367" s="4" t="s">
        <v>7396</v>
      </c>
      <c r="D367" s="4" t="s">
        <v>4355</v>
      </c>
      <c r="F367" s="5" t="str">
        <f>IFERROR(__xludf.DUMMYFUNCTION("GOOGLETRANSLATE(A367, ""en"", ""hi"")"),"366")</f>
        <v>366</v>
      </c>
      <c r="G367" s="5" t="str">
        <f>IFERROR(__xludf.DUMMYFUNCTION("GOOGLETRANSLATE(B367, ""en"", ""hi"")"),"ग्रामीण भारतीय परिवेश में कंचे के साथ अक्सर कौन सा पारंपरिक खेल खेला जाता है?")</f>
        <v>ग्रामीण भारतीय परिवेश में कंचे के साथ अक्सर कौन सा पारंपरिक खेल खेला जाता है?</v>
      </c>
      <c r="H367" s="5" t="str">
        <f>IFERROR(__xludf.DUMMYFUNCTION("GOOGLETRANSLATE(C367, ""en"", ""hi"")"),"ए) गिल्ली डंडा, बी) सातोलिया, सी) खो खो, डी) पिट्टू")</f>
        <v>ए) गिल्ली डंडा, बी) सातोलिया, सी) खो खो, डी) पिट्टू</v>
      </c>
      <c r="I367" s="5" t="str">
        <f>IFERROR(__xludf.DUMMYFUNCTION("GOOGLETRANSLATE(D367, ""en"", ""hi"")"),"बी) सतोलिया")</f>
        <v>बी) सतोलिया</v>
      </c>
    </row>
    <row r="368" ht="22.5" customHeight="1">
      <c r="A368" s="3">
        <v>367.0</v>
      </c>
      <c r="B368" s="4" t="s">
        <v>7397</v>
      </c>
      <c r="C368" s="4" t="s">
        <v>7398</v>
      </c>
      <c r="D368" s="4" t="s">
        <v>7399</v>
      </c>
      <c r="F368" s="5" t="str">
        <f>IFERROR(__xludf.DUMMYFUNCTION("GOOGLETRANSLATE(A368, ""en"", ""hi"")"),"367")</f>
        <v>367</v>
      </c>
      <c r="G368" s="5" t="str">
        <f>IFERROR(__xludf.DUMMYFUNCTION("GOOGLETRANSLATE(B368, ""en"", ""hi"")"),"भारत के कुछ भागों में मुद्रा के रूप में कंचे का प्रयोग किस ऐतिहासिक प्रथा में शामिल था?")</f>
        <v>भारत के कुछ भागों में मुद्रा के रूप में कंचे का प्रयोग किस ऐतिहासिक प्रथा में शामिल था?</v>
      </c>
      <c r="H368" s="5" t="str">
        <f>IFERROR(__xludf.DUMMYFUNCTION("GOOGLETRANSLATE(C368, ""en"", ""hi"")"),"A) व्यापार, B) सट्टा, C) जुआ, D) उपहार देना")</f>
        <v>A) व्यापार, B) सट्टा, C) जुआ, D) उपहार देना</v>
      </c>
      <c r="I368" s="5" t="str">
        <f>IFERROR(__xludf.DUMMYFUNCTION("GOOGLETRANSLATE(D368, ""en"", ""hi"")"),"बी) सट्टेबाजी")</f>
        <v>बी) सट्टेबाजी</v>
      </c>
    </row>
    <row r="369" ht="22.5" customHeight="1">
      <c r="A369" s="3">
        <v>368.0</v>
      </c>
      <c r="B369" s="4" t="s">
        <v>7400</v>
      </c>
      <c r="C369" s="4" t="s">
        <v>7401</v>
      </c>
      <c r="D369" s="4" t="s">
        <v>7402</v>
      </c>
      <c r="F369" s="5" t="str">
        <f>IFERROR(__xludf.DUMMYFUNCTION("GOOGLETRANSLATE(A369, ""en"", ""hi"")"),"368")</f>
        <v>368</v>
      </c>
      <c r="G369" s="5" t="str">
        <f>IFERROR(__xludf.DUMMYFUNCTION("GOOGLETRANSLATE(B369, ""en"", ""hi"")"),"किस पारंपरिक भारतीय शैक्षिक पद्धति में बुनियादी अंकगणितीय कौशल सिखाने के लिए कांचे को शामिल किया गया?")</f>
        <v>किस पारंपरिक भारतीय शैक्षिक पद्धति में बुनियादी अंकगणितीय कौशल सिखाने के लिए कांचे को शामिल किया गया?</v>
      </c>
      <c r="H369" s="5" t="str">
        <f>IFERROR(__xludf.DUMMYFUNCTION("GOOGLETRANSLATE(C369, ""en"", ""hi"")"),"ए) मोंटेसरी, बी) गुरुकुल, सी) वैदिक, डी) मदरसा")</f>
        <v>ए) मोंटेसरी, बी) गुरुकुल, सी) वैदिक, डी) मदरसा</v>
      </c>
      <c r="I369" s="5" t="str">
        <f>IFERROR(__xludf.DUMMYFUNCTION("GOOGLETRANSLATE(D369, ""en"", ""hi"")"),"बी) गुरुकुल")</f>
        <v>बी) गुरुकुल</v>
      </c>
    </row>
    <row r="370" ht="22.5" customHeight="1">
      <c r="A370" s="3">
        <v>369.0</v>
      </c>
      <c r="B370" s="4" t="s">
        <v>7403</v>
      </c>
      <c r="C370" s="4" t="s">
        <v>7404</v>
      </c>
      <c r="D370" s="4" t="s">
        <v>7405</v>
      </c>
      <c r="F370" s="5" t="str">
        <f>IFERROR(__xludf.DUMMYFUNCTION("GOOGLETRANSLATE(A370, ""en"", ""hi"")"),"369")</f>
        <v>369</v>
      </c>
      <c r="G370" s="5" t="str">
        <f>IFERROR(__xludf.DUMMYFUNCTION("GOOGLETRANSLATE(B370, ""en"", ""hi"")"),"पारंपरिक भारतीय बच्चों की लोककथाओं और कहानियों में कंचे की क्या भूमिका थी?")</f>
        <v>पारंपरिक भारतीय बच्चों की लोककथाओं और कहानियों में कंचे की क्या भूमिका थी?</v>
      </c>
      <c r="H370" s="5" t="str">
        <f>IFERROR(__xludf.DUMMYFUNCTION("GOOGLETRANSLATE(C370, ""en"", ""hi"")"),"A) यह चंचलता का प्रतिनिधित्व करता था, B) यह प्रतिस्पर्धा का प्रतीक था, C) यह सीखने का एक उपकरण था, D) यह एक अनुष्ठान वस्तु थी")</f>
        <v>A) यह चंचलता का प्रतिनिधित्व करता था, B) यह प्रतिस्पर्धा का प्रतीक था, C) यह सीखने का एक उपकरण था, D) यह एक अनुष्ठान वस्तु थी</v>
      </c>
      <c r="I370" s="5" t="str">
        <f>IFERROR(__xludf.DUMMYFUNCTION("GOOGLETRANSLATE(D370, ""en"", ""hi"")"),"A) यह चंचलता का प्रतिनिधित्व करता था")</f>
        <v>A) यह चंचलता का प्रतिनिधित्व करता था</v>
      </c>
    </row>
    <row r="371" ht="22.5" customHeight="1">
      <c r="A371" s="3">
        <v>370.0</v>
      </c>
      <c r="B371" s="4" t="s">
        <v>7406</v>
      </c>
      <c r="C371" s="4" t="s">
        <v>4527</v>
      </c>
      <c r="D371" s="4" t="s">
        <v>6790</v>
      </c>
      <c r="F371" s="5" t="str">
        <f>IFERROR(__xludf.DUMMYFUNCTION("GOOGLETRANSLATE(A371, ""en"", ""hi"")"),"370")</f>
        <v>370</v>
      </c>
      <c r="G371" s="5" t="str">
        <f>IFERROR(__xludf.DUMMYFUNCTION("GOOGLETRANSLATE(B371, ""en"", ""hi"")"),"कांच के पत्थरों के आगमन से पहले कंचे बनाने के लिए पारंपरिक रूप से किस सामग्री का उपयोग किया जाता था?")</f>
        <v>कांच के पत्थरों के आगमन से पहले कंचे बनाने के लिए पारंपरिक रूप से किस सामग्री का उपयोग किया जाता था?</v>
      </c>
      <c r="H371" s="5" t="str">
        <f>IFERROR(__xludf.DUMMYFUNCTION("GOOGLETRANSLATE(C371, ""en"", ""hi"")"),"A) मिट्टी, B) लकड़ी, C) धातु, D) पत्थर")</f>
        <v>A) मिट्टी, B) लकड़ी, C) धातु, D) पत्थर</v>
      </c>
      <c r="I371" s="5" t="str">
        <f>IFERROR(__xludf.DUMMYFUNCTION("GOOGLETRANSLATE(D371, ""en"", ""hi"")"),"A) मिट्टी")</f>
        <v>A) मिट्टी</v>
      </c>
    </row>
    <row r="372" ht="22.5" customHeight="1">
      <c r="A372" s="3">
        <v>371.0</v>
      </c>
      <c r="B372" s="4" t="s">
        <v>7407</v>
      </c>
      <c r="C372" s="4" t="s">
        <v>7408</v>
      </c>
      <c r="D372" s="4" t="s">
        <v>7409</v>
      </c>
      <c r="F372" s="5" t="str">
        <f>IFERROR(__xludf.DUMMYFUNCTION("GOOGLETRANSLATE(A372, ""en"", ""hi"")"),"371")</f>
        <v>371</v>
      </c>
      <c r="G372" s="5" t="str">
        <f>IFERROR(__xludf.DUMMYFUNCTION("GOOGLETRANSLATE(B372, ""en"", ""hi"")"),"किस ऐतिहासिक भारतीय घटना के कारण कांच के कांच का बड़े पैमाने पर उत्पादन शुरू हुआ?")</f>
        <v>किस ऐतिहासिक भारतीय घटना के कारण कांच के कांच का बड़े पैमाने पर उत्पादन शुरू हुआ?</v>
      </c>
      <c r="H372" s="5" t="str">
        <f>IFERROR(__xludf.DUMMYFUNCTION("GOOGLETRANSLATE(C372, ""en"", ""hi"")"),"A) ब्रिटिश औद्योगिक क्रांति, B) प्रथम विश्व युद्ध के बाद, C) भारतीय स्वतंत्रता, D) औपनिवेशिक शासन")</f>
        <v>A) ब्रिटिश औद्योगिक क्रांति, B) प्रथम विश्व युद्ध के बाद, C) भारतीय स्वतंत्रता, D) औपनिवेशिक शासन</v>
      </c>
      <c r="I372" s="5" t="str">
        <f>IFERROR(__xludf.DUMMYFUNCTION("GOOGLETRANSLATE(D372, ""en"", ""hi"")"),"D) औपनिवेशिक शासन")</f>
        <v>D) औपनिवेशिक शासन</v>
      </c>
    </row>
    <row r="373" ht="22.5" customHeight="1">
      <c r="A373" s="3">
        <v>372.0</v>
      </c>
      <c r="B373" s="4" t="s">
        <v>7410</v>
      </c>
      <c r="C373" s="4" t="s">
        <v>7411</v>
      </c>
      <c r="D373" s="4" t="s">
        <v>4700</v>
      </c>
      <c r="F373" s="5" t="str">
        <f>IFERROR(__xludf.DUMMYFUNCTION("GOOGLETRANSLATE(A373, ""en"", ""hi"")"),"372")</f>
        <v>372</v>
      </c>
      <c r="G373" s="5" t="str">
        <f>IFERROR(__xludf.DUMMYFUNCTION("GOOGLETRANSLATE(B373, ""en"", ""hi"")"),"किस भारतीय राज्य में कंचे का पारंपरिक खेल सांस्कृतिक विरासत माना जाता है?")</f>
        <v>किस भारतीय राज्य में कंचे का पारंपरिक खेल सांस्कृतिक विरासत माना जाता है?</v>
      </c>
      <c r="H373" s="5" t="str">
        <f>IFERROR(__xludf.DUMMYFUNCTION("GOOGLETRANSLATE(C373, ""en"", ""hi"")"),"ए) पंजाब, बी) राजस्थान, सी) गुजरात, डी) बिहार")</f>
        <v>ए) पंजाब, बी) राजस्थान, सी) गुजरात, डी) बिहार</v>
      </c>
      <c r="I373" s="5" t="str">
        <f>IFERROR(__xludf.DUMMYFUNCTION("GOOGLETRANSLATE(D373, ""en"", ""hi"")"),"C) गुजरात")</f>
        <v>C) गुजरात</v>
      </c>
    </row>
    <row r="374" ht="22.5" customHeight="1">
      <c r="A374" s="3">
        <v>373.0</v>
      </c>
      <c r="B374" s="4" t="s">
        <v>7412</v>
      </c>
      <c r="C374" s="4" t="s">
        <v>7413</v>
      </c>
      <c r="D374" s="4" t="s">
        <v>7414</v>
      </c>
      <c r="F374" s="5" t="str">
        <f>IFERROR(__xludf.DUMMYFUNCTION("GOOGLETRANSLATE(A374, ""en"", ""hi"")"),"373")</f>
        <v>373</v>
      </c>
      <c r="G374" s="5" t="str">
        <f>IFERROR(__xludf.DUMMYFUNCTION("GOOGLETRANSLATE(B374, ""en"", ""hi"")"),"किस ऐतिहासिक व्यक्ति ने भारत के बारे में अपने यात्रा लेखों में कंचे के खेल का दस्तावेजीकरण किया?")</f>
        <v>किस ऐतिहासिक व्यक्ति ने भारत के बारे में अपने यात्रा लेखों में कंचे के खेल का दस्तावेजीकरण किया?</v>
      </c>
      <c r="H374" s="5" t="str">
        <f>IFERROR(__xludf.DUMMYFUNCTION("GOOGLETRANSLATE(C374, ""en"", ""hi"")"),"ए) मार्को पोलो, बी) इब्न बतूता, सी) फा-हिएन, डी) अल-बिरूनी")</f>
        <v>ए) मार्को पोलो, बी) इब्न बतूता, सी) फा-हिएन, डी) अल-बिरूनी</v>
      </c>
      <c r="I374" s="5" t="str">
        <f>IFERROR(__xludf.DUMMYFUNCTION("GOOGLETRANSLATE(D374, ""en"", ""hi"")"),"B) इब्न बतूता")</f>
        <v>B) इब्न बतूता</v>
      </c>
    </row>
    <row r="375" ht="22.5" customHeight="1">
      <c r="A375" s="3">
        <v>374.0</v>
      </c>
      <c r="B375" s="4" t="s">
        <v>7415</v>
      </c>
      <c r="C375" s="4" t="s">
        <v>7416</v>
      </c>
      <c r="D375" s="4" t="s">
        <v>7340</v>
      </c>
      <c r="F375" s="5" t="str">
        <f>IFERROR(__xludf.DUMMYFUNCTION("GOOGLETRANSLATE(A375, ""en"", ""hi"")"),"374")</f>
        <v>374</v>
      </c>
      <c r="G375" s="5" t="str">
        <f>IFERROR(__xludf.DUMMYFUNCTION("GOOGLETRANSLATE(B375, ""en"", ""hi"")"),"किस भारतीय परंपरा में कंचे को बच्चों के लिए शैक्षिक खेल के भाग के रूप में शामिल किया गया है?")</f>
        <v>किस भारतीय परंपरा में कंचे को बच्चों के लिए शैक्षिक खेल के भाग के रूप में शामिल किया गया है?</v>
      </c>
      <c r="H375" s="5" t="str">
        <f>IFERROR(__xludf.DUMMYFUNCTION("GOOGLETRANSLATE(C375, ""en"", ""hi"")"),"A) वैदिक शिक्षा, B) गुरुकुल प्रणाली, C) इस्लामी मदरसे, D) ब्रिटिश स्कूल")</f>
        <v>A) वैदिक शिक्षा, B) गुरुकुल प्रणाली, C) इस्लामी मदरसे, D) ब्रिटिश स्कूल</v>
      </c>
      <c r="I375" s="5" t="str">
        <f>IFERROR(__xludf.DUMMYFUNCTION("GOOGLETRANSLATE(D375, ""en"", ""hi"")"),"बी) गुरुकुल प्रणाली")</f>
        <v>बी) गुरुकुल प्रणाली</v>
      </c>
    </row>
    <row r="376" ht="22.5" customHeight="1">
      <c r="A376" s="3">
        <v>375.0</v>
      </c>
      <c r="B376" s="4" t="s">
        <v>7417</v>
      </c>
      <c r="C376" s="4" t="s">
        <v>7418</v>
      </c>
      <c r="D376" s="4" t="s">
        <v>7419</v>
      </c>
      <c r="F376" s="5" t="str">
        <f>IFERROR(__xludf.DUMMYFUNCTION("GOOGLETRANSLATE(A376, ""en"", ""hi"")"),"375")</f>
        <v>375</v>
      </c>
      <c r="G376" s="5" t="str">
        <f>IFERROR(__xludf.DUMMYFUNCTION("GOOGLETRANSLATE(B376, ""en"", ""hi"")"),"20वीं सदी के आरंभ में भारतीय त्योहारों में कंचे की क्या भूमिका थी?")</f>
        <v>20वीं सदी के आरंभ में भारतीय त्योहारों में कंचे की क्या भूमिका थी?</v>
      </c>
      <c r="H376" s="5" t="str">
        <f>IFERROR(__xludf.DUMMYFUNCTION("GOOGLETRANSLATE(C376, ""en"", ""hi"")"),"A) अनुष्ठान वस्तु, B) प्रतिस्पर्धी खेल, C) शैक्षिक उपकरण, D) कलात्मक अभिव्यक्ति")</f>
        <v>A) अनुष्ठान वस्तु, B) प्रतिस्पर्धी खेल, C) शैक्षिक उपकरण, D) कलात्मक अभिव्यक्ति</v>
      </c>
      <c r="I376" s="5" t="str">
        <f>IFERROR(__xludf.DUMMYFUNCTION("GOOGLETRANSLATE(D376, ""en"", ""hi"")"),"बी) प्रतिस्पर्धी खेल")</f>
        <v>बी) प्रतिस्पर्धी खेल</v>
      </c>
    </row>
    <row r="377" ht="22.5" customHeight="1">
      <c r="A377" s="3">
        <v>376.0</v>
      </c>
      <c r="B377" s="4" t="s">
        <v>7420</v>
      </c>
      <c r="C377" s="4" t="s">
        <v>7421</v>
      </c>
      <c r="D377" s="4" t="s">
        <v>4854</v>
      </c>
      <c r="F377" s="5" t="str">
        <f>IFERROR(__xludf.DUMMYFUNCTION("GOOGLETRANSLATE(A377, ""en"", ""hi"")"),"376")</f>
        <v>376</v>
      </c>
      <c r="G377" s="5" t="str">
        <f>IFERROR(__xludf.DUMMYFUNCTION("GOOGLETRANSLATE(B377, ""en"", ""hi"")"),"किस भारतीय सांस्कृतिक प्रथा में फसल उत्सव के दौरान कंचे बजाना शामिल है?")</f>
        <v>किस भारतीय सांस्कृतिक प्रथा में फसल उत्सव के दौरान कंचे बजाना शामिल है?</v>
      </c>
      <c r="H377" s="5" t="str">
        <f>IFERROR(__xludf.DUMMYFUNCTION("GOOGLETRANSLATE(C377, ""en"", ""hi"")"),"ए) पोंगल, बी) बैसाखी, सी) लोहड़ी, डी) मकर संक्रांति")</f>
        <v>ए) पोंगल, बी) बैसाखी, सी) लोहड़ी, डी) मकर संक्रांति</v>
      </c>
      <c r="I377" s="5" t="str">
        <f>IFERROR(__xludf.DUMMYFUNCTION("GOOGLETRANSLATE(D377, ""en"", ""hi"")"),"ए) पोंगल")</f>
        <v>ए) पोंगल</v>
      </c>
    </row>
    <row r="378" ht="22.5" customHeight="1">
      <c r="A378" s="3">
        <v>377.0</v>
      </c>
      <c r="B378" s="4" t="s">
        <v>7422</v>
      </c>
      <c r="C378" s="4" t="s">
        <v>7367</v>
      </c>
      <c r="D378" s="4" t="s">
        <v>7368</v>
      </c>
      <c r="F378" s="5" t="str">
        <f>IFERROR(__xludf.DUMMYFUNCTION("GOOGLETRANSLATE(A378, ""en"", ""hi"")"),"377")</f>
        <v>377</v>
      </c>
      <c r="G378" s="5" t="str">
        <f>IFERROR(__xludf.DUMMYFUNCTION("GOOGLETRANSLATE(B378, ""en"", ""hi"")"),"किस ऐतिहासिक काल में आधुनिकीकरण के कारण पारंपरिक कंचे खेलों का पतन हुआ?")</f>
        <v>किस ऐतिहासिक काल में आधुनिकीकरण के कारण पारंपरिक कंचे खेलों का पतन हुआ?</v>
      </c>
      <c r="H378" s="5" t="str">
        <f>IFERROR(__xludf.DUMMYFUNCTION("GOOGLETRANSLATE(C378, ""en"", ""hi"")"),"A) ब्रिटिश औपनिवेशिक काल, B) स्वतंत्रता के बाद का युग, C) मध्यकालीन काल, D) प्राचीन काल")</f>
        <v>A) ब्रिटिश औपनिवेशिक काल, B) स्वतंत्रता के बाद का युग, C) मध्यकालीन काल, D) प्राचीन काल</v>
      </c>
      <c r="I378" s="5" t="str">
        <f>IFERROR(__xludf.DUMMYFUNCTION("GOOGLETRANSLATE(D378, ""en"", ""hi"")"),"बी) स्वतंत्रता के बाद का युग")</f>
        <v>बी) स्वतंत्रता के बाद का युग</v>
      </c>
    </row>
    <row r="379" ht="22.5" customHeight="1">
      <c r="A379" s="3">
        <v>378.0</v>
      </c>
      <c r="B379" s="4" t="s">
        <v>7423</v>
      </c>
      <c r="C379" s="4" t="s">
        <v>7424</v>
      </c>
      <c r="D379" s="4" t="s">
        <v>7425</v>
      </c>
      <c r="F379" s="5" t="str">
        <f>IFERROR(__xludf.DUMMYFUNCTION("GOOGLETRANSLATE(A379, ""en"", ""hi"")"),"378")</f>
        <v>378</v>
      </c>
      <c r="G379" s="5" t="str">
        <f>IFERROR(__xludf.DUMMYFUNCTION("GOOGLETRANSLATE(B379, ""en"", ""hi"")"),"प्राचीन भारतीय खेलों में कंचे के उपयोग के क्या ऐतिहासिक प्रमाण मौजूद हैं?")</f>
        <v>प्राचीन भारतीय खेलों में कंचे के उपयोग के क्या ऐतिहासिक प्रमाण मौजूद हैं?</v>
      </c>
      <c r="H379" s="5" t="str">
        <f>IFERROR(__xludf.DUMMYFUNCTION("GOOGLETRANSLATE(C379, ""en"", ""hi"")"),"A) प्राचीन ग्रंथ, B) पुरातात्विक खोजें, C) मौखिक परंपराएं, D) चित्रकारी")</f>
        <v>A) प्राचीन ग्रंथ, B) पुरातात्विक खोजें, C) मौखिक परंपराएं, D) चित्रकारी</v>
      </c>
      <c r="I379" s="5" t="str">
        <f>IFERROR(__xludf.DUMMYFUNCTION("GOOGLETRANSLATE(D379, ""en"", ""hi"")"),"बी) पुरातात्विक खोजें")</f>
        <v>बी) पुरातात्विक खोजें</v>
      </c>
    </row>
    <row r="380" ht="22.5" customHeight="1">
      <c r="A380" s="3">
        <v>379.0</v>
      </c>
      <c r="B380" s="4" t="s">
        <v>7426</v>
      </c>
      <c r="C380" s="4" t="s">
        <v>7427</v>
      </c>
      <c r="D380" s="4" t="s">
        <v>4700</v>
      </c>
      <c r="F380" s="5" t="str">
        <f>IFERROR(__xludf.DUMMYFUNCTION("GOOGLETRANSLATE(A380, ""en"", ""hi"")"),"379")</f>
        <v>379</v>
      </c>
      <c r="G380" s="5" t="str">
        <f>IFERROR(__xludf.DUMMYFUNCTION("GOOGLETRANSLATE(B380, ""en"", ""hi"")"),"कौन सा भारतीय राज्य अपने ऐतिहासिक हस्तनिर्मित कंचे उत्पादन के लिए जाना जाता है?")</f>
        <v>कौन सा भारतीय राज्य अपने ऐतिहासिक हस्तनिर्मित कंचे उत्पादन के लिए जाना जाता है?</v>
      </c>
      <c r="H380" s="5" t="str">
        <f>IFERROR(__xludf.DUMMYFUNCTION("GOOGLETRANSLATE(C380, ""en"", ""hi"")"),"A) कर्नाटक, B) पश्चिम बंगाल, C) गुजरात, D) तमिलनाडु")</f>
        <v>A) कर्नाटक, B) पश्चिम बंगाल, C) गुजरात, D) तमिलनाडु</v>
      </c>
      <c r="I380" s="5" t="str">
        <f>IFERROR(__xludf.DUMMYFUNCTION("GOOGLETRANSLATE(D380, ""en"", ""hi"")"),"C) गुजरात")</f>
        <v>C) गुजरात</v>
      </c>
    </row>
    <row r="381" ht="22.5" customHeight="1">
      <c r="A381" s="3">
        <v>380.0</v>
      </c>
      <c r="B381" s="4" t="s">
        <v>7428</v>
      </c>
      <c r="C381" s="4" t="s">
        <v>7429</v>
      </c>
      <c r="D381" s="4" t="s">
        <v>3791</v>
      </c>
      <c r="F381" s="5" t="str">
        <f>IFERROR(__xludf.DUMMYFUNCTION("GOOGLETRANSLATE(A381, ""en"", ""hi"")"),"380")</f>
        <v>380</v>
      </c>
      <c r="G381" s="5" t="str">
        <f>IFERROR(__xludf.DUMMYFUNCTION("GOOGLETRANSLATE(B381, ""en"", ""hi"")"),"भारत में कंचे जैसे पारंपरिक खेलों को बढ़ावा देने के साथ कौन सी ऐतिहासिक हस्ती जुड़ी हुई है?")</f>
        <v>भारत में कंचे जैसे पारंपरिक खेलों को बढ़ावा देने के साथ कौन सी ऐतिहासिक हस्ती जुड़ी हुई है?</v>
      </c>
      <c r="H381" s="5" t="str">
        <f>IFERROR(__xludf.DUMMYFUNCTION("GOOGLETRANSLATE(C381, ""en"", ""hi"")"),"A) जवाहरलाल नेहरू, B) महात्मा गांधी, C) सरदार पटेल, D) बी. आर. अम्बेडकर")</f>
        <v>A) जवाहरलाल नेहरू, B) महात्मा गांधी, C) सरदार पटेल, D) बी. आर. अम्बेडकर</v>
      </c>
      <c r="I381" s="5" t="str">
        <f>IFERROR(__xludf.DUMMYFUNCTION("GOOGLETRANSLATE(D381, ""en"", ""hi"")"),"बी) महात्मा गांधी")</f>
        <v>बी) महात्मा गांधी</v>
      </c>
    </row>
    <row r="382" ht="22.5" customHeight="1">
      <c r="A382" s="3">
        <v>381.0</v>
      </c>
      <c r="B382" s="4" t="s">
        <v>7430</v>
      </c>
      <c r="C382" s="4" t="s">
        <v>7431</v>
      </c>
      <c r="D382" s="4" t="s">
        <v>7432</v>
      </c>
      <c r="F382" s="5" t="str">
        <f>IFERROR(__xludf.DUMMYFUNCTION("GOOGLETRANSLATE(A382, ""en"", ""hi"")"),"381")</f>
        <v>381</v>
      </c>
      <c r="G382" s="5" t="str">
        <f>IFERROR(__xludf.DUMMYFUNCTION("GOOGLETRANSLATE(B382, ""en"", ""hi"")"),"20वीं सदी के आरंभ में शैक्षिक परिवेश में कंचे का प्राथमिक उपयोग क्या था?")</f>
        <v>20वीं सदी के आरंभ में शैक्षिक परिवेश में कंचे का प्राथमिक उपयोग क्या था?</v>
      </c>
      <c r="H382" s="5" t="str">
        <f>IFERROR(__xludf.DUMMYFUNCTION("GOOGLETRANSLATE(C382, ""en"", ""hi"")"),"A) अंकगणित सीखना, B) शारीरिक व्यायाम, C) सांस्कृतिक शिक्षा, D) कलात्मक अभिव्यक्ति")</f>
        <v>A) अंकगणित सीखना, B) शारीरिक व्यायाम, C) सांस्कृतिक शिक्षा, D) कलात्मक अभिव्यक्ति</v>
      </c>
      <c r="I382" s="5" t="str">
        <f>IFERROR(__xludf.DUMMYFUNCTION("GOOGLETRANSLATE(D382, ""en"", ""hi"")"),"A) अंकगणित सीखना")</f>
        <v>A) अंकगणित सीखना</v>
      </c>
    </row>
    <row r="383" ht="22.5" customHeight="1">
      <c r="A383" s="3">
        <v>382.0</v>
      </c>
      <c r="B383" s="4" t="s">
        <v>7433</v>
      </c>
      <c r="C383" s="4" t="s">
        <v>7358</v>
      </c>
      <c r="D383" s="4" t="s">
        <v>7359</v>
      </c>
      <c r="F383" s="5" t="str">
        <f>IFERROR(__xludf.DUMMYFUNCTION("GOOGLETRANSLATE(A383, ""en"", ""hi"")"),"382")</f>
        <v>382</v>
      </c>
      <c r="G383" s="5" t="str">
        <f>IFERROR(__xludf.DUMMYFUNCTION("GOOGLETRANSLATE(B383, ""en"", ""hi"")"),"किस भारतीय कवि ने अपने साहित्यिक कार्यों में कांचे का उल्लेख किया?")</f>
        <v>किस भारतीय कवि ने अपने साहित्यिक कार्यों में कांचे का उल्लेख किया?</v>
      </c>
      <c r="H383" s="5" t="str">
        <f>IFERROR(__xludf.DUMMYFUNCTION("GOOGLETRANSLATE(C383, ""en"", ""hi"")"),"ए) रवीन्द्रनाथ टैगोर, बी) केकी एन दारूवाला, सी) आगा शाहिद अली, डी) विक्रम सेठ")</f>
        <v>ए) रवीन्द्रनाथ टैगोर, बी) केकी एन दारूवाला, सी) आगा शाहिद अली, डी) विक्रम सेठ</v>
      </c>
      <c r="I383" s="5" t="str">
        <f>IFERROR(__xludf.DUMMYFUNCTION("GOOGLETRANSLATE(D383, ""en"", ""hi"")"),"A) रवींद्रनाथ टैगोर")</f>
        <v>A) रवींद्रनाथ टैगोर</v>
      </c>
    </row>
    <row r="384" ht="22.5" customHeight="1">
      <c r="A384" s="3">
        <v>383.0</v>
      </c>
      <c r="B384" s="4" t="s">
        <v>7434</v>
      </c>
      <c r="C384" s="4" t="s">
        <v>7435</v>
      </c>
      <c r="D384" s="4" t="s">
        <v>7436</v>
      </c>
      <c r="F384" s="5" t="str">
        <f>IFERROR(__xludf.DUMMYFUNCTION("GOOGLETRANSLATE(A384, ""en"", ""hi"")"),"383")</f>
        <v>383</v>
      </c>
      <c r="G384" s="5" t="str">
        <f>IFERROR(__xludf.DUMMYFUNCTION("GOOGLETRANSLATE(B384, ""en"", ""hi"")"),"किस ऐतिहासिक भारतीय कला रूप में बच्चों को कंचे बजाते हुए दिखाया गया है?")</f>
        <v>किस ऐतिहासिक भारतीय कला रूप में बच्चों को कंचे बजाते हुए दिखाया गया है?</v>
      </c>
      <c r="H384" s="5" t="str">
        <f>IFERROR(__xludf.DUMMYFUNCTION("GOOGLETRANSLATE(C384, ""en"", ""hi"")"),"ए) वर्ली कला, बी) मधुबनी कला, सी) गोंड कला, डी) पट्टचित्रा")</f>
        <v>ए) वर्ली कला, बी) मधुबनी कला, सी) गोंड कला, डी) पट्टचित्रा</v>
      </c>
      <c r="I384" s="5" t="str">
        <f>IFERROR(__xludf.DUMMYFUNCTION("GOOGLETRANSLATE(D384, ""en"", ""hi"")"),"A) वारली कला")</f>
        <v>A) वारली कला</v>
      </c>
    </row>
    <row r="385" ht="22.5" customHeight="1">
      <c r="A385" s="3">
        <v>384.0</v>
      </c>
      <c r="B385" s="4" t="s">
        <v>7437</v>
      </c>
      <c r="C385" s="4" t="s">
        <v>7438</v>
      </c>
      <c r="D385" s="4" t="s">
        <v>7439</v>
      </c>
      <c r="F385" s="5" t="str">
        <f>IFERROR(__xludf.DUMMYFUNCTION("GOOGLETRANSLATE(A385, ""en"", ""hi"")"),"384")</f>
        <v>384</v>
      </c>
      <c r="G385" s="5" t="str">
        <f>IFERROR(__xludf.DUMMYFUNCTION("GOOGLETRANSLATE(B385, ""en"", ""hi"")"),"भारत में कंचे के खेल पर ब्रिटिश औपनिवेशिक शासन का क्या प्रभाव पड़ा?")</f>
        <v>भारत में कंचे के खेल पर ब्रिटिश औपनिवेशिक शासन का क्या प्रभाव पड़ा?</v>
      </c>
      <c r="H385" s="5" t="str">
        <f>IFERROR(__xludf.DUMMYFUNCTION("GOOGLETRANSLATE(C385, ""en"", ""hi"")"),"A) लोकप्रियता में वृद्धि, B) नए नियमों का परिचय, C) लोकप्रियता में गिरावट, D) सामग्रियों का मानकीकरण")</f>
        <v>A) लोकप्रियता में वृद्धि, B) नए नियमों का परिचय, C) लोकप्रियता में गिरावट, D) सामग्रियों का मानकीकरण</v>
      </c>
      <c r="I385" s="5" t="str">
        <f>IFERROR(__xludf.DUMMYFUNCTION("GOOGLETRANSLATE(D385, ""en"", ""hi"")"),"C) लोकप्रियता में गिरावट")</f>
        <v>C) लोकप्रियता में गिरावट</v>
      </c>
    </row>
    <row r="386" ht="22.5" customHeight="1">
      <c r="A386" s="3">
        <v>385.0</v>
      </c>
      <c r="B386" s="4" t="s">
        <v>7440</v>
      </c>
      <c r="C386" s="4" t="s">
        <v>4118</v>
      </c>
      <c r="D386" s="4" t="s">
        <v>2893</v>
      </c>
      <c r="F386" s="5" t="str">
        <f>IFERROR(__xludf.DUMMYFUNCTION("GOOGLETRANSLATE(A386, ""en"", ""hi"")"),"385")</f>
        <v>385</v>
      </c>
      <c r="G386" s="5" t="str">
        <f>IFERROR(__xludf.DUMMYFUNCTION("GOOGLETRANSLATE(B386, ""en"", ""hi"")"),"20वीं सदी के अंत में किस भारतीय त्यौहार पर कंचे खेलों का पुनरुत्थान हुआ?")</f>
        <v>20वीं सदी के अंत में किस भारतीय त्यौहार पर कंचे खेलों का पुनरुत्थान हुआ?</v>
      </c>
      <c r="H386" s="5" t="str">
        <f>IFERROR(__xludf.DUMMYFUNCTION("GOOGLETRANSLATE(C386, ""en"", ""hi"")"),"ए) दिवाली, बी) होली, सी) पोंगल, डी) मकर संक्रांति")</f>
        <v>ए) दिवाली, बी) होली, सी) पोंगल, डी) मकर संक्रांति</v>
      </c>
      <c r="I386" s="5" t="str">
        <f>IFERROR(__xludf.DUMMYFUNCTION("GOOGLETRANSLATE(D386, ""en"", ""hi"")"),"D) मकर संक्रांति")</f>
        <v>D) मकर संक्रांति</v>
      </c>
    </row>
    <row r="387" ht="22.5" customHeight="1">
      <c r="A387" s="3">
        <v>386.0</v>
      </c>
      <c r="B387" s="4" t="s">
        <v>7441</v>
      </c>
      <c r="C387" s="4" t="s">
        <v>4712</v>
      </c>
      <c r="D387" s="4" t="s">
        <v>3996</v>
      </c>
      <c r="F387" s="5" t="str">
        <f>IFERROR(__xludf.DUMMYFUNCTION("GOOGLETRANSLATE(A387, ""en"", ""hi"")"),"386")</f>
        <v>386</v>
      </c>
      <c r="G387" s="5" t="str">
        <f>IFERROR(__xludf.DUMMYFUNCTION("GOOGLETRANSLATE(B387, ""en"", ""hi"")"),"प्राचीन भारत के किस ऐतिहासिक दस्तावेज में कंचे जैसे खेलों का उल्लेख है?")</f>
        <v>प्राचीन भारत के किस ऐतिहासिक दस्तावेज में कंचे जैसे खेलों का उल्लेख है?</v>
      </c>
      <c r="H387" s="5" t="str">
        <f>IFERROR(__xludf.DUMMYFUNCTION("GOOGLETRANSLATE(C387, ""en"", ""hi"")"),"ए) मनुस्मृति, बी) अर्थशास्त्र, सी) रामायण, डी) महाभारत")</f>
        <v>ए) मनुस्मृति, बी) अर्थशास्त्र, सी) रामायण, डी) महाभारत</v>
      </c>
      <c r="I387" s="5" t="str">
        <f>IFERROR(__xludf.DUMMYFUNCTION("GOOGLETRANSLATE(D387, ""en"", ""hi"")"),"D) महाभारत")</f>
        <v>D) महाभारत</v>
      </c>
    </row>
    <row r="388" ht="22.5" customHeight="1">
      <c r="A388" s="3">
        <v>387.0</v>
      </c>
      <c r="B388" s="4" t="s">
        <v>7442</v>
      </c>
      <c r="C388" s="4" t="s">
        <v>7443</v>
      </c>
      <c r="D388" s="4" t="s">
        <v>7444</v>
      </c>
      <c r="F388" s="5" t="str">
        <f>IFERROR(__xludf.DUMMYFUNCTION("GOOGLETRANSLATE(A388, ""en"", ""hi"")"),"387")</f>
        <v>387</v>
      </c>
      <c r="G388" s="5" t="str">
        <f>IFERROR(__xludf.DUMMYFUNCTION("GOOGLETRANSLATE(B388, ""en"", ""hi"")"),"भारत में प्लास्टिक कंचे के विकास में किस ऐतिहासिक परिवर्तन का योगदान रहा?")</f>
        <v>भारत में प्लास्टिक कंचे के विकास में किस ऐतिहासिक परिवर्तन का योगदान रहा?</v>
      </c>
      <c r="H388" s="5" t="str">
        <f>IFERROR(__xludf.DUMMYFUNCTION("GOOGLETRANSLATE(C388, ""en"", ""hi"")"),"A) द्वितीय विश्व युद्ध के बाद का औद्योगीकरण, B) आर्थिक उदारीकरण, C) हरित क्रांति, D) डिजिटल युग")</f>
        <v>A) द्वितीय विश्व युद्ध के बाद का औद्योगीकरण, B) आर्थिक उदारीकरण, C) हरित क्रांति, D) डिजिटल युग</v>
      </c>
      <c r="I388" s="5" t="str">
        <f>IFERROR(__xludf.DUMMYFUNCTION("GOOGLETRANSLATE(D388, ""en"", ""hi"")"),"A) द्वितीय विश्व युद्ध के बाद का औद्योगीकरण")</f>
        <v>A) द्वितीय विश्व युद्ध के बाद का औद्योगीकरण</v>
      </c>
    </row>
    <row r="389" ht="22.5" customHeight="1">
      <c r="A389" s="3">
        <v>388.0</v>
      </c>
      <c r="B389" s="4" t="s">
        <v>7445</v>
      </c>
      <c r="C389" s="4" t="s">
        <v>7446</v>
      </c>
      <c r="D389" s="4" t="s">
        <v>639</v>
      </c>
      <c r="F389" s="5" t="str">
        <f>IFERROR(__xludf.DUMMYFUNCTION("GOOGLETRANSLATE(A389, ""en"", ""hi"")"),"388")</f>
        <v>388</v>
      </c>
      <c r="G389" s="5" t="str">
        <f>IFERROR(__xludf.DUMMYFUNCTION("GOOGLETRANSLATE(B389, ""en"", ""hi"")"),"किस भारतीय राज्य में ग्रामीण स्कूलों में शैक्षिक खेलों के लिए कंचे का उपयोग करने की परंपरा है?")</f>
        <v>किस भारतीय राज्य में ग्रामीण स्कूलों में शैक्षिक खेलों के लिए कंचे का उपयोग करने की परंपरा है?</v>
      </c>
      <c r="H389" s="5" t="str">
        <f>IFERROR(__xludf.DUMMYFUNCTION("GOOGLETRANSLATE(C389, ""en"", ""hi"")"),"ए) आंध्र प्रदेश, बी) तमिलनाडु, सी) महाराष्ट्र, डी) कर्नाटक")</f>
        <v>ए) आंध्र प्रदेश, बी) तमिलनाडु, सी) महाराष्ट्र, डी) कर्नाटक</v>
      </c>
      <c r="I389" s="5" t="str">
        <f>IFERROR(__xludf.DUMMYFUNCTION("GOOGLETRANSLATE(D389, ""en"", ""hi"")"),"बी) तमिलनाडु")</f>
        <v>बी) तमिलनाडु</v>
      </c>
    </row>
    <row r="390" ht="22.5" customHeight="1">
      <c r="A390" s="3">
        <v>389.0</v>
      </c>
      <c r="B390" s="4" t="s">
        <v>7447</v>
      </c>
      <c r="C390" s="4" t="s">
        <v>7448</v>
      </c>
      <c r="D390" s="4" t="s">
        <v>7449</v>
      </c>
      <c r="F390" s="5" t="str">
        <f>IFERROR(__xludf.DUMMYFUNCTION("GOOGLETRANSLATE(A390, ""en"", ""hi"")"),"389")</f>
        <v>389</v>
      </c>
      <c r="G390" s="5" t="str">
        <f>IFERROR(__xludf.DUMMYFUNCTION("GOOGLETRANSLATE(B390, ""en"", ""hi"")"),"किस भारतीय लेखक ने अपनी रचनाओं में कांची के सांस्कृतिक महत्व के बारे में लिखा?")</f>
        <v>किस भारतीय लेखक ने अपनी रचनाओं में कांची के सांस्कृतिक महत्व के बारे में लिखा?</v>
      </c>
      <c r="H390" s="5" t="str">
        <f>IFERROR(__xludf.DUMMYFUNCTION("GOOGLETRANSLATE(C390, ""en"", ""hi"")"),"A) खुशवंत सिंह, B) रस्किन बॉन्ड, C) चेतन भगत, D) विक्रम सेठ")</f>
        <v>A) खुशवंत सिंह, B) रस्किन बॉन्ड, C) चेतन भगत, D) विक्रम सेठ</v>
      </c>
      <c r="I390" s="5" t="str">
        <f>IFERROR(__xludf.DUMMYFUNCTION("GOOGLETRANSLATE(D390, ""en"", ""hi"")"),"बी) रस्किन बॉन्ड")</f>
        <v>बी) रस्किन बॉन्ड</v>
      </c>
    </row>
    <row r="391" ht="22.5" customHeight="1">
      <c r="A391" s="3">
        <v>390.0</v>
      </c>
      <c r="B391" s="4" t="s">
        <v>7450</v>
      </c>
      <c r="C391" s="4" t="s">
        <v>7451</v>
      </c>
      <c r="D391" s="4" t="s">
        <v>4591</v>
      </c>
      <c r="F391" s="5" t="str">
        <f>IFERROR(__xludf.DUMMYFUNCTION("GOOGLETRANSLATE(A391, ""en"", ""hi"")"),"390")</f>
        <v>390</v>
      </c>
      <c r="G391" s="5" t="str">
        <f>IFERROR(__xludf.DUMMYFUNCTION("GOOGLETRANSLATE(B391, ""en"", ""hi"")"),"भारतीय ग्रामीण मेलों और मेलों में कंचे की क्या ऐतिहासिक भूमिका थी?")</f>
        <v>भारतीय ग्रामीण मेलों और मेलों में कंचे की क्या ऐतिहासिक भूमिका थी?</v>
      </c>
      <c r="H391" s="5" t="str">
        <f>IFERROR(__xludf.DUMMYFUNCTION("GOOGLETRANSLATE(C391, ""en"", ""hi"")"),"A) मनोरंजन, B) जुआ, C) व्यापार, D) धार्मिक भेंट")</f>
        <v>A) मनोरंजन, B) जुआ, C) व्यापार, D) धार्मिक भेंट</v>
      </c>
      <c r="I391" s="5" t="str">
        <f>IFERROR(__xludf.DUMMYFUNCTION("GOOGLETRANSLATE(D391, ""en"", ""hi"")"),"ए) मनोरंजन")</f>
        <v>ए) मनोरंजन</v>
      </c>
    </row>
    <row r="392" ht="22.5" customHeight="1">
      <c r="A392" s="3">
        <v>391.0</v>
      </c>
      <c r="B392" s="4" t="s">
        <v>7452</v>
      </c>
      <c r="C392" s="4" t="s">
        <v>7453</v>
      </c>
      <c r="D392" s="4" t="s">
        <v>7454</v>
      </c>
      <c r="F392" s="5" t="str">
        <f>IFERROR(__xludf.DUMMYFUNCTION("GOOGLETRANSLATE(A392, ""en"", ""hi"")"),"391")</f>
        <v>391</v>
      </c>
      <c r="G392" s="5" t="str">
        <f>IFERROR(__xludf.DUMMYFUNCTION("GOOGLETRANSLATE(B392, ""en"", ""hi"")"),"किस भारतीय क्षेत्र के ऐतिहासिक विवरण में औपनिवेशिक युग के दौरान कांचे को एक लोकप्रिय मनोरंजन के रूप में वर्णित किया गया है?")</f>
        <v>किस भारतीय क्षेत्र के ऐतिहासिक विवरण में औपनिवेशिक युग के दौरान कांचे को एक लोकप्रिय मनोरंजन के रूप में वर्णित किया गया है?</v>
      </c>
      <c r="H392" s="5" t="str">
        <f>IFERROR(__xludf.DUMMYFUNCTION("GOOGLETRANSLATE(C392, ""en"", ""hi"")"),"A) दक्षिणी भारत, B) उत्तरी भारत, C) पश्चिमी भारत, D) पूर्वी भारत")</f>
        <v>A) दक्षिणी भारत, B) उत्तरी भारत, C) पश्चिमी भारत, D) पूर्वी भारत</v>
      </c>
      <c r="I392" s="5" t="str">
        <f>IFERROR(__xludf.DUMMYFUNCTION("GOOGLETRANSLATE(D392, ""en"", ""hi"")"),"A) दक्षिणी भारत")</f>
        <v>A) दक्षिणी भारत</v>
      </c>
    </row>
    <row r="393" ht="22.5" customHeight="1">
      <c r="A393" s="3">
        <v>392.0</v>
      </c>
      <c r="B393" s="4" t="s">
        <v>7455</v>
      </c>
      <c r="C393" s="4" t="s">
        <v>7456</v>
      </c>
      <c r="D393" s="4" t="s">
        <v>7457</v>
      </c>
      <c r="F393" s="5" t="str">
        <f>IFERROR(__xludf.DUMMYFUNCTION("GOOGLETRANSLATE(A393, ""en"", ""hi"")"),"392")</f>
        <v>392</v>
      </c>
      <c r="G393" s="5" t="str">
        <f>IFERROR(__xludf.DUMMYFUNCTION("GOOGLETRANSLATE(B393, ""en"", ""hi"")"),"19वीं शताब्दी के दौरान पारंपरिक भारतीय बच्चों के खेलों में कंचे की क्या भूमिका थी?")</f>
        <v>19वीं शताब्दी के दौरान पारंपरिक भारतीय बच्चों के खेलों में कंचे की क्या भूमिका थी?</v>
      </c>
      <c r="H393" s="5" t="str">
        <f>IFERROR(__xludf.DUMMYFUNCTION("GOOGLETRANSLATE(C393, ""en"", ""hi"")"),"A) प्रतिस्पर्धी खेल, B) सीखने का उपकरण, C) सामाजिक गतिविधि, D) अनुष्ठान वस्तु")</f>
        <v>A) प्रतिस्पर्धी खेल, B) सीखने का उपकरण, C) सामाजिक गतिविधि, D) अनुष्ठान वस्तु</v>
      </c>
      <c r="I393" s="5" t="str">
        <f>IFERROR(__xludf.DUMMYFUNCTION("GOOGLETRANSLATE(D393, ""en"", ""hi"")"),"ए) प्रतिस्पर्धी खेल")</f>
        <v>ए) प्रतिस्पर्धी खेल</v>
      </c>
    </row>
    <row r="394" ht="22.5" customHeight="1">
      <c r="A394" s="3">
        <v>393.0</v>
      </c>
      <c r="B394" s="4" t="s">
        <v>7458</v>
      </c>
      <c r="C394" s="4" t="s">
        <v>7459</v>
      </c>
      <c r="D394" s="4" t="s">
        <v>7460</v>
      </c>
      <c r="F394" s="5" t="str">
        <f>IFERROR(__xludf.DUMMYFUNCTION("GOOGLETRANSLATE(A394, ""en"", ""hi"")"),"393")</f>
        <v>393</v>
      </c>
      <c r="G394" s="5" t="str">
        <f>IFERROR(__xludf.DUMMYFUNCTION("GOOGLETRANSLATE(B394, ""en"", ""hi"")"),"किस ऐतिहासिक घटना ने शहरी भारतीय परिवेश में कंचे खेलों के पतन में योगदान दिया?")</f>
        <v>किस ऐतिहासिक घटना ने शहरी भारतीय परिवेश में कंचे खेलों के पतन में योगदान दिया?</v>
      </c>
      <c r="H394" s="5" t="str">
        <f>IFERROR(__xludf.DUMMYFUNCTION("GOOGLETRANSLATE(C394, ""en"", ""hi"")"),"A) औद्योगिक क्रांति, B) स्वतंत्रता के बाद का प्रवास, C) प्रथम विश्व युद्ध, D) तकनीकी प्रगति")</f>
        <v>A) औद्योगिक क्रांति, B) स्वतंत्रता के बाद का प्रवास, C) प्रथम विश्व युद्ध, D) तकनीकी प्रगति</v>
      </c>
      <c r="I394" s="5" t="str">
        <f>IFERROR(__xludf.DUMMYFUNCTION("GOOGLETRANSLATE(D394, ""en"", ""hi"")"),"बी) स्वतंत्रता के बाद का प्रवास")</f>
        <v>बी) स्वतंत्रता के बाद का प्रवास</v>
      </c>
    </row>
    <row r="395" ht="22.5" customHeight="1">
      <c r="A395" s="3">
        <v>394.0</v>
      </c>
      <c r="B395" s="4" t="s">
        <v>7461</v>
      </c>
      <c r="C395" s="4" t="s">
        <v>7462</v>
      </c>
      <c r="D395" s="4" t="s">
        <v>7463</v>
      </c>
      <c r="F395" s="5" t="str">
        <f>IFERROR(__xludf.DUMMYFUNCTION("GOOGLETRANSLATE(A395, ""en"", ""hi"")"),"394")</f>
        <v>394</v>
      </c>
      <c r="G395" s="5" t="str">
        <f>IFERROR(__xludf.DUMMYFUNCTION("GOOGLETRANSLATE(B395, ""en"", ""hi"")"),"प्राचीन भारत में कंचे बनाने की पारंपरिक विधि क्या थी?")</f>
        <v>प्राचीन भारत में कंचे बनाने की पारंपरिक विधि क्या थी?</v>
      </c>
      <c r="H395" s="5" t="str">
        <f>IFERROR(__xludf.DUMMYFUNCTION("GOOGLETRANSLATE(C395, ""en"", ""hi"")"),"A) हस्तनिर्मित कांच, B) ढली हुई मिट्टी, C) नक्काशीदार लकड़ी, D) जाली धातु")</f>
        <v>A) हस्तनिर्मित कांच, B) ढली हुई मिट्टी, C) नक्काशीदार लकड़ी, D) जाली धातु</v>
      </c>
      <c r="I395" s="5" t="str">
        <f>IFERROR(__xludf.DUMMYFUNCTION("GOOGLETRANSLATE(D395, ""en"", ""hi"")"),"बी) ढली हुई मिट्टी")</f>
        <v>बी) ढली हुई मिट्टी</v>
      </c>
    </row>
    <row r="396" ht="22.5" customHeight="1">
      <c r="A396" s="3">
        <v>395.0</v>
      </c>
      <c r="B396" s="4" t="s">
        <v>7464</v>
      </c>
      <c r="C396" s="4" t="s">
        <v>7465</v>
      </c>
      <c r="D396" s="4" t="s">
        <v>7353</v>
      </c>
      <c r="F396" s="5" t="str">
        <f>IFERROR(__xludf.DUMMYFUNCTION("GOOGLETRANSLATE(A396, ""en"", ""hi"")"),"395")</f>
        <v>395</v>
      </c>
      <c r="G396" s="5" t="str">
        <f>IFERROR(__xludf.DUMMYFUNCTION("GOOGLETRANSLATE(B396, ""en"", ""hi"")"),"किस भारतीय त्यौहार में बच्चों के लिए पारंपरिक खेल के रूप में कंचे को शामिल किया गया था?")</f>
        <v>किस भारतीय त्यौहार में बच्चों के लिए पारंपरिक खेल के रूप में कंचे को शामिल किया गया था?</v>
      </c>
      <c r="H396" s="5" t="str">
        <f>IFERROR(__xludf.DUMMYFUNCTION("GOOGLETRANSLATE(C396, ""en"", ""hi"")"),"ए) नवरात्रि, बी) गणेश चतुर्थी, सी) लोहड़ी, डी) पोंगल")</f>
        <v>ए) नवरात्रि, बी) गणेश चतुर्थी, सी) लोहड़ी, डी) पोंगल</v>
      </c>
      <c r="I396" s="5" t="str">
        <f>IFERROR(__xludf.DUMMYFUNCTION("GOOGLETRANSLATE(D396, ""en"", ""hi"")"),"D) पोंगल")</f>
        <v>D) पोंगल</v>
      </c>
    </row>
    <row r="397" ht="22.5" customHeight="1">
      <c r="A397" s="3">
        <v>396.0</v>
      </c>
      <c r="B397" s="4" t="s">
        <v>7466</v>
      </c>
      <c r="C397" s="4" t="s">
        <v>7467</v>
      </c>
      <c r="D397" s="4" t="s">
        <v>7468</v>
      </c>
      <c r="F397" s="5" t="str">
        <f>IFERROR(__xludf.DUMMYFUNCTION("GOOGLETRANSLATE(A397, ""en"", ""hi"")"),"396")</f>
        <v>396</v>
      </c>
      <c r="G397" s="5" t="str">
        <f>IFERROR(__xludf.DUMMYFUNCTION("GOOGLETRANSLATE(B397, ""en"", ""hi"")"),"किस भारतीय इतिहासकार ने कांचे से जुड़ी सांस्कृतिक प्रथाओं के बारे में लिखा है?")</f>
        <v>किस भारतीय इतिहासकार ने कांचे से जुड़ी सांस्कृतिक प्रथाओं के बारे में लिखा है?</v>
      </c>
      <c r="H397" s="5" t="str">
        <f>IFERROR(__xludf.DUMMYFUNCTION("GOOGLETRANSLATE(C397, ""en"", ""hi"")"),"ए) आर. सी. मजूमदार, बी) इरफान हबीब, सी) रोमिला थापर, डी) के. एन. पणिक्कर")</f>
        <v>ए) आर. सी. मजूमदार, बी) इरफान हबीब, सी) रोमिला थापर, डी) के. एन. पणिक्कर</v>
      </c>
      <c r="I397" s="5" t="str">
        <f>IFERROR(__xludf.DUMMYFUNCTION("GOOGLETRANSLATE(D397, ""en"", ""hi"")"),"A) आर. सी. मजूमदार")</f>
        <v>A) आर. सी. मजूमदार</v>
      </c>
    </row>
    <row r="398" ht="22.5" customHeight="1">
      <c r="A398" s="3">
        <v>397.0</v>
      </c>
      <c r="B398" s="4" t="s">
        <v>7469</v>
      </c>
      <c r="C398" s="4" t="s">
        <v>7470</v>
      </c>
      <c r="D398" s="4" t="s">
        <v>4229</v>
      </c>
      <c r="F398" s="5" t="str">
        <f>IFERROR(__xludf.DUMMYFUNCTION("GOOGLETRANSLATE(A398, ""en"", ""hi"")"),"397")</f>
        <v>397</v>
      </c>
      <c r="G398" s="5" t="str">
        <f>IFERROR(__xludf.DUMMYFUNCTION("GOOGLETRANSLATE(B398, ""en"", ""hi"")"),"ग्रामीण क्षेत्रों में कंचे के साथ कौन सा पारंपरिक भारतीय खेल अक्सर खेला जाता है?")</f>
        <v>ग्रामीण क्षेत्रों में कंचे के साथ कौन सा पारंपरिक भारतीय खेल अक्सर खेला जाता है?</v>
      </c>
      <c r="H398" s="5" t="str">
        <f>IFERROR(__xludf.DUMMYFUNCTION("GOOGLETRANSLATE(C398, ""en"", ""hi"")"),"ए) सतोलिया, बी) पिट्टू, सी) गिल्ली डंडा, डी) खो खो")</f>
        <v>ए) सतोलिया, बी) पिट्टू, सी) गिल्ली डंडा, डी) खो खो</v>
      </c>
      <c r="I398" s="5" t="str">
        <f>IFERROR(__xludf.DUMMYFUNCTION("GOOGLETRANSLATE(D398, ""en"", ""hi"")"),"बी) पिट्टू")</f>
        <v>बी) पिट्टू</v>
      </c>
    </row>
    <row r="399" ht="22.5" customHeight="1">
      <c r="A399" s="3">
        <v>398.0</v>
      </c>
      <c r="B399" s="4" t="s">
        <v>7471</v>
      </c>
      <c r="C399" s="4" t="s">
        <v>7472</v>
      </c>
      <c r="D399" s="4" t="s">
        <v>7473</v>
      </c>
      <c r="F399" s="5" t="str">
        <f>IFERROR(__xludf.DUMMYFUNCTION("GOOGLETRANSLATE(A399, ""en"", ""hi"")"),"398")</f>
        <v>398</v>
      </c>
      <c r="G399" s="5" t="str">
        <f>IFERROR(__xludf.DUMMYFUNCTION("GOOGLETRANSLATE(B399, ""en"", ""hi"")"),"पारंपरिक भारतीय शैक्षिक परिवेश में कांचे की प्राथमिक भूमिका क्या थी?")</f>
        <v>पारंपरिक भारतीय शैक्षिक परिवेश में कांचे की प्राथमिक भूमिका क्या थी?</v>
      </c>
      <c r="H399" s="5" t="str">
        <f>IFERROR(__xludf.DUMMYFUNCTION("GOOGLETRANSLATE(C399, ""en"", ""hi"")"),"A) सीखने का उपकरण, B) मनोरंजक खेल, C) प्रतिस्पर्धी खेल, D) अनुष्ठानिक अभ्यास")</f>
        <v>A) सीखने का उपकरण, B) मनोरंजक खेल, C) प्रतिस्पर्धी खेल, D) अनुष्ठानिक अभ्यास</v>
      </c>
      <c r="I399" s="5" t="str">
        <f>IFERROR(__xludf.DUMMYFUNCTION("GOOGLETRANSLATE(D399, ""en"", ""hi"")"),"ए) शिक्षण उपकरण")</f>
        <v>ए) शिक्षण उपकरण</v>
      </c>
    </row>
    <row r="400" ht="22.5" customHeight="1">
      <c r="A400" s="3">
        <v>399.0</v>
      </c>
      <c r="B400" s="4" t="s">
        <v>7474</v>
      </c>
      <c r="C400" s="4" t="s">
        <v>7475</v>
      </c>
      <c r="D400" s="4" t="s">
        <v>7222</v>
      </c>
      <c r="F400" s="5" t="str">
        <f>IFERROR(__xludf.DUMMYFUNCTION("GOOGLETRANSLATE(A400, ""en"", ""hi"")"),"399")</f>
        <v>399</v>
      </c>
      <c r="G400" s="5" t="str">
        <f>IFERROR(__xludf.DUMMYFUNCTION("GOOGLETRANSLATE(B400, ""en"", ""hi"")"),"कौन सा भारतीय नेता कंचे सहित पारंपरिक खेलों के संरक्षण को बढ़ावा देने के लिए जाना जाता है?")</f>
        <v>कौन सा भारतीय नेता कंचे सहित पारंपरिक खेलों के संरक्षण को बढ़ावा देने के लिए जाना जाता है?</v>
      </c>
      <c r="H400" s="5" t="str">
        <f>IFERROR(__xludf.DUMMYFUNCTION("GOOGLETRANSLATE(C400, ""en"", ""hi"")"),"A) महात्मा गांधी, B) जवाहरलाल नेहरू, C) सरदार पटेल, D) बी. आर. अम्बेडकर")</f>
        <v>A) महात्मा गांधी, B) जवाहरलाल नेहरू, C) सरदार पटेल, D) बी. आर. अम्बेडकर</v>
      </c>
      <c r="I400" s="5" t="str">
        <f>IFERROR(__xludf.DUMMYFUNCTION("GOOGLETRANSLATE(D400, ""en"", ""hi"")"),"A) महात्मा गांधी")</f>
        <v>A) महात्मा गांधी</v>
      </c>
    </row>
    <row r="401" ht="22.5" customHeight="1">
      <c r="A401" s="3">
        <v>400.0</v>
      </c>
      <c r="B401" s="4" t="s">
        <v>7476</v>
      </c>
      <c r="C401" s="4" t="s">
        <v>7477</v>
      </c>
      <c r="D401" s="4" t="s">
        <v>49</v>
      </c>
      <c r="F401" s="5" t="str">
        <f>IFERROR(__xludf.DUMMYFUNCTION("GOOGLETRANSLATE(A401, ""en"", ""hi"")"),"400")</f>
        <v>400</v>
      </c>
      <c r="G401" s="5" t="str">
        <f>IFERROR(__xludf.DUMMYFUNCTION("GOOGLETRANSLATE(B401, ""en"", ""hi"")"),"कौन सा भारतीय राज्य अद्वितीय कंचे किस्मों के ऐतिहासिक उत्पादन के लिए जाना जाता है?")</f>
        <v>कौन सा भारतीय राज्य अद्वितीय कंचे किस्मों के ऐतिहासिक उत्पादन के लिए जाना जाता है?</v>
      </c>
      <c r="H401" s="5" t="str">
        <f>IFERROR(__xludf.DUMMYFUNCTION("GOOGLETRANSLATE(C401, ""en"", ""hi"")"),"ए) गुजरात, बी) राजस्थान, सी) कर्नाटक, डी) तमिलनाडु")</f>
        <v>ए) गुजरात, बी) राजस्थान, सी) कर्नाटक, डी) तमिलनाडु</v>
      </c>
      <c r="I401" s="5" t="str">
        <f>IFERROR(__xludf.DUMMYFUNCTION("GOOGLETRANSLATE(D401, ""en"", ""hi"")"),"A) गुजरात")</f>
        <v>A) गुजरात</v>
      </c>
    </row>
    <row r="402" ht="22.5" customHeight="1">
      <c r="A402" s="3">
        <v>401.0</v>
      </c>
      <c r="B402" s="4" t="s">
        <v>7478</v>
      </c>
      <c r="C402" s="4" t="s">
        <v>7479</v>
      </c>
      <c r="D402" s="4" t="s">
        <v>7480</v>
      </c>
      <c r="F402" s="5" t="str">
        <f>IFERROR(__xludf.DUMMYFUNCTION("GOOGLETRANSLATE(A402, ""en"", ""hi"")"),"401")</f>
        <v>401</v>
      </c>
      <c r="G402" s="5" t="str">
        <f>IFERROR(__xludf.DUMMYFUNCTION("GOOGLETRANSLATE(B402, ""en"", ""hi"")"),"किस भारतीय सांस्कृतिक प्रथा में सामुदायिक आयोजनों के दौरान कंचे का उपयोग शामिल है?")</f>
        <v>किस भारतीय सांस्कृतिक प्रथा में सामुदायिक आयोजनों के दौरान कंचे का उपयोग शामिल है?</v>
      </c>
      <c r="H402" s="5" t="str">
        <f>IFERROR(__xludf.DUMMYFUNCTION("GOOGLETRANSLATE(C402, ""en"", ""hi"")"),"A) धार्मिक अनुष्ठान, B) सामाजिक समारोह, C) शैक्षिक गतिविधियाँ, D) व्यापार")</f>
        <v>A) धार्मिक अनुष्ठान, B) सामाजिक समारोह, C) शैक्षिक गतिविधियाँ, D) व्यापार</v>
      </c>
      <c r="I402" s="5" t="str">
        <f>IFERROR(__xludf.DUMMYFUNCTION("GOOGLETRANSLATE(D402, ""en"", ""hi"")"),"बी) सामाजिक समारोह")</f>
        <v>बी) सामाजिक समारोह</v>
      </c>
    </row>
    <row r="403" ht="22.5" customHeight="1">
      <c r="A403" s="3">
        <v>402.0</v>
      </c>
      <c r="B403" s="4" t="s">
        <v>7481</v>
      </c>
      <c r="C403" s="4" t="s">
        <v>7482</v>
      </c>
      <c r="D403" s="4" t="s">
        <v>7483</v>
      </c>
      <c r="F403" s="5" t="str">
        <f>IFERROR(__xludf.DUMMYFUNCTION("GOOGLETRANSLATE(A403, ""en"", ""hi"")"),"402")</f>
        <v>402</v>
      </c>
      <c r="G403" s="5" t="str">
        <f>IFERROR(__xludf.DUMMYFUNCTION("GOOGLETRANSLATE(B403, ""en"", ""hi"")"),"भारत में कंचे के पारंपरिक खेल पर औपनिवेशिक शासन का क्या प्रभाव पड़ा?")</f>
        <v>भारत में कंचे के पारंपरिक खेल पर औपनिवेशिक शासन का क्या प्रभाव पड़ा?</v>
      </c>
      <c r="H403" s="5" t="str">
        <f>IFERROR(__xludf.DUMMYFUNCTION("GOOGLETRANSLATE(C403, ""en"", ""hi"")"),"A) बढ़ती लोकप्रियता, B) नए नियमों का परिचय, C) पारंपरिक प्रथाओं में गिरावट, D) सामग्रियों का मानकीकरण")</f>
        <v>A) बढ़ती लोकप्रियता, B) नए नियमों का परिचय, C) पारंपरिक प्रथाओं में गिरावट, D) सामग्रियों का मानकीकरण</v>
      </c>
      <c r="I403" s="5" t="str">
        <f>IFERROR(__xludf.DUMMYFUNCTION("GOOGLETRANSLATE(D403, ""en"", ""hi"")"),"C) पारंपरिक प्रथाओं में गिरावट")</f>
        <v>C) पारंपरिक प्रथाओं में गिरावट</v>
      </c>
    </row>
    <row r="404" ht="22.5" customHeight="1">
      <c r="A404" s="3">
        <v>403.0</v>
      </c>
      <c r="B404" s="4" t="s">
        <v>7484</v>
      </c>
      <c r="C404" s="4" t="s">
        <v>7485</v>
      </c>
      <c r="D404" s="4" t="s">
        <v>7486</v>
      </c>
      <c r="F404" s="5" t="str">
        <f>IFERROR(__xludf.DUMMYFUNCTION("GOOGLETRANSLATE(A404, ""en"", ""hi"")"),"403")</f>
        <v>403</v>
      </c>
      <c r="G404" s="5" t="str">
        <f>IFERROR(__xludf.DUMMYFUNCTION("GOOGLETRANSLATE(B404, ""en"", ""hi"")"),"कौन सा ऐतिहासिक स्रोत कंचे के खेल को प्राचीन भारतीय गांवों में बच्चों के मनोरंजन के रूप में वर्णित करता है?")</f>
        <v>कौन सा ऐतिहासिक स्रोत कंचे के खेल को प्राचीन भारतीय गांवों में बच्चों के मनोरंजन के रूप में वर्णित करता है?</v>
      </c>
      <c r="H404" s="5" t="str">
        <f>IFERROR(__xludf.DUMMYFUNCTION("GOOGLETRANSLATE(C404, ""en"", ""hi"")"),"A) प्राचीन पांडुलिपियाँ, B) पुरातात्विक कलाकृतियाँ, C) मौखिक इतिहास, D) चित्रकारी")</f>
        <v>A) प्राचीन पांडुलिपियाँ, B) पुरातात्विक कलाकृतियाँ, C) मौखिक इतिहास, D) चित्रकारी</v>
      </c>
      <c r="I404" s="5" t="str">
        <f>IFERROR(__xludf.DUMMYFUNCTION("GOOGLETRANSLATE(D404, ""en"", ""hi"")"),"बी) पुरातात्विक कलाकृतियाँ")</f>
        <v>बी) पुरातात्विक कलाकृतियाँ</v>
      </c>
    </row>
    <row r="405" ht="22.5" customHeight="1">
      <c r="A405" s="3">
        <v>404.0</v>
      </c>
      <c r="B405" s="4" t="s">
        <v>7487</v>
      </c>
      <c r="C405" s="4" t="s">
        <v>7488</v>
      </c>
      <c r="D405" s="4" t="s">
        <v>7489</v>
      </c>
      <c r="F405" s="5" t="str">
        <f>IFERROR(__xludf.DUMMYFUNCTION("GOOGLETRANSLATE(A405, ""en"", ""hi"")"),"404")</f>
        <v>404</v>
      </c>
      <c r="G405" s="5" t="str">
        <f>IFERROR(__xludf.DUMMYFUNCTION("GOOGLETRANSLATE(B405, ""en"", ""hi"")"),"कंचे सहित पारंपरिक भारतीय खेलों के दस्तावेजीकरण से कौन सा ऐतिहासिक व्यक्ति जुड़ा हुआ है?")</f>
        <v>कंचे सहित पारंपरिक भारतीय खेलों के दस्तावेजीकरण से कौन सा ऐतिहासिक व्यक्ति जुड़ा हुआ है?</v>
      </c>
      <c r="H405" s="5" t="str">
        <f>IFERROR(__xludf.DUMMYFUNCTION("GOOGLETRANSLATE(C405, ""en"", ""hi"")"),"ए) इब्न बतूता, बी) मार्को पोलो, सी) अल-बिरूनी, डी) फा-हिएन")</f>
        <v>ए) इब्न बतूता, बी) मार्को पोलो, सी) अल-बिरूनी, डी) फा-हिएन</v>
      </c>
      <c r="I405" s="5" t="str">
        <f>IFERROR(__xludf.DUMMYFUNCTION("GOOGLETRANSLATE(D405, ""en"", ""hi"")"),"C) अल-बिरूनी")</f>
        <v>C) अल-बिरूनी</v>
      </c>
    </row>
    <row r="406" ht="22.5" customHeight="1">
      <c r="A406" s="3">
        <v>405.0</v>
      </c>
      <c r="B406" s="4" t="s">
        <v>7490</v>
      </c>
      <c r="C406" s="4" t="s">
        <v>7491</v>
      </c>
      <c r="D406" s="4" t="s">
        <v>7492</v>
      </c>
      <c r="F406" s="5" t="str">
        <f>IFERROR(__xludf.DUMMYFUNCTION("GOOGLETRANSLATE(A406, ""en"", ""hi"")"),"405")</f>
        <v>405</v>
      </c>
      <c r="G406" s="5" t="str">
        <f>IFERROR(__xludf.DUMMYFUNCTION("GOOGLETRANSLATE(B406, ""en"", ""hi"")"),"ग्रामीण परिवेश में किस पारंपरिक भारतीय खेल में कंचे का प्रयोग अक्सर एक घटक के रूप में किया जाता है?")</f>
        <v>ग्रामीण परिवेश में किस पारंपरिक भारतीय खेल में कंचे का प्रयोग अक्सर एक घटक के रूप में किया जाता है?</v>
      </c>
      <c r="H406" s="5" t="str">
        <f>IFERROR(__xludf.DUMMYFUNCTION("GOOGLETRANSLATE(C406, ""en"", ""hi"")"),"ए) सतोलिया, बी) गिल्ली डंडा, सी) खो खो, डी) पिट्टू")</f>
        <v>ए) सतोलिया, बी) गिल्ली डंडा, सी) खो खो, डी) पिट्टू</v>
      </c>
      <c r="I406" s="5" t="str">
        <f>IFERROR(__xludf.DUMMYFUNCTION("GOOGLETRANSLATE(D406, ""en"", ""hi"")"),"D) पिट्टू")</f>
        <v>D) पिट्टू</v>
      </c>
    </row>
    <row r="407" ht="22.5" customHeight="1">
      <c r="A407" s="3">
        <v>406.0</v>
      </c>
      <c r="B407" s="4" t="s">
        <v>7493</v>
      </c>
      <c r="C407" s="4" t="s">
        <v>7494</v>
      </c>
      <c r="D407" s="4" t="s">
        <v>7495</v>
      </c>
      <c r="F407" s="5" t="str">
        <f>IFERROR(__xludf.DUMMYFUNCTION("GOOGLETRANSLATE(A407, ""en"", ""hi"")"),"406")</f>
        <v>406</v>
      </c>
      <c r="G407" s="5" t="str">
        <f>IFERROR(__xludf.DUMMYFUNCTION("GOOGLETRANSLATE(B407, ""en"", ""hi"")"),"किस भारतीय ऐतिहासिक युग में कांच के कांच का प्रचलन शुरू हुआ?")</f>
        <v>किस भारतीय ऐतिहासिक युग में कांच के कांच का प्रचलन शुरू हुआ?</v>
      </c>
      <c r="H407" s="5" t="str">
        <f>IFERROR(__xludf.DUMMYFUNCTION("GOOGLETRANSLATE(C407, ""en"", ""hi"")"),"A) मुगल काल, B) ब्रिटिश औपनिवेशिक युग, C) गुप्त काल, D) मौर्य काल")</f>
        <v>A) मुगल काल, B) ब्रिटिश औपनिवेशिक युग, C) गुप्त काल, D) मौर्य काल</v>
      </c>
      <c r="I407" s="5" t="str">
        <f>IFERROR(__xludf.DUMMYFUNCTION("GOOGLETRANSLATE(D407, ""en"", ""hi"")"),"बी) ब्रिटिश औपनिवेशिक युग")</f>
        <v>बी) ब्रिटिश औपनिवेशिक युग</v>
      </c>
    </row>
    <row r="408" ht="22.5" customHeight="1">
      <c r="A408" s="3">
        <v>407.0</v>
      </c>
      <c r="B408" s="4" t="s">
        <v>7496</v>
      </c>
      <c r="C408" s="4" t="s">
        <v>7453</v>
      </c>
      <c r="D408" s="4" t="s">
        <v>7454</v>
      </c>
      <c r="F408" s="5" t="str">
        <f>IFERROR(__xludf.DUMMYFUNCTION("GOOGLETRANSLATE(A408, ""en"", ""hi"")"),"407")</f>
        <v>407</v>
      </c>
      <c r="G408" s="5" t="str">
        <f>IFERROR(__xludf.DUMMYFUNCTION("GOOGLETRANSLATE(B408, ""en"", ""hi"")"),"किस भारतीय क्षेत्र के ऐतिहासिक अभिलेखों में कंचे को पारंपरिक खेल का एक महत्वपूर्ण हिस्सा बताया गया है?")</f>
        <v>किस भारतीय क्षेत्र के ऐतिहासिक अभिलेखों में कंचे को पारंपरिक खेल का एक महत्वपूर्ण हिस्सा बताया गया है?</v>
      </c>
      <c r="H408" s="5" t="str">
        <f>IFERROR(__xludf.DUMMYFUNCTION("GOOGLETRANSLATE(C408, ""en"", ""hi"")"),"A) दक्षिणी भारत, B) उत्तरी भारत, C) पश्चिमी भारत, D) पूर्वी भारत")</f>
        <v>A) दक्षिणी भारत, B) उत्तरी भारत, C) पश्चिमी भारत, D) पूर्वी भारत</v>
      </c>
      <c r="I408" s="5" t="str">
        <f>IFERROR(__xludf.DUMMYFUNCTION("GOOGLETRANSLATE(D408, ""en"", ""hi"")"),"A) दक्षिणी भारत")</f>
        <v>A) दक्षिणी भारत</v>
      </c>
    </row>
    <row r="409" ht="22.5" customHeight="1">
      <c r="A409" s="3">
        <v>408.0</v>
      </c>
      <c r="B409" s="4" t="s">
        <v>7497</v>
      </c>
      <c r="C409" s="4" t="s">
        <v>7475</v>
      </c>
      <c r="D409" s="4" t="s">
        <v>7222</v>
      </c>
      <c r="F409" s="5" t="str">
        <f>IFERROR(__xludf.DUMMYFUNCTION("GOOGLETRANSLATE(A409, ""en"", ""hi"")"),"408")</f>
        <v>408</v>
      </c>
      <c r="G409" s="5" t="str">
        <f>IFERROR(__xludf.DUMMYFUNCTION("GOOGLETRANSLATE(B409, ""en"", ""hi"")"),"किस ऐतिहासिक व्यक्ति ने अपने लेखन में कंचे जैसे पारंपरिक खेलों के संरक्षण को बढ़ावा दिया?")</f>
        <v>किस ऐतिहासिक व्यक्ति ने अपने लेखन में कंचे जैसे पारंपरिक खेलों के संरक्षण को बढ़ावा दिया?</v>
      </c>
      <c r="H409" s="5" t="str">
        <f>IFERROR(__xludf.DUMMYFUNCTION("GOOGLETRANSLATE(C409, ""en"", ""hi"")"),"A) महात्मा गांधी, B) जवाहरलाल नेहरू, C) सरदार पटेल, D) बी. आर. अम्बेडकर")</f>
        <v>A) महात्मा गांधी, B) जवाहरलाल नेहरू, C) सरदार पटेल, D) बी. आर. अम्बेडकर</v>
      </c>
      <c r="I409" s="5" t="str">
        <f>IFERROR(__xludf.DUMMYFUNCTION("GOOGLETRANSLATE(D409, ""en"", ""hi"")"),"A) महात्मा गांधी")</f>
        <v>A) महात्मा गांधी</v>
      </c>
    </row>
    <row r="410" ht="22.5" customHeight="1">
      <c r="A410" s="3">
        <v>409.0</v>
      </c>
      <c r="B410" s="4" t="s">
        <v>7498</v>
      </c>
      <c r="C410" s="4" t="s">
        <v>7499</v>
      </c>
      <c r="D410" s="4" t="s">
        <v>4591</v>
      </c>
      <c r="F410" s="5" t="str">
        <f>IFERROR(__xludf.DUMMYFUNCTION("GOOGLETRANSLATE(A410, ""en"", ""hi"")"),"409")</f>
        <v>409</v>
      </c>
      <c r="G410" s="5" t="str">
        <f>IFERROR(__xludf.DUMMYFUNCTION("GOOGLETRANSLATE(B410, ""en"", ""hi"")"),"पारंपरिक भारतीय सामुदायिक समारोहों में कंचे का प्राथमिक उपयोग क्या था?")</f>
        <v>पारंपरिक भारतीय सामुदायिक समारोहों में कंचे का प्राथमिक उपयोग क्या था?</v>
      </c>
      <c r="H410" s="5" t="str">
        <f>IFERROR(__xludf.DUMMYFUNCTION("GOOGLETRANSLATE(C410, ""en"", ""hi"")"),"A) मनोरंजन, B) जुआ, C) व्यापार, D) अनुष्ठान")</f>
        <v>A) मनोरंजन, B) जुआ, C) व्यापार, D) अनुष्ठान</v>
      </c>
      <c r="I410" s="5" t="str">
        <f>IFERROR(__xludf.DUMMYFUNCTION("GOOGLETRANSLATE(D410, ""en"", ""hi"")"),"ए) मनोरंजन")</f>
        <v>ए) मनोरंजन</v>
      </c>
    </row>
    <row r="411" ht="22.5" customHeight="1">
      <c r="A411" s="3">
        <v>410.0</v>
      </c>
      <c r="B411" s="4" t="s">
        <v>7500</v>
      </c>
      <c r="C411" s="4" t="s">
        <v>7501</v>
      </c>
      <c r="D411" s="4" t="s">
        <v>7311</v>
      </c>
      <c r="F411" s="5" t="str">
        <f>IFERROR(__xludf.DUMMYFUNCTION("GOOGLETRANSLATE(A411, ""en"", ""hi"")"),"410")</f>
        <v>410</v>
      </c>
      <c r="G411" s="5" t="str">
        <f>IFERROR(__xludf.DUMMYFUNCTION("GOOGLETRANSLATE(B411, ""en"", ""hi"")"),"किस भारतीय त्यौहार में बच्चों के लिए खेल के रूप में कंचे को पारंपरिक रूप से शामिल किया जाता था?")</f>
        <v>किस भारतीय त्यौहार में बच्चों के लिए खेल के रूप में कंचे को पारंपरिक रूप से शामिल किया जाता था?</v>
      </c>
      <c r="H411" s="5" t="str">
        <f>IFERROR(__xludf.DUMMYFUNCTION("GOOGLETRANSLATE(C411, ""en"", ""hi"")"),"ए) मकर संक्रांति, बी) दिवाली, सी) होली, डी) नवरात्रि")</f>
        <v>ए) मकर संक्रांति, बी) दिवाली, सी) होली, डी) नवरात्रि</v>
      </c>
      <c r="I411" s="5" t="str">
        <f>IFERROR(__xludf.DUMMYFUNCTION("GOOGLETRANSLATE(D411, ""en"", ""hi"")"),"A) मकर संक्रांति")</f>
        <v>A) मकर संक्रांति</v>
      </c>
    </row>
    <row r="412" ht="22.5" customHeight="1">
      <c r="A412" s="3">
        <v>411.0</v>
      </c>
      <c r="B412" s="4" t="s">
        <v>7502</v>
      </c>
      <c r="C412" s="4" t="s">
        <v>7503</v>
      </c>
      <c r="D412" s="4" t="s">
        <v>4458</v>
      </c>
      <c r="F412" s="5" t="str">
        <f>IFERROR(__xludf.DUMMYFUNCTION("GOOGLETRANSLATE(A412, ""en"", ""hi"")"),"411")</f>
        <v>411</v>
      </c>
      <c r="G412" s="5" t="str">
        <f>IFERROR(__xludf.DUMMYFUNCTION("GOOGLETRANSLATE(B412, ""en"", ""hi"")"),"कौन सा भारतीय राज्य अपनी अनूठी कंचे उत्पादन विधियों और शैलियों के लिए जाना जाता है?")</f>
        <v>कौन सा भारतीय राज्य अपनी अनूठी कंचे उत्पादन विधियों और शैलियों के लिए जाना जाता है?</v>
      </c>
      <c r="H412" s="5" t="str">
        <f>IFERROR(__xludf.DUMMYFUNCTION("GOOGLETRANSLATE(C412, ""en"", ""hi"")"),"ए) तमिलनाडु, बी) गुजरात, सी) कर्नाटक, डी) महाराष्ट्र")</f>
        <v>ए) तमिलनाडु, बी) गुजरात, सी) कर्नाटक, डी) महाराष्ट्र</v>
      </c>
      <c r="I412" s="5" t="str">
        <f>IFERROR(__xludf.DUMMYFUNCTION("GOOGLETRANSLATE(D412, ""en"", ""hi"")"),"बी) गुजरात")</f>
        <v>बी) गुजरात</v>
      </c>
    </row>
    <row r="413" ht="22.5" customHeight="1">
      <c r="A413" s="3">
        <v>412.0</v>
      </c>
      <c r="B413" s="4" t="s">
        <v>7504</v>
      </c>
      <c r="C413" s="4" t="s">
        <v>7505</v>
      </c>
      <c r="D413" s="4" t="s">
        <v>7506</v>
      </c>
      <c r="F413" s="5" t="str">
        <f>IFERROR(__xludf.DUMMYFUNCTION("GOOGLETRANSLATE(A413, ""en"", ""hi"")"),"412")</f>
        <v>412</v>
      </c>
      <c r="G413" s="5" t="str">
        <f>IFERROR(__xludf.DUMMYFUNCTION("GOOGLETRANSLATE(B413, ""en"", ""hi"")"),"भारतीय स्वतंत्रता का पारंपरिक खेल कंचे पर क्या प्रभाव पड़ा?")</f>
        <v>भारतीय स्वतंत्रता का पारंपरिक खेल कंचे पर क्या प्रभाव पड़ा?</v>
      </c>
      <c r="H413" s="5" t="str">
        <f>IFERROR(__xludf.DUMMYFUNCTION("GOOGLETRANSLATE(C413, ""en"", ""hi"")"),"A) पुनरुत्थान, B) पतन, C) परिवर्तन, D) मानकीकरण")</f>
        <v>A) पुनरुत्थान, B) पतन, C) परिवर्तन, D) मानकीकरण</v>
      </c>
      <c r="I413" s="5" t="str">
        <f>IFERROR(__xludf.DUMMYFUNCTION("GOOGLETRANSLATE(D413, ""en"", ""hi"")"),"बी) गिरावट")</f>
        <v>बी) गिरावट</v>
      </c>
    </row>
    <row r="414" ht="22.5" customHeight="1">
      <c r="A414" s="3">
        <v>413.0</v>
      </c>
      <c r="B414" s="4" t="s">
        <v>7507</v>
      </c>
      <c r="C414" s="4" t="s">
        <v>7508</v>
      </c>
      <c r="D414" s="4" t="s">
        <v>7509</v>
      </c>
      <c r="F414" s="5" t="str">
        <f>IFERROR(__xludf.DUMMYFUNCTION("GOOGLETRANSLATE(A414, ""en"", ""hi"")"),"413")</f>
        <v>413</v>
      </c>
      <c r="G414" s="5" t="str">
        <f>IFERROR(__xludf.DUMMYFUNCTION("GOOGLETRANSLATE(B414, ""en"", ""hi"")"),"कौन सा भारतीय कलाकार अपनी पारंपरिक कलाकृतियों में कंचे को चित्रित करने के लिए प्रसिद्ध है?")</f>
        <v>कौन सा भारतीय कलाकार अपनी पारंपरिक कलाकृतियों में कंचे को चित्रित करने के लिए प्रसिद्ध है?</v>
      </c>
      <c r="H414" s="5" t="str">
        <f>IFERROR(__xludf.DUMMYFUNCTION("GOOGLETRANSLATE(C414, ""en"", ""hi"")"),"ए) जामिनी रॉय, बी) नंदलाल बोस, सी) अमृता शेरगिल, डी) रवींद्रनाथ टैगोर")</f>
        <v>ए) जामिनी रॉय, बी) नंदलाल बोस, सी) अमृता शेरगिल, डी) रवींद्रनाथ टैगोर</v>
      </c>
      <c r="I414" s="5" t="str">
        <f>IFERROR(__xludf.DUMMYFUNCTION("GOOGLETRANSLATE(D414, ""en"", ""hi"")"),"A) जामिनी रॉय")</f>
        <v>A) जामिनी रॉय</v>
      </c>
    </row>
    <row r="415" ht="22.5" customHeight="1">
      <c r="A415" s="3">
        <v>414.0</v>
      </c>
      <c r="B415" s="4" t="s">
        <v>7510</v>
      </c>
      <c r="C415" s="4" t="s">
        <v>7470</v>
      </c>
      <c r="D415" s="4" t="s">
        <v>4229</v>
      </c>
      <c r="F415" s="5" t="str">
        <f>IFERROR(__xludf.DUMMYFUNCTION("GOOGLETRANSLATE(A415, ""en"", ""hi"")"),"414")</f>
        <v>414</v>
      </c>
      <c r="G415" s="5" t="str">
        <f>IFERROR(__xludf.DUMMYFUNCTION("GOOGLETRANSLATE(B415, ""en"", ""hi"")"),"20वीं सदी के आरंभ में ग्रामीण परिवेश में कंचे के साथ कौन सा भारतीय खेल पारंपरिक रूप से खेला जाता था?")</f>
        <v>20वीं सदी के आरंभ में ग्रामीण परिवेश में कंचे के साथ कौन सा भारतीय खेल पारंपरिक रूप से खेला जाता था?</v>
      </c>
      <c r="H415" s="5" t="str">
        <f>IFERROR(__xludf.DUMMYFUNCTION("GOOGLETRANSLATE(C415, ""en"", ""hi"")"),"ए) सतोलिया, बी) पिट्टू, सी) गिल्ली डंडा, डी) खो खो")</f>
        <v>ए) सतोलिया, बी) पिट्टू, सी) गिल्ली डंडा, डी) खो खो</v>
      </c>
      <c r="I415" s="5" t="str">
        <f>IFERROR(__xludf.DUMMYFUNCTION("GOOGLETRANSLATE(D415, ""en"", ""hi"")"),"बी) पिट्टू")</f>
        <v>बी) पिट्टू</v>
      </c>
    </row>
    <row r="416" ht="22.5" customHeight="1">
      <c r="A416" s="3">
        <v>415.0</v>
      </c>
      <c r="B416" s="4" t="s">
        <v>7511</v>
      </c>
      <c r="C416" s="4" t="s">
        <v>7512</v>
      </c>
      <c r="D416" s="4" t="s">
        <v>7513</v>
      </c>
      <c r="F416" s="5" t="str">
        <f>IFERROR(__xludf.DUMMYFUNCTION("GOOGLETRANSLATE(A416, ""en"", ""hi"")"),"415")</f>
        <v>415</v>
      </c>
      <c r="G416" s="5" t="str">
        <f>IFERROR(__xludf.DUMMYFUNCTION("GOOGLETRANSLATE(B416, ""en"", ""hi"")"),"औपनिवेशिक काल के दौरान पारंपरिक भारतीय बच्चों की शिक्षा में कंचे की क्या भूमिका थी?")</f>
        <v>औपनिवेशिक काल के दौरान पारंपरिक भारतीय बच्चों की शिक्षा में कंचे की क्या भूमिका थी?</v>
      </c>
      <c r="H416" s="5" t="str">
        <f>IFERROR(__xludf.DUMMYFUNCTION("GOOGLETRANSLATE(C416, ""en"", ""hi"")"),"A) मनोरंजक गतिविधि, B) अंकगणित सीखना, C) सांस्कृतिक शिक्षा, D) अनुष्ठानिक अभ्यास")</f>
        <v>A) मनोरंजक गतिविधि, B) अंकगणित सीखना, C) सांस्कृतिक शिक्षा, D) अनुष्ठानिक अभ्यास</v>
      </c>
      <c r="I416" s="5" t="str">
        <f>IFERROR(__xludf.DUMMYFUNCTION("GOOGLETRANSLATE(D416, ""en"", ""hi"")"),"बी) अंकगणित सीखना")</f>
        <v>बी) अंकगणित सीखना</v>
      </c>
    </row>
    <row r="417" ht="22.5" customHeight="1">
      <c r="A417" s="3">
        <v>416.0</v>
      </c>
      <c r="B417" s="4" t="s">
        <v>7514</v>
      </c>
      <c r="C417" s="4" t="s">
        <v>7515</v>
      </c>
      <c r="D417" s="4" t="s">
        <v>4700</v>
      </c>
      <c r="F417" s="5" t="str">
        <f>IFERROR(__xludf.DUMMYFUNCTION("GOOGLETRANSLATE(A417, ""en"", ""hi"")"),"416")</f>
        <v>416</v>
      </c>
      <c r="G417" s="5" t="str">
        <f>IFERROR(__xludf.DUMMYFUNCTION("GOOGLETRANSLATE(B417, ""en"", ""hi"")"),"20वीं सदी के अंत में सांस्कृतिक उत्सवों के दौरान किस भारतीय राज्य में कंचे खेलों का पुनरुत्थान हुआ?")</f>
        <v>20वीं सदी के अंत में सांस्कृतिक उत्सवों के दौरान किस भारतीय राज्य में कंचे खेलों का पुनरुत्थान हुआ?</v>
      </c>
      <c r="H417" s="5" t="str">
        <f>IFERROR(__xludf.DUMMYFUNCTION("GOOGLETRANSLATE(C417, ""en"", ""hi"")"),"ए) तमिलनाडु, बी) महाराष्ट्र, सी) गुजरात, डी) कर्नाटक")</f>
        <v>ए) तमिलनाडु, बी) महाराष्ट्र, सी) गुजरात, डी) कर्नाटक</v>
      </c>
      <c r="I417" s="5" t="str">
        <f>IFERROR(__xludf.DUMMYFUNCTION("GOOGLETRANSLATE(D417, ""en"", ""hi"")"),"C) गुजरात")</f>
        <v>C) गुजरात</v>
      </c>
    </row>
    <row r="418" ht="22.5" customHeight="1">
      <c r="A418" s="3">
        <v>417.0</v>
      </c>
      <c r="B418" s="4" t="s">
        <v>7516</v>
      </c>
      <c r="C418" s="4" t="s">
        <v>7517</v>
      </c>
      <c r="D418" s="4" t="s">
        <v>4591</v>
      </c>
      <c r="F418" s="5" t="str">
        <f>IFERROR(__xludf.DUMMYFUNCTION("GOOGLETRANSLATE(A418, ""en"", ""hi"")"),"417")</f>
        <v>417</v>
      </c>
      <c r="G418" s="5" t="str">
        <f>IFERROR(__xludf.DUMMYFUNCTION("GOOGLETRANSLATE(B418, ""en"", ""hi"")"),"पारंपरिक भारतीय ग्रामीण मेलों में कंचे का ऐतिहासिक महत्व क्या था?")</f>
        <v>पारंपरिक भारतीय ग्रामीण मेलों में कंचे का ऐतिहासिक महत्व क्या था?</v>
      </c>
      <c r="H418" s="5" t="str">
        <f>IFERROR(__xludf.DUMMYFUNCTION("GOOGLETRANSLATE(C418, ""en"", ""hi"")"),"A) मनोरंजन, B) व्यापार, C) अनुष्ठान, D) जुआ")</f>
        <v>A) मनोरंजन, B) व्यापार, C) अनुष्ठान, D) जुआ</v>
      </c>
      <c r="I418" s="5" t="str">
        <f>IFERROR(__xludf.DUMMYFUNCTION("GOOGLETRANSLATE(D418, ""en"", ""hi"")"),"ए) मनोरंजन")</f>
        <v>ए) मनोरंजन</v>
      </c>
    </row>
    <row r="419" ht="22.5" customHeight="1">
      <c r="A419" s="3">
        <v>418.0</v>
      </c>
      <c r="B419" s="4" t="s">
        <v>7518</v>
      </c>
      <c r="C419" s="4" t="s">
        <v>7519</v>
      </c>
      <c r="D419" s="4" t="s">
        <v>2526</v>
      </c>
      <c r="F419" s="5" t="str">
        <f>IFERROR(__xludf.DUMMYFUNCTION("GOOGLETRANSLATE(A419, ""en"", ""hi"")"),"418")</f>
        <v>418</v>
      </c>
      <c r="G419" s="5" t="str">
        <f>IFERROR(__xludf.DUMMYFUNCTION("GOOGLETRANSLATE(B419, ""en"", ""hi"")"),"प्राचीन भारत के किस ऐतिहासिक ग्रंथ में कंचे जैसे खेलों का उल्लेख है?")</f>
        <v>प्राचीन भारत के किस ऐतिहासिक ग्रंथ में कंचे जैसे खेलों का उल्लेख है?</v>
      </c>
      <c r="H419" s="5" t="str">
        <f>IFERROR(__xludf.DUMMYFUNCTION("GOOGLETRANSLATE(C419, ""en"", ""hi"")"),"ए) मनुस्मृति, बी) अर्थशास्त्र, सी) महाभारत, डी) रामायण")</f>
        <v>ए) मनुस्मृति, बी) अर्थशास्त्र, सी) महाभारत, डी) रामायण</v>
      </c>
      <c r="I419" s="5" t="str">
        <f>IFERROR(__xludf.DUMMYFUNCTION("GOOGLETRANSLATE(D419, ""en"", ""hi"")"),"C) महाभारत")</f>
        <v>C) महाभारत</v>
      </c>
    </row>
    <row r="420" ht="22.5" customHeight="1">
      <c r="A420" s="3">
        <v>419.0</v>
      </c>
      <c r="B420" s="4" t="s">
        <v>7520</v>
      </c>
      <c r="C420" s="4" t="s">
        <v>7521</v>
      </c>
      <c r="D420" s="4" t="s">
        <v>7371</v>
      </c>
      <c r="F420" s="5" t="str">
        <f>IFERROR(__xludf.DUMMYFUNCTION("GOOGLETRANSLATE(A420, ""en"", ""hi"")"),"419")</f>
        <v>419</v>
      </c>
      <c r="G420" s="5" t="str">
        <f>IFERROR(__xludf.DUMMYFUNCTION("GOOGLETRANSLATE(B420, ""en"", ""hi"")"),"किस भारतीय नेता के लेखों में कंचे जैसे पारंपरिक खेलों के संरक्षण का उल्लेख है?")</f>
        <v>किस भारतीय नेता के लेखों में कंचे जैसे पारंपरिक खेलों के संरक्षण का उल्लेख है?</v>
      </c>
      <c r="H420" s="5" t="str">
        <f>IFERROR(__xludf.DUMMYFUNCTION("GOOGLETRANSLATE(C420, ""en"", ""hi"")"),"A) जवाहरलाल नेहरू, B) सरदार पटेल, C) महात्मा गांधी, D) बी. आर. अम्बेडकर")</f>
        <v>A) जवाहरलाल नेहरू, B) सरदार पटेल, C) महात्मा गांधी, D) बी. आर. अम्बेडकर</v>
      </c>
      <c r="I420" s="5" t="str">
        <f>IFERROR(__xludf.DUMMYFUNCTION("GOOGLETRANSLATE(D420, ""en"", ""hi"")"),"C) महात्मा गांधी")</f>
        <v>C) महात्मा गांधी</v>
      </c>
    </row>
    <row r="421" ht="22.5" customHeight="1">
      <c r="A421" s="3">
        <v>420.0</v>
      </c>
      <c r="B421" s="4" t="s">
        <v>7522</v>
      </c>
      <c r="C421" s="4" t="s">
        <v>7408</v>
      </c>
      <c r="D421" s="4" t="s">
        <v>7409</v>
      </c>
      <c r="F421" s="5" t="str">
        <f>IFERROR(__xludf.DUMMYFUNCTION("GOOGLETRANSLATE(A421, ""en"", ""hi"")"),"420")</f>
        <v>420</v>
      </c>
      <c r="G421" s="5" t="str">
        <f>IFERROR(__xludf.DUMMYFUNCTION("GOOGLETRANSLATE(B421, ""en"", ""hi"")"),"किस ऐतिहासिक घटना के कारण भारत में कांच के कांच का बड़े पैमाने पर उत्पादन शुरू हुआ?")</f>
        <v>किस ऐतिहासिक घटना के कारण भारत में कांच के कांच का बड़े पैमाने पर उत्पादन शुरू हुआ?</v>
      </c>
      <c r="H421" s="5" t="str">
        <f>IFERROR(__xludf.DUMMYFUNCTION("GOOGLETRANSLATE(C421, ""en"", ""hi"")"),"A) ब्रिटिश औद्योगिक क्रांति, B) प्रथम विश्व युद्ध के बाद, C) भारतीय स्वतंत्रता, D) औपनिवेशिक शासन")</f>
        <v>A) ब्रिटिश औद्योगिक क्रांति, B) प्रथम विश्व युद्ध के बाद, C) भारतीय स्वतंत्रता, D) औपनिवेशिक शासन</v>
      </c>
      <c r="I421" s="5" t="str">
        <f>IFERROR(__xludf.DUMMYFUNCTION("GOOGLETRANSLATE(D421, ""en"", ""hi"")"),"D) औपनिवेशिक शासन")</f>
        <v>D) औपनिवेशिक शासन</v>
      </c>
    </row>
    <row r="422" ht="22.5" customHeight="1">
      <c r="A422" s="3">
        <v>421.0</v>
      </c>
      <c r="B422" s="4" t="s">
        <v>7523</v>
      </c>
      <c r="C422" s="4" t="s">
        <v>7524</v>
      </c>
      <c r="D422" s="4" t="s">
        <v>7525</v>
      </c>
      <c r="F422" s="5" t="str">
        <f>IFERROR(__xludf.DUMMYFUNCTION("GOOGLETRANSLATE(A422, ""en"", ""hi"")"),"421")</f>
        <v>421</v>
      </c>
      <c r="G422" s="5" t="str">
        <f>IFERROR(__xludf.DUMMYFUNCTION("GOOGLETRANSLATE(B422, ""en"", ""hi"")"),"किस भारतीय सांस्कृतिक प्रथा में बच्चों के लिए शैक्षिक खेलों के दौरान कंचे का उपयोग शामिल है?")</f>
        <v>किस भारतीय सांस्कृतिक प्रथा में बच्चों के लिए शैक्षिक खेलों के दौरान कंचे का उपयोग शामिल है?</v>
      </c>
      <c r="H422" s="5" t="str">
        <f>IFERROR(__xludf.DUMMYFUNCTION("GOOGLETRANSLATE(C422, ""en"", ""hi"")"),"A) गुरुकुल शिक्षा, B) वैदिक स्कूली शिक्षा, C) इस्लामी मदरसे, D) ब्रिटिश स्कूल")</f>
        <v>A) गुरुकुल शिक्षा, B) वैदिक स्कूली शिक्षा, C) इस्लामी मदरसे, D) ब्रिटिश स्कूल</v>
      </c>
      <c r="I422" s="5" t="str">
        <f>IFERROR(__xludf.DUMMYFUNCTION("GOOGLETRANSLATE(D422, ""en"", ""hi"")"),"A) गुरुकुल शिक्षा")</f>
        <v>A) गुरुकुल शिक्षा</v>
      </c>
    </row>
    <row r="423" ht="22.5" customHeight="1">
      <c r="A423" s="3">
        <v>422.0</v>
      </c>
      <c r="B423" s="4" t="s">
        <v>7526</v>
      </c>
      <c r="C423" s="4" t="s">
        <v>7527</v>
      </c>
      <c r="D423" s="4" t="s">
        <v>3918</v>
      </c>
      <c r="F423" s="5" t="str">
        <f>IFERROR(__xludf.DUMMYFUNCTION("GOOGLETRANSLATE(A423, ""en"", ""hi"")"),"422")</f>
        <v>422</v>
      </c>
      <c r="G423" s="5" t="str">
        <f>IFERROR(__xludf.DUMMYFUNCTION("GOOGLETRANSLATE(B423, ""en"", ""hi"")"),"कौन सा भारतीय त्यौहार कंचे जैसे पारंपरिक खेलों को शामिल करने के लिए जाना जाता है?")</f>
        <v>कौन सा भारतीय त्यौहार कंचे जैसे पारंपरिक खेलों को शामिल करने के लिए जाना जाता है?</v>
      </c>
      <c r="H423" s="5" t="str">
        <f>IFERROR(__xludf.DUMMYFUNCTION("GOOGLETRANSLATE(C423, ""en"", ""hi"")"),"ए) पोंगल, बी) मकर संक्रांति, सी) होली, डी) दिवाली")</f>
        <v>ए) पोंगल, बी) मकर संक्रांति, सी) होली, डी) दिवाली</v>
      </c>
      <c r="I423" s="5" t="str">
        <f>IFERROR(__xludf.DUMMYFUNCTION("GOOGLETRANSLATE(D423, ""en"", ""hi"")"),"बी) मकर संक्रांति")</f>
        <v>बी) मकर संक्रांति</v>
      </c>
    </row>
    <row r="424" ht="22.5" customHeight="1">
      <c r="A424" s="3">
        <v>423.0</v>
      </c>
      <c r="B424" s="4" t="s">
        <v>7528</v>
      </c>
      <c r="C424" s="4" t="s">
        <v>7529</v>
      </c>
      <c r="D424" s="4" t="s">
        <v>7530</v>
      </c>
      <c r="F424" s="5" t="str">
        <f>IFERROR(__xludf.DUMMYFUNCTION("GOOGLETRANSLATE(A424, ""en"", ""hi"")"),"423")</f>
        <v>423</v>
      </c>
      <c r="G424" s="5" t="str">
        <f>IFERROR(__xludf.DUMMYFUNCTION("GOOGLETRANSLATE(B424, ""en"", ""hi"")"),"20वीं सदी के प्रारम्भ में भारतीय गांवों में कंचे का प्राथमिक उपयोग क्या था?")</f>
        <v>20वीं सदी के प्रारम्भ में भारतीय गांवों में कंचे का प्राथमिक उपयोग क्या था?</v>
      </c>
      <c r="H424" s="5" t="str">
        <f>IFERROR(__xludf.DUMMYFUNCTION("GOOGLETRANSLATE(C424, ""en"", ""hi"")"),"A) मनोरंजक खेल, B) शैक्षिक उपकरण, C) अनुष्ठानिक अभ्यास, D) व्यापार")</f>
        <v>A) मनोरंजक खेल, B) शैक्षिक उपकरण, C) अनुष्ठानिक अभ्यास, D) व्यापार</v>
      </c>
      <c r="I424" s="5" t="str">
        <f>IFERROR(__xludf.DUMMYFUNCTION("GOOGLETRANSLATE(D424, ""en"", ""hi"")"),"A) मनोरंजक खेल")</f>
        <v>A) मनोरंजक खेल</v>
      </c>
    </row>
    <row r="425" ht="22.5" customHeight="1">
      <c r="A425" s="3">
        <v>424.0</v>
      </c>
      <c r="B425" s="4" t="s">
        <v>7531</v>
      </c>
      <c r="C425" s="4" t="s">
        <v>7453</v>
      </c>
      <c r="D425" s="4" t="s">
        <v>7454</v>
      </c>
      <c r="F425" s="5" t="str">
        <f>IFERROR(__xludf.DUMMYFUNCTION("GOOGLETRANSLATE(A425, ""en"", ""hi"")"),"424")</f>
        <v>424</v>
      </c>
      <c r="G425" s="5" t="str">
        <f>IFERROR(__xludf.DUMMYFUNCTION("GOOGLETRANSLATE(B425, ""en"", ""hi"")"),"किस भारतीय क्षेत्र के ऐतिहासिक विवरण में कंचे को बच्चों के लिए एक लोकप्रिय मनोरंजन के रूप में वर्णित किया गया है?")</f>
        <v>किस भारतीय क्षेत्र के ऐतिहासिक विवरण में कंचे को बच्चों के लिए एक लोकप्रिय मनोरंजन के रूप में वर्णित किया गया है?</v>
      </c>
      <c r="H425" s="5" t="str">
        <f>IFERROR(__xludf.DUMMYFUNCTION("GOOGLETRANSLATE(C425, ""en"", ""hi"")"),"A) दक्षिणी भारत, B) उत्तरी भारत, C) पश्चिमी भारत, D) पूर्वी भारत")</f>
        <v>A) दक्षिणी भारत, B) उत्तरी भारत, C) पश्चिमी भारत, D) पूर्वी भारत</v>
      </c>
      <c r="I425" s="5" t="str">
        <f>IFERROR(__xludf.DUMMYFUNCTION("GOOGLETRANSLATE(D425, ""en"", ""hi"")"),"A) दक्षिणी भारत")</f>
        <v>A) दक्षिणी भारत</v>
      </c>
    </row>
    <row r="426" ht="22.5" customHeight="1">
      <c r="A426" s="3">
        <v>425.0</v>
      </c>
      <c r="B426" s="4" t="s">
        <v>7532</v>
      </c>
      <c r="C426" s="4" t="s">
        <v>7533</v>
      </c>
      <c r="D426" s="4" t="s">
        <v>49</v>
      </c>
      <c r="F426" s="5" t="str">
        <f>IFERROR(__xludf.DUMMYFUNCTION("GOOGLETRANSLATE(A426, ""en"", ""hi"")"),"425")</f>
        <v>425</v>
      </c>
      <c r="G426" s="5" t="str">
        <f>IFERROR(__xludf.DUMMYFUNCTION("GOOGLETRANSLATE(B426, ""en"", ""hi"")"),"कौन सा भारतीय राज्य पारंपरिक खेलों में हस्तनिर्मित कंचे के ऐतिहासिक उपयोग के लिए जाना जाता है?")</f>
        <v>कौन सा भारतीय राज्य पारंपरिक खेलों में हस्तनिर्मित कंचे के ऐतिहासिक उपयोग के लिए जाना जाता है?</v>
      </c>
      <c r="H426" s="5" t="str">
        <f>IFERROR(__xludf.DUMMYFUNCTION("GOOGLETRANSLATE(C426, ""en"", ""hi"")"),"A) गुजरात, B) कर्नाटक, C) तमिलनाडु, D) आंध्र प्रदेश")</f>
        <v>A) गुजरात, B) कर्नाटक, C) तमिलनाडु, D) आंध्र प्रदेश</v>
      </c>
      <c r="I426" s="5" t="str">
        <f>IFERROR(__xludf.DUMMYFUNCTION("GOOGLETRANSLATE(D426, ""en"", ""hi"")"),"A) गुजरात")</f>
        <v>A) गुजरात</v>
      </c>
    </row>
    <row r="427" ht="22.5" customHeight="1">
      <c r="A427" s="3">
        <v>426.0</v>
      </c>
      <c r="B427" s="4" t="s">
        <v>7534</v>
      </c>
      <c r="C427" s="4" t="s">
        <v>7358</v>
      </c>
      <c r="D427" s="4" t="s">
        <v>7359</v>
      </c>
      <c r="F427" s="5" t="str">
        <f>IFERROR(__xludf.DUMMYFUNCTION("GOOGLETRANSLATE(A427, ""en"", ""hi"")"),"426")</f>
        <v>426</v>
      </c>
      <c r="G427" s="5" t="str">
        <f>IFERROR(__xludf.DUMMYFUNCTION("GOOGLETRANSLATE(B427, ""en"", ""hi"")"),"कौन सा भारतीय कवि अपनी रचनाओं में कांचे का उल्लेख करने के लिए जाना जाता है?")</f>
        <v>कौन सा भारतीय कवि अपनी रचनाओं में कांचे का उल्लेख करने के लिए जाना जाता है?</v>
      </c>
      <c r="H427" s="5" t="str">
        <f>IFERROR(__xludf.DUMMYFUNCTION("GOOGLETRANSLATE(C427, ""en"", ""hi"")"),"ए) रवीन्द्रनाथ टैगोर, बी) केकी एन दारूवाला, सी) आगा शाहिद अली, डी) विक्रम सेठ")</f>
        <v>ए) रवीन्द्रनाथ टैगोर, बी) केकी एन दारूवाला, सी) आगा शाहिद अली, डी) विक्रम सेठ</v>
      </c>
      <c r="I427" s="5" t="str">
        <f>IFERROR(__xludf.DUMMYFUNCTION("GOOGLETRANSLATE(D427, ""en"", ""hi"")"),"A) रवींद्रनाथ टैगोर")</f>
        <v>A) रवींद्रनाथ टैगोर</v>
      </c>
    </row>
    <row r="428" ht="22.5" customHeight="1">
      <c r="A428" s="3">
        <v>427.0</v>
      </c>
      <c r="B428" s="4" t="s">
        <v>7535</v>
      </c>
      <c r="C428" s="4" t="s">
        <v>7508</v>
      </c>
      <c r="D428" s="4" t="s">
        <v>7509</v>
      </c>
      <c r="F428" s="5" t="str">
        <f>IFERROR(__xludf.DUMMYFUNCTION("GOOGLETRANSLATE(A428, ""en"", ""hi"")"),"427")</f>
        <v>427</v>
      </c>
      <c r="G428" s="5" t="str">
        <f>IFERROR(__xludf.DUMMYFUNCTION("GOOGLETRANSLATE(B428, ""en"", ""hi"")"),"किस भारतीय कलाकार ने पारंपरिक कला रूपों में कंचे के खेल को चित्रित किया है?")</f>
        <v>किस भारतीय कलाकार ने पारंपरिक कला रूपों में कंचे के खेल को चित्रित किया है?</v>
      </c>
      <c r="H428" s="5" t="str">
        <f>IFERROR(__xludf.DUMMYFUNCTION("GOOGLETRANSLATE(C428, ""en"", ""hi"")"),"ए) जामिनी रॉय, बी) नंदलाल बोस, सी) अमृता शेरगिल, डी) रवींद्रनाथ टैगोर")</f>
        <v>ए) जामिनी रॉय, बी) नंदलाल बोस, सी) अमृता शेरगिल, डी) रवींद्रनाथ टैगोर</v>
      </c>
      <c r="I428" s="5" t="str">
        <f>IFERROR(__xludf.DUMMYFUNCTION("GOOGLETRANSLATE(D428, ""en"", ""hi"")"),"A) जामिनी रॉय")</f>
        <v>A) जामिनी रॉय</v>
      </c>
    </row>
    <row r="429" ht="22.5" customHeight="1">
      <c r="A429" s="3">
        <v>428.0</v>
      </c>
      <c r="B429" s="4" t="s">
        <v>7536</v>
      </c>
      <c r="C429" s="4" t="s">
        <v>7398</v>
      </c>
      <c r="D429" s="4" t="s">
        <v>7399</v>
      </c>
      <c r="F429" s="5" t="str">
        <f>IFERROR(__xludf.DUMMYFUNCTION("GOOGLETRANSLATE(A429, ""en"", ""hi"")"),"428")</f>
        <v>428</v>
      </c>
      <c r="G429" s="5" t="str">
        <f>IFERROR(__xludf.DUMMYFUNCTION("GOOGLETRANSLATE(B429, ""en"", ""hi"")"),"कुछ भारतीय क्षेत्रों में कंचे को मुद्रा के रूप में प्रयोग करने की कौन सी ऐतिहासिक प्रथा थी?")</f>
        <v>कुछ भारतीय क्षेत्रों में कंचे को मुद्रा के रूप में प्रयोग करने की कौन सी ऐतिहासिक प्रथा थी?</v>
      </c>
      <c r="H429" s="5" t="str">
        <f>IFERROR(__xludf.DUMMYFUNCTION("GOOGLETRANSLATE(C429, ""en"", ""hi"")"),"A) व्यापार, B) सट्टा, C) जुआ, D) उपहार देना")</f>
        <v>A) व्यापार, B) सट्टा, C) जुआ, D) उपहार देना</v>
      </c>
      <c r="I429" s="5" t="str">
        <f>IFERROR(__xludf.DUMMYFUNCTION("GOOGLETRANSLATE(D429, ""en"", ""hi"")"),"बी) सट्टेबाजी")</f>
        <v>बी) सट्टेबाजी</v>
      </c>
    </row>
    <row r="430" ht="22.5" customHeight="1">
      <c r="A430" s="3">
        <v>429.0</v>
      </c>
      <c r="B430" s="4" t="s">
        <v>7537</v>
      </c>
      <c r="C430" s="4" t="s">
        <v>4606</v>
      </c>
      <c r="D430" s="4" t="s">
        <v>2893</v>
      </c>
      <c r="F430" s="5" t="str">
        <f>IFERROR(__xludf.DUMMYFUNCTION("GOOGLETRANSLATE(A430, ""en"", ""hi"")"),"429")</f>
        <v>429</v>
      </c>
      <c r="G430" s="5" t="str">
        <f>IFERROR(__xludf.DUMMYFUNCTION("GOOGLETRANSLATE(B430, ""en"", ""hi"")"),"किस भारतीय त्यौहार में सामुदायिक खेलों में कंचे को पारंपरिक रूप से शामिल किया जाता है?")</f>
        <v>किस भारतीय त्यौहार में सामुदायिक खेलों में कंचे को पारंपरिक रूप से शामिल किया जाता है?</v>
      </c>
      <c r="H430" s="5" t="str">
        <f>IFERROR(__xludf.DUMMYFUNCTION("GOOGLETRANSLATE(C430, ""en"", ""hi"")"),"ए) पोंगल, बी) दिवाली, सी) होली, डी) मकर संक्रांति")</f>
        <v>ए) पोंगल, बी) दिवाली, सी) होली, डी) मकर संक्रांति</v>
      </c>
      <c r="I430" s="5" t="str">
        <f>IFERROR(__xludf.DUMMYFUNCTION("GOOGLETRANSLATE(D430, ""en"", ""hi"")"),"D) मकर संक्रांति")</f>
        <v>D) मकर संक्रांति</v>
      </c>
    </row>
    <row r="431" ht="22.5" customHeight="1">
      <c r="A431" s="3">
        <v>430.0</v>
      </c>
      <c r="B431" s="4" t="s">
        <v>7538</v>
      </c>
      <c r="C431" s="4" t="s">
        <v>7539</v>
      </c>
      <c r="D431" s="4" t="s">
        <v>7540</v>
      </c>
      <c r="F431" s="5" t="str">
        <f>IFERROR(__xludf.DUMMYFUNCTION("GOOGLETRANSLATE(A431, ""en"", ""hi"")"),"430")</f>
        <v>430</v>
      </c>
      <c r="G431" s="5" t="str">
        <f>IFERROR(__xludf.DUMMYFUNCTION("GOOGLETRANSLATE(B431, ""en"", ""hi"")"),"भारत में कंचे के उत्पादन पर ब्रिटिश औपनिवेशिक शासन का क्या प्रभाव पड़ा?")</f>
        <v>भारत में कंचे के उत्पादन पर ब्रिटिश औपनिवेशिक शासन का क्या प्रभाव पड़ा?</v>
      </c>
      <c r="H431" s="5" t="str">
        <f>IFERROR(__xludf.DUMMYFUNCTION("GOOGLETRANSLATE(C431, ""en"", ""hi"")"),"A) बढ़ती लोकप्रियता, B) नई सामग्रियों का परिचय, C) पारंपरिक उत्पादन में गिरावट, D) मानकीकरण")</f>
        <v>A) बढ़ती लोकप्रियता, B) नई सामग्रियों का परिचय, C) पारंपरिक उत्पादन में गिरावट, D) मानकीकरण</v>
      </c>
      <c r="I431" s="5" t="str">
        <f>IFERROR(__xludf.DUMMYFUNCTION("GOOGLETRANSLATE(D431, ""en"", ""hi"")"),"C) पारंपरिक उत्पादन में गिरावट")</f>
        <v>C) पारंपरिक उत्पादन में गिरावट</v>
      </c>
    </row>
    <row r="432" ht="22.5" customHeight="1">
      <c r="A432" s="3">
        <v>431.0</v>
      </c>
      <c r="B432" s="4" t="s">
        <v>7541</v>
      </c>
      <c r="C432" s="4" t="s">
        <v>7542</v>
      </c>
      <c r="D432" s="4" t="s">
        <v>7543</v>
      </c>
      <c r="F432" s="5" t="str">
        <f>IFERROR(__xludf.DUMMYFUNCTION("GOOGLETRANSLATE(A432, ""en"", ""hi"")"),"431")</f>
        <v>431</v>
      </c>
      <c r="G432" s="5" t="str">
        <f>IFERROR(__xludf.DUMMYFUNCTION("GOOGLETRANSLATE(B432, ""en"", ""hi"")"),"किस भारतीय लेखक ने अपने लेखन में कांचे के सांस्कृतिक महत्व को प्रलेखित किया है?")</f>
        <v>किस भारतीय लेखक ने अपने लेखन में कांचे के सांस्कृतिक महत्व को प्रलेखित किया है?</v>
      </c>
      <c r="H432" s="5" t="str">
        <f>IFERROR(__xludf.DUMMYFUNCTION("GOOGLETRANSLATE(C432, ""en"", ""hi"")"),"A) रस्किन बॉन्ड, B) खुशवंत सिंह, C) विक्रम सेठ, D) चेतन भगत")</f>
        <v>A) रस्किन बॉन्ड, B) खुशवंत सिंह, C) विक्रम सेठ, D) चेतन भगत</v>
      </c>
      <c r="I432" s="5" t="str">
        <f>IFERROR(__xludf.DUMMYFUNCTION("GOOGLETRANSLATE(D432, ""en"", ""hi"")"),"A) रस्किन बॉन्ड")</f>
        <v>A) रस्किन बॉन्ड</v>
      </c>
    </row>
    <row r="433" ht="22.5" customHeight="1">
      <c r="A433" s="3">
        <v>432.0</v>
      </c>
      <c r="B433" s="4" t="s">
        <v>7544</v>
      </c>
      <c r="C433" s="4" t="s">
        <v>7443</v>
      </c>
      <c r="D433" s="4" t="s">
        <v>7444</v>
      </c>
      <c r="F433" s="5" t="str">
        <f>IFERROR(__xludf.DUMMYFUNCTION("GOOGLETRANSLATE(A433, ""en"", ""hi"")"),"432")</f>
        <v>432</v>
      </c>
      <c r="G433" s="5" t="str">
        <f>IFERROR(__xludf.DUMMYFUNCTION("GOOGLETRANSLATE(B433, ""en"", ""hi"")"),"किस ऐतिहासिक घटना के कारण भारत में प्लास्टिक कांच का विकास हुआ?")</f>
        <v>किस ऐतिहासिक घटना के कारण भारत में प्लास्टिक कांच का विकास हुआ?</v>
      </c>
      <c r="H433" s="5" t="str">
        <f>IFERROR(__xludf.DUMMYFUNCTION("GOOGLETRANSLATE(C433, ""en"", ""hi"")"),"A) द्वितीय विश्व युद्ध के बाद का औद्योगीकरण, B) आर्थिक उदारीकरण, C) हरित क्रांति, D) डिजिटल युग")</f>
        <v>A) द्वितीय विश्व युद्ध के बाद का औद्योगीकरण, B) आर्थिक उदारीकरण, C) हरित क्रांति, D) डिजिटल युग</v>
      </c>
      <c r="I433" s="5" t="str">
        <f>IFERROR(__xludf.DUMMYFUNCTION("GOOGLETRANSLATE(D433, ""en"", ""hi"")"),"A) द्वितीय विश्व युद्ध के बाद का औद्योगीकरण")</f>
        <v>A) द्वितीय विश्व युद्ध के बाद का औद्योगीकरण</v>
      </c>
    </row>
    <row r="434" ht="22.5" customHeight="1">
      <c r="A434" s="3">
        <v>433.0</v>
      </c>
      <c r="B434" s="4" t="s">
        <v>7545</v>
      </c>
      <c r="C434" s="4" t="s">
        <v>7546</v>
      </c>
      <c r="D434" s="4" t="s">
        <v>4591</v>
      </c>
      <c r="F434" s="5" t="str">
        <f>IFERROR(__xludf.DUMMYFUNCTION("GOOGLETRANSLATE(A434, ""en"", ""hi"")"),"433")</f>
        <v>433</v>
      </c>
      <c r="G434" s="5" t="str">
        <f>IFERROR(__xludf.DUMMYFUNCTION("GOOGLETRANSLATE(B434, ""en"", ""hi"")"),"पारंपरिक भारतीय त्योहारों और मेलों में कंचे की ऐतिहासिक भूमिका क्या थी?")</f>
        <v>पारंपरिक भारतीय त्योहारों और मेलों में कंचे की ऐतिहासिक भूमिका क्या थी?</v>
      </c>
      <c r="H434" s="5" t="str">
        <f>IFERROR(__xludf.DUMMYFUNCTION("GOOGLETRANSLATE(C434, ""en"", ""hi"")"),"A) मनोरंजन, B) अनुष्ठानिक प्रथा, C) व्यापार, D) शिक्षा")</f>
        <v>A) मनोरंजन, B) अनुष्ठानिक प्रथा, C) व्यापार, D) शिक्षा</v>
      </c>
      <c r="I434" s="5" t="str">
        <f>IFERROR(__xludf.DUMMYFUNCTION("GOOGLETRANSLATE(D434, ""en"", ""hi"")"),"ए) मनोरंजन")</f>
        <v>ए) मनोरंजन</v>
      </c>
    </row>
    <row r="435" ht="22.5" customHeight="1">
      <c r="A435" s="3">
        <v>434.0</v>
      </c>
      <c r="B435" s="4" t="s">
        <v>7547</v>
      </c>
      <c r="C435" s="4" t="s">
        <v>7548</v>
      </c>
      <c r="D435" s="4" t="s">
        <v>49</v>
      </c>
      <c r="F435" s="5" t="str">
        <f>IFERROR(__xludf.DUMMYFUNCTION("GOOGLETRANSLATE(A435, ""en"", ""hi"")"),"434")</f>
        <v>434</v>
      </c>
      <c r="G435" s="5" t="str">
        <f>IFERROR(__xludf.DUMMYFUNCTION("GOOGLETRANSLATE(B435, ""en"", ""hi"")"),"कौन सा भारतीय राज्य अद्वितीय कंचे डिजाइन बनाने की ऐतिहासिक परंपरा के लिए जाना जाता है?")</f>
        <v>कौन सा भारतीय राज्य अद्वितीय कंचे डिजाइन बनाने की ऐतिहासिक परंपरा के लिए जाना जाता है?</v>
      </c>
      <c r="H435" s="5" t="str">
        <f>IFERROR(__xludf.DUMMYFUNCTION("GOOGLETRANSLATE(C435, ""en"", ""hi"")"),"ए) गुजरात, बी) तमिलनाडु, सी) कर्नाटक, डी) महाराष्ट्र")</f>
        <v>ए) गुजरात, बी) तमिलनाडु, सी) कर्नाटक, डी) महाराष्ट्र</v>
      </c>
      <c r="I435" s="5" t="str">
        <f>IFERROR(__xludf.DUMMYFUNCTION("GOOGLETRANSLATE(D435, ""en"", ""hi"")"),"A) गुजरात")</f>
        <v>A) गुजरात</v>
      </c>
    </row>
    <row r="436" ht="22.5" customHeight="1">
      <c r="A436" s="3">
        <v>435.0</v>
      </c>
      <c r="B436" s="4" t="s">
        <v>7549</v>
      </c>
      <c r="C436" s="4" t="s">
        <v>7524</v>
      </c>
      <c r="D436" s="4" t="s">
        <v>7525</v>
      </c>
      <c r="F436" s="5" t="str">
        <f>IFERROR(__xludf.DUMMYFUNCTION("GOOGLETRANSLATE(A436, ""en"", ""hi"")"),"435")</f>
        <v>435</v>
      </c>
      <c r="G436" s="5" t="str">
        <f>IFERROR(__xludf.DUMMYFUNCTION("GOOGLETRANSLATE(B436, ""en"", ""hi"")"),"किस भारतीय शैक्षिक पद्धति में कांचे को शिक्षण उपकरण के रूप में प्रयोग किया जाता था?")</f>
        <v>किस भारतीय शैक्षिक पद्धति में कांचे को शिक्षण उपकरण के रूप में प्रयोग किया जाता था?</v>
      </c>
      <c r="H436" s="5" t="str">
        <f>IFERROR(__xludf.DUMMYFUNCTION("GOOGLETRANSLATE(C436, ""en"", ""hi"")"),"A) गुरुकुल शिक्षा, B) वैदिक स्कूली शिक्षा, C) इस्लामी मदरसे, D) ब्रिटिश स्कूल")</f>
        <v>A) गुरुकुल शिक्षा, B) वैदिक स्कूली शिक्षा, C) इस्लामी मदरसे, D) ब्रिटिश स्कूल</v>
      </c>
      <c r="I436" s="5" t="str">
        <f>IFERROR(__xludf.DUMMYFUNCTION("GOOGLETRANSLATE(D436, ""en"", ""hi"")"),"A) गुरुकुल शिक्षा")</f>
        <v>A) गुरुकुल शिक्षा</v>
      </c>
    </row>
    <row r="437" ht="22.5" customHeight="1">
      <c r="A437" s="3">
        <v>436.0</v>
      </c>
      <c r="B437" s="4" t="s">
        <v>7550</v>
      </c>
      <c r="C437" s="4" t="s">
        <v>3733</v>
      </c>
      <c r="D437" s="4" t="s">
        <v>222</v>
      </c>
      <c r="F437" s="5" t="str">
        <f>IFERROR(__xludf.DUMMYFUNCTION("GOOGLETRANSLATE(A437, ""en"", ""hi"")"),"436")</f>
        <v>436</v>
      </c>
      <c r="G437" s="5" t="str">
        <f>IFERROR(__xludf.DUMMYFUNCTION("GOOGLETRANSLATE(B437, ""en"", ""hi"")"),"प्राचीन भारत के किस ऐतिहासिक दस्तावेज में कंचे जैसे खेलों का उल्लेख है?")</f>
        <v>प्राचीन भारत के किस ऐतिहासिक दस्तावेज में कंचे जैसे खेलों का उल्लेख है?</v>
      </c>
      <c r="H437" s="5" t="str">
        <f>IFERROR(__xludf.DUMMYFUNCTION("GOOGLETRANSLATE(C437, ""en"", ""hi"")"),"ए) महाभारत, बी) रामायण, सी) अर्थशास्त्र, डी) मनुस्मृति")</f>
        <v>ए) महाभारत, बी) रामायण, सी) अर्थशास्त्र, डी) मनुस्मृति</v>
      </c>
      <c r="I437" s="5" t="str">
        <f>IFERROR(__xludf.DUMMYFUNCTION("GOOGLETRANSLATE(D437, ""en"", ""hi"")"),"A) महाभारत")</f>
        <v>A) महाभारत</v>
      </c>
    </row>
    <row r="438" ht="22.5" customHeight="1">
      <c r="A438" s="3">
        <v>437.0</v>
      </c>
      <c r="B438" s="4" t="s">
        <v>7551</v>
      </c>
      <c r="C438" s="4" t="s">
        <v>7475</v>
      </c>
      <c r="D438" s="4" t="s">
        <v>7222</v>
      </c>
      <c r="F438" s="5" t="str">
        <f>IFERROR(__xludf.DUMMYFUNCTION("GOOGLETRANSLATE(A438, ""en"", ""hi"")"),"437")</f>
        <v>437</v>
      </c>
      <c r="G438" s="5" t="str">
        <f>IFERROR(__xludf.DUMMYFUNCTION("GOOGLETRANSLATE(B438, ""en"", ""hi"")"),"किस भारतीय नेता के लेखों में कंचे जैसे पारंपरिक खेलों के संरक्षण के महत्व का उल्लेख है?")</f>
        <v>किस भारतीय नेता के लेखों में कंचे जैसे पारंपरिक खेलों के संरक्षण के महत्व का उल्लेख है?</v>
      </c>
      <c r="H438" s="5" t="str">
        <f>IFERROR(__xludf.DUMMYFUNCTION("GOOGLETRANSLATE(C438, ""en"", ""hi"")"),"A) महात्मा गांधी, B) जवाहरलाल नेहरू, C) सरदार पटेल, D) बी. आर. अम्बेडकर")</f>
        <v>A) महात्मा गांधी, B) जवाहरलाल नेहरू, C) सरदार पटेल, D) बी. आर. अम्बेडकर</v>
      </c>
      <c r="I438" s="5" t="str">
        <f>IFERROR(__xludf.DUMMYFUNCTION("GOOGLETRANSLATE(D438, ""en"", ""hi"")"),"A) महात्मा गांधी")</f>
        <v>A) महात्मा गांधी</v>
      </c>
    </row>
    <row r="439" ht="22.5" customHeight="1">
      <c r="A439" s="3">
        <v>438.0</v>
      </c>
      <c r="B439" s="4" t="s">
        <v>7552</v>
      </c>
      <c r="C439" s="4" t="s">
        <v>4239</v>
      </c>
      <c r="D439" s="4" t="s">
        <v>2526</v>
      </c>
      <c r="F439" s="5" t="str">
        <f>IFERROR(__xludf.DUMMYFUNCTION("GOOGLETRANSLATE(A439, ""en"", ""hi"")"),"438")</f>
        <v>438</v>
      </c>
      <c r="G439" s="5" t="str">
        <f>IFERROR(__xludf.DUMMYFUNCTION("GOOGLETRANSLATE(B439, ""en"", ""hi"")"),"किस प्राचीन भारतीय ग्रंथ में कंचे जैसे छोटे गोल वस्तुओं से जुड़े खेलों का उल्लेख है?")</f>
        <v>किस प्राचीन भारतीय ग्रंथ में कंचे जैसे छोटे गोल वस्तुओं से जुड़े खेलों का उल्लेख है?</v>
      </c>
      <c r="H439" s="5" t="str">
        <f>IFERROR(__xludf.DUMMYFUNCTION("GOOGLETRANSLATE(C439, ""en"", ""hi"")"),"ए) अर्थशास्त्र, बी) रामायण, सी) महाभारत, डी) मनुस्मृति")</f>
        <v>ए) अर्थशास्त्र, बी) रामायण, सी) महाभारत, डी) मनुस्मृति</v>
      </c>
      <c r="I439" s="5" t="str">
        <f>IFERROR(__xludf.DUMMYFUNCTION("GOOGLETRANSLATE(D439, ""en"", ""hi"")"),"C) महाभारत")</f>
        <v>C) महाभारत</v>
      </c>
    </row>
    <row r="440" ht="22.5" customHeight="1">
      <c r="A440" s="3">
        <v>439.0</v>
      </c>
      <c r="B440" s="4" t="s">
        <v>7553</v>
      </c>
      <c r="C440" s="4" t="s">
        <v>7554</v>
      </c>
      <c r="D440" s="4" t="s">
        <v>7555</v>
      </c>
      <c r="F440" s="5" t="str">
        <f>IFERROR(__xludf.DUMMYFUNCTION("GOOGLETRANSLATE(A440, ""en"", ""hi"")"),"439")</f>
        <v>439</v>
      </c>
      <c r="G440" s="5" t="str">
        <f>IFERROR(__xludf.DUMMYFUNCTION("GOOGLETRANSLATE(B440, ""en"", ""hi"")"),"किस ऐतिहासिक काल में कंचे भारतीय गांवों में लोकप्रिय हो गए?")</f>
        <v>किस ऐतिहासिक काल में कंचे भारतीय गांवों में लोकप्रिय हो गए?</v>
      </c>
      <c r="H440" s="5" t="str">
        <f>IFERROR(__xludf.DUMMYFUNCTION("GOOGLETRANSLATE(C440, ""en"", ""hi"")"),"A) मौर्य काल, B) गुप्त काल, C) मुगल काल, D) औपनिवेशिक काल")</f>
        <v>A) मौर्य काल, B) गुप्त काल, C) मुगल काल, D) औपनिवेशिक काल</v>
      </c>
      <c r="I440" s="5" t="str">
        <f>IFERROR(__xludf.DUMMYFUNCTION("GOOGLETRANSLATE(D440, ""en"", ""hi"")"),"D) औपनिवेशिक काल")</f>
        <v>D) औपनिवेशिक काल</v>
      </c>
    </row>
    <row r="441" ht="22.5" customHeight="1">
      <c r="A441" s="3">
        <v>440.0</v>
      </c>
      <c r="B441" s="4" t="s">
        <v>7556</v>
      </c>
      <c r="C441" s="4" t="s">
        <v>7557</v>
      </c>
      <c r="D441" s="4" t="s">
        <v>49</v>
      </c>
      <c r="F441" s="5" t="str">
        <f>IFERROR(__xludf.DUMMYFUNCTION("GOOGLETRANSLATE(A441, ""en"", ""hi"")"),"440")</f>
        <v>440</v>
      </c>
      <c r="G441" s="5" t="str">
        <f>IFERROR(__xludf.DUMMYFUNCTION("GOOGLETRANSLATE(B441, ""en"", ""hi"")"),"20वीं सदी के प्रारम्भ में कौन सा भारतीय राज्य कांच के कांच उत्पादन के लिए जाना जाता था?")</f>
        <v>20वीं सदी के प्रारम्भ में कौन सा भारतीय राज्य कांच के कांच उत्पादन के लिए जाना जाता था?</v>
      </c>
      <c r="H441" s="5" t="str">
        <f>IFERROR(__xludf.DUMMYFUNCTION("GOOGLETRANSLATE(C441, ""en"", ""hi"")"),"ए) गुजरात, बी) महाराष्ट्र, सी) तमिलनाडु, डी) पंजाब")</f>
        <v>ए) गुजरात, बी) महाराष्ट्र, सी) तमिलनाडु, डी) पंजाब</v>
      </c>
      <c r="I441" s="5" t="str">
        <f>IFERROR(__xludf.DUMMYFUNCTION("GOOGLETRANSLATE(D441, ""en"", ""hi"")"),"A) गुजरात")</f>
        <v>A) गुजरात</v>
      </c>
    </row>
    <row r="442" ht="22.5" customHeight="1">
      <c r="A442" s="3">
        <v>441.0</v>
      </c>
      <c r="B442" s="4" t="s">
        <v>7558</v>
      </c>
      <c r="C442" s="4" t="s">
        <v>7559</v>
      </c>
      <c r="D442" s="4" t="s">
        <v>7560</v>
      </c>
      <c r="F442" s="5" t="str">
        <f>IFERROR(__xludf.DUMMYFUNCTION("GOOGLETRANSLATE(A442, ""en"", ""hi"")"),"441")</f>
        <v>441</v>
      </c>
      <c r="G442" s="5" t="str">
        <f>IFERROR(__xludf.DUMMYFUNCTION("GOOGLETRANSLATE(B442, ""en"", ""hi"")"),"किस औपनिवेशिक प्रभाव ने भारत में कांच के कांच को पेश किया?")</f>
        <v>किस औपनिवेशिक प्रभाव ने भारत में कांच के कांच को पेश किया?</v>
      </c>
      <c r="H442" s="5" t="str">
        <f>IFERROR(__xludf.DUMMYFUNCTION("GOOGLETRANSLATE(C442, ""en"", ""hi"")"),"A) पुर्तगाली, B) डच, C) ब्रिटिश, D) फ्रांसीसी")</f>
        <v>A) पुर्तगाली, B) डच, C) ब्रिटिश, D) फ्रांसीसी</v>
      </c>
      <c r="I442" s="5" t="str">
        <f>IFERROR(__xludf.DUMMYFUNCTION("GOOGLETRANSLATE(D442, ""en"", ""hi"")"),"C) ब्रिटिश")</f>
        <v>C) ब्रिटिश</v>
      </c>
    </row>
    <row r="443" ht="22.5" customHeight="1">
      <c r="A443" s="3">
        <v>442.0</v>
      </c>
      <c r="B443" s="4" t="s">
        <v>7561</v>
      </c>
      <c r="C443" s="4" t="s">
        <v>7562</v>
      </c>
      <c r="D443" s="4" t="s">
        <v>7563</v>
      </c>
      <c r="F443" s="5" t="str">
        <f>IFERROR(__xludf.DUMMYFUNCTION("GOOGLETRANSLATE(A443, ""en"", ""hi"")"),"442")</f>
        <v>442</v>
      </c>
      <c r="G443" s="5" t="str">
        <f>IFERROR(__xludf.DUMMYFUNCTION("GOOGLETRANSLATE(B443, ""en"", ""hi"")"),"किस ऐतिहासिक संदर्भ में कांचे का उपयोग बच्चों को अंकगणित सिखाने के लिए एक उपकरण के रूप में किया गया था?")</f>
        <v>किस ऐतिहासिक संदर्भ में कांचे का उपयोग बच्चों को अंकगणित सिखाने के लिए एक उपकरण के रूप में किया गया था?</v>
      </c>
      <c r="H443" s="5" t="str">
        <f>IFERROR(__xludf.DUMMYFUNCTION("GOOGLETRANSLATE(C443, ""en"", ""hi"")"),"A) प्राचीन भारतीय स्कूल, B) औपनिवेशिक मिशनरी स्कूल, C) ब्रिटिश बोर्डिंग स्कूल, D) स्वतंत्रता के बाद के स्कूल")</f>
        <v>A) प्राचीन भारतीय स्कूल, B) औपनिवेशिक मिशनरी स्कूल, C) ब्रिटिश बोर्डिंग स्कूल, D) स्वतंत्रता के बाद के स्कूल</v>
      </c>
      <c r="I443" s="5" t="str">
        <f>IFERROR(__xludf.DUMMYFUNCTION("GOOGLETRANSLATE(D443, ""en"", ""hi"")"),"बी) औपनिवेशिक मिशनरी स्कूल")</f>
        <v>बी) औपनिवेशिक मिशनरी स्कूल</v>
      </c>
    </row>
    <row r="444" ht="22.5" customHeight="1">
      <c r="A444" s="3">
        <v>443.0</v>
      </c>
      <c r="B444" s="4" t="s">
        <v>7564</v>
      </c>
      <c r="C444" s="4" t="s">
        <v>4606</v>
      </c>
      <c r="D444" s="4" t="s">
        <v>2893</v>
      </c>
      <c r="F444" s="5" t="str">
        <f>IFERROR(__xludf.DUMMYFUNCTION("GOOGLETRANSLATE(A444, ""en"", ""hi"")"),"443")</f>
        <v>443</v>
      </c>
      <c r="G444" s="5" t="str">
        <f>IFERROR(__xludf.DUMMYFUNCTION("GOOGLETRANSLATE(B444, ""en"", ""hi"")"),"20वीं सदी के आरंभ में किस भारतीय त्यौहार में बच्चों के लिए खेल के एक भाग के रूप में कंचे को शामिल किया जाता था?")</f>
        <v>20वीं सदी के आरंभ में किस भारतीय त्यौहार में बच्चों के लिए खेल के एक भाग के रूप में कंचे को शामिल किया जाता था?</v>
      </c>
      <c r="H444" s="5" t="str">
        <f>IFERROR(__xludf.DUMMYFUNCTION("GOOGLETRANSLATE(C444, ""en"", ""hi"")"),"ए) पोंगल, बी) दिवाली, सी) होली, डी) मकर संक्रांति")</f>
        <v>ए) पोंगल, बी) दिवाली, सी) होली, डी) मकर संक्रांति</v>
      </c>
      <c r="I444" s="5" t="str">
        <f>IFERROR(__xludf.DUMMYFUNCTION("GOOGLETRANSLATE(D444, ""en"", ""hi"")"),"D) मकर संक्रांति")</f>
        <v>D) मकर संक्रांति</v>
      </c>
    </row>
    <row r="445" ht="22.5" customHeight="1">
      <c r="A445" s="3">
        <v>444.0</v>
      </c>
      <c r="B445" s="4" t="s">
        <v>7565</v>
      </c>
      <c r="C445" s="4" t="s">
        <v>7566</v>
      </c>
      <c r="D445" s="4" t="s">
        <v>7414</v>
      </c>
      <c r="F445" s="5" t="str">
        <f>IFERROR(__xludf.DUMMYFUNCTION("GOOGLETRANSLATE(A445, ""en"", ""hi"")"),"444")</f>
        <v>444</v>
      </c>
      <c r="G445" s="5" t="str">
        <f>IFERROR(__xludf.DUMMYFUNCTION("GOOGLETRANSLATE(B445, ""en"", ""hi"")"),"किस ऐतिहासिक व्यक्ति ने भारतीय ग्राम जीवन के बारे में अपनी टिप्पणियों में कांचे का उल्लेख किया?")</f>
        <v>किस ऐतिहासिक व्यक्ति ने भारतीय ग्राम जीवन के बारे में अपनी टिप्पणियों में कांचे का उल्लेख किया?</v>
      </c>
      <c r="H445" s="5" t="str">
        <f>IFERROR(__xludf.DUMMYFUNCTION("GOOGLETRANSLATE(C445, ""en"", ""hi"")"),"ए) मार्को पोलो, बी) इब्न बतूता, सी) अल-बिरूनी, डी) फा-हिएन")</f>
        <v>ए) मार्को पोलो, बी) इब्न बतूता, सी) अल-बिरूनी, डी) फा-हिएन</v>
      </c>
      <c r="I445" s="5" t="str">
        <f>IFERROR(__xludf.DUMMYFUNCTION("GOOGLETRANSLATE(D445, ""en"", ""hi"")"),"B) इब्न बतूता")</f>
        <v>B) इब्न बतूता</v>
      </c>
    </row>
    <row r="446" ht="22.5" customHeight="1">
      <c r="A446" s="3">
        <v>445.0</v>
      </c>
      <c r="B446" s="4" t="s">
        <v>7567</v>
      </c>
      <c r="C446" s="4" t="s">
        <v>7568</v>
      </c>
      <c r="D446" s="4" t="s">
        <v>7569</v>
      </c>
      <c r="F446" s="5" t="str">
        <f>IFERROR(__xludf.DUMMYFUNCTION("GOOGLETRANSLATE(A446, ""en"", ""hi"")"),"445")</f>
        <v>445</v>
      </c>
      <c r="G446" s="5" t="str">
        <f>IFERROR(__xludf.DUMMYFUNCTION("GOOGLETRANSLATE(B446, ""en"", ""hi"")"),"शहरी भारत में पारंपरिक कंचे खेलों में गिरावट के लिए कौन से ऐतिहासिक परिवर्तन जिम्मेदार हैं?")</f>
        <v>शहरी भारत में पारंपरिक कंचे खेलों में गिरावट के लिए कौन से ऐतिहासिक परिवर्तन जिम्मेदार हैं?</v>
      </c>
      <c r="H446" s="5" t="str">
        <f>IFERROR(__xludf.DUMMYFUNCTION("GOOGLETRANSLATE(C446, ""en"", ""hi"")"),"A) औद्योगीकरण, B) ब्रिटिश शैक्षिक सुधार, C) स्वतंत्रता के बाद शहरीकरण, D) तकनीकी प्रगति")</f>
        <v>A) औद्योगीकरण, B) ब्रिटिश शैक्षिक सुधार, C) स्वतंत्रता के बाद शहरीकरण, D) तकनीकी प्रगति</v>
      </c>
      <c r="I446" s="5" t="str">
        <f>IFERROR(__xludf.DUMMYFUNCTION("GOOGLETRANSLATE(D446, ""en"", ""hi"")"),"C) स्वतंत्रता के बाद का शहरीकरण")</f>
        <v>C) स्वतंत्रता के बाद का शहरीकरण</v>
      </c>
    </row>
    <row r="447" ht="22.5" customHeight="1">
      <c r="A447" s="3">
        <v>446.0</v>
      </c>
      <c r="B447" s="4" t="s">
        <v>7570</v>
      </c>
      <c r="C447" s="4" t="s">
        <v>7571</v>
      </c>
      <c r="D447" s="4" t="s">
        <v>4458</v>
      </c>
      <c r="F447" s="5" t="str">
        <f>IFERROR(__xludf.DUMMYFUNCTION("GOOGLETRANSLATE(A447, ""en"", ""hi"")"),"446")</f>
        <v>446</v>
      </c>
      <c r="G447" s="5" t="str">
        <f>IFERROR(__xludf.DUMMYFUNCTION("GOOGLETRANSLATE(B447, ""en"", ""hi"")"),"किस भारतीय क्षेत्र के पारंपरिक शिल्प में सजावटी कंचे बनाना शामिल था?")</f>
        <v>किस भारतीय क्षेत्र के पारंपरिक शिल्प में सजावटी कंचे बनाना शामिल था?</v>
      </c>
      <c r="H447" s="5" t="str">
        <f>IFERROR(__xludf.DUMMYFUNCTION("GOOGLETRANSLATE(C447, ""en"", ""hi"")"),"ए) राजस्थान, बी) गुजरात, सी) कर्नाटक, डी) आंध्र प्रदेश")</f>
        <v>ए) राजस्थान, बी) गुजरात, सी) कर्नाटक, डी) आंध्र प्रदेश</v>
      </c>
      <c r="I447" s="5" t="str">
        <f>IFERROR(__xludf.DUMMYFUNCTION("GOOGLETRANSLATE(D447, ""en"", ""hi"")"),"बी) गुजरात")</f>
        <v>बी) गुजरात</v>
      </c>
    </row>
    <row r="448" ht="22.5" customHeight="1">
      <c r="A448" s="3">
        <v>447.0</v>
      </c>
      <c r="B448" s="4" t="s">
        <v>7572</v>
      </c>
      <c r="C448" s="4" t="s">
        <v>7573</v>
      </c>
      <c r="D448" s="4" t="s">
        <v>7359</v>
      </c>
      <c r="F448" s="5" t="str">
        <f>IFERROR(__xludf.DUMMYFUNCTION("GOOGLETRANSLATE(A448, ""en"", ""hi"")"),"447")</f>
        <v>447</v>
      </c>
      <c r="G448" s="5" t="str">
        <f>IFERROR(__xludf.DUMMYFUNCTION("GOOGLETRANSLATE(B448, ""en"", ""hi"")"),"20वीं शताब्दी के दौरान किस भारतीय कवि ने अपने साहित्यिक कार्यों में कंचे को प्रतीक के रूप में प्रयोग किया?")</f>
        <v>20वीं शताब्दी के दौरान किस भारतीय कवि ने अपने साहित्यिक कार्यों में कंचे को प्रतीक के रूप में प्रयोग किया?</v>
      </c>
      <c r="H448" s="5" t="str">
        <f>IFERROR(__xludf.DUMMYFUNCTION("GOOGLETRANSLATE(C448, ""en"", ""hi"")"),"ए) रवीन्द्रनाथ टैगोर, बी) कमला दास, सी) साहिर लुधियानवी, डी) आगा शाहिद अली")</f>
        <v>ए) रवीन्द्रनाथ टैगोर, बी) कमला दास, सी) साहिर लुधियानवी, डी) आगा शाहिद अली</v>
      </c>
      <c r="I448" s="5" t="str">
        <f>IFERROR(__xludf.DUMMYFUNCTION("GOOGLETRANSLATE(D448, ""en"", ""hi"")"),"A) रवींद्रनाथ टैगोर")</f>
        <v>A) रवींद्रनाथ टैगोर</v>
      </c>
    </row>
    <row r="449" ht="22.5" customHeight="1">
      <c r="A449" s="3">
        <v>448.0</v>
      </c>
      <c r="B449" s="4" t="s">
        <v>7574</v>
      </c>
      <c r="C449" s="4" t="s">
        <v>7575</v>
      </c>
      <c r="D449" s="4" t="s">
        <v>7576</v>
      </c>
      <c r="F449" s="5" t="str">
        <f>IFERROR(__xludf.DUMMYFUNCTION("GOOGLETRANSLATE(A449, ""en"", ""hi"")"),"448")</f>
        <v>448</v>
      </c>
      <c r="G449" s="5" t="str">
        <f>IFERROR(__xludf.DUMMYFUNCTION("GOOGLETRANSLATE(B449, ""en"", ""hi"")"),"ब्रिटिश औपनिवेशिक काल के दौरान ग्रामीण भारत में कंचे की बढ़ती लोकप्रियता में किस ऐतिहासिक कारक ने योगदान दिया?")</f>
        <v>ब्रिटिश औपनिवेशिक काल के दौरान ग्रामीण भारत में कंचे की बढ़ती लोकप्रियता में किस ऐतिहासिक कारक ने योगदान दिया?</v>
      </c>
      <c r="H449" s="5" t="str">
        <f>IFERROR(__xludf.DUMMYFUNCTION("GOOGLETRANSLATE(C449, ""en"", ""hi"")"),"A) ब्रिटिश शैक्षिक नीतियाँ, B) कांच के कांच का प्रचलन, C) कृषि परिवर्तन, D) सांस्कृतिक पुनरुत्थान आंदोलन")</f>
        <v>A) ब्रिटिश शैक्षिक नीतियाँ, B) कांच के कांच का प्रचलन, C) कृषि परिवर्तन, D) सांस्कृतिक पुनरुत्थान आंदोलन</v>
      </c>
      <c r="I449" s="5" t="str">
        <f>IFERROR(__xludf.DUMMYFUNCTION("GOOGLETRANSLATE(D449, ""en"", ""hi"")"),"बी) कांच कांचे का परिचय")</f>
        <v>बी) कांच कांचे का परिचय</v>
      </c>
    </row>
    <row r="450" ht="22.5" customHeight="1">
      <c r="A450" s="3">
        <v>449.0</v>
      </c>
      <c r="B450" s="4" t="s">
        <v>7577</v>
      </c>
      <c r="C450" s="4" t="s">
        <v>7578</v>
      </c>
      <c r="D450" s="4" t="s">
        <v>7579</v>
      </c>
      <c r="F450" s="5" t="str">
        <f>IFERROR(__xludf.DUMMYFUNCTION("GOOGLETRANSLATE(A450, ""en"", ""hi"")"),"449")</f>
        <v>449</v>
      </c>
      <c r="G450" s="5" t="str">
        <f>IFERROR(__xludf.DUMMYFUNCTION("GOOGLETRANSLATE(B450, ""en"", ""hi"")"),"कौन सा भारतीय समुदाय अपनी पारंपरिक कंचे बनाने की तकनीक के लिए जाना जाता है?")</f>
        <v>कौन सा भारतीय समुदाय अपनी पारंपरिक कंचे बनाने की तकनीक के लिए जाना जाता है?</v>
      </c>
      <c r="H450" s="5" t="str">
        <f>IFERROR(__xludf.DUMMYFUNCTION("GOOGLETRANSLATE(C450, ""en"", ""hi"")"),"A) कुम्हार समुदाय, B) बुनकर, C) धातुकर्मी, D) लकड़ी पर नक्काशी करने वाले")</f>
        <v>A) कुम्हार समुदाय, B) बुनकर, C) धातुकर्मी, D) लकड़ी पर नक्काशी करने वाले</v>
      </c>
      <c r="I450" s="5" t="str">
        <f>IFERROR(__xludf.DUMMYFUNCTION("GOOGLETRANSLATE(D450, ""en"", ""hi"")"),"A) कुम्हार समुदाय")</f>
        <v>A) कुम्हार समुदाय</v>
      </c>
    </row>
    <row r="451" ht="22.5" customHeight="1">
      <c r="A451" s="3">
        <v>450.0</v>
      </c>
      <c r="B451" s="4" t="s">
        <v>7580</v>
      </c>
      <c r="C451" s="4" t="s">
        <v>7581</v>
      </c>
      <c r="D451" s="4" t="s">
        <v>7582</v>
      </c>
      <c r="F451" s="5" t="str">
        <f>IFERROR(__xludf.DUMMYFUNCTION("GOOGLETRANSLATE(A451, ""en"", ""hi"")"),"450")</f>
        <v>450</v>
      </c>
      <c r="G451" s="5" t="str">
        <f>IFERROR(__xludf.DUMMYFUNCTION("GOOGLETRANSLATE(B451, ""en"", ""hi"")"),"20वीं सदी से पहले पारंपरिक भारतीय बच्चों के खेलों में कंचे का प्राथमिक उद्देश्य क्या था?")</f>
        <v>20वीं सदी से पहले पारंपरिक भारतीय बच्चों के खेलों में कंचे का प्राथमिक उद्देश्य क्या था?</v>
      </c>
      <c r="H451" s="5" t="str">
        <f>IFERROR(__xludf.DUMMYFUNCTION("GOOGLETRANSLATE(C451, ""en"", ""hi"")"),"A) मनोरंजक गतिविधि, B) शैक्षिक उपकरण, C) अनुष्ठानिक अभ्यास, D) व्यापार")</f>
        <v>A) मनोरंजक गतिविधि, B) शैक्षिक उपकरण, C) अनुष्ठानिक अभ्यास, D) व्यापार</v>
      </c>
      <c r="I451" s="5" t="str">
        <f>IFERROR(__xludf.DUMMYFUNCTION("GOOGLETRANSLATE(D451, ""en"", ""hi"")"),"ए) मनोरंजक गतिविधि")</f>
        <v>ए) मनोरंजक गतिविधि</v>
      </c>
    </row>
    <row r="452" ht="22.5" customHeight="1">
      <c r="A452" s="3">
        <v>451.0</v>
      </c>
      <c r="B452" s="4" t="s">
        <v>7583</v>
      </c>
      <c r="C452" s="4" t="s">
        <v>7584</v>
      </c>
      <c r="D452" s="4" t="s">
        <v>4700</v>
      </c>
      <c r="F452" s="5" t="str">
        <f>IFERROR(__xludf.DUMMYFUNCTION("GOOGLETRANSLATE(A452, ""en"", ""hi"")"),"451")</f>
        <v>451</v>
      </c>
      <c r="G452" s="5" t="str">
        <f>IFERROR(__xludf.DUMMYFUNCTION("GOOGLETRANSLATE(B452, ""en"", ""hi"")"),"20वीं सदी के अंत में सांस्कृतिक उत्सवों के दौरान किस भारतीय राज्य में कंचे खेलों का पुनरुत्थान हुआ?")</f>
        <v>20वीं सदी के अंत में सांस्कृतिक उत्सवों के दौरान किस भारतीय राज्य में कंचे खेलों का पुनरुत्थान हुआ?</v>
      </c>
      <c r="H452" s="5" t="str">
        <f>IFERROR(__xludf.DUMMYFUNCTION("GOOGLETRANSLATE(C452, ""en"", ""hi"")"),"ए) तमिलनाडु, बी) केरल, सी) गुजरात, डी) महाराष्ट्र")</f>
        <v>ए) तमिलनाडु, बी) केरल, सी) गुजरात, डी) महाराष्ट्र</v>
      </c>
      <c r="I452" s="5" t="str">
        <f>IFERROR(__xludf.DUMMYFUNCTION("GOOGLETRANSLATE(D452, ""en"", ""hi"")"),"C) गुजरात")</f>
        <v>C) गुजरात</v>
      </c>
    </row>
    <row r="453" ht="22.5" customHeight="1">
      <c r="A453" s="3">
        <v>452.0</v>
      </c>
      <c r="B453" s="4" t="s">
        <v>7585</v>
      </c>
      <c r="C453" s="4" t="s">
        <v>7586</v>
      </c>
      <c r="D453" s="4" t="s">
        <v>7587</v>
      </c>
      <c r="F453" s="5" t="str">
        <f>IFERROR(__xludf.DUMMYFUNCTION("GOOGLETRANSLATE(A453, ""en"", ""hi"")"),"452")</f>
        <v>452</v>
      </c>
      <c r="G453" s="5" t="str">
        <f>IFERROR(__xludf.DUMMYFUNCTION("GOOGLETRANSLATE(B453, ""en"", ""hi"")"),"20वीं शताब्दी के दौरान भारत में कंचे के उत्पादन में महत्वपूर्ण ऐतिहासिक बदलाव क्या था?")</f>
        <v>20वीं शताब्दी के दौरान भारत में कंचे के उत्पादन में महत्वपूर्ण ऐतिहासिक बदलाव क्या था?</v>
      </c>
      <c r="H453" s="5" t="str">
        <f>IFERROR(__xludf.DUMMYFUNCTION("GOOGLETRANSLATE(C453, ""en"", ""hi"")"),"A) मिट्टी से प्लास्टिक में परिवर्तन, B) धातु कंचे का प्रचलन, C) कांच के कंचे का बड़े पैमाने पर उत्पादन, D) पारंपरिक शिल्प का ह्रास")</f>
        <v>A) मिट्टी से प्लास्टिक में परिवर्तन, B) धातु कंचे का प्रचलन, C) कांच के कंचे का बड़े पैमाने पर उत्पादन, D) पारंपरिक शिल्प का ह्रास</v>
      </c>
      <c r="I453" s="5" t="str">
        <f>IFERROR(__xludf.DUMMYFUNCTION("GOOGLETRANSLATE(D453, ""en"", ""hi"")"),"C) कांच के कांच का बड़े पैमाने पर उत्पादन")</f>
        <v>C) कांच के कांच का बड़े पैमाने पर उत्पादन</v>
      </c>
    </row>
    <row r="454" ht="22.5" customHeight="1">
      <c r="A454" s="3">
        <v>453.0</v>
      </c>
      <c r="B454" s="4" t="s">
        <v>7588</v>
      </c>
      <c r="C454" s="4" t="s">
        <v>7589</v>
      </c>
      <c r="D454" s="4" t="s">
        <v>7555</v>
      </c>
      <c r="F454" s="5" t="str">
        <f>IFERROR(__xludf.DUMMYFUNCTION("GOOGLETRANSLATE(A454, ""en"", ""hi"")"),"453")</f>
        <v>453</v>
      </c>
      <c r="G454" s="5" t="str">
        <f>IFERROR(__xludf.DUMMYFUNCTION("GOOGLETRANSLATE(B454, ""en"", ""hi"")"),"किस ऐतिहासिक काल में भारतीय कला रूपों में कांचे का दस्तावेजीकरण हुआ?")</f>
        <v>किस ऐतिहासिक काल में भारतीय कला रूपों में कांचे का दस्तावेजीकरण हुआ?</v>
      </c>
      <c r="H454" s="5" t="str">
        <f>IFERROR(__xludf.DUMMYFUNCTION("GOOGLETRANSLATE(C454, ""en"", ""hi"")"),"A) प्राचीन काल, B) मध्यकाल, C) मुगल काल, D) औपनिवेशिक काल")</f>
        <v>A) प्राचीन काल, B) मध्यकाल, C) मुगल काल, D) औपनिवेशिक काल</v>
      </c>
      <c r="I454" s="5" t="str">
        <f>IFERROR(__xludf.DUMMYFUNCTION("GOOGLETRANSLATE(D454, ""en"", ""hi"")"),"D) औपनिवेशिक काल")</f>
        <v>D) औपनिवेशिक काल</v>
      </c>
    </row>
    <row r="455" ht="22.5" customHeight="1">
      <c r="A455" s="3">
        <v>454.0</v>
      </c>
      <c r="B455" s="4" t="s">
        <v>7590</v>
      </c>
      <c r="C455" s="4" t="s">
        <v>7591</v>
      </c>
      <c r="D455" s="4" t="s">
        <v>7432</v>
      </c>
      <c r="F455" s="5" t="str">
        <f>IFERROR(__xludf.DUMMYFUNCTION("GOOGLETRANSLATE(A455, ""en"", ""hi"")"),"454")</f>
        <v>454</v>
      </c>
      <c r="G455" s="5" t="str">
        <f>IFERROR(__xludf.DUMMYFUNCTION("GOOGLETRANSLATE(B455, ""en"", ""hi"")"),"19वीं शताब्दी के दौरान बच्चों के लिए पारंपरिक भारतीय शैक्षिक खेलों में कंचे की क्या भूमिका थी?")</f>
        <v>19वीं शताब्दी के दौरान बच्चों के लिए पारंपरिक भारतीय शैक्षिक खेलों में कंचे की क्या भूमिका थी?</v>
      </c>
      <c r="H455" s="5" t="str">
        <f>IFERROR(__xludf.DUMMYFUNCTION("GOOGLETRANSLATE(C455, ""en"", ""hi"")"),"A) अंकगणित सीखना, B) मनोरंजक खेल, C) सांस्कृतिक शिक्षा, D) अनुष्ठानिक अभ्यास")</f>
        <v>A) अंकगणित सीखना, B) मनोरंजक खेल, C) सांस्कृतिक शिक्षा, D) अनुष्ठानिक अभ्यास</v>
      </c>
      <c r="I455" s="5" t="str">
        <f>IFERROR(__xludf.DUMMYFUNCTION("GOOGLETRANSLATE(D455, ""en"", ""hi"")"),"A) अंकगणित सीखना")</f>
        <v>A) अंकगणित सीखना</v>
      </c>
    </row>
    <row r="456" ht="22.5" customHeight="1">
      <c r="A456" s="3">
        <v>455.0</v>
      </c>
      <c r="B456" s="4" t="s">
        <v>7592</v>
      </c>
      <c r="C456" s="4" t="s">
        <v>7593</v>
      </c>
      <c r="D456" s="4" t="s">
        <v>2646</v>
      </c>
      <c r="F456" s="5" t="str">
        <f>IFERROR(__xludf.DUMMYFUNCTION("GOOGLETRANSLATE(A456, ""en"", ""hi"")"),"455")</f>
        <v>455</v>
      </c>
      <c r="G456" s="5" t="str">
        <f>IFERROR(__xludf.DUMMYFUNCTION("GOOGLETRANSLATE(B456, ""en"", ""hi"")"),"किस भारतीय त्यौहार में पारंपरिक रूप से कंचे को खेल के एक घटक के रूप में शामिल किया जाता है?")</f>
        <v>किस भारतीय त्यौहार में पारंपरिक रूप से कंचे को खेल के एक घटक के रूप में शामिल किया जाता है?</v>
      </c>
      <c r="H456" s="5" t="str">
        <f>IFERROR(__xludf.DUMMYFUNCTION("GOOGLETRANSLATE(C456, ""en"", ""hi"")"),"ए) दिवाली, बी) होली, सी) मकर संक्रांति, डी) नवरात्रि")</f>
        <v>ए) दिवाली, बी) होली, सी) मकर संक्रांति, डी) नवरात्रि</v>
      </c>
      <c r="I456" s="5" t="str">
        <f>IFERROR(__xludf.DUMMYFUNCTION("GOOGLETRANSLATE(D456, ""en"", ""hi"")"),"C) मकर संक्रांति")</f>
        <v>C) मकर संक्रांति</v>
      </c>
    </row>
    <row r="457" ht="22.5" customHeight="1">
      <c r="A457" s="3">
        <v>456.0</v>
      </c>
      <c r="B457" s="4" t="s">
        <v>7594</v>
      </c>
      <c r="C457" s="4" t="s">
        <v>7595</v>
      </c>
      <c r="D457" s="4" t="s">
        <v>7596</v>
      </c>
      <c r="F457" s="5" t="str">
        <f>IFERROR(__xludf.DUMMYFUNCTION("GOOGLETRANSLATE(A457, ""en"", ""hi"")"),"456")</f>
        <v>456</v>
      </c>
      <c r="G457" s="5" t="str">
        <f>IFERROR(__xludf.DUMMYFUNCTION("GOOGLETRANSLATE(B457, ""en"", ""hi"")"),"कौन सा ऐतिहासिक विवरण पारंपरिक भारतीय ग्रामीण मेलों में कंचे के उपयोग का वर्णन करता है?")</f>
        <v>कौन सा ऐतिहासिक विवरण पारंपरिक भारतीय ग्रामीण मेलों में कंचे के उपयोग का वर्णन करता है?</v>
      </c>
      <c r="H457" s="5" t="str">
        <f>IFERROR(__xludf.DUMMYFUNCTION("GOOGLETRANSLATE(C457, ""en"", ""hi"")"),"A) ब्रिटिश औपनिवेशिक अभिलेख, B) प्राचीन पांडुलिपियाँ, C) औपनिवेशिक यात्रा वृत्तांत, D) मौखिक इतिहास")</f>
        <v>A) ब्रिटिश औपनिवेशिक अभिलेख, B) प्राचीन पांडुलिपियाँ, C) औपनिवेशिक यात्रा वृत्तांत, D) मौखिक इतिहास</v>
      </c>
      <c r="I457" s="5" t="str">
        <f>IFERROR(__xludf.DUMMYFUNCTION("GOOGLETRANSLATE(D457, ""en"", ""hi"")"),"C) औपनिवेशिक यात्रा वृत्तांत")</f>
        <v>C) औपनिवेशिक यात्रा वृत्तांत</v>
      </c>
    </row>
    <row r="458" ht="22.5" customHeight="1">
      <c r="A458" s="3">
        <v>457.0</v>
      </c>
      <c r="B458" s="4" t="s">
        <v>7597</v>
      </c>
      <c r="C458" s="4" t="s">
        <v>7598</v>
      </c>
      <c r="D458" s="4" t="s">
        <v>7391</v>
      </c>
      <c r="F458" s="5" t="str">
        <f>IFERROR(__xludf.DUMMYFUNCTION("GOOGLETRANSLATE(A458, ""en"", ""hi"")"),"457")</f>
        <v>457</v>
      </c>
      <c r="G458" s="5" t="str">
        <f>IFERROR(__xludf.DUMMYFUNCTION("GOOGLETRANSLATE(B458, ""en"", ""hi"")"),"किस भारतीय क्षेत्र के पारंपरिक कला रूपों में अक्सर बच्चों को कंचे बजाते हुए दिखाया जाता है?")</f>
        <v>किस भारतीय क्षेत्र के पारंपरिक कला रूपों में अक्सर बच्चों को कंचे बजाते हुए दिखाया जाता है?</v>
      </c>
      <c r="H458" s="5" t="str">
        <f>IFERROR(__xludf.DUMMYFUNCTION("GOOGLETRANSLATE(C458, ""en"", ""hi"")"),"A) पश्चिमी भारत, B) पूर्वी भारत, C) उत्तरी भारत, D) दक्षिणी भारत")</f>
        <v>A) पश्चिमी भारत, B) पूर्वी भारत, C) उत्तरी भारत, D) दक्षिणी भारत</v>
      </c>
      <c r="I458" s="5" t="str">
        <f>IFERROR(__xludf.DUMMYFUNCTION("GOOGLETRANSLATE(D458, ""en"", ""hi"")"),"D) दक्षिणी भारत")</f>
        <v>D) दक्षिणी भारत</v>
      </c>
    </row>
    <row r="459" ht="22.5" customHeight="1">
      <c r="A459" s="3">
        <v>458.0</v>
      </c>
      <c r="B459" s="4" t="s">
        <v>7599</v>
      </c>
      <c r="C459" s="4" t="s">
        <v>7600</v>
      </c>
      <c r="D459" s="4" t="s">
        <v>7601</v>
      </c>
      <c r="F459" s="5" t="str">
        <f>IFERROR(__xludf.DUMMYFUNCTION("GOOGLETRANSLATE(A459, ""en"", ""hi"")"),"458")</f>
        <v>458</v>
      </c>
      <c r="G459" s="5" t="str">
        <f>IFERROR(__xludf.DUMMYFUNCTION("GOOGLETRANSLATE(B459, ""en"", ""hi"")"),"किस ऐतिहासिक परिवर्तन के कारण भारतीय शहरी क्षेत्रों में पारंपरिक कंचे के उपयोग में गिरावट आई?")</f>
        <v>किस ऐतिहासिक परिवर्तन के कारण भारतीय शहरी क्षेत्रों में पारंपरिक कंचे के उपयोग में गिरावट आई?</v>
      </c>
      <c r="H459" s="5" t="str">
        <f>IFERROR(__xludf.DUMMYFUNCTION("GOOGLETRANSLATE(C459, ""en"", ""hi"")"),"A) औद्योगीकरण, B) तकनीकी प्रगति, C) आर्थिक उदारीकरण, D) सांस्कृतिक बदलाव")</f>
        <v>A) औद्योगीकरण, B) तकनीकी प्रगति, C) आर्थिक उदारीकरण, D) सांस्कृतिक बदलाव</v>
      </c>
      <c r="I459" s="5" t="str">
        <f>IFERROR(__xludf.DUMMYFUNCTION("GOOGLETRANSLATE(D459, ""en"", ""hi"")"),"ए) औद्योगीकरण")</f>
        <v>ए) औद्योगीकरण</v>
      </c>
    </row>
    <row r="460" ht="22.5" customHeight="1">
      <c r="A460" s="3">
        <v>459.0</v>
      </c>
      <c r="B460" s="4" t="s">
        <v>7602</v>
      </c>
      <c r="C460" s="4" t="s">
        <v>7603</v>
      </c>
      <c r="D460" s="4" t="s">
        <v>7604</v>
      </c>
      <c r="F460" s="5" t="str">
        <f>IFERROR(__xludf.DUMMYFUNCTION("GOOGLETRANSLATE(A460, ""en"", ""hi"")"),"459")</f>
        <v>459</v>
      </c>
      <c r="G460" s="5" t="str">
        <f>IFERROR(__xludf.DUMMYFUNCTION("GOOGLETRANSLATE(B460, ""en"", ""hi"")"),"किस भारतीय कवि और कलाकार ने पारंपरिक बचपन के अनुभवों को प्रतिबिंबित करने के लिए कांचे को अपनी कृतियों में शामिल किया?")</f>
        <v>किस भारतीय कवि और कलाकार ने पारंपरिक बचपन के अनुभवों को प्रतिबिंबित करने के लिए कांचे को अपनी कृतियों में शामिल किया?</v>
      </c>
      <c r="H460" s="5" t="str">
        <f>IFERROR(__xludf.DUMMYFUNCTION("GOOGLETRANSLATE(C460, ""en"", ""hi"")"),"ए) रवीन्द्रनाथ टैगोर, बी) कमला दास, सी) नंदलाल बोस, डी) अमृता शेरगिल")</f>
        <v>ए) रवीन्द्रनाथ टैगोर, बी) कमला दास, सी) नंदलाल बोस, डी) अमृता शेरगिल</v>
      </c>
      <c r="I460" s="5" t="str">
        <f>IFERROR(__xludf.DUMMYFUNCTION("GOOGLETRANSLATE(D460, ""en"", ""hi"")"),"C) नंदलाल बोस")</f>
        <v>C) नंदलाल बोस</v>
      </c>
    </row>
    <row r="461" ht="22.5" customHeight="1">
      <c r="A461" s="3">
        <v>460.0</v>
      </c>
      <c r="B461" s="4" t="s">
        <v>7497</v>
      </c>
      <c r="C461" s="4" t="s">
        <v>7521</v>
      </c>
      <c r="D461" s="4" t="s">
        <v>7371</v>
      </c>
      <c r="F461" s="5" t="str">
        <f>IFERROR(__xludf.DUMMYFUNCTION("GOOGLETRANSLATE(A461, ""en"", ""hi"")"),"460")</f>
        <v>460</v>
      </c>
      <c r="G461" s="5" t="str">
        <f>IFERROR(__xludf.DUMMYFUNCTION("GOOGLETRANSLATE(B461, ""en"", ""hi"")"),"किस ऐतिहासिक व्यक्ति ने अपने लेखन में कंचे जैसे पारंपरिक खेलों के संरक्षण को बढ़ावा दिया?")</f>
        <v>किस ऐतिहासिक व्यक्ति ने अपने लेखन में कंचे जैसे पारंपरिक खेलों के संरक्षण को बढ़ावा दिया?</v>
      </c>
      <c r="H461" s="5" t="str">
        <f>IFERROR(__xludf.DUMMYFUNCTION("GOOGLETRANSLATE(C461, ""en"", ""hi"")"),"A) जवाहरलाल नेहरू, B) सरदार पटेल, C) महात्मा गांधी, D) बी. आर. अम्बेडकर")</f>
        <v>A) जवाहरलाल नेहरू, B) सरदार पटेल, C) महात्मा गांधी, D) बी. आर. अम्बेडकर</v>
      </c>
      <c r="I461" s="5" t="str">
        <f>IFERROR(__xludf.DUMMYFUNCTION("GOOGLETRANSLATE(D461, ""en"", ""hi"")"),"C) महात्मा गांधी")</f>
        <v>C) महात्मा गांधी</v>
      </c>
    </row>
    <row r="462" ht="22.5" customHeight="1">
      <c r="A462" s="3">
        <v>461.0</v>
      </c>
      <c r="B462" s="4" t="s">
        <v>7605</v>
      </c>
      <c r="C462" s="4" t="s">
        <v>4600</v>
      </c>
      <c r="D462" s="4" t="s">
        <v>6790</v>
      </c>
      <c r="F462" s="5" t="str">
        <f>IFERROR(__xludf.DUMMYFUNCTION("GOOGLETRANSLATE(A462, ""en"", ""hi"")"),"461")</f>
        <v>461</v>
      </c>
      <c r="G462" s="5" t="str">
        <f>IFERROR(__xludf.DUMMYFUNCTION("GOOGLETRANSLATE(B462, ""en"", ""hi"")"),"कांच के व्यापक उपयोग से पहले कंचे बनाने के लिए प्राथमिक सामग्री क्या थी?")</f>
        <v>कांच के व्यापक उपयोग से पहले कंचे बनाने के लिए प्राथमिक सामग्री क्या थी?</v>
      </c>
      <c r="H462" s="5" t="str">
        <f>IFERROR(__xludf.DUMMYFUNCTION("GOOGLETRANSLATE(C462, ""en"", ""hi"")"),"A) मिट्टी, B) धातु, C) लकड़ी, D) पत्थर")</f>
        <v>A) मिट्टी, B) धातु, C) लकड़ी, D) पत्थर</v>
      </c>
      <c r="I462" s="5" t="str">
        <f>IFERROR(__xludf.DUMMYFUNCTION("GOOGLETRANSLATE(D462, ""en"", ""hi"")"),"A) मिट्टी")</f>
        <v>A) मिट्टी</v>
      </c>
    </row>
    <row r="463" ht="22.5" customHeight="1">
      <c r="A463" s="3">
        <v>462.0</v>
      </c>
      <c r="B463" s="4" t="s">
        <v>7606</v>
      </c>
      <c r="C463" s="4" t="s">
        <v>7607</v>
      </c>
      <c r="D463" s="4" t="s">
        <v>49</v>
      </c>
      <c r="F463" s="5" t="str">
        <f>IFERROR(__xludf.DUMMYFUNCTION("GOOGLETRANSLATE(A463, ""en"", ""hi"")"),"462")</f>
        <v>462</v>
      </c>
      <c r="G463" s="5" t="str">
        <f>IFERROR(__xludf.DUMMYFUNCTION("GOOGLETRANSLATE(B463, ""en"", ""hi"")"),"कौन सा भारतीय राज्य अपनी पारंपरिक कंचे बनाने की तकनीक और शैलियों के लिए प्रसिद्ध है?")</f>
        <v>कौन सा भारतीय राज्य अपनी पारंपरिक कंचे बनाने की तकनीक और शैलियों के लिए प्रसिद्ध है?</v>
      </c>
      <c r="H463" s="5" t="str">
        <f>IFERROR(__xludf.DUMMYFUNCTION("GOOGLETRANSLATE(C463, ""en"", ""hi"")"),"ए) गुजरात, बी) राजस्थान, सी) तमिलनाडु, डी) कर्नाटक")</f>
        <v>ए) गुजरात, बी) राजस्थान, सी) तमिलनाडु, डी) कर्नाटक</v>
      </c>
      <c r="I463" s="5" t="str">
        <f>IFERROR(__xludf.DUMMYFUNCTION("GOOGLETRANSLATE(D463, ""en"", ""hi"")"),"A) गुजरात")</f>
        <v>A) गुजरात</v>
      </c>
    </row>
    <row r="464" ht="22.5" customHeight="1">
      <c r="A464" s="3">
        <v>463.0</v>
      </c>
      <c r="B464" s="4" t="s">
        <v>7608</v>
      </c>
      <c r="C464" s="4" t="s">
        <v>7609</v>
      </c>
      <c r="D464" s="4" t="s">
        <v>7610</v>
      </c>
      <c r="F464" s="5" t="str">
        <f>IFERROR(__xludf.DUMMYFUNCTION("GOOGLETRANSLATE(A464, ""en"", ""hi"")"),"463")</f>
        <v>463</v>
      </c>
      <c r="G464" s="5" t="str">
        <f>IFERROR(__xludf.DUMMYFUNCTION("GOOGLETRANSLATE(B464, ""en"", ""hi"")"),"कौन सा भारतीय समुदाय पारंपरिक रूप से कंचे बनाने के शिल्प में शामिल था?")</f>
        <v>कौन सा भारतीय समुदाय पारंपरिक रूप से कंचे बनाने के शिल्प में शामिल था?</v>
      </c>
      <c r="H464" s="5" t="str">
        <f>IFERROR(__xludf.DUMMYFUNCTION("GOOGLETRANSLATE(C464, ""en"", ""hi"")"),"A) कुम्हार, B) बुनकर, C) लोहार, D) बढ़ई")</f>
        <v>A) कुम्हार, B) बुनकर, C) लोहार, D) बढ़ई</v>
      </c>
      <c r="I464" s="5" t="str">
        <f>IFERROR(__xludf.DUMMYFUNCTION("GOOGLETRANSLATE(D464, ""en"", ""hi"")"),"A) कुम्हार")</f>
        <v>A) कुम्हार</v>
      </c>
    </row>
    <row r="465" ht="22.5" customHeight="1">
      <c r="A465" s="3">
        <v>464.0</v>
      </c>
      <c r="B465" s="4" t="s">
        <v>7611</v>
      </c>
      <c r="C465" s="4" t="s">
        <v>7612</v>
      </c>
      <c r="D465" s="4" t="s">
        <v>5674</v>
      </c>
      <c r="F465" s="5" t="str">
        <f>IFERROR(__xludf.DUMMYFUNCTION("GOOGLETRANSLATE(A465, ""en"", ""hi"")"),"464")</f>
        <v>464</v>
      </c>
      <c r="G465" s="5" t="str">
        <f>IFERROR(__xludf.DUMMYFUNCTION("GOOGLETRANSLATE(B465, ""en"", ""hi"")"),"ग्रामीण भारत में कंचे के पारंपरिक खेल पर ब्रिटिश औपनिवेशिक शासन का क्या प्रभाव पड़ा?")</f>
        <v>ग्रामीण भारत में कंचे के पारंपरिक खेल पर ब्रिटिश औपनिवेशिक शासन का क्या प्रभाव पड़ा?</v>
      </c>
      <c r="H465" s="5" t="str">
        <f>IFERROR(__xludf.DUMMYFUNCTION("GOOGLETRANSLATE(C465, ""en"", ""hi"")"),"A) बढ़ती लोकप्रियता, B) पारंपरिक प्रथाओं में गिरावट, C) सामग्रियों का मानकीकरण, D) नए नियमों का परिचय")</f>
        <v>A) बढ़ती लोकप्रियता, B) पारंपरिक प्रथाओं में गिरावट, C) सामग्रियों का मानकीकरण, D) नए नियमों का परिचय</v>
      </c>
      <c r="I465" s="5" t="str">
        <f>IFERROR(__xludf.DUMMYFUNCTION("GOOGLETRANSLATE(D465, ""en"", ""hi"")"),"बी) पारंपरिक प्रथाओं में गिरावट")</f>
        <v>बी) पारंपरिक प्रथाओं में गिरावट</v>
      </c>
    </row>
    <row r="466" ht="22.5" customHeight="1">
      <c r="A466" s="3">
        <v>465.0</v>
      </c>
      <c r="B466" s="4" t="s">
        <v>7613</v>
      </c>
      <c r="C466" s="4" t="s">
        <v>7614</v>
      </c>
      <c r="D466" s="4" t="s">
        <v>7359</v>
      </c>
      <c r="F466" s="5" t="str">
        <f>IFERROR(__xludf.DUMMYFUNCTION("GOOGLETRANSLATE(A466, ""en"", ""hi"")"),"465")</f>
        <v>465</v>
      </c>
      <c r="G466" s="5" t="str">
        <f>IFERROR(__xludf.DUMMYFUNCTION("GOOGLETRANSLATE(B466, ""en"", ""hi"")"),"औपनिवेशिक काल के दौरान किस भारतीय कवि ने अपने साहित्यिक कार्यों में कंचे को रूपक के रूप में प्रयोग किया?")</f>
        <v>औपनिवेशिक काल के दौरान किस भारतीय कवि ने अपने साहित्यिक कार्यों में कंचे को रूपक के रूप में प्रयोग किया?</v>
      </c>
      <c r="H466" s="5" t="str">
        <f>IFERROR(__xludf.DUMMYFUNCTION("GOOGLETRANSLATE(C466, ""en"", ""hi"")"),"ए) रवीन्द्रनाथ टैगोर, बी) साहिर लुधियानवी, सी) कमला दास, डी) आगा शाहिद अली")</f>
        <v>ए) रवीन्द्रनाथ टैगोर, बी) साहिर लुधियानवी, सी) कमला दास, डी) आगा शाहिद अली</v>
      </c>
      <c r="I466" s="5" t="str">
        <f>IFERROR(__xludf.DUMMYFUNCTION("GOOGLETRANSLATE(D466, ""en"", ""hi"")"),"A) रवींद्रनाथ टैगोर")</f>
        <v>A) रवींद्रनाथ टैगोर</v>
      </c>
    </row>
    <row r="467" ht="22.5" customHeight="1">
      <c r="A467" s="3">
        <v>466.0</v>
      </c>
      <c r="B467" s="4" t="s">
        <v>7615</v>
      </c>
      <c r="C467" s="4" t="s">
        <v>7616</v>
      </c>
      <c r="D467" s="4" t="s">
        <v>7582</v>
      </c>
      <c r="F467" s="5" t="str">
        <f>IFERROR(__xludf.DUMMYFUNCTION("GOOGLETRANSLATE(A467, ""en"", ""hi"")"),"466")</f>
        <v>466</v>
      </c>
      <c r="G467" s="5" t="str">
        <f>IFERROR(__xludf.DUMMYFUNCTION("GOOGLETRANSLATE(B467, ""en"", ""hi"")"),"20वीं सदी के प्रारम्भ में पारंपरिक भारतीय ग्रामीण जीवन में कंचे का क्या महत्व था?")</f>
        <v>20वीं सदी के प्रारम्भ में पारंपरिक भारतीय ग्रामीण जीवन में कंचे का क्या महत्व था?</v>
      </c>
      <c r="H467" s="5" t="str">
        <f>IFERROR(__xludf.DUMMYFUNCTION("GOOGLETRANSLATE(C467, ""en"", ""hi"")"),"A) मनोरंजक गतिविधि, B) शैक्षिक उपकरण, C) अनुष्ठानिक वस्तु, D) व्यापारिक वस्तु")</f>
        <v>A) मनोरंजक गतिविधि, B) शैक्षिक उपकरण, C) अनुष्ठानिक वस्तु, D) व्यापारिक वस्तु</v>
      </c>
      <c r="I467" s="5" t="str">
        <f>IFERROR(__xludf.DUMMYFUNCTION("GOOGLETRANSLATE(D467, ""en"", ""hi"")"),"ए) मनोरंजक गतिविधि")</f>
        <v>ए) मनोरंजक गतिविधि</v>
      </c>
    </row>
    <row r="468" ht="22.5" customHeight="1">
      <c r="A468" s="3">
        <v>467.0</v>
      </c>
      <c r="B468" s="4" t="s">
        <v>7617</v>
      </c>
      <c r="C468" s="4" t="s">
        <v>7548</v>
      </c>
      <c r="D468" s="4" t="s">
        <v>49</v>
      </c>
      <c r="F468" s="5" t="str">
        <f>IFERROR(__xludf.DUMMYFUNCTION("GOOGLETRANSLATE(A468, ""en"", ""hi"")"),"467")</f>
        <v>467</v>
      </c>
      <c r="G468" s="5" t="str">
        <f>IFERROR(__xludf.DUMMYFUNCTION("GOOGLETRANSLATE(B468, ""en"", ""hi"")"),"कौन सा भारतीय क्षेत्र अपने जीवंत कंचे त्योहारों और प्रतियोगिताओं के लिए जाना जाता है?")</f>
        <v>कौन सा भारतीय क्षेत्र अपने जीवंत कंचे त्योहारों और प्रतियोगिताओं के लिए जाना जाता है?</v>
      </c>
      <c r="H468" s="5" t="str">
        <f>IFERROR(__xludf.DUMMYFUNCTION("GOOGLETRANSLATE(C468, ""en"", ""hi"")"),"ए) गुजरात, बी) तमिलनाडु, सी) कर्नाटक, डी) महाराष्ट्र")</f>
        <v>ए) गुजरात, बी) तमिलनाडु, सी) कर्नाटक, डी) महाराष्ट्र</v>
      </c>
      <c r="I468" s="5" t="str">
        <f>IFERROR(__xludf.DUMMYFUNCTION("GOOGLETRANSLATE(D468, ""en"", ""hi"")"),"A) गुजरात")</f>
        <v>A) गुजरात</v>
      </c>
    </row>
    <row r="469" ht="22.5" customHeight="1">
      <c r="A469" s="3">
        <v>468.0</v>
      </c>
      <c r="B469" s="4" t="s">
        <v>7618</v>
      </c>
      <c r="C469" s="4" t="s">
        <v>7619</v>
      </c>
      <c r="D469" s="4" t="s">
        <v>7432</v>
      </c>
      <c r="F469" s="5" t="str">
        <f>IFERROR(__xludf.DUMMYFUNCTION("GOOGLETRANSLATE(A469, ""en"", ""hi"")"),"468")</f>
        <v>468</v>
      </c>
      <c r="G469" s="5" t="str">
        <f>IFERROR(__xludf.DUMMYFUNCTION("GOOGLETRANSLATE(B469, ""en"", ""hi"")"),"आधुनिक स्कूली शिक्षा प्रणालियों से पहले पारंपरिक भारतीय शैक्षिक प्रथाओं में कांचे की क्या भूमिका थी?")</f>
        <v>आधुनिक स्कूली शिक्षा प्रणालियों से पहले पारंपरिक भारतीय शैक्षिक प्रथाओं में कांचे की क्या भूमिका थी?</v>
      </c>
      <c r="H469" s="5" t="str">
        <f>IFERROR(__xludf.DUMMYFUNCTION("GOOGLETRANSLATE(C469, ""en"", ""hi"")"),"A) अंकगणित सीखना, B) शारीरिक व्यायाम, C) सांस्कृतिक शिक्षा, D) अनुष्ठानिक अभ्यास")</f>
        <v>A) अंकगणित सीखना, B) शारीरिक व्यायाम, C) सांस्कृतिक शिक्षा, D) अनुष्ठानिक अभ्यास</v>
      </c>
      <c r="I469" s="5" t="str">
        <f>IFERROR(__xludf.DUMMYFUNCTION("GOOGLETRANSLATE(D469, ""en"", ""hi"")"),"A) अंकगणित सीखना")</f>
        <v>A) अंकगणित सीखना</v>
      </c>
    </row>
    <row r="470" ht="22.5" customHeight="1">
      <c r="A470" s="3">
        <v>469.0</v>
      </c>
      <c r="B470" s="4" t="s">
        <v>7620</v>
      </c>
      <c r="C470" s="4" t="s">
        <v>7621</v>
      </c>
      <c r="D470" s="4" t="s">
        <v>7622</v>
      </c>
      <c r="F470" s="5" t="str">
        <f>IFERROR(__xludf.DUMMYFUNCTION("GOOGLETRANSLATE(A470, ""en"", ""hi"")"),"469")</f>
        <v>469</v>
      </c>
      <c r="G470" s="5" t="str">
        <f>IFERROR(__xludf.DUMMYFUNCTION("GOOGLETRANSLATE(B470, ""en"", ""hi"")"),"भारत में प्लास्टिक कंचे का प्रचलन किस ऐतिहासिक काल में शुरू हुआ?")</f>
        <v>भारत में प्लास्टिक कंचे का प्रचलन किस ऐतिहासिक काल में शुरू हुआ?</v>
      </c>
      <c r="H470" s="5" t="str">
        <f>IFERROR(__xludf.DUMMYFUNCTION("GOOGLETRANSLATE(C470, ""en"", ""hi"")"),"A) स्वतंत्रता के बाद का काल, B) पूर्व-औपनिवेशिक काल, C) औपनिवेशिक काल, D) प्राचीन काल")</f>
        <v>A) स्वतंत्रता के बाद का काल, B) पूर्व-औपनिवेशिक काल, C) औपनिवेशिक काल, D) प्राचीन काल</v>
      </c>
      <c r="I470" s="5" t="str">
        <f>IFERROR(__xludf.DUMMYFUNCTION("GOOGLETRANSLATE(D470, ""en"", ""hi"")"),"A) स्वतंत्रता के बाद की अवधि")</f>
        <v>A) स्वतंत्रता के बाद की अवधि</v>
      </c>
    </row>
    <row r="471" ht="22.5" customHeight="1">
      <c r="A471" s="3">
        <v>470.0</v>
      </c>
      <c r="B471" s="4" t="s">
        <v>7623</v>
      </c>
      <c r="C471" s="4" t="s">
        <v>7624</v>
      </c>
      <c r="D471" s="4" t="s">
        <v>7449</v>
      </c>
      <c r="F471" s="5" t="str">
        <f>IFERROR(__xludf.DUMMYFUNCTION("GOOGLETRANSLATE(A471, ""en"", ""hi"")"),"470")</f>
        <v>470</v>
      </c>
      <c r="G471" s="5" t="str">
        <f>IFERROR(__xludf.DUMMYFUNCTION("GOOGLETRANSLATE(B471, ""en"", ""hi"")"),"किस भारतीय कलाकार और लेखक ने कंचे को बचपन की यादों के प्रतीक के रूप में इस्तेमाल किया?")</f>
        <v>किस भारतीय कलाकार और लेखक ने कंचे को बचपन की यादों के प्रतीक के रूप में इस्तेमाल किया?</v>
      </c>
      <c r="H471" s="5" t="str">
        <f>IFERROR(__xludf.DUMMYFUNCTION("GOOGLETRANSLATE(C471, ""en"", ""hi"")"),"A) रवींद्रनाथ टैगोर, B) रस्किन बॉन्ड, C) कमला दास, D) विक्रम सेठ")</f>
        <v>A) रवींद्रनाथ टैगोर, B) रस्किन बॉन्ड, C) कमला दास, D) विक्रम सेठ</v>
      </c>
      <c r="I471" s="5" t="str">
        <f>IFERROR(__xludf.DUMMYFUNCTION("GOOGLETRANSLATE(D471, ""en"", ""hi"")"),"बी) रस्किन बॉन्ड")</f>
        <v>बी) रस्किन बॉन्ड</v>
      </c>
    </row>
    <row r="472" ht="22.5" customHeight="1">
      <c r="A472" s="3">
        <v>471.0</v>
      </c>
      <c r="B472" s="4" t="s">
        <v>7625</v>
      </c>
      <c r="C472" s="4" t="s">
        <v>7626</v>
      </c>
      <c r="D472" s="4" t="s">
        <v>7627</v>
      </c>
      <c r="F472" s="5" t="str">
        <f>IFERROR(__xludf.DUMMYFUNCTION("GOOGLETRANSLATE(A472, ""en"", ""hi"")"),"471")</f>
        <v>471</v>
      </c>
      <c r="G472" s="5" t="str">
        <f>IFERROR(__xludf.DUMMYFUNCTION("GOOGLETRANSLATE(B472, ""en"", ""hi"")"),"भारत में कांची उत्पादन पर औद्योगीकरण का ऐतिहासिक प्रभाव क्या था?")</f>
        <v>भारत में कांची उत्पादन पर औद्योगीकरण का ऐतिहासिक प्रभाव क्या था?</v>
      </c>
      <c r="H472" s="5" t="str">
        <f>IFERROR(__xludf.DUMMYFUNCTION("GOOGLETRANSLATE(C472, ""en"", ""hi"")"),"A) पारंपरिक शिल्प कौशल में गिरावट, B) कांच के कांच का बड़े पैमाने पर उत्पादन, C) पारंपरिक तरीकों का पुनरुद्धार, D) नई सामग्रियों का परिचय")</f>
        <v>A) पारंपरिक शिल्प कौशल में गिरावट, B) कांच के कांच का बड़े पैमाने पर उत्पादन, C) पारंपरिक तरीकों का पुनरुद्धार, D) नई सामग्रियों का परिचय</v>
      </c>
      <c r="I472" s="5" t="str">
        <f>IFERROR(__xludf.DUMMYFUNCTION("GOOGLETRANSLATE(D472, ""en"", ""hi"")"),"बी) कांच कांचे का बड़े पैमाने पर उत्पादन")</f>
        <v>बी) कांच कांचे का बड़े पैमाने पर उत्पादन</v>
      </c>
    </row>
    <row r="473" ht="22.5" customHeight="1">
      <c r="A473" s="3">
        <v>472.0</v>
      </c>
      <c r="B473" s="4" t="s">
        <v>7628</v>
      </c>
      <c r="C473" s="4" t="s">
        <v>7548</v>
      </c>
      <c r="D473" s="4" t="s">
        <v>49</v>
      </c>
      <c r="F473" s="5" t="str">
        <f>IFERROR(__xludf.DUMMYFUNCTION("GOOGLETRANSLATE(A473, ""en"", ""hi"")"),"472")</f>
        <v>472</v>
      </c>
      <c r="G473" s="5" t="str">
        <f>IFERROR(__xludf.DUMMYFUNCTION("GOOGLETRANSLATE(B473, ""en"", ""hi"")"),"कौन सा भारतीय राज्य पारंपरिक कंचे खेलों के साथ अपने ऐतिहासिक जुड़ाव के लिए जाना जाता है?")</f>
        <v>कौन सा भारतीय राज्य पारंपरिक कंचे खेलों के साथ अपने ऐतिहासिक जुड़ाव के लिए जाना जाता है?</v>
      </c>
      <c r="H473" s="5" t="str">
        <f>IFERROR(__xludf.DUMMYFUNCTION("GOOGLETRANSLATE(C473, ""en"", ""hi"")"),"ए) गुजरात, बी) तमिलनाडु, सी) कर्नाटक, डी) महाराष्ट्र")</f>
        <v>ए) गुजरात, बी) तमिलनाडु, सी) कर्नाटक, डी) महाराष्ट्र</v>
      </c>
      <c r="I473" s="5" t="str">
        <f>IFERROR(__xludf.DUMMYFUNCTION("GOOGLETRANSLATE(D473, ""en"", ""hi"")"),"A) गुजरात")</f>
        <v>A) गुजरात</v>
      </c>
    </row>
    <row r="474" ht="22.5" customHeight="1">
      <c r="A474" s="3">
        <v>473.0</v>
      </c>
      <c r="B474" s="4" t="s">
        <v>7629</v>
      </c>
      <c r="C474" s="4" t="s">
        <v>7630</v>
      </c>
      <c r="D474" s="4" t="s">
        <v>7631</v>
      </c>
      <c r="F474" s="5" t="str">
        <f>IFERROR(__xludf.DUMMYFUNCTION("GOOGLETRANSLATE(A474, ""en"", ""hi"")"),"473")</f>
        <v>473</v>
      </c>
      <c r="G474" s="5" t="str">
        <f>IFERROR(__xludf.DUMMYFUNCTION("GOOGLETRANSLATE(B474, ""en"", ""hi"")"),"किस भारतीय ऐतिहासिक युग में बच्चों के खेल में कंचे का व्यापक उपयोग देखा गया?")</f>
        <v>किस भारतीय ऐतिहासिक युग में बच्चों के खेल में कंचे का व्यापक उपयोग देखा गया?</v>
      </c>
      <c r="H474" s="5" t="str">
        <f>IFERROR(__xludf.DUMMYFUNCTION("GOOGLETRANSLATE(C474, ""en"", ""hi"")"),"A) प्राचीन भारत, B) मध्यकालीन भारत, C) मुगल भारत, D) औपनिवेशिक भारत")</f>
        <v>A) प्राचीन भारत, B) मध्यकालीन भारत, C) मुगल भारत, D) औपनिवेशिक भारत</v>
      </c>
      <c r="I474" s="5" t="str">
        <f>IFERROR(__xludf.DUMMYFUNCTION("GOOGLETRANSLATE(D474, ""en"", ""hi"")"),"D) औपनिवेशिक भारत")</f>
        <v>D) औपनिवेशिक भारत</v>
      </c>
    </row>
    <row r="475" ht="22.5" customHeight="1">
      <c r="A475" s="3">
        <v>474.0</v>
      </c>
      <c r="B475" s="4" t="s">
        <v>7632</v>
      </c>
      <c r="C475" s="4" t="s">
        <v>7633</v>
      </c>
      <c r="D475" s="4" t="s">
        <v>7634</v>
      </c>
      <c r="F475" s="5" t="str">
        <f>IFERROR(__xludf.DUMMYFUNCTION("GOOGLETRANSLATE(A475, ""en"", ""hi"")"),"474")</f>
        <v>474</v>
      </c>
      <c r="G475" s="5" t="str">
        <f>IFERROR(__xludf.DUMMYFUNCTION("GOOGLETRANSLATE(B475, ""en"", ""hi"")"),"किस भारतीय ऐतिहासिक विवरण में कंचे को गांव के त्योहारों के दौरान बच्चों के बीच एक लोकप्रिय खेल के रूप में वर्णित किया गया है?")</f>
        <v>किस भारतीय ऐतिहासिक विवरण में कंचे को गांव के त्योहारों के दौरान बच्चों के बीच एक लोकप्रिय खेल के रूप में वर्णित किया गया है?</v>
      </c>
      <c r="H475" s="5" t="str">
        <f>IFERROR(__xludf.DUMMYFUNCTION("GOOGLETRANSLATE(C475, ""en"", ""hi"")"),"A) औपनिवेशिक यात्रा वृत्तांत, B) प्राचीन पांडुलिपियाँ, C) ब्रिटिश प्रशासनिक अभिलेख, D) मौखिक परंपराएँ")</f>
        <v>A) औपनिवेशिक यात्रा वृत्तांत, B) प्राचीन पांडुलिपियाँ, C) ब्रिटिश प्रशासनिक अभिलेख, D) मौखिक परंपराएँ</v>
      </c>
      <c r="I475" s="5" t="str">
        <f>IFERROR(__xludf.DUMMYFUNCTION("GOOGLETRANSLATE(D475, ""en"", ""hi"")"),"A) औपनिवेशिक यात्रा वृत्तांत")</f>
        <v>A) औपनिवेशिक यात्रा वृत्तांत</v>
      </c>
    </row>
    <row r="476" ht="22.5" customHeight="1">
      <c r="A476" s="3">
        <v>475.0</v>
      </c>
      <c r="B476" s="4" t="s">
        <v>7635</v>
      </c>
      <c r="C476" s="4" t="s">
        <v>7636</v>
      </c>
      <c r="D476" s="4" t="s">
        <v>4591</v>
      </c>
      <c r="F476" s="5" t="str">
        <f>IFERROR(__xludf.DUMMYFUNCTION("GOOGLETRANSLATE(A476, ""en"", ""hi"")"),"475")</f>
        <v>475</v>
      </c>
      <c r="G476" s="5" t="str">
        <f>IFERROR(__xludf.DUMMYFUNCTION("GOOGLETRANSLATE(B476, ""en"", ""hi"")"),"पारंपरिक भारतीय सांस्कृतिक प्रथाओं में कंचे की क्या भूमिका थी?")</f>
        <v>पारंपरिक भारतीय सांस्कृतिक प्रथाओं में कंचे की क्या भूमिका थी?</v>
      </c>
      <c r="H476" s="5" t="str">
        <f>IFERROR(__xludf.DUMMYFUNCTION("GOOGLETRANSLATE(C476, ""en"", ""hi"")"),"A) मनोरंजन, B) अनुष्ठानिक उपयोग, C) शैक्षिक उपकरण, D) व्यापारिक वस्तु")</f>
        <v>A) मनोरंजन, B) अनुष्ठानिक उपयोग, C) शैक्षिक उपकरण, D) व्यापारिक वस्तु</v>
      </c>
      <c r="I476" s="5" t="str">
        <f>IFERROR(__xludf.DUMMYFUNCTION("GOOGLETRANSLATE(D476, ""en"", ""hi"")"),"ए) मनोरंजन")</f>
        <v>ए) मनोरंजन</v>
      </c>
    </row>
    <row r="477" ht="22.5" customHeight="1">
      <c r="A477" s="3">
        <v>476.0</v>
      </c>
      <c r="B477" s="4" t="s">
        <v>7637</v>
      </c>
      <c r="C477" s="4" t="s">
        <v>7573</v>
      </c>
      <c r="D477" s="4" t="s">
        <v>7359</v>
      </c>
      <c r="F477" s="5" t="str">
        <f>IFERROR(__xludf.DUMMYFUNCTION("GOOGLETRANSLATE(A477, ""en"", ""hi"")"),"476")</f>
        <v>476</v>
      </c>
      <c r="G477" s="5" t="str">
        <f>IFERROR(__xludf.DUMMYFUNCTION("GOOGLETRANSLATE(B477, ""en"", ""hi"")"),"किस भारतीय कवि ने ग्रामीण बचपन के अनुभवों को प्रतिबिंबित करने के लिए अपनी रचनाओं में कांचे का चित्रण किया?")</f>
        <v>किस भारतीय कवि ने ग्रामीण बचपन के अनुभवों को प्रतिबिंबित करने के लिए अपनी रचनाओं में कांचे का चित्रण किया?</v>
      </c>
      <c r="H477" s="5" t="str">
        <f>IFERROR(__xludf.DUMMYFUNCTION("GOOGLETRANSLATE(C477, ""en"", ""hi"")"),"ए) रवीन्द्रनाथ टैगोर, बी) कमला दास, सी) साहिर लुधियानवी, डी) आगा शाहिद अली")</f>
        <v>ए) रवीन्द्रनाथ टैगोर, बी) कमला दास, सी) साहिर लुधियानवी, डी) आगा शाहिद अली</v>
      </c>
      <c r="I477" s="5" t="str">
        <f>IFERROR(__xludf.DUMMYFUNCTION("GOOGLETRANSLATE(D477, ""en"", ""hi"")"),"A) रवींद्रनाथ टैगोर")</f>
        <v>A) रवींद्रनाथ टैगोर</v>
      </c>
    </row>
    <row r="478" ht="22.5" customHeight="1">
      <c r="A478" s="3">
        <v>477.0</v>
      </c>
      <c r="B478" s="4" t="s">
        <v>7638</v>
      </c>
      <c r="C478" s="4" t="s">
        <v>7639</v>
      </c>
      <c r="D478" s="4" t="s">
        <v>7640</v>
      </c>
      <c r="F478" s="5" t="str">
        <f>IFERROR(__xludf.DUMMYFUNCTION("GOOGLETRANSLATE(A478, ""en"", ""hi"")"),"477")</f>
        <v>477</v>
      </c>
      <c r="G478" s="5" t="str">
        <f>IFERROR(__xludf.DUMMYFUNCTION("GOOGLETRANSLATE(B478, ""en"", ""hi"")"),"भारतीय शहरी क्षेत्रों में पारंपरिक कंचे के पतन को प्रभावित करने वाला महत्वपूर्ण ऐतिहासिक कारक क्या था?")</f>
        <v>भारतीय शहरी क्षेत्रों में पारंपरिक कंचे के पतन को प्रभावित करने वाला महत्वपूर्ण ऐतिहासिक कारक क्या था?</v>
      </c>
      <c r="H478" s="5" t="str">
        <f>IFERROR(__xludf.DUMMYFUNCTION("GOOGLETRANSLATE(C478, ""en"", ""hi"")"),"A) तकनीकी प्रगति, B) आर्थिक परिवर्तन, C) सांस्कृतिक बदलाव, D) औपनिवेशिक नीतियाँ")</f>
        <v>A) तकनीकी प्रगति, B) आर्थिक परिवर्तन, C) सांस्कृतिक बदलाव, D) औपनिवेशिक नीतियाँ</v>
      </c>
      <c r="I478" s="5" t="str">
        <f>IFERROR(__xludf.DUMMYFUNCTION("GOOGLETRANSLATE(D478, ""en"", ""hi"")"),"ए) तकनीकी प्रगति")</f>
        <v>ए) तकनीकी प्रगति</v>
      </c>
    </row>
    <row r="479" ht="22.5" customHeight="1">
      <c r="A479" s="3">
        <v>478.0</v>
      </c>
      <c r="B479" s="4" t="s">
        <v>7641</v>
      </c>
      <c r="C479" s="4" t="s">
        <v>7642</v>
      </c>
      <c r="D479" s="4" t="s">
        <v>7444</v>
      </c>
      <c r="F479" s="5" t="str">
        <f>IFERROR(__xludf.DUMMYFUNCTION("GOOGLETRANSLATE(A479, ""en"", ""hi"")"),"478")</f>
        <v>478</v>
      </c>
      <c r="G479" s="5" t="str">
        <f>IFERROR(__xludf.DUMMYFUNCTION("GOOGLETRANSLATE(B479, ""en"", ""hi"")"),"किस ऐतिहासिक घटना ने भारत में आधुनिक कांची सामग्री के आगमन में योगदान दिया?")</f>
        <v>किस ऐतिहासिक घटना ने भारत में आधुनिक कांची सामग्री के आगमन में योगदान दिया?</v>
      </c>
      <c r="H479" s="5" t="str">
        <f>IFERROR(__xludf.DUMMYFUNCTION("GOOGLETRANSLATE(C479, ""en"", ""hi"")"),"A) द्वितीय विश्व युद्ध के बाद का औद्योगीकरण, B) आर्थिक उदारीकरण, C) ब्रिटिश औपनिवेशिक शासन, D) भारतीय स्वतंत्रता")</f>
        <v>A) द्वितीय विश्व युद्ध के बाद का औद्योगीकरण, B) आर्थिक उदारीकरण, C) ब्रिटिश औपनिवेशिक शासन, D) भारतीय स्वतंत्रता</v>
      </c>
      <c r="I479" s="5" t="str">
        <f>IFERROR(__xludf.DUMMYFUNCTION("GOOGLETRANSLATE(D479, ""en"", ""hi"")"),"A) द्वितीय विश्व युद्ध के बाद का औद्योगीकरण")</f>
        <v>A) द्वितीय विश्व युद्ध के बाद का औद्योगीकरण</v>
      </c>
    </row>
    <row r="480" ht="22.5" customHeight="1">
      <c r="A480" s="3">
        <v>479.0</v>
      </c>
      <c r="B480" s="4" t="s">
        <v>7643</v>
      </c>
      <c r="C480" s="4" t="s">
        <v>7644</v>
      </c>
      <c r="D480" s="4" t="s">
        <v>7610</v>
      </c>
      <c r="F480" s="5" t="str">
        <f>IFERROR(__xludf.DUMMYFUNCTION("GOOGLETRANSLATE(A480, ""en"", ""hi"")"),"479")</f>
        <v>479</v>
      </c>
      <c r="G480" s="5" t="str">
        <f>IFERROR(__xludf.DUMMYFUNCTION("GOOGLETRANSLATE(B480, ""en"", ""hi"")"),"कौन सा भारतीय समुदाय पारंपरिक रूप से मिट्टी और कांच से कंचे बनाता है?")</f>
        <v>कौन सा भारतीय समुदाय पारंपरिक रूप से मिट्टी और कांच से कंचे बनाता है?</v>
      </c>
      <c r="H480" s="5" t="str">
        <f>IFERROR(__xludf.DUMMYFUNCTION("GOOGLETRANSLATE(C480, ""en"", ""hi"")"),"A) कुम्हार, B) बुनकर, C) धातुकर्मी, D) बढ़ई")</f>
        <v>A) कुम्हार, B) बुनकर, C) धातुकर्मी, D) बढ़ई</v>
      </c>
      <c r="I480" s="5" t="str">
        <f>IFERROR(__xludf.DUMMYFUNCTION("GOOGLETRANSLATE(D480, ""en"", ""hi"")"),"A) कुम्हार")</f>
        <v>A) कुम्हार</v>
      </c>
    </row>
    <row r="481" ht="22.5" customHeight="1">
      <c r="A481" s="3">
        <v>480.0</v>
      </c>
      <c r="B481" s="4" t="s">
        <v>7645</v>
      </c>
      <c r="C481" s="4" t="s">
        <v>7646</v>
      </c>
      <c r="D481" s="4" t="s">
        <v>7311</v>
      </c>
      <c r="F481" s="5" t="str">
        <f>IFERROR(__xludf.DUMMYFUNCTION("GOOGLETRANSLATE(A481, ""en"", ""hi"")"),"480")</f>
        <v>480</v>
      </c>
      <c r="G481" s="5" t="str">
        <f>IFERROR(__xludf.DUMMYFUNCTION("GOOGLETRANSLATE(B481, ""en"", ""hi"")"),"किस भारतीय त्यौहार में कांचे को पारंपरिक रूप से शामिल किया जाता है?")</f>
        <v>किस भारतीय त्यौहार में कांचे को पारंपरिक रूप से शामिल किया जाता है?</v>
      </c>
      <c r="H481" s="5" t="str">
        <f>IFERROR(__xludf.DUMMYFUNCTION("GOOGLETRANSLATE(C481, ""en"", ""hi"")"),"ए) मकर संक्रांति, बी) दिवाली, सी) होली, डी) पोंगल")</f>
        <v>ए) मकर संक्रांति, बी) दिवाली, सी) होली, डी) पोंगल</v>
      </c>
      <c r="I481" s="5" t="str">
        <f>IFERROR(__xludf.DUMMYFUNCTION("GOOGLETRANSLATE(D481, ""en"", ""hi"")"),"A) मकर संक्रांति")</f>
        <v>A) मकर संक्रांति</v>
      </c>
    </row>
    <row r="482" ht="22.5" customHeight="1">
      <c r="A482" s="3">
        <v>481.0</v>
      </c>
      <c r="B482" s="4" t="s">
        <v>7647</v>
      </c>
      <c r="C482" s="4" t="s">
        <v>7648</v>
      </c>
      <c r="D482" s="4" t="s">
        <v>7530</v>
      </c>
      <c r="F482" s="5" t="str">
        <f>IFERROR(__xludf.DUMMYFUNCTION("GOOGLETRANSLATE(A482, ""en"", ""hi"")"),"481")</f>
        <v>481</v>
      </c>
      <c r="G482" s="5" t="str">
        <f>IFERROR(__xludf.DUMMYFUNCTION("GOOGLETRANSLATE(B482, ""en"", ""hi"")"),"पारंपरिक भारतीय ग्रामीण मेलों में कंचे का प्राथमिक ऐतिहासिक उपयोग क्या था?")</f>
        <v>पारंपरिक भारतीय ग्रामीण मेलों में कंचे का प्राथमिक ऐतिहासिक उपयोग क्या था?</v>
      </c>
      <c r="H482" s="5" t="str">
        <f>IFERROR(__xludf.DUMMYFUNCTION("GOOGLETRANSLATE(C482, ""en"", ""hi"")"),"A) मनोरंजक खेल, B) व्यापार, C) अनुष्ठानिक अभ्यास, D) शैक्षिक उपकरण")</f>
        <v>A) मनोरंजक खेल, B) व्यापार, C) अनुष्ठानिक अभ्यास, D) शैक्षिक उपकरण</v>
      </c>
      <c r="I482" s="5" t="str">
        <f>IFERROR(__xludf.DUMMYFUNCTION("GOOGLETRANSLATE(D482, ""en"", ""hi"")"),"A) मनोरंजक खेल")</f>
        <v>A) मनोरंजक खेल</v>
      </c>
    </row>
    <row r="483" ht="22.5" customHeight="1">
      <c r="A483" s="3">
        <v>482.0</v>
      </c>
      <c r="B483" s="4" t="s">
        <v>7649</v>
      </c>
      <c r="C483" s="4" t="s">
        <v>7650</v>
      </c>
      <c r="D483" s="4" t="s">
        <v>7651</v>
      </c>
      <c r="F483" s="5" t="str">
        <f>IFERROR(__xludf.DUMMYFUNCTION("GOOGLETRANSLATE(A483, ""en"", ""hi"")"),"482")</f>
        <v>482</v>
      </c>
      <c r="G483" s="5" t="str">
        <f>IFERROR(__xludf.DUMMYFUNCTION("GOOGLETRANSLATE(B483, ""en"", ""hi"")"),"भारतीय कलात्मक परम्पराओं में कांचे का दस्तावेजीकरण किस ऐतिहासिक काल में हुआ?")</f>
        <v>भारतीय कलात्मक परम्पराओं में कांचे का दस्तावेजीकरण किस ऐतिहासिक काल में हुआ?</v>
      </c>
      <c r="H483" s="5" t="str">
        <f>IFERROR(__xludf.DUMMYFUNCTION("GOOGLETRANSLATE(C483, ""en"", ""hi"")"),"A) औपनिवेशिक काल, B) मध्यकाल, C) मुगल काल, D) प्राचीन काल")</f>
        <v>A) औपनिवेशिक काल, B) मध्यकाल, C) मुगल काल, D) प्राचीन काल</v>
      </c>
      <c r="I483" s="5" t="str">
        <f>IFERROR(__xludf.DUMMYFUNCTION("GOOGLETRANSLATE(D483, ""en"", ""hi"")"),"A) औपनिवेशिक काल")</f>
        <v>A) औपनिवेशिक काल</v>
      </c>
    </row>
    <row r="484" ht="22.5" customHeight="1">
      <c r="A484" s="3">
        <v>483.0</v>
      </c>
      <c r="B484" s="4" t="s">
        <v>7652</v>
      </c>
      <c r="C484" s="4" t="s">
        <v>7508</v>
      </c>
      <c r="D484" s="4" t="s">
        <v>7653</v>
      </c>
      <c r="F484" s="5" t="str">
        <f>IFERROR(__xludf.DUMMYFUNCTION("GOOGLETRANSLATE(A484, ""en"", ""hi"")"),"483")</f>
        <v>483</v>
      </c>
      <c r="G484" s="5" t="str">
        <f>IFERROR(__xludf.DUMMYFUNCTION("GOOGLETRANSLATE(B484, ""en"", ""hi"")"),"20वीं शताब्दी के दौरान किस भारतीय कलाकार ने अपनी कलाकृतियों में कांचे का चित्रण शामिल किया?")</f>
        <v>20वीं शताब्दी के दौरान किस भारतीय कलाकार ने अपनी कलाकृतियों में कांचे का चित्रण शामिल किया?</v>
      </c>
      <c r="H484" s="5" t="str">
        <f>IFERROR(__xludf.DUMMYFUNCTION("GOOGLETRANSLATE(C484, ""en"", ""hi"")"),"ए) जामिनी रॉय, बी) नंदलाल बोस, सी) अमृता शेरगिल, डी) रवींद्रनाथ टैगोर")</f>
        <v>ए) जामिनी रॉय, बी) नंदलाल बोस, सी) अमृता शेरगिल, डी) रवींद्रनाथ टैगोर</v>
      </c>
      <c r="I484" s="5" t="str">
        <f>IFERROR(__xludf.DUMMYFUNCTION("GOOGLETRANSLATE(D484, ""en"", ""hi"")"),"बी) नंदलाल बोस")</f>
        <v>बी) नंदलाल बोस</v>
      </c>
    </row>
    <row r="485" ht="22.5" customHeight="1">
      <c r="A485" s="3">
        <v>484.0</v>
      </c>
      <c r="B485" s="4" t="s">
        <v>7654</v>
      </c>
      <c r="C485" s="4" t="s">
        <v>7655</v>
      </c>
      <c r="D485" s="4" t="s">
        <v>7601</v>
      </c>
      <c r="F485" s="5" t="str">
        <f>IFERROR(__xludf.DUMMYFUNCTION("GOOGLETRANSLATE(A485, ""en"", ""hi"")"),"484")</f>
        <v>484</v>
      </c>
      <c r="G485" s="5" t="str">
        <f>IFERROR(__xludf.DUMMYFUNCTION("GOOGLETRANSLATE(B485, ""en"", ""hi"")"),"किस ऐतिहासिक बदलाव के कारण भारत में पारंपरिक कंचे बनाने की कला का पतन हुआ?")</f>
        <v>किस ऐतिहासिक बदलाव के कारण भारत में पारंपरिक कंचे बनाने की कला का पतन हुआ?</v>
      </c>
      <c r="H485" s="5" t="str">
        <f>IFERROR(__xludf.DUMMYFUNCTION("GOOGLETRANSLATE(C485, ""en"", ""hi"")"),"A) औद्योगीकरण, B) आर्थिक परिवर्तन, C) सांस्कृतिक बदलाव, D) औपनिवेशिक नीतियाँ")</f>
        <v>A) औद्योगीकरण, B) आर्थिक परिवर्तन, C) सांस्कृतिक बदलाव, D) औपनिवेशिक नीतियाँ</v>
      </c>
      <c r="I485" s="5" t="str">
        <f>IFERROR(__xludf.DUMMYFUNCTION("GOOGLETRANSLATE(D485, ""en"", ""hi"")"),"ए) औद्योगीकरण")</f>
        <v>ए) औद्योगीकरण</v>
      </c>
    </row>
    <row r="486" ht="22.5" customHeight="1">
      <c r="A486" s="3">
        <v>485.0</v>
      </c>
      <c r="B486" s="4" t="s">
        <v>7656</v>
      </c>
      <c r="C486" s="4" t="s">
        <v>7548</v>
      </c>
      <c r="D486" s="4" t="s">
        <v>49</v>
      </c>
      <c r="F486" s="5" t="str">
        <f>IFERROR(__xludf.DUMMYFUNCTION("GOOGLETRANSLATE(A486, ""en"", ""hi"")"),"485")</f>
        <v>485</v>
      </c>
      <c r="G486" s="5" t="str">
        <f>IFERROR(__xludf.DUMMYFUNCTION("GOOGLETRANSLATE(B486, ""en"", ""hi"")"),"कौन सा भारतीय राज्य अपने पारंपरिक कंचे खेलों और सांस्कृतिक महत्व के लिए जाना जाता है?")</f>
        <v>कौन सा भारतीय राज्य अपने पारंपरिक कंचे खेलों और सांस्कृतिक महत्व के लिए जाना जाता है?</v>
      </c>
      <c r="H486" s="5" t="str">
        <f>IFERROR(__xludf.DUMMYFUNCTION("GOOGLETRANSLATE(C486, ""en"", ""hi"")"),"ए) गुजरात, बी) तमिलनाडु, सी) कर्नाटक, डी) महाराष्ट्र")</f>
        <v>ए) गुजरात, बी) तमिलनाडु, सी) कर्नाटक, डी) महाराष्ट्र</v>
      </c>
      <c r="I486" s="5" t="str">
        <f>IFERROR(__xludf.DUMMYFUNCTION("GOOGLETRANSLATE(D486, ""en"", ""hi"")"),"A) गुजरात")</f>
        <v>A) गुजरात</v>
      </c>
    </row>
    <row r="487" ht="22.5" customHeight="1">
      <c r="A487" s="3">
        <v>486.0</v>
      </c>
      <c r="B487" s="4" t="s">
        <v>7657</v>
      </c>
      <c r="C487" s="4" t="s">
        <v>7619</v>
      </c>
      <c r="D487" s="4" t="s">
        <v>7432</v>
      </c>
      <c r="F487" s="5" t="str">
        <f>IFERROR(__xludf.DUMMYFUNCTION("GOOGLETRANSLATE(A487, ""en"", ""hi"")"),"486")</f>
        <v>486</v>
      </c>
      <c r="G487" s="5" t="str">
        <f>IFERROR(__xludf.DUMMYFUNCTION("GOOGLETRANSLATE(B487, ""en"", ""hi"")"),"आधुनिक स्कूली शिक्षा से पहले पारंपरिक भारतीय शिक्षा प्रणालियों में कांचे की क्या भूमिका थी?")</f>
        <v>आधुनिक स्कूली शिक्षा से पहले पारंपरिक भारतीय शिक्षा प्रणालियों में कांचे की क्या भूमिका थी?</v>
      </c>
      <c r="H487" s="5" t="str">
        <f>IFERROR(__xludf.DUMMYFUNCTION("GOOGLETRANSLATE(C487, ""en"", ""hi"")"),"A) अंकगणित सीखना, B) शारीरिक व्यायाम, C) सांस्कृतिक शिक्षा, D) अनुष्ठानिक अभ्यास")</f>
        <v>A) अंकगणित सीखना, B) शारीरिक व्यायाम, C) सांस्कृतिक शिक्षा, D) अनुष्ठानिक अभ्यास</v>
      </c>
      <c r="I487" s="5" t="str">
        <f>IFERROR(__xludf.DUMMYFUNCTION("GOOGLETRANSLATE(D487, ""en"", ""hi"")"),"A) अंकगणित सीखना")</f>
        <v>A) अंकगणित सीखना</v>
      </c>
    </row>
    <row r="488" ht="22.5" customHeight="1">
      <c r="A488" s="3">
        <v>487.0</v>
      </c>
      <c r="B488" s="4" t="s">
        <v>7658</v>
      </c>
      <c r="C488" s="4" t="s">
        <v>7659</v>
      </c>
      <c r="D488" s="4" t="s">
        <v>7444</v>
      </c>
      <c r="F488" s="5" t="str">
        <f>IFERROR(__xludf.DUMMYFUNCTION("GOOGLETRANSLATE(A488, ""en"", ""hi"")"),"487")</f>
        <v>487</v>
      </c>
      <c r="G488" s="5" t="str">
        <f>IFERROR(__xludf.DUMMYFUNCTION("GOOGLETRANSLATE(B488, ""en"", ""hi"")"),"भारत में प्लास्टिक कांच के विकास के लिए कौन सा ऐतिहासिक कारक जिम्मेदार था?")</f>
        <v>भारत में प्लास्टिक कांच के विकास के लिए कौन सा ऐतिहासिक कारक जिम्मेदार था?</v>
      </c>
      <c r="H488" s="5" t="str">
        <f>IFERROR(__xludf.DUMMYFUNCTION("GOOGLETRANSLATE(C488, ""en"", ""hi"")"),"A) द्वितीय विश्व युद्ध के बाद का औद्योगीकरण, B) आर्थिक उदारीकरण, C) तकनीकी प्रगति, D) सांस्कृतिक बदलाव")</f>
        <v>A) द्वितीय विश्व युद्ध के बाद का औद्योगीकरण, B) आर्थिक उदारीकरण, C) तकनीकी प्रगति, D) सांस्कृतिक बदलाव</v>
      </c>
      <c r="I488" s="5" t="str">
        <f>IFERROR(__xludf.DUMMYFUNCTION("GOOGLETRANSLATE(D488, ""en"", ""hi"")"),"A) द्वितीय विश्व युद्ध के बाद का औद्योगीकरण")</f>
        <v>A) द्वितीय विश्व युद्ध के बाद का औद्योगीकरण</v>
      </c>
    </row>
    <row r="489" ht="22.5" customHeight="1">
      <c r="A489" s="3">
        <v>488.0</v>
      </c>
      <c r="B489" s="4" t="s">
        <v>7660</v>
      </c>
      <c r="C489" s="4" t="s">
        <v>7573</v>
      </c>
      <c r="D489" s="4" t="s">
        <v>7359</v>
      </c>
      <c r="F489" s="5" t="str">
        <f>IFERROR(__xludf.DUMMYFUNCTION("GOOGLETRANSLATE(A489, ""en"", ""hi"")"),"488")</f>
        <v>488</v>
      </c>
      <c r="G489" s="5" t="str">
        <f>IFERROR(__xludf.DUMMYFUNCTION("GOOGLETRANSLATE(B489, ""en"", ""hi"")"),"किस भारतीय कवि ने अपने साहित्यिक कार्यों में कांचे को पारंपरिक बचपन के अनुभवों के प्रतीक के रूप में इस्तेमाल किया?")</f>
        <v>किस भारतीय कवि ने अपने साहित्यिक कार्यों में कांचे को पारंपरिक बचपन के अनुभवों के प्रतीक के रूप में इस्तेमाल किया?</v>
      </c>
      <c r="H489" s="5" t="str">
        <f>IFERROR(__xludf.DUMMYFUNCTION("GOOGLETRANSLATE(C489, ""en"", ""hi"")"),"ए) रवीन्द्रनाथ टैगोर, बी) कमला दास, सी) साहिर लुधियानवी, डी) आगा शाहिद अली")</f>
        <v>ए) रवीन्द्रनाथ टैगोर, बी) कमला दास, सी) साहिर लुधियानवी, डी) आगा शाहिद अली</v>
      </c>
      <c r="I489" s="5" t="str">
        <f>IFERROR(__xludf.DUMMYFUNCTION("GOOGLETRANSLATE(D489, ""en"", ""hi"")"),"A) रवींद्रनाथ टैगोर")</f>
        <v>A) रवींद्रनाथ टैगोर</v>
      </c>
    </row>
    <row r="490" ht="22.5" customHeight="1">
      <c r="A490" s="3">
        <v>489.0</v>
      </c>
      <c r="B490" s="4" t="s">
        <v>7661</v>
      </c>
      <c r="C490" s="4" t="s">
        <v>7662</v>
      </c>
      <c r="D490" s="4" t="s">
        <v>5674</v>
      </c>
      <c r="F490" s="5" t="str">
        <f>IFERROR(__xludf.DUMMYFUNCTION("GOOGLETRANSLATE(A490, ""en"", ""hi"")"),"489")</f>
        <v>489</v>
      </c>
      <c r="G490" s="5" t="str">
        <f>IFERROR(__xludf.DUMMYFUNCTION("GOOGLETRANSLATE(B490, ""en"", ""hi"")"),"भारत में कंचे के पारंपरिक खेल पर औपनिवेशिक शासन का प्राथमिक प्रभाव क्या था?")</f>
        <v>भारत में कंचे के पारंपरिक खेल पर औपनिवेशिक शासन का प्राथमिक प्रभाव क्या था?</v>
      </c>
      <c r="H490" s="5" t="str">
        <f>IFERROR(__xludf.DUMMYFUNCTION("GOOGLETRANSLATE(C490, ""en"", ""hi"")"),"A) नई सामग्रियों का परिचय, B) पारंपरिक प्रथाओं में गिरावट, C) नियमों का मानकीकरण, D) बढ़ती लोकप्रियता")</f>
        <v>A) नई सामग्रियों का परिचय, B) पारंपरिक प्रथाओं में गिरावट, C) नियमों का मानकीकरण, D) बढ़ती लोकप्रियता</v>
      </c>
      <c r="I490" s="5" t="str">
        <f>IFERROR(__xludf.DUMMYFUNCTION("GOOGLETRANSLATE(D490, ""en"", ""hi"")"),"बी) पारंपरिक प्रथाओं में गिरावट")</f>
        <v>बी) पारंपरिक प्रथाओं में गिरावट</v>
      </c>
    </row>
    <row r="491" ht="22.5" customHeight="1">
      <c r="A491" s="3">
        <v>490.0</v>
      </c>
      <c r="B491" s="4" t="s">
        <v>7663</v>
      </c>
      <c r="C491" s="4" t="s">
        <v>7664</v>
      </c>
      <c r="D491" s="4" t="s">
        <v>49</v>
      </c>
      <c r="F491" s="5" t="str">
        <f>IFERROR(__xludf.DUMMYFUNCTION("GOOGLETRANSLATE(A491, ""en"", ""hi"")"),"490")</f>
        <v>490</v>
      </c>
      <c r="G491" s="5" t="str">
        <f>IFERROR(__xludf.DUMMYFUNCTION("GOOGLETRANSLATE(B491, ""en"", ""hi"")"),"कौन सा भारतीय क्षेत्र सजावटी कंचे के ऐतिहासिक उत्पादन और उपयोग के लिए जाना जाता है?")</f>
        <v>कौन सा भारतीय क्षेत्र सजावटी कंचे के ऐतिहासिक उत्पादन और उपयोग के लिए जाना जाता है?</v>
      </c>
      <c r="H491" s="5" t="str">
        <f>IFERROR(__xludf.DUMMYFUNCTION("GOOGLETRANSLATE(C491, ""en"", ""hi"")"),"A) गुजरात, B) तमिलनाडु, C) कर्नाटक, D) आंध्र प्रदेश")</f>
        <v>A) गुजरात, B) तमिलनाडु, C) कर्नाटक, D) आंध्र प्रदेश</v>
      </c>
      <c r="I491" s="5" t="str">
        <f>IFERROR(__xludf.DUMMYFUNCTION("GOOGLETRANSLATE(D491, ""en"", ""hi"")"),"A) गुजरात")</f>
        <v>A) गुजरात</v>
      </c>
    </row>
    <row r="492" ht="22.5" customHeight="1">
      <c r="A492" s="3">
        <v>491.0</v>
      </c>
      <c r="B492" s="4" t="s">
        <v>7665</v>
      </c>
      <c r="C492" s="4" t="s">
        <v>7609</v>
      </c>
      <c r="D492" s="4" t="s">
        <v>7610</v>
      </c>
      <c r="F492" s="5" t="str">
        <f>IFERROR(__xludf.DUMMYFUNCTION("GOOGLETRANSLATE(A492, ""en"", ""hi"")"),"491")</f>
        <v>491</v>
      </c>
      <c r="G492" s="5" t="str">
        <f>IFERROR(__xludf.DUMMYFUNCTION("GOOGLETRANSLATE(B492, ""en"", ""hi"")"),"कौन सा भारतीय समुदाय पारंपरिक रूप से मिट्टी और कांच से कंचे बनाने में शामिल था?")</f>
        <v>कौन सा भारतीय समुदाय पारंपरिक रूप से मिट्टी और कांच से कंचे बनाने में शामिल था?</v>
      </c>
      <c r="H492" s="5" t="str">
        <f>IFERROR(__xludf.DUMMYFUNCTION("GOOGLETRANSLATE(C492, ""en"", ""hi"")"),"A) कुम्हार, B) बुनकर, C) लोहार, D) बढ़ई")</f>
        <v>A) कुम्हार, B) बुनकर, C) लोहार, D) बढ़ई</v>
      </c>
      <c r="I492" s="5" t="str">
        <f>IFERROR(__xludf.DUMMYFUNCTION("GOOGLETRANSLATE(D492, ""en"", ""hi"")"),"A) कुम्हार")</f>
        <v>A) कुम्हार</v>
      </c>
    </row>
    <row r="493" ht="22.5" customHeight="1">
      <c r="A493" s="3">
        <v>492.0</v>
      </c>
      <c r="B493" s="4" t="s">
        <v>7666</v>
      </c>
      <c r="C493" s="4" t="s">
        <v>7667</v>
      </c>
      <c r="D493" s="4" t="s">
        <v>7311</v>
      </c>
      <c r="F493" s="5" t="str">
        <f>IFERROR(__xludf.DUMMYFUNCTION("GOOGLETRANSLATE(A493, ""en"", ""hi"")"),"492")</f>
        <v>492</v>
      </c>
      <c r="G493" s="5" t="str">
        <f>IFERROR(__xludf.DUMMYFUNCTION("GOOGLETRANSLATE(B493, ""en"", ""hi"")"),"किस भारतीय त्यौहार में कंचे को पारंपरिक रूप से सामुदायिक खेल के रूप में शामिल किया जाता है?")</f>
        <v>किस भारतीय त्यौहार में कंचे को पारंपरिक रूप से सामुदायिक खेल के रूप में शामिल किया जाता है?</v>
      </c>
      <c r="H493" s="5" t="str">
        <f>IFERROR(__xludf.DUMMYFUNCTION("GOOGLETRANSLATE(C493, ""en"", ""hi"")"),"ए) मकर संक्रांति, बी) पोंगल, सी) दिवाली, डी) होली")</f>
        <v>ए) मकर संक्रांति, बी) पोंगल, सी) दिवाली, डी) होली</v>
      </c>
      <c r="I493" s="5" t="str">
        <f>IFERROR(__xludf.DUMMYFUNCTION("GOOGLETRANSLATE(D493, ""en"", ""hi"")"),"A) मकर संक्रांति")</f>
        <v>A) मकर संक्रांति</v>
      </c>
    </row>
    <row r="494" ht="22.5" customHeight="1">
      <c r="A494" s="3">
        <v>493.0</v>
      </c>
      <c r="B494" s="4" t="s">
        <v>7668</v>
      </c>
      <c r="C494" s="4" t="s">
        <v>7669</v>
      </c>
      <c r="D494" s="4" t="s">
        <v>7530</v>
      </c>
      <c r="F494" s="5" t="str">
        <f>IFERROR(__xludf.DUMMYFUNCTION("GOOGLETRANSLATE(A494, ""en"", ""hi"")"),"493")</f>
        <v>493</v>
      </c>
      <c r="G494" s="5" t="str">
        <f>IFERROR(__xludf.DUMMYFUNCTION("GOOGLETRANSLATE(B494, ""en"", ""hi"")"),"पारंपरिक भारतीय ग्रामीण मेलों और त्योहारों में कंचे की क्या भूमिका थी?")</f>
        <v>पारंपरिक भारतीय ग्रामीण मेलों और त्योहारों में कंचे की क्या भूमिका थी?</v>
      </c>
      <c r="H494" s="5" t="str">
        <f>IFERROR(__xludf.DUMMYFUNCTION("GOOGLETRANSLATE(C494, ""en"", ""hi"")"),"A) मनोरंजक खेल, B) अनुष्ठानिक अभ्यास, C) शैक्षिक उपकरण, D) व्यापार")</f>
        <v>A) मनोरंजक खेल, B) अनुष्ठानिक अभ्यास, C) शैक्षिक उपकरण, D) व्यापार</v>
      </c>
      <c r="I494" s="5" t="str">
        <f>IFERROR(__xludf.DUMMYFUNCTION("GOOGLETRANSLATE(D494, ""en"", ""hi"")"),"A) मनोरंजक खेल")</f>
        <v>A) मनोरंजक खेल</v>
      </c>
    </row>
    <row r="495" ht="22.5" customHeight="1">
      <c r="A495" s="3">
        <v>494.0</v>
      </c>
      <c r="B495" s="4" t="s">
        <v>7670</v>
      </c>
      <c r="C495" s="4" t="s">
        <v>7573</v>
      </c>
      <c r="D495" s="4" t="s">
        <v>7359</v>
      </c>
      <c r="F495" s="5" t="str">
        <f>IFERROR(__xludf.DUMMYFUNCTION("GOOGLETRANSLATE(A495, ""en"", ""hi"")"),"494")</f>
        <v>494</v>
      </c>
      <c r="G495" s="5" t="str">
        <f>IFERROR(__xludf.DUMMYFUNCTION("GOOGLETRANSLATE(B495, ""en"", ""hi"")"),"किस भारतीय कवि की रचनाओं में ग्रामीण बचपन के अनुभवों में कंचे का पारंपरिक प्रयोग प्रतिबिंबित हुआ?")</f>
        <v>किस भारतीय कवि की रचनाओं में ग्रामीण बचपन के अनुभवों में कंचे का पारंपरिक प्रयोग प्रतिबिंबित हुआ?</v>
      </c>
      <c r="H495" s="5" t="str">
        <f>IFERROR(__xludf.DUMMYFUNCTION("GOOGLETRANSLATE(C495, ""en"", ""hi"")"),"ए) रवीन्द्रनाथ टैगोर, बी) कमला दास, सी) साहिर लुधियानवी, डी) आगा शाहिद अली")</f>
        <v>ए) रवीन्द्रनाथ टैगोर, बी) कमला दास, सी) साहिर लुधियानवी, डी) आगा शाहिद अली</v>
      </c>
      <c r="I495" s="5" t="str">
        <f>IFERROR(__xludf.DUMMYFUNCTION("GOOGLETRANSLATE(D495, ""en"", ""hi"")"),"A) रवींद्रनाथ टैगोर")</f>
        <v>A) रवींद्रनाथ टैगोर</v>
      </c>
    </row>
    <row r="496" ht="22.5" customHeight="1">
      <c r="A496" s="3">
        <v>495.0</v>
      </c>
      <c r="B496" s="4" t="s">
        <v>7671</v>
      </c>
      <c r="C496" s="4" t="s">
        <v>7586</v>
      </c>
      <c r="D496" s="4" t="s">
        <v>7587</v>
      </c>
      <c r="F496" s="5" t="str">
        <f>IFERROR(__xludf.DUMMYFUNCTION("GOOGLETRANSLATE(A496, ""en"", ""hi"")"),"495")</f>
        <v>495</v>
      </c>
      <c r="G496" s="5" t="str">
        <f>IFERROR(__xludf.DUMMYFUNCTION("GOOGLETRANSLATE(B496, ""en"", ""hi"")"),"20वीं शताब्दी के दौरान कंचे के उत्पादन में महत्वपूर्ण ऐतिहासिक परिवर्तन क्या था?")</f>
        <v>20वीं शताब्दी के दौरान कंचे के उत्पादन में महत्वपूर्ण ऐतिहासिक परिवर्तन क्या था?</v>
      </c>
      <c r="H496" s="5" t="str">
        <f>IFERROR(__xludf.DUMMYFUNCTION("GOOGLETRANSLATE(C496, ""en"", ""hi"")"),"A) मिट्टी से प्लास्टिक में परिवर्तन, B) धातु कंचे का प्रचलन, C) कांच के कंचे का बड़े पैमाने पर उत्पादन, D) पारंपरिक शिल्प का ह्रास")</f>
        <v>A) मिट्टी से प्लास्टिक में परिवर्तन, B) धातु कंचे का प्रचलन, C) कांच के कंचे का बड़े पैमाने पर उत्पादन, D) पारंपरिक शिल्प का ह्रास</v>
      </c>
      <c r="I496" s="5" t="str">
        <f>IFERROR(__xludf.DUMMYFUNCTION("GOOGLETRANSLATE(D496, ""en"", ""hi"")"),"C) कांच के कांच का बड़े पैमाने पर उत्पादन")</f>
        <v>C) कांच के कांच का बड़े पैमाने पर उत्पादन</v>
      </c>
    </row>
    <row r="497" ht="22.5" customHeight="1">
      <c r="A497" s="3">
        <v>496.0</v>
      </c>
      <c r="B497" s="4" t="s">
        <v>7672</v>
      </c>
      <c r="C497" s="4" t="s">
        <v>7548</v>
      </c>
      <c r="D497" s="4" t="s">
        <v>49</v>
      </c>
      <c r="F497" s="5" t="str">
        <f>IFERROR(__xludf.DUMMYFUNCTION("GOOGLETRANSLATE(A497, ""en"", ""hi"")"),"496")</f>
        <v>496</v>
      </c>
      <c r="G497" s="5" t="str">
        <f>IFERROR(__xludf.DUMMYFUNCTION("GOOGLETRANSLATE(B497, ""en"", ""hi"")"),"कौन सा भारतीय राज्य अपनी अनूठी कंचे बनाने की परंपराओं और शैलियों के लिए जाना जाता है?")</f>
        <v>कौन सा भारतीय राज्य अपनी अनूठी कंचे बनाने की परंपराओं और शैलियों के लिए जाना जाता है?</v>
      </c>
      <c r="H497" s="5" t="str">
        <f>IFERROR(__xludf.DUMMYFUNCTION("GOOGLETRANSLATE(C497, ""en"", ""hi"")"),"ए) गुजरात, बी) तमिलनाडु, सी) कर्नाटक, डी) महाराष्ट्र")</f>
        <v>ए) गुजरात, बी) तमिलनाडु, सी) कर्नाटक, डी) महाराष्ट्र</v>
      </c>
      <c r="I497" s="5" t="str">
        <f>IFERROR(__xludf.DUMMYFUNCTION("GOOGLETRANSLATE(D497, ""en"", ""hi"")"),"A) गुजरात")</f>
        <v>A) गुजरात</v>
      </c>
    </row>
    <row r="498" ht="22.5" customHeight="1">
      <c r="A498" s="3">
        <v>497.0</v>
      </c>
      <c r="B498" s="4" t="s">
        <v>7673</v>
      </c>
      <c r="C498" s="4" t="s">
        <v>7674</v>
      </c>
      <c r="D498" s="4" t="s">
        <v>7675</v>
      </c>
      <c r="F498" s="5" t="str">
        <f>IFERROR(__xludf.DUMMYFUNCTION("GOOGLETRANSLATE(A498, ""en"", ""hi"")"),"497")</f>
        <v>497</v>
      </c>
      <c r="G498" s="5" t="str">
        <f>IFERROR(__xludf.DUMMYFUNCTION("GOOGLETRANSLATE(B498, ""en"", ""hi"")"),"किस ऐतिहासिक काल में भारत में पारंपरिक कंचे बनाने की कला का पतन हुआ?")</f>
        <v>किस ऐतिहासिक काल में भारत में पारंपरिक कंचे बनाने की कला का पतन हुआ?</v>
      </c>
      <c r="H498" s="5" t="str">
        <f>IFERROR(__xludf.DUMMYFUNCTION("GOOGLETRANSLATE(C498, ""en"", ""hi"")"),"A) औपनिवेशिक काल, B) स्वतंत्रता के बाद का काल, C) मध्यकालीन काल, D) प्राचीन काल")</f>
        <v>A) औपनिवेशिक काल, B) स्वतंत्रता के बाद का काल, C) मध्यकालीन काल, D) प्राचीन काल</v>
      </c>
      <c r="I498" s="5" t="str">
        <f>IFERROR(__xludf.DUMMYFUNCTION("GOOGLETRANSLATE(D498, ""en"", ""hi"")"),"बी) स्वतंत्रता के बाद की अवधि")</f>
        <v>बी) स्वतंत्रता के बाद की अवधि</v>
      </c>
    </row>
    <row r="499" ht="22.5" customHeight="1">
      <c r="A499" s="3">
        <v>498.0</v>
      </c>
      <c r="B499" s="4" t="s">
        <v>7676</v>
      </c>
      <c r="C499" s="4" t="s">
        <v>7573</v>
      </c>
      <c r="D499" s="4" t="s">
        <v>7359</v>
      </c>
      <c r="F499" s="5" t="str">
        <f>IFERROR(__xludf.DUMMYFUNCTION("GOOGLETRANSLATE(A499, ""en"", ""hi"")"),"498")</f>
        <v>498</v>
      </c>
      <c r="G499" s="5" t="str">
        <f>IFERROR(__xludf.DUMMYFUNCTION("GOOGLETRANSLATE(B499, ""en"", ""hi"")"),"किस भारतीय कवि ने अपनी रचनाओं में कंचे के खेल को बचपन की यादों के प्रतीक के रूप में चित्रित किया?")</f>
        <v>किस भारतीय कवि ने अपनी रचनाओं में कंचे के खेल को बचपन की यादों के प्रतीक के रूप में चित्रित किया?</v>
      </c>
      <c r="H499" s="5" t="str">
        <f>IFERROR(__xludf.DUMMYFUNCTION("GOOGLETRANSLATE(C499, ""en"", ""hi"")"),"ए) रवीन्द्रनाथ टैगोर, बी) कमला दास, सी) साहिर लुधियानवी, डी) आगा शाहिद अली")</f>
        <v>ए) रवीन्द्रनाथ टैगोर, बी) कमला दास, सी) साहिर लुधियानवी, डी) आगा शाहिद अली</v>
      </c>
      <c r="I499" s="5" t="str">
        <f>IFERROR(__xludf.DUMMYFUNCTION("GOOGLETRANSLATE(D499, ""en"", ""hi"")"),"A) रवींद्रनाथ टैगोर")</f>
        <v>A) रवींद्रनाथ टैगोर</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7.5"/>
    <col customWidth="1" min="7" max="8" width="37.63"/>
    <col customWidth="1" min="9" max="9" width="23.13"/>
  </cols>
  <sheetData>
    <row r="1" ht="22.5" customHeight="1">
      <c r="A1" s="1" t="s">
        <v>0</v>
      </c>
      <c r="B1" s="1" t="s">
        <v>1</v>
      </c>
      <c r="C1" s="1" t="s">
        <v>2</v>
      </c>
      <c r="D1" s="1" t="s">
        <v>3</v>
      </c>
      <c r="F1" s="2" t="s">
        <v>4</v>
      </c>
      <c r="G1" s="2" t="s">
        <v>5</v>
      </c>
      <c r="H1" s="2" t="s">
        <v>6</v>
      </c>
      <c r="I1" s="2" t="s">
        <v>7</v>
      </c>
    </row>
    <row r="2" ht="22.5" customHeight="1">
      <c r="A2" s="3">
        <v>1.0</v>
      </c>
      <c r="B2" s="4" t="s">
        <v>7677</v>
      </c>
      <c r="C2" s="4" t="s">
        <v>7678</v>
      </c>
      <c r="D2" s="4" t="s">
        <v>37</v>
      </c>
      <c r="F2" s="5" t="str">
        <f>IFERROR(__xludf.DUMMYFUNCTION("GOOGLETRANSLATE(A2, ""en"", ""hi"")"),"1")</f>
        <v>1</v>
      </c>
      <c r="G2" s="5" t="str">
        <f>IFERROR(__xludf.DUMMYFUNCTION("GOOGLETRANSLATE(B2, ""en"", ""hi"")"),"ऐसा माना जाता है कि कैरम की उत्पत्ति किस देश में हुई?")</f>
        <v>ऐसा माना जाता है कि कैरम की उत्पत्ति किस देश में हुई?</v>
      </c>
      <c r="H2" s="5" t="str">
        <f>IFERROR(__xludf.DUMMYFUNCTION("GOOGLETRANSLATE(C2, ""en"", ""hi"")"),"A) भारत, B) चीन, C) फारस, D) मिस्र")</f>
        <v>A) भारत, B) चीन, C) फारस, D) मिस्र</v>
      </c>
      <c r="I2" s="5" t="str">
        <f>IFERROR(__xludf.DUMMYFUNCTION("GOOGLETRANSLATE(D2, ""en"", ""hi"")"),"ए) भारत")</f>
        <v>ए) भारत</v>
      </c>
    </row>
    <row r="3" ht="22.5" customHeight="1">
      <c r="A3" s="3">
        <v>2.0</v>
      </c>
      <c r="B3" s="4" t="s">
        <v>7679</v>
      </c>
      <c r="C3" s="4" t="s">
        <v>7680</v>
      </c>
      <c r="D3" s="4" t="s">
        <v>7681</v>
      </c>
      <c r="F3" s="5" t="str">
        <f>IFERROR(__xludf.DUMMYFUNCTION("GOOGLETRANSLATE(A3, ""en"", ""hi"")"),"2")</f>
        <v>2</v>
      </c>
      <c r="G3" s="5" t="str">
        <f>IFERROR(__xludf.DUMMYFUNCTION("GOOGLETRANSLATE(B3, ""en"", ""hi"")"),"कैरम को भारत में किस शताब्दी में लोकप्रियता मिली?")</f>
        <v>कैरम को भारत में किस शताब्दी में लोकप्रियता मिली?</v>
      </c>
      <c r="H3" s="5" t="str">
        <f>IFERROR(__xludf.DUMMYFUNCTION("GOOGLETRANSLATE(C3, ""en"", ""hi"")"),"A) 16वीं शताब्दी, B) 17वीं शताब्दी, C) 18वीं शताब्दी, D) 19वीं शताब्दी")</f>
        <v>A) 16वीं शताब्दी, B) 17वीं शताब्दी, C) 18वीं शताब्दी, D) 19वीं शताब्दी</v>
      </c>
      <c r="I3" s="5" t="str">
        <f>IFERROR(__xludf.DUMMYFUNCTION("GOOGLETRANSLATE(D3, ""en"", ""hi"")"),"डी) 19वीं शताब्दी")</f>
        <v>डी) 19वीं शताब्दी</v>
      </c>
    </row>
    <row r="4" ht="22.5" customHeight="1">
      <c r="A4" s="3">
        <v>3.0</v>
      </c>
      <c r="B4" s="4" t="s">
        <v>7682</v>
      </c>
      <c r="C4" s="4" t="s">
        <v>7683</v>
      </c>
      <c r="D4" s="4" t="s">
        <v>5523</v>
      </c>
      <c r="F4" s="5" t="str">
        <f>IFERROR(__xludf.DUMMYFUNCTION("GOOGLETRANSLATE(A4, ""en"", ""hi"")"),"3")</f>
        <v>3</v>
      </c>
      <c r="G4" s="5" t="str">
        <f>IFERROR(__xludf.DUMMYFUNCTION("GOOGLETRANSLATE(B4, ""en"", ""hi"")"),"प्राचीन काल में कैरम बोर्ड के लिए पारंपरिक रूप से किस सामग्री का उपयोग किया जाता था?")</f>
        <v>प्राचीन काल में कैरम बोर्ड के लिए पारंपरिक रूप से किस सामग्री का उपयोग किया जाता था?</v>
      </c>
      <c r="H4" s="5" t="str">
        <f>IFERROR(__xludf.DUMMYFUNCTION("GOOGLETRANSLATE(C4, ""en"", ""hi"")"),"A) लकड़ी, B) धातु, C) पत्थर, D) संगमरमर")</f>
        <v>A) लकड़ी, B) धातु, C) पत्थर, D) संगमरमर</v>
      </c>
      <c r="I4" s="5" t="str">
        <f>IFERROR(__xludf.DUMMYFUNCTION("GOOGLETRANSLATE(D4, ""en"", ""hi"")"),"एक लकड़ी")</f>
        <v>एक लकड़ी</v>
      </c>
    </row>
    <row r="5" ht="22.5" customHeight="1">
      <c r="A5" s="3">
        <v>4.0</v>
      </c>
      <c r="B5" s="4" t="s">
        <v>7684</v>
      </c>
      <c r="C5" s="4" t="s">
        <v>7685</v>
      </c>
      <c r="D5" s="4" t="s">
        <v>7686</v>
      </c>
      <c r="F5" s="5" t="str">
        <f>IFERROR(__xludf.DUMMYFUNCTION("GOOGLETRANSLATE(A5, ""en"", ""hi"")"),"4")</f>
        <v>4</v>
      </c>
      <c r="G5" s="5" t="str">
        <f>IFERROR(__xludf.DUMMYFUNCTION("GOOGLETRANSLATE(B5, ""en"", ""hi"")"),"20वीं सदी के आरंभ में कैरम को औपचारिक रूप से लोकप्रिय बनाने वाला कौन माना जाता है?")</f>
        <v>20वीं सदी के आरंभ में कैरम को औपचारिक रूप से लोकप्रिय बनाने वाला कौन माना जाता है?</v>
      </c>
      <c r="H5" s="5" t="str">
        <f>IFERROR(__xludf.DUMMYFUNCTION("GOOGLETRANSLATE(C5, ""en"", ""hi"")"),"A) ब्रिटिश उपनिवेशवादी, B) भारतीय महाराजा, C) फ़ारसी व्यापारी, D) पुर्तगाली नाविक")</f>
        <v>A) ब्रिटिश उपनिवेशवादी, B) भारतीय महाराजा, C) फ़ारसी व्यापारी, D) पुर्तगाली नाविक</v>
      </c>
      <c r="I5" s="5" t="str">
        <f>IFERROR(__xludf.DUMMYFUNCTION("GOOGLETRANSLATE(D5, ""en"", ""hi"")"),"बी) भारतीय महाराजाओं")</f>
        <v>बी) भारतीय महाराजाओं</v>
      </c>
    </row>
    <row r="6" ht="22.5" customHeight="1">
      <c r="A6" s="3">
        <v>5.0</v>
      </c>
      <c r="B6" s="4" t="s">
        <v>7687</v>
      </c>
      <c r="C6" s="4" t="s">
        <v>7688</v>
      </c>
      <c r="D6" s="4" t="s">
        <v>7689</v>
      </c>
      <c r="F6" s="5" t="str">
        <f>IFERROR(__xludf.DUMMYFUNCTION("GOOGLETRANSLATE(A6, ""en"", ""hi"")"),"5")</f>
        <v>5</v>
      </c>
      <c r="G6" s="5" t="str">
        <f>IFERROR(__xludf.DUMMYFUNCTION("GOOGLETRANSLATE(B6, ""en"", ""hi"")"),"भारत में कैरम की देखरेख के लिए 1956 में किस शासी निकाय की स्थापना की गई थी?")</f>
        <v>भारत में कैरम की देखरेख के लिए 1956 में किस शासी निकाय की स्थापना की गई थी?</v>
      </c>
      <c r="H6" s="5" t="str">
        <f>IFERROR(__xludf.DUMMYFUNCTION("GOOGLETRANSLATE(C6, ""en"", ""hi"")"),"A) अखिल भारतीय कैरम महासंघ, B) भारतीय कैरम परिषद, C) राष्ट्रीय कैरम बोर्ड, D) विश्व कैरम संघ")</f>
        <v>A) अखिल भारतीय कैरम महासंघ, B) भारतीय कैरम परिषद, C) राष्ट्रीय कैरम बोर्ड, D) विश्व कैरम संघ</v>
      </c>
      <c r="I6" s="5" t="str">
        <f>IFERROR(__xludf.DUMMYFUNCTION("GOOGLETRANSLATE(D6, ""en"", ""hi"")"),"A) अखिल भारतीय कैरम महासंघ")</f>
        <v>A) अखिल भारतीय कैरम महासंघ</v>
      </c>
    </row>
    <row r="7" ht="22.5" customHeight="1">
      <c r="A7" s="3">
        <v>6.0</v>
      </c>
      <c r="B7" s="4" t="s">
        <v>7690</v>
      </c>
      <c r="C7" s="4" t="s">
        <v>7691</v>
      </c>
      <c r="D7" s="4" t="s">
        <v>7692</v>
      </c>
      <c r="F7" s="5" t="str">
        <f>IFERROR(__xludf.DUMMYFUNCTION("GOOGLETRANSLATE(A7, ""en"", ""hi"")"),"6")</f>
        <v>6</v>
      </c>
      <c r="G7" s="5" t="str">
        <f>IFERROR(__xludf.DUMMYFUNCTION("GOOGLETRANSLATE(B7, ""en"", ""hi"")"),"अंतर्राष्ट्रीय कैरम महासंघ (ICF) की स्थापना किस वर्ष हुई थी?")</f>
        <v>अंतर्राष्ट्रीय कैरम महासंघ (ICF) की स्थापना किस वर्ष हुई थी?</v>
      </c>
      <c r="H7" s="5" t="str">
        <f>IFERROR(__xludf.DUMMYFUNCTION("GOOGLETRANSLATE(C7, ""en"", ""hi"")"),"ए) 1978, बी) 1988, सी) 1992, डी) 1998")</f>
        <v>ए) 1978, बी) 1988, सी) 1992, डी) 1998</v>
      </c>
      <c r="I7" s="5" t="str">
        <f>IFERROR(__xludf.DUMMYFUNCTION("GOOGLETRANSLATE(D7, ""en"", ""hi"")"),"बी) 1988")</f>
        <v>बी) 1988</v>
      </c>
    </row>
    <row r="8" ht="22.5" customHeight="1">
      <c r="A8" s="3">
        <v>7.0</v>
      </c>
      <c r="B8" s="4" t="s">
        <v>7693</v>
      </c>
      <c r="C8" s="4" t="s">
        <v>7694</v>
      </c>
      <c r="D8" s="4" t="s">
        <v>7695</v>
      </c>
      <c r="F8" s="5" t="str">
        <f>IFERROR(__xludf.DUMMYFUNCTION("GOOGLETRANSLATE(A8, ""en"", ""hi"")"),"7")</f>
        <v>7</v>
      </c>
      <c r="G8" s="5" t="str">
        <f>IFERROR(__xludf.DUMMYFUNCTION("GOOGLETRANSLATE(B8, ""en"", ""hi"")"),"पहली कैरम विश्व चैम्पियनशिप कब आयोजित की गई थी?")</f>
        <v>पहली कैरम विश्व चैम्पियनशिप कब आयोजित की गई थी?</v>
      </c>
      <c r="H8" s="5" t="str">
        <f>IFERROR(__xludf.DUMMYFUNCTION("GOOGLETRANSLATE(C8, ""en"", ""hi"")"),"ए) 1984, बी) 1988, सी) 1991, डी) 1994")</f>
        <v>ए) 1984, बी) 1988, सी) 1991, डी) 1994</v>
      </c>
      <c r="I8" s="5" t="str">
        <f>IFERROR(__xludf.DUMMYFUNCTION("GOOGLETRANSLATE(D8, ""en"", ""hi"")"),"सी) 1991")</f>
        <v>सी) 1991</v>
      </c>
    </row>
    <row r="9" ht="22.5" customHeight="1">
      <c r="A9" s="3">
        <v>8.0</v>
      </c>
      <c r="B9" s="4" t="s">
        <v>7696</v>
      </c>
      <c r="C9" s="4" t="s">
        <v>7697</v>
      </c>
      <c r="D9" s="4" t="s">
        <v>37</v>
      </c>
      <c r="F9" s="5" t="str">
        <f>IFERROR(__xludf.DUMMYFUNCTION("GOOGLETRANSLATE(A9, ""en"", ""hi"")"),"8")</f>
        <v>8</v>
      </c>
      <c r="G9" s="5" t="str">
        <f>IFERROR(__xludf.DUMMYFUNCTION("GOOGLETRANSLATE(B9, ""en"", ""hi"")"),"किस देश ने पहली कैरम विश्व चैम्पियनशिप जीती?")</f>
        <v>किस देश ने पहली कैरम विश्व चैम्पियनशिप जीती?</v>
      </c>
      <c r="H9" s="5" t="str">
        <f>IFERROR(__xludf.DUMMYFUNCTION("GOOGLETRANSLATE(C9, ""en"", ""hi"")"),"A) भारत, B) श्रीलंका, C) मालदीव, D) बांग्लादेश")</f>
        <v>A) भारत, B) श्रीलंका, C) मालदीव, D) बांग्लादेश</v>
      </c>
      <c r="I9" s="5" t="str">
        <f>IFERROR(__xludf.DUMMYFUNCTION("GOOGLETRANSLATE(D9, ""en"", ""hi"")"),"ए) भारत")</f>
        <v>ए) भारत</v>
      </c>
    </row>
    <row r="10" ht="22.5" customHeight="1">
      <c r="A10" s="3">
        <v>9.0</v>
      </c>
      <c r="B10" s="4" t="s">
        <v>7698</v>
      </c>
      <c r="C10" s="4" t="s">
        <v>7699</v>
      </c>
      <c r="D10" s="4" t="s">
        <v>7700</v>
      </c>
      <c r="F10" s="5" t="str">
        <f>IFERROR(__xludf.DUMMYFUNCTION("GOOGLETRANSLATE(A10, ""en"", ""hi"")"),"9")</f>
        <v>9</v>
      </c>
      <c r="G10" s="5" t="str">
        <f>IFERROR(__xludf.DUMMYFUNCTION("GOOGLETRANSLATE(B10, ""en"", ""hi"")"),"विश्व के कुछ क्षेत्रों में कैरम को कभी-कभी किस वैकल्पिक नाम से संदर्भित किया जाता है?")</f>
        <v>विश्व के कुछ क्षेत्रों में कैरम को कभी-कभी किस वैकल्पिक नाम से संदर्भित किया जाता है?</v>
      </c>
      <c r="H10" s="5" t="str">
        <f>IFERROR(__xludf.DUMMYFUNCTION("GOOGLETRANSLATE(C10, ""en"", ""hi"")"),"ए) स्ट्राइक और पॉकेट, बी) टेबल पूल, सी) पॉकेट डिस्क, डी) फिंगर बिलियर्ड्स")</f>
        <v>ए) स्ट्राइक और पॉकेट, बी) टेबल पूल, सी) पॉकेट डिस्क, डी) फिंगर बिलियर्ड्स</v>
      </c>
      <c r="I10" s="5" t="str">
        <f>IFERROR(__xludf.DUMMYFUNCTION("GOOGLETRANSLATE(D10, ""en"", ""hi"")"),"डी) फिंगर बिलियर्ड्स")</f>
        <v>डी) फिंगर बिलियर्ड्स</v>
      </c>
    </row>
    <row r="11" ht="22.5" customHeight="1">
      <c r="A11" s="3">
        <v>10.0</v>
      </c>
      <c r="B11" s="4" t="s">
        <v>7701</v>
      </c>
      <c r="C11" s="4" t="s">
        <v>7702</v>
      </c>
      <c r="D11" s="4" t="s">
        <v>7703</v>
      </c>
      <c r="F11" s="5" t="str">
        <f>IFERROR(__xludf.DUMMYFUNCTION("GOOGLETRANSLATE(A11, ""en"", ""hi"")"),"10")</f>
        <v>10</v>
      </c>
      <c r="G11" s="5" t="str">
        <f>IFERROR(__xludf.DUMMYFUNCTION("GOOGLETRANSLATE(B11, ""en"", ""hi"")"),"अंतर्राष्ट्रीय कैरम फेडरेशन द्वारा कैरम बोर्ड के किस आयाम को मानकीकृत किया गया था?")</f>
        <v>अंतर्राष्ट्रीय कैरम फेडरेशन द्वारा कैरम बोर्ड के किस आयाम को मानकीकृत किया गया था?</v>
      </c>
      <c r="H11" s="5" t="str">
        <f>IFERROR(__xludf.DUMMYFUNCTION("GOOGLETRANSLATE(C11, ""en"", ""hi"")"),"ए) 24x24 इंच, बी) 28x28 इंच, सी) 32x32 इंच, डी) 36x36 इंच")</f>
        <v>ए) 24x24 इंच, बी) 28x28 इंच, सी) 32x32 इंच, डी) 36x36 इंच</v>
      </c>
      <c r="I11" s="5" t="str">
        <f>IFERROR(__xludf.DUMMYFUNCTION("GOOGLETRANSLATE(D11, ""en"", ""hi"")"),"सी) 32x32 इंच")</f>
        <v>सी) 32x32 इंच</v>
      </c>
    </row>
    <row r="12" ht="22.5" customHeight="1">
      <c r="A12" s="3">
        <v>11.0</v>
      </c>
      <c r="B12" s="4" t="s">
        <v>7704</v>
      </c>
      <c r="C12" s="4" t="s">
        <v>7705</v>
      </c>
      <c r="D12" s="4" t="s">
        <v>7706</v>
      </c>
      <c r="F12" s="5" t="str">
        <f>IFERROR(__xludf.DUMMYFUNCTION("GOOGLETRANSLATE(A12, ""en"", ""hi"")"),"11")</f>
        <v>11</v>
      </c>
      <c r="G12" s="5" t="str">
        <f>IFERROR(__xludf.DUMMYFUNCTION("GOOGLETRANSLATE(B12, ""en"", ""hi"")"),"सर्वाधिक कैरम विश्व चैम्पियनशिप खिताब का रिकॉर्ड किसके नाम है?")</f>
        <v>सर्वाधिक कैरम विश्व चैम्पियनशिप खिताब का रिकॉर्ड किसके नाम है?</v>
      </c>
      <c r="H12" s="5" t="str">
        <f>IFERROR(__xludf.DUMMYFUNCTION("GOOGLETRANSLATE(C12, ""en"", ""hi"")"),"ए) एंथोनी मारिया इरुदायम, बी) रश्मी कुमारी, सी) योगेश परदेशी, डी) निशा कुमारी")</f>
        <v>ए) एंथोनी मारिया इरुदायम, बी) रश्मी कुमारी, सी) योगेश परदेशी, डी) निशा कुमारी</v>
      </c>
      <c r="I12" s="5" t="str">
        <f>IFERROR(__xludf.DUMMYFUNCTION("GOOGLETRANSLATE(D12, ""en"", ""hi"")"),"A) एंथनी मारिया इरुदयम")</f>
        <v>A) एंथनी मारिया इरुदयम</v>
      </c>
    </row>
    <row r="13" ht="22.5" customHeight="1">
      <c r="A13" s="3">
        <v>12.0</v>
      </c>
      <c r="B13" s="4" t="s">
        <v>7707</v>
      </c>
      <c r="C13" s="4" t="s">
        <v>7708</v>
      </c>
      <c r="D13" s="4" t="s">
        <v>7709</v>
      </c>
      <c r="F13" s="5" t="str">
        <f>IFERROR(__xludf.DUMMYFUNCTION("GOOGLETRANSLATE(A13, ""en"", ""hi"")"),"12")</f>
        <v>12</v>
      </c>
      <c r="G13" s="5" t="str">
        <f>IFERROR(__xludf.DUMMYFUNCTION("GOOGLETRANSLATE(B13, ""en"", ""hi"")"),"भारत ने पहली बार अंतर्राष्ट्रीय कैरम फेडरेशन कप में किस वर्ष भाग लिया था?")</f>
        <v>भारत ने पहली बार अंतर्राष्ट्रीय कैरम फेडरेशन कप में किस वर्ष भाग लिया था?</v>
      </c>
      <c r="H13" s="5" t="str">
        <f>IFERROR(__xludf.DUMMYFUNCTION("GOOGLETRANSLATE(C13, ""en"", ""hi"")"),"ए) 1991, बी) 1993, सी) 1996, डी) 2000")</f>
        <v>ए) 1991, बी) 1993, सी) 1996, डी) 2000</v>
      </c>
      <c r="I13" s="5" t="str">
        <f>IFERROR(__xludf.DUMMYFUNCTION("GOOGLETRANSLATE(D13, ""en"", ""hi"")"),"बी) 1993")</f>
        <v>बी) 1993</v>
      </c>
    </row>
    <row r="14" ht="22.5" customHeight="1">
      <c r="A14" s="3">
        <v>13.0</v>
      </c>
      <c r="B14" s="4" t="s">
        <v>7710</v>
      </c>
      <c r="C14" s="4" t="s">
        <v>7711</v>
      </c>
      <c r="D14" s="4" t="s">
        <v>7712</v>
      </c>
      <c r="F14" s="5" t="str">
        <f>IFERROR(__xludf.DUMMYFUNCTION("GOOGLETRANSLATE(A14, ""en"", ""hi"")"),"13")</f>
        <v>13</v>
      </c>
      <c r="G14" s="5" t="str">
        <f>IFERROR(__xludf.DUMMYFUNCTION("GOOGLETRANSLATE(B14, ""en"", ""hi"")"),"निम्नलिखित में से कौन सा देश अंतर्राष्ट्रीय कैरम महासंघ का सदस्य नहीं है?")</f>
        <v>निम्नलिखित में से कौन सा देश अंतर्राष्ट्रीय कैरम महासंघ का सदस्य नहीं है?</v>
      </c>
      <c r="H14" s="5" t="str">
        <f>IFERROR(__xludf.DUMMYFUNCTION("GOOGLETRANSLATE(C14, ""en"", ""hi"")"),"A) मालदीव, B) श्रीलंका, C) जापान, D) फ्रांस")</f>
        <v>A) मालदीव, B) श्रीलंका, C) जापान, D) फ्रांस</v>
      </c>
      <c r="I14" s="5" t="str">
        <f>IFERROR(__xludf.DUMMYFUNCTION("GOOGLETRANSLATE(D14, ""en"", ""hi"")"),"डी) फ्रांस")</f>
        <v>डी) फ्रांस</v>
      </c>
    </row>
    <row r="15" ht="22.5" customHeight="1">
      <c r="A15" s="3">
        <v>14.0</v>
      </c>
      <c r="B15" s="4" t="s">
        <v>7713</v>
      </c>
      <c r="C15" s="4" t="s">
        <v>7714</v>
      </c>
      <c r="D15" s="4" t="s">
        <v>7715</v>
      </c>
      <c r="F15" s="5" t="str">
        <f>IFERROR(__xludf.DUMMYFUNCTION("GOOGLETRANSLATE(A15, ""en"", ""hi"")"),"14")</f>
        <v>14</v>
      </c>
      <c r="G15" s="5" t="str">
        <f>IFERROR(__xludf.DUMMYFUNCTION("GOOGLETRANSLATE(B15, ""en"", ""hi"")"),"कैरम के प्रचार में श्रीलंका की क्या महत्वपूर्ण भूमिका थी?")</f>
        <v>कैरम के प्रचार में श्रीलंका की क्या महत्वपूर्ण भूमिका थी?</v>
      </c>
      <c r="H15" s="5" t="str">
        <f>IFERROR(__xludf.DUMMYFUNCTION("GOOGLETRANSLATE(C15, ""en"", ""hi"")"),"A) पहली कैरम विश्व चैम्पियनशिप की मेजबानी की, B) कैरम-थीम वाला डाक टिकट बनाया, C) यूरोप में कैरम की शुरुआत की, D) पहली महिला कैरम टीम का गठन किया")</f>
        <v>A) पहली कैरम विश्व चैम्पियनशिप की मेजबानी की, B) कैरम-थीम वाला डाक टिकट बनाया, C) यूरोप में कैरम की शुरुआत की, D) पहली महिला कैरम टीम का गठन किया</v>
      </c>
      <c r="I15" s="5" t="str">
        <f>IFERROR(__xludf.DUMMYFUNCTION("GOOGLETRANSLATE(D15, ""en"", ""hi"")"),"A) पहली कैरम विश्व चैम्पियनशिप की मेजबानी की")</f>
        <v>A) पहली कैरम विश्व चैम्पियनशिप की मेजबानी की</v>
      </c>
    </row>
    <row r="16" ht="22.5" customHeight="1">
      <c r="A16" s="3">
        <v>15.0</v>
      </c>
      <c r="B16" s="4" t="s">
        <v>7716</v>
      </c>
      <c r="C16" s="4" t="s">
        <v>7717</v>
      </c>
      <c r="D16" s="4" t="s">
        <v>7718</v>
      </c>
      <c r="F16" s="5" t="str">
        <f>IFERROR(__xludf.DUMMYFUNCTION("GOOGLETRANSLATE(A16, ""en"", ""hi"")"),"15")</f>
        <v>15</v>
      </c>
      <c r="G16" s="5" t="str">
        <f>IFERROR(__xludf.DUMMYFUNCTION("GOOGLETRANSLATE(B16, ""en"", ""hi"")"),"कैरम विश्व कप की शुरुआत किस वर्ष हुई?")</f>
        <v>कैरम विश्व कप की शुरुआत किस वर्ष हुई?</v>
      </c>
      <c r="H16" s="5" t="str">
        <f>IFERROR(__xludf.DUMMYFUNCTION("GOOGLETRANSLATE(C16, ""en"", ""hi"")"),"ए) 1998, बी) 2000, सी) 2004, डी) 2006")</f>
        <v>ए) 1998, बी) 2000, सी) 2004, डी) 2006</v>
      </c>
      <c r="I16" s="5" t="str">
        <f>IFERROR(__xludf.DUMMYFUNCTION("GOOGLETRANSLATE(D16, ""en"", ""hi"")"),"सी) 2004")</f>
        <v>सी) 2004</v>
      </c>
    </row>
    <row r="17" ht="22.5" customHeight="1">
      <c r="A17" s="3">
        <v>16.0</v>
      </c>
      <c r="B17" s="4" t="s">
        <v>7719</v>
      </c>
      <c r="C17" s="4" t="s">
        <v>7720</v>
      </c>
      <c r="D17" s="4" t="s">
        <v>7721</v>
      </c>
      <c r="F17" s="5" t="str">
        <f>IFERROR(__xludf.DUMMYFUNCTION("GOOGLETRANSLATE(A17, ""en"", ""hi"")"),"16")</f>
        <v>16</v>
      </c>
      <c r="G17" s="5" t="str">
        <f>IFERROR(__xludf.DUMMYFUNCTION("GOOGLETRANSLATE(B17, ""en"", ""hi"")"),"कैरम को 2000 में किस बहुराष्ट्रीय आयोजन में प्रदर्शन खेल के रूप में शामिल किया गया था?")</f>
        <v>कैरम को 2000 में किस बहुराष्ट्रीय आयोजन में प्रदर्शन खेल के रूप में शामिल किया गया था?</v>
      </c>
      <c r="H17" s="5" t="str">
        <f>IFERROR(__xludf.DUMMYFUNCTION("GOOGLETRANSLATE(C17, ""en"", ""hi"")"),"A) दक्षिण एशियाई खेल, B) राष्ट्रमंडल खेल, C) एशियाई इनडोर खेल, D) हिंद महासागर द्वीप खेल")</f>
        <v>A) दक्षिण एशियाई खेल, B) राष्ट्रमंडल खेल, C) एशियाई इनडोर खेल, D) हिंद महासागर द्वीप खेल</v>
      </c>
      <c r="I17" s="5" t="str">
        <f>IFERROR(__xludf.DUMMYFUNCTION("GOOGLETRANSLATE(D17, ""en"", ""hi"")"),"ए) दक्षिण एशियाई खेल")</f>
        <v>ए) दक्षिण एशियाई खेल</v>
      </c>
    </row>
    <row r="18" ht="22.5" customHeight="1">
      <c r="A18" s="3">
        <v>17.0</v>
      </c>
      <c r="B18" s="4" t="s">
        <v>7722</v>
      </c>
      <c r="C18" s="4" t="s">
        <v>7723</v>
      </c>
      <c r="D18" s="4" t="s">
        <v>7724</v>
      </c>
      <c r="F18" s="5" t="str">
        <f>IFERROR(__xludf.DUMMYFUNCTION("GOOGLETRANSLATE(A18, ""en"", ""hi"")"),"17")</f>
        <v>17</v>
      </c>
      <c r="G18" s="5" t="str">
        <f>IFERROR(__xludf.DUMMYFUNCTION("GOOGLETRANSLATE(B18, ""en"", ""hi"")"),"किस भारतीय खिलाड़ी को 'कैरम का गोल्डन बॉय' कहा जाता है?")</f>
        <v>किस भारतीय खिलाड़ी को 'कैरम का गोल्डन बॉय' कहा जाता है?</v>
      </c>
      <c r="H18" s="5" t="str">
        <f>IFERROR(__xludf.DUMMYFUNCTION("GOOGLETRANSLATE(C18, ""en"", ""hi"")"),"ए) योगेश परदेशी, बी) मारिया इरुदायम, सी) अरविंद कुमार, डी) राधाकृष्णन")</f>
        <v>ए) योगेश परदेशी, बी) मारिया इरुदायम, सी) अरविंद कुमार, डी) राधाकृष्णन</v>
      </c>
      <c r="I18" s="5" t="str">
        <f>IFERROR(__xludf.DUMMYFUNCTION("GOOGLETRANSLATE(D18, ""en"", ""hi"")"),"A) योगेश परदेशी")</f>
        <v>A) योगेश परदेशी</v>
      </c>
    </row>
    <row r="19" ht="22.5" customHeight="1">
      <c r="A19" s="3">
        <v>18.0</v>
      </c>
      <c r="B19" s="4" t="s">
        <v>7725</v>
      </c>
      <c r="C19" s="4" t="s">
        <v>7726</v>
      </c>
      <c r="D19" s="4" t="s">
        <v>7727</v>
      </c>
      <c r="F19" s="5" t="str">
        <f>IFERROR(__xludf.DUMMYFUNCTION("GOOGLETRANSLATE(A19, ""en"", ""hi"")"),"18")</f>
        <v>18</v>
      </c>
      <c r="G19" s="5" t="str">
        <f>IFERROR(__xludf.DUMMYFUNCTION("GOOGLETRANSLATE(B19, ""en"", ""hi"")"),"भारत के किस कैरम खिलाड़ी ने पद्म श्री पुरस्कार जीता?")</f>
        <v>भारत के किस कैरम खिलाड़ी ने पद्म श्री पुरस्कार जीता?</v>
      </c>
      <c r="H19" s="5" t="str">
        <f>IFERROR(__xludf.DUMMYFUNCTION("GOOGLETRANSLATE(C19, ""en"", ""hi"")"),"ए) रश्मी कुमारी, बी) मारिया इरुदायम, सी) योगेश परदेशी, डी) के. श्रीनिवास")</f>
        <v>ए) रश्मी कुमारी, बी) मारिया इरुदायम, सी) योगेश परदेशी, डी) के. श्रीनिवास</v>
      </c>
      <c r="I19" s="5" t="str">
        <f>IFERROR(__xludf.DUMMYFUNCTION("GOOGLETRANSLATE(D19, ""en"", ""hi"")"),"बी) मारिया इरुदयम")</f>
        <v>बी) मारिया इरुदयम</v>
      </c>
    </row>
    <row r="20" ht="22.5" customHeight="1">
      <c r="A20" s="3">
        <v>19.0</v>
      </c>
      <c r="B20" s="4" t="s">
        <v>7728</v>
      </c>
      <c r="C20" s="4" t="s">
        <v>7729</v>
      </c>
      <c r="D20" s="4" t="s">
        <v>7730</v>
      </c>
      <c r="F20" s="5" t="str">
        <f>IFERROR(__xludf.DUMMYFUNCTION("GOOGLETRANSLATE(A20, ""en"", ""hi"")"),"19")</f>
        <v>19</v>
      </c>
      <c r="G20" s="5" t="str">
        <f>IFERROR(__xludf.DUMMYFUNCTION("GOOGLETRANSLATE(B20, ""en"", ""hi"")"),"1980 में किस देश ने दक्षिण एशिया के बाहर पहला अंतर्राष्ट्रीय कैरम टूर्नामेंट आयोजित किया?")</f>
        <v>1980 में किस देश ने दक्षिण एशिया के बाहर पहला अंतर्राष्ट्रीय कैरम टूर्नामेंट आयोजित किया?</v>
      </c>
      <c r="H20" s="5" t="str">
        <f>IFERROR(__xludf.DUMMYFUNCTION("GOOGLETRANSLATE(C20, ""en"", ""hi"")"),"A) जापान, B) जर्मनी, C) यूके, D) कनाडा")</f>
        <v>A) जापान, B) जर्मनी, C) यूके, D) कनाडा</v>
      </c>
      <c r="I20" s="5" t="str">
        <f>IFERROR(__xludf.DUMMYFUNCTION("GOOGLETRANSLATE(D20, ""en"", ""hi"")"),"बी) जर्मनी")</f>
        <v>बी) जर्मनी</v>
      </c>
    </row>
    <row r="21" ht="22.5" customHeight="1">
      <c r="A21" s="3">
        <v>20.0</v>
      </c>
      <c r="B21" s="4" t="s">
        <v>7731</v>
      </c>
      <c r="C21" s="4" t="s">
        <v>7732</v>
      </c>
      <c r="D21" s="4" t="s">
        <v>612</v>
      </c>
      <c r="F21" s="5" t="str">
        <f>IFERROR(__xludf.DUMMYFUNCTION("GOOGLETRANSLATE(A21, ""en"", ""hi"")"),"20")</f>
        <v>20</v>
      </c>
      <c r="G21" s="5" t="str">
        <f>IFERROR(__xludf.DUMMYFUNCTION("GOOGLETRANSLATE(B21, ""en"", ""hi"")"),"कैरम ओलंपिक की शुरुआत किस वर्ष हुई थी?")</f>
        <v>कैरम ओलंपिक की शुरुआत किस वर्ष हुई थी?</v>
      </c>
      <c r="H21" s="5" t="str">
        <f>IFERROR(__xludf.DUMMYFUNCTION("GOOGLETRANSLATE(C21, ""en"", ""hi"")"),"ए) 2001, बी) 2005, सी) 2010, डी) 2015")</f>
        <v>ए) 2001, बी) 2005, सी) 2010, डी) 2015</v>
      </c>
      <c r="I21" s="5" t="str">
        <f>IFERROR(__xludf.DUMMYFUNCTION("GOOGLETRANSLATE(D21, ""en"", ""hi"")"),"बी) 2005")</f>
        <v>बी) 2005</v>
      </c>
    </row>
    <row r="22" ht="22.5" customHeight="1">
      <c r="A22" s="3">
        <v>21.0</v>
      </c>
      <c r="B22" s="4" t="s">
        <v>7733</v>
      </c>
      <c r="C22" s="4" t="s">
        <v>7734</v>
      </c>
      <c r="D22" s="4" t="s">
        <v>7735</v>
      </c>
      <c r="F22" s="5" t="str">
        <f>IFERROR(__xludf.DUMMYFUNCTION("GOOGLETRANSLATE(A22, ""en"", ""hi"")"),"21")</f>
        <v>21</v>
      </c>
      <c r="G22" s="5" t="str">
        <f>IFERROR(__xludf.DUMMYFUNCTION("GOOGLETRANSLATE(B22, ""en"", ""hi"")"),"कौन सा प्रसिद्ध बॉलीवुड अभिनेता भारत में कैरम को बढ़ावा देने के लिए जाना जाता है?")</f>
        <v>कौन सा प्रसिद्ध बॉलीवुड अभिनेता भारत में कैरम को बढ़ावा देने के लिए जाना जाता है?</v>
      </c>
      <c r="H22" s="5" t="str">
        <f>IFERROR(__xludf.DUMMYFUNCTION("GOOGLETRANSLATE(C22, ""en"", ""hi"")"),"ए) आमिर खान, बी) सलमान खान, सी) अमिताभ बच्चन, डी) शाहरुख खान")</f>
        <v>ए) आमिर खान, बी) सलमान खान, सी) अमिताभ बच्चन, डी) शाहरुख खान</v>
      </c>
      <c r="I22" s="5" t="str">
        <f>IFERROR(__xludf.DUMMYFUNCTION("GOOGLETRANSLATE(D22, ""en"", ""hi"")"),"C) अमिताभ बच्चन")</f>
        <v>C) अमिताभ बच्चन</v>
      </c>
    </row>
    <row r="23" ht="22.5" customHeight="1">
      <c r="A23" s="3">
        <v>22.0</v>
      </c>
      <c r="B23" s="4" t="s">
        <v>7736</v>
      </c>
      <c r="C23" s="4" t="s">
        <v>7737</v>
      </c>
      <c r="D23" s="4" t="s">
        <v>612</v>
      </c>
      <c r="F23" s="5" t="str">
        <f>IFERROR(__xludf.DUMMYFUNCTION("GOOGLETRANSLATE(A23, ""en"", ""hi"")"),"22")</f>
        <v>22</v>
      </c>
      <c r="G23" s="5" t="str">
        <f>IFERROR(__xludf.DUMMYFUNCTION("GOOGLETRANSLATE(B23, ""en"", ""hi"")"),"कैरम विश्व महासंघ को एशियाई ओलंपिक परिषद द्वारा किस वर्ष मान्यता दी गई थी?")</f>
        <v>कैरम विश्व महासंघ को एशियाई ओलंपिक परिषद द्वारा किस वर्ष मान्यता दी गई थी?</v>
      </c>
      <c r="H23" s="5" t="str">
        <f>IFERROR(__xludf.DUMMYFUNCTION("GOOGLETRANSLATE(C23, ""en"", ""hi"")"),"ए) 2003, बी) 2005, सी) 2007, डी) 2009")</f>
        <v>ए) 2003, बी) 2005, सी) 2007, डी) 2009</v>
      </c>
      <c r="I23" s="5" t="str">
        <f>IFERROR(__xludf.DUMMYFUNCTION("GOOGLETRANSLATE(D23, ""en"", ""hi"")"),"बी) 2005")</f>
        <v>बी) 2005</v>
      </c>
    </row>
    <row r="24" ht="22.5" customHeight="1">
      <c r="A24" s="3">
        <v>23.0</v>
      </c>
      <c r="B24" s="4" t="s">
        <v>7738</v>
      </c>
      <c r="C24" s="4" t="s">
        <v>7739</v>
      </c>
      <c r="D24" s="4" t="s">
        <v>7740</v>
      </c>
      <c r="F24" s="5" t="str">
        <f>IFERROR(__xludf.DUMMYFUNCTION("GOOGLETRANSLATE(A24, ""en"", ""hi"")"),"23")</f>
        <v>23</v>
      </c>
      <c r="G24" s="5" t="str">
        <f>IFERROR(__xludf.DUMMYFUNCTION("GOOGLETRANSLATE(B24, ""en"", ""hi"")"),"2004 में पहला कैरम विश्व कप किस देश ने आयोजित किया था?")</f>
        <v>2004 में पहला कैरम विश्व कप किस देश ने आयोजित किया था?</v>
      </c>
      <c r="H24" s="5" t="str">
        <f>IFERROR(__xludf.DUMMYFUNCTION("GOOGLETRANSLATE(C24, ""en"", ""hi"")"),"A) भारत, B) मालदीव, C) श्रीलंका, D) जर्मनी")</f>
        <v>A) भारत, B) मालदीव, C) श्रीलंका, D) जर्मनी</v>
      </c>
      <c r="I24" s="5" t="str">
        <f>IFERROR(__xludf.DUMMYFUNCTION("GOOGLETRANSLATE(D24, ""en"", ""hi"")"),"बी) मालदीव")</f>
        <v>बी) मालदीव</v>
      </c>
    </row>
    <row r="25" ht="22.5" customHeight="1">
      <c r="A25" s="3">
        <v>24.0</v>
      </c>
      <c r="B25" s="4" t="s">
        <v>7741</v>
      </c>
      <c r="C25" s="4" t="s">
        <v>7742</v>
      </c>
      <c r="D25" s="4" t="s">
        <v>7743</v>
      </c>
      <c r="F25" s="5" t="str">
        <f>IFERROR(__xludf.DUMMYFUNCTION("GOOGLETRANSLATE(A25, ""en"", ""hi"")"),"24")</f>
        <v>24</v>
      </c>
      <c r="G25" s="5" t="str">
        <f>IFERROR(__xludf.DUMMYFUNCTION("GOOGLETRANSLATE(B25, ""en"", ""hi"")"),"प्रथम महिला कैरम विश्व चैंपियन कौन थी?")</f>
        <v>प्रथम महिला कैरम विश्व चैंपियन कौन थी?</v>
      </c>
      <c r="H25" s="5" t="str">
        <f>IFERROR(__xludf.DUMMYFUNCTION("GOOGLETRANSLATE(C25, ""en"", ""hi"")"),"ए) रश्मी कुमारी, बी) निशा कुमारी, सी) इला अग्रवाल, डी) लीला कोठारी")</f>
        <v>ए) रश्मी कुमारी, बी) निशा कुमारी, सी) इला अग्रवाल, डी) लीला कोठारी</v>
      </c>
      <c r="I25" s="5" t="str">
        <f>IFERROR(__xludf.DUMMYFUNCTION("GOOGLETRANSLATE(D25, ""en"", ""hi"")"),"A) रश्मि कुमारी")</f>
        <v>A) रश्मि कुमारी</v>
      </c>
    </row>
    <row r="26" ht="22.5" customHeight="1">
      <c r="A26" s="3">
        <v>25.0</v>
      </c>
      <c r="B26" s="4" t="s">
        <v>7744</v>
      </c>
      <c r="C26" s="4" t="s">
        <v>7745</v>
      </c>
      <c r="D26" s="4" t="s">
        <v>2446</v>
      </c>
      <c r="F26" s="5" t="str">
        <f>IFERROR(__xludf.DUMMYFUNCTION("GOOGLETRANSLATE(A26, ""en"", ""hi"")"),"25")</f>
        <v>25</v>
      </c>
      <c r="G26" s="5" t="str">
        <f>IFERROR(__xludf.DUMMYFUNCTION("GOOGLETRANSLATE(B26, ""en"", ""hi"")"),"किस भारतीय शहर को 'भारत की कैरम राजधानी' के रूप में जाना जाता है?")</f>
        <v>किस भारतीय शहर को 'भारत की कैरम राजधानी' के रूप में जाना जाता है?</v>
      </c>
      <c r="H26" s="5" t="str">
        <f>IFERROR(__xludf.DUMMYFUNCTION("GOOGLETRANSLATE(C26, ""en"", ""hi"")"),"ए) मुंबई, बी) चेन्नई, सी) बैंगलोर, डी) कोलकाता")</f>
        <v>ए) मुंबई, बी) चेन्नई, सी) बैंगलोर, डी) कोलकाता</v>
      </c>
      <c r="I26" s="5" t="str">
        <f>IFERROR(__xludf.DUMMYFUNCTION("GOOGLETRANSLATE(D26, ""en"", ""hi"")"),"बी) चेन्नई")</f>
        <v>बी) चेन्नई</v>
      </c>
    </row>
    <row r="27" ht="22.5" customHeight="1">
      <c r="A27" s="3">
        <v>26.0</v>
      </c>
      <c r="B27" s="4" t="s">
        <v>7746</v>
      </c>
      <c r="C27" s="4" t="s">
        <v>7747</v>
      </c>
      <c r="D27" s="4" t="s">
        <v>2002</v>
      </c>
      <c r="F27" s="5" t="str">
        <f>IFERROR(__xludf.DUMMYFUNCTION("GOOGLETRANSLATE(A27, ""en"", ""hi"")"),"26")</f>
        <v>26</v>
      </c>
      <c r="G27" s="5" t="str">
        <f>IFERROR(__xludf.DUMMYFUNCTION("GOOGLETRANSLATE(B27, ""en"", ""hi"")"),"दिव्यांगों के लिए पहली कैरम चैंपियनशिप किस वर्ष आयोजित की गई थी?")</f>
        <v>दिव्यांगों के लिए पहली कैरम चैंपियनशिप किस वर्ष आयोजित की गई थी?</v>
      </c>
      <c r="H27" s="5" t="str">
        <f>IFERROR(__xludf.DUMMYFUNCTION("GOOGLETRANSLATE(C27, ""en"", ""hi"")"),"ए) 2005, बी) 2008, सी) 2010, डी) 2012")</f>
        <v>ए) 2005, बी) 2008, सी) 2010, डी) 2012</v>
      </c>
      <c r="I27" s="5" t="str">
        <f>IFERROR(__xludf.DUMMYFUNCTION("GOOGLETRANSLATE(D27, ""en"", ""hi"")"),"सी) 2010")</f>
        <v>सी) 2010</v>
      </c>
    </row>
    <row r="28" ht="22.5" customHeight="1">
      <c r="A28" s="3">
        <v>27.0</v>
      </c>
      <c r="B28" s="4" t="s">
        <v>7748</v>
      </c>
      <c r="C28" s="4" t="s">
        <v>7749</v>
      </c>
      <c r="D28" s="4" t="s">
        <v>7750</v>
      </c>
      <c r="F28" s="5" t="str">
        <f>IFERROR(__xludf.DUMMYFUNCTION("GOOGLETRANSLATE(A28, ""en"", ""hi"")"),"27")</f>
        <v>27</v>
      </c>
      <c r="G28" s="5" t="str">
        <f>IFERROR(__xludf.DUMMYFUNCTION("GOOGLETRANSLATE(B28, ""en"", ""hi"")"),"अंतर्राष्ट्रीय कैरम महासंघ के संस्थापक कौन थे?")</f>
        <v>अंतर्राष्ट्रीय कैरम महासंघ के संस्थापक कौन थे?</v>
      </c>
      <c r="H28" s="5" t="str">
        <f>IFERROR(__xludf.DUMMYFUNCTION("GOOGLETRANSLATE(C28, ""en"", ""hi"")"),"A) मोहम्मद इब्राहिम, B) अरविंद कुमार, C) मोहम्मद सईद, D) विनय कपूर")</f>
        <v>A) मोहम्मद इब्राहिम, B) अरविंद कुमार, C) मोहम्मद सईद, D) विनय कपूर</v>
      </c>
      <c r="I28" s="5" t="str">
        <f>IFERROR(__xludf.DUMMYFUNCTION("GOOGLETRANSLATE(D28, ""en"", ""hi"")"),"A) मोहम्मद इब्राहिम")</f>
        <v>A) मोहम्मद इब्राहिम</v>
      </c>
    </row>
    <row r="29" ht="22.5" customHeight="1">
      <c r="A29" s="3">
        <v>28.0</v>
      </c>
      <c r="B29" s="4" t="s">
        <v>7751</v>
      </c>
      <c r="C29" s="4" t="s">
        <v>7752</v>
      </c>
      <c r="D29" s="4" t="s">
        <v>7753</v>
      </c>
      <c r="F29" s="5" t="str">
        <f>IFERROR(__xludf.DUMMYFUNCTION("GOOGLETRANSLATE(A29, ""en"", ""hi"")"),"28")</f>
        <v>28</v>
      </c>
      <c r="G29" s="5" t="str">
        <f>IFERROR(__xludf.DUMMYFUNCTION("GOOGLETRANSLATE(B29, ""en"", ""hi"")"),"आधिकारिक कैरम नियम पुस्तिका पहली बार किस वर्ष प्रकाशित हुई थी?")</f>
        <v>आधिकारिक कैरम नियम पुस्तिका पहली बार किस वर्ष प्रकाशित हुई थी?</v>
      </c>
      <c r="H29" s="5" t="str">
        <f>IFERROR(__xludf.DUMMYFUNCTION("GOOGLETRANSLATE(C29, ""en"", ""hi"")"),"ए) 1956, बी) 1962, सी) 1971, डी) 1980")</f>
        <v>ए) 1956, बी) 1962, सी) 1971, डी) 1980</v>
      </c>
      <c r="I29" s="5" t="str">
        <f>IFERROR(__xludf.DUMMYFUNCTION("GOOGLETRANSLATE(D29, ""en"", ""hi"")"),"सी) 1971")</f>
        <v>सी) 1971</v>
      </c>
    </row>
    <row r="30" ht="22.5" customHeight="1">
      <c r="A30" s="3">
        <v>29.0</v>
      </c>
      <c r="B30" s="4" t="s">
        <v>7754</v>
      </c>
      <c r="C30" s="4" t="s">
        <v>7755</v>
      </c>
      <c r="D30" s="4" t="s">
        <v>7756</v>
      </c>
      <c r="F30" s="5" t="str">
        <f>IFERROR(__xludf.DUMMYFUNCTION("GOOGLETRANSLATE(A30, ""en"", ""hi"")"),"29")</f>
        <v>29</v>
      </c>
      <c r="G30" s="5" t="str">
        <f>IFERROR(__xludf.DUMMYFUNCTION("GOOGLETRANSLATE(B30, ""en"", ""hi"")"),"किस देश के पास सबसे अधिक कैरम विश्व चैम्पियनशिप खिताब हैं?")</f>
        <v>किस देश के पास सबसे अधिक कैरम विश्व चैम्पियनशिप खिताब हैं?</v>
      </c>
      <c r="H30" s="5" t="str">
        <f>IFERROR(__xludf.DUMMYFUNCTION("GOOGLETRANSLATE(C30, ""en"", ""hi"")"),"A) श्रीलंका, B) भारत, C) मालदीव, D) पाकिस्तान")</f>
        <v>A) श्रीलंका, B) भारत, C) मालदीव, D) पाकिस्तान</v>
      </c>
      <c r="I30" s="5" t="str">
        <f>IFERROR(__xludf.DUMMYFUNCTION("GOOGLETRANSLATE(D30, ""en"", ""hi"")"),"बी) भारत")</f>
        <v>बी) भारत</v>
      </c>
    </row>
    <row r="31" ht="22.5" customHeight="1">
      <c r="A31" s="3">
        <v>30.0</v>
      </c>
      <c r="B31" s="4" t="s">
        <v>7757</v>
      </c>
      <c r="C31" s="4" t="s">
        <v>7758</v>
      </c>
      <c r="D31" s="4" t="s">
        <v>7759</v>
      </c>
      <c r="F31" s="5" t="str">
        <f>IFERROR(__xludf.DUMMYFUNCTION("GOOGLETRANSLATE(A31, ""en"", ""hi"")"),"30")</f>
        <v>30</v>
      </c>
      <c r="G31" s="5" t="str">
        <f>IFERROR(__xludf.DUMMYFUNCTION("GOOGLETRANSLATE(B31, ""en"", ""hi"")"),"कैरम विश्व चैंपियनशिप में सबसे पहले परफेक्ट गेम स्कोर करने वाला खिलाड़ी कौन था?")</f>
        <v>कैरम विश्व चैंपियनशिप में सबसे पहले परफेक्ट गेम स्कोर करने वाला खिलाड़ी कौन था?</v>
      </c>
      <c r="H31" s="5" t="str">
        <f>IFERROR(__xludf.DUMMYFUNCTION("GOOGLETRANSLATE(C31, ""en"", ""hi"")"),"ए) योगेश परदेशी, बी) रश्मी कुमारी, सी) मारिया इरुदायम, डी) एंथोनी मारिया")</f>
        <v>ए) योगेश परदेशी, बी) रश्मी कुमारी, सी) मारिया इरुदायम, डी) एंथोनी मारिया</v>
      </c>
      <c r="I31" s="5" t="str">
        <f>IFERROR(__xludf.DUMMYFUNCTION("GOOGLETRANSLATE(D31, ""en"", ""hi"")"),"D) एंथनी मारिया")</f>
        <v>D) एंथनी मारिया</v>
      </c>
    </row>
    <row r="32" ht="22.5" customHeight="1">
      <c r="A32" s="3">
        <v>31.0</v>
      </c>
      <c r="B32" s="4" t="s">
        <v>7760</v>
      </c>
      <c r="C32" s="4" t="s">
        <v>7761</v>
      </c>
      <c r="D32" s="4" t="s">
        <v>7762</v>
      </c>
      <c r="F32" s="5" t="str">
        <f>IFERROR(__xludf.DUMMYFUNCTION("GOOGLETRANSLATE(A32, ""en"", ""hi"")"),"31")</f>
        <v>31</v>
      </c>
      <c r="G32" s="5" t="str">
        <f>IFERROR(__xludf.DUMMYFUNCTION("GOOGLETRANSLATE(B32, ""en"", ""hi"")"),"21वीं सदी में जारी किया गया पहला डिजिटल कैरम गेम कौन सा था?")</f>
        <v>21वीं सदी में जारी किया गया पहला डिजिटल कैरम गेम कौन सा था?</v>
      </c>
      <c r="H32" s="5" t="str">
        <f>IFERROR(__xludf.DUMMYFUNCTION("GOOGLETRANSLATE(C32, ""en"", ""hi"")"),"A) कैरम 3D, B) कैरम मास्टर, C) वर्चुअल कैरम, D) कैरम किंग")</f>
        <v>A) कैरम 3D, B) कैरम मास्टर, C) वर्चुअल कैरम, D) कैरम किंग</v>
      </c>
      <c r="I32" s="5" t="str">
        <f>IFERROR(__xludf.DUMMYFUNCTION("GOOGLETRANSLATE(D32, ""en"", ""hi"")"),"ए) कैरम 3डी")</f>
        <v>ए) कैरम 3डी</v>
      </c>
    </row>
    <row r="33" ht="22.5" customHeight="1">
      <c r="A33" s="3">
        <v>32.0</v>
      </c>
      <c r="B33" s="4" t="s">
        <v>7763</v>
      </c>
      <c r="C33" s="4" t="s">
        <v>7764</v>
      </c>
      <c r="D33" s="4" t="s">
        <v>7765</v>
      </c>
      <c r="F33" s="5" t="str">
        <f>IFERROR(__xludf.DUMMYFUNCTION("GOOGLETRANSLATE(A33, ""en"", ""hi"")"),"32")</f>
        <v>32</v>
      </c>
      <c r="G33" s="5" t="str">
        <f>IFERROR(__xludf.DUMMYFUNCTION("GOOGLETRANSLATE(B33, ""en"", ""hi"")"),"कैरम का यूरोप में आगमन किस ऐतिहासिक काल में हुआ?")</f>
        <v>कैरम का यूरोप में आगमन किस ऐतिहासिक काल में हुआ?</v>
      </c>
      <c r="H33" s="5" t="str">
        <f>IFERROR(__xludf.DUMMYFUNCTION("GOOGLETRANSLATE(C33, ""en"", ""hi"")"),"A) औपनिवेशिक युग, B) द्वितीय विश्व युद्ध के बाद, C) 1990 का दशक, D) 2000 के दशक की शुरुआत")</f>
        <v>A) औपनिवेशिक युग, B) द्वितीय विश्व युद्ध के बाद, C) 1990 का दशक, D) 2000 के दशक की शुरुआत</v>
      </c>
      <c r="I33" s="5" t="str">
        <f>IFERROR(__xludf.DUMMYFUNCTION("GOOGLETRANSLATE(D33, ""en"", ""hi"")"),"A) औपनिवेशिक युग")</f>
        <v>A) औपनिवेशिक युग</v>
      </c>
    </row>
    <row r="34" ht="22.5" customHeight="1">
      <c r="A34" s="3">
        <v>33.0</v>
      </c>
      <c r="B34" s="4" t="s">
        <v>7766</v>
      </c>
      <c r="C34" s="4" t="s">
        <v>7767</v>
      </c>
      <c r="D34" s="4" t="s">
        <v>7768</v>
      </c>
      <c r="F34" s="5" t="str">
        <f>IFERROR(__xludf.DUMMYFUNCTION("GOOGLETRANSLATE(A34, ""en"", ""hi"")"),"33")</f>
        <v>33</v>
      </c>
      <c r="G34" s="5" t="str">
        <f>IFERROR(__xludf.DUMMYFUNCTION("GOOGLETRANSLATE(B34, ""en"", ""hi"")"),"कैरम में 'क्वीन' शब्द निम्नलिखित में से किसको संदर्भित करता है?")</f>
        <v>कैरम में 'क्वीन' शब्द निम्नलिखित में से किसको संदर्भित करता है?</v>
      </c>
      <c r="H34" s="5" t="str">
        <f>IFERROR(__xludf.DUMMYFUNCTION("GOOGLETRANSLATE(C34, ""en"", ""hi"")"),"A) जेब में डाला गया आखिरी सिक्का, B) लाल सिक्का, C) काला सिक्का, D) सबसे अधिक अंक पाने वाला सिक्का")</f>
        <v>A) जेब में डाला गया आखिरी सिक्का, B) लाल सिक्का, C) काला सिक्का, D) सबसे अधिक अंक पाने वाला सिक्का</v>
      </c>
      <c r="I34" s="5" t="str">
        <f>IFERROR(__xludf.DUMMYFUNCTION("GOOGLETRANSLATE(D34, ""en"", ""hi"")"),"बी) लाल सिक्का")</f>
        <v>बी) लाल सिक्का</v>
      </c>
    </row>
    <row r="35" ht="22.5" customHeight="1">
      <c r="A35" s="3">
        <v>34.0</v>
      </c>
      <c r="B35" s="4" t="s">
        <v>7769</v>
      </c>
      <c r="C35" s="4" t="s">
        <v>7770</v>
      </c>
      <c r="D35" s="4" t="s">
        <v>7771</v>
      </c>
      <c r="F35" s="5" t="str">
        <f>IFERROR(__xludf.DUMMYFUNCTION("GOOGLETRANSLATE(A35, ""en"", ""hi"")"),"34")</f>
        <v>34</v>
      </c>
      <c r="G35" s="5" t="str">
        <f>IFERROR(__xludf.DUMMYFUNCTION("GOOGLETRANSLATE(B35, ""en"", ""hi"")"),"किस यूरोपीय देश ने यूरोप में पहला राष्ट्रीय कैरम महासंघ स्थापित किया?")</f>
        <v>किस यूरोपीय देश ने यूरोप में पहला राष्ट्रीय कैरम महासंघ स्थापित किया?</v>
      </c>
      <c r="H35" s="5" t="str">
        <f>IFERROR(__xludf.DUMMYFUNCTION("GOOGLETRANSLATE(C35, ""en"", ""hi"")"),"A) जर्मनी, B) फ्रांस, C) स्विट्जरलैंड, D) स्पेन")</f>
        <v>A) जर्मनी, B) फ्रांस, C) स्विट्जरलैंड, D) स्पेन</v>
      </c>
      <c r="I35" s="5" t="str">
        <f>IFERROR(__xludf.DUMMYFUNCTION("GOOGLETRANSLATE(D35, ""en"", ""hi"")"),"ए) जर्मनी")</f>
        <v>ए) जर्मनी</v>
      </c>
    </row>
    <row r="36" ht="22.5" customHeight="1">
      <c r="A36" s="3">
        <v>35.0</v>
      </c>
      <c r="B36" s="4" t="s">
        <v>7772</v>
      </c>
      <c r="C36" s="4" t="s">
        <v>7773</v>
      </c>
      <c r="D36" s="4" t="s">
        <v>7774</v>
      </c>
      <c r="F36" s="5" t="str">
        <f>IFERROR(__xludf.DUMMYFUNCTION("GOOGLETRANSLATE(A36, ""en"", ""hi"")"),"35")</f>
        <v>35</v>
      </c>
      <c r="G36" s="5" t="str">
        <f>IFERROR(__xludf.DUMMYFUNCTION("GOOGLETRANSLATE(B36, ""en"", ""hi"")"),"पहली यूरोपीय कैरम चैम्पियनशिप किस शहर में आयोजित की गई थी?")</f>
        <v>पहली यूरोपीय कैरम चैम्पियनशिप किस शहर में आयोजित की गई थी?</v>
      </c>
      <c r="H36" s="5" t="str">
        <f>IFERROR(__xludf.DUMMYFUNCTION("GOOGLETRANSLATE(C36, ""en"", ""hi"")"),"A) बर्लिन, B) लंदन, C) पेरिस, D) ज्यूरिख")</f>
        <v>A) बर्लिन, B) लंदन, C) पेरिस, D) ज्यूरिख</v>
      </c>
      <c r="I36" s="5" t="str">
        <f>IFERROR(__xludf.DUMMYFUNCTION("GOOGLETRANSLATE(D36, ""en"", ""hi"")"),"D) ज्यूरिख")</f>
        <v>D) ज्यूरिख</v>
      </c>
    </row>
    <row r="37" ht="22.5" customHeight="1">
      <c r="A37" s="3">
        <v>36.0</v>
      </c>
      <c r="B37" s="4" t="s">
        <v>7775</v>
      </c>
      <c r="C37" s="4" t="s">
        <v>7776</v>
      </c>
      <c r="D37" s="4" t="s">
        <v>3791</v>
      </c>
      <c r="F37" s="5" t="str">
        <f>IFERROR(__xludf.DUMMYFUNCTION("GOOGLETRANSLATE(A37, ""en"", ""hi"")"),"36")</f>
        <v>36</v>
      </c>
      <c r="G37" s="5" t="str">
        <f>IFERROR(__xludf.DUMMYFUNCTION("GOOGLETRANSLATE(B37, ""en"", ""hi"")"),"ऐसा माना जाता है कि भारत में ब्रिटिश राज के दौरान किस ऐतिहासिक व्यक्ति ने कैरम खेला था?")</f>
        <v>ऐसा माना जाता है कि भारत में ब्रिटिश राज के दौरान किस ऐतिहासिक व्यक्ति ने कैरम खेला था?</v>
      </c>
      <c r="H37" s="5" t="str">
        <f>IFERROR(__xludf.DUMMYFUNCTION("GOOGLETRANSLATE(C37, ""en"", ""hi"")"),"A) लॉर्ड माउंटबेटन, B) महात्मा गांधी, C) रवींद्रनाथ टैगोर, D) जवाहरलाल नेहरू")</f>
        <v>A) लॉर्ड माउंटबेटन, B) महात्मा गांधी, C) रवींद्रनाथ टैगोर, D) जवाहरलाल नेहरू</v>
      </c>
      <c r="I37" s="5" t="str">
        <f>IFERROR(__xludf.DUMMYFUNCTION("GOOGLETRANSLATE(D37, ""en"", ""hi"")"),"बी) महात्मा गांधी")</f>
        <v>बी) महात्मा गांधी</v>
      </c>
    </row>
    <row r="38" ht="22.5" customHeight="1">
      <c r="A38" s="3">
        <v>37.0</v>
      </c>
      <c r="B38" s="4" t="s">
        <v>7777</v>
      </c>
      <c r="C38" s="4" t="s">
        <v>7778</v>
      </c>
      <c r="D38" s="4" t="s">
        <v>7779</v>
      </c>
      <c r="F38" s="5" t="str">
        <f>IFERROR(__xludf.DUMMYFUNCTION("GOOGLETRANSLATE(A38, ""en"", ""hi"")"),"37")</f>
        <v>37</v>
      </c>
      <c r="G38" s="5" t="str">
        <f>IFERROR(__xludf.DUMMYFUNCTION("GOOGLETRANSLATE(B38, ""en"", ""hi"")"),"कैरम फेडरेशन ऑफ इंडिया औपचारिक रूप से किस अधिनियम के तहत पंजीकृत किया गया था?")</f>
        <v>कैरम फेडरेशन ऑफ इंडिया औपचारिक रूप से किस अधिनियम के तहत पंजीकृत किया गया था?</v>
      </c>
      <c r="H38" s="5" t="str">
        <f>IFERROR(__xludf.DUMMYFUNCTION("GOOGLETRANSLATE(C38, ""en"", ""hi"")"),"A) सोसायटी पंजीकरण अधिनियम, B) भारतीय ट्रस्ट अधिनियम, C) कंपनी अधिनियम, D) सार्वजनिक दान अधिनियम")</f>
        <v>A) सोसायटी पंजीकरण अधिनियम, B) भारतीय ट्रस्ट अधिनियम, C) कंपनी अधिनियम, D) सार्वजनिक दान अधिनियम</v>
      </c>
      <c r="I38" s="5" t="str">
        <f>IFERROR(__xludf.DUMMYFUNCTION("GOOGLETRANSLATE(D38, ""en"", ""hi"")"),"ए) सोसायटी पंजीकरण अधिनियम")</f>
        <v>ए) सोसायटी पंजीकरण अधिनियम</v>
      </c>
    </row>
    <row r="39" ht="22.5" customHeight="1">
      <c r="A39" s="3">
        <v>38.0</v>
      </c>
      <c r="B39" s="4" t="s">
        <v>7780</v>
      </c>
      <c r="C39" s="4" t="s">
        <v>7781</v>
      </c>
      <c r="D39" s="4" t="s">
        <v>7756</v>
      </c>
      <c r="F39" s="5" t="str">
        <f>IFERROR(__xludf.DUMMYFUNCTION("GOOGLETRANSLATE(A39, ""en"", ""hi"")"),"38")</f>
        <v>38</v>
      </c>
      <c r="G39" s="5" t="str">
        <f>IFERROR(__xludf.DUMMYFUNCTION("GOOGLETRANSLATE(B39, ""en"", ""hi"")"),"किस एशियाई देश ने 20वीं सदी में कैरम को अपने स्कूली खेल पाठ्यक्रम का हिस्सा बनाया?")</f>
        <v>किस एशियाई देश ने 20वीं सदी में कैरम को अपने स्कूली खेल पाठ्यक्रम का हिस्सा बनाया?</v>
      </c>
      <c r="H39" s="5" t="str">
        <f>IFERROR(__xludf.DUMMYFUNCTION("GOOGLETRANSLATE(C39, ""en"", ""hi"")"),"A) श्रीलंका, B) भारत, C) नेपाल, D) बांग्लादेश")</f>
        <v>A) श्रीलंका, B) भारत, C) नेपाल, D) बांग्लादेश</v>
      </c>
      <c r="I39" s="5" t="str">
        <f>IFERROR(__xludf.DUMMYFUNCTION("GOOGLETRANSLATE(D39, ""en"", ""hi"")"),"बी) भारत")</f>
        <v>बी) भारत</v>
      </c>
    </row>
    <row r="40" ht="22.5" customHeight="1">
      <c r="A40" s="3">
        <v>39.0</v>
      </c>
      <c r="B40" s="4" t="s">
        <v>7782</v>
      </c>
      <c r="C40" s="4" t="s">
        <v>7783</v>
      </c>
      <c r="D40" s="4" t="s">
        <v>7784</v>
      </c>
      <c r="F40" s="5" t="str">
        <f>IFERROR(__xludf.DUMMYFUNCTION("GOOGLETRANSLATE(A40, ""en"", ""hi"")"),"39")</f>
        <v>39</v>
      </c>
      <c r="G40" s="5" t="str">
        <f>IFERROR(__xludf.DUMMYFUNCTION("GOOGLETRANSLATE(B40, ""en"", ""hi"")"),"प्रतिस्पर्धी खेल में पारंपरिक रूप से इस्तेमाल किए जाने वाले कैरम सिक्के किस रंग के होते हैं?")</f>
        <v>प्रतिस्पर्धी खेल में पारंपरिक रूप से इस्तेमाल किए जाने वाले कैरम सिक्के किस रंग के होते हैं?</v>
      </c>
      <c r="H40" s="5" t="str">
        <f>IFERROR(__xludf.DUMMYFUNCTION("GOOGLETRANSLATE(C40, ""en"", ""hi"")"),"A) काला और लाल, B) सफेद और काला, C) काला, लाल और सफेद, D) सफेद और लाल")</f>
        <v>A) काला और लाल, B) सफेद और काला, C) काला, लाल और सफेद, D) सफेद और लाल</v>
      </c>
      <c r="I40" s="5" t="str">
        <f>IFERROR(__xludf.DUMMYFUNCTION("GOOGLETRANSLATE(D40, ""en"", ""hi"")"),"C) काला, लाल और सफेद")</f>
        <v>C) काला, लाल और सफेद</v>
      </c>
    </row>
    <row r="41" ht="22.5" customHeight="1">
      <c r="A41" s="3">
        <v>40.0</v>
      </c>
      <c r="B41" s="4" t="s">
        <v>7785</v>
      </c>
      <c r="C41" s="4" t="s">
        <v>7786</v>
      </c>
      <c r="D41" s="4" t="s">
        <v>7787</v>
      </c>
      <c r="F41" s="5" t="str">
        <f>IFERROR(__xludf.DUMMYFUNCTION("GOOGLETRANSLATE(A41, ""en"", ""hi"")"),"40")</f>
        <v>40</v>
      </c>
      <c r="G41" s="5" t="str">
        <f>IFERROR(__xludf.DUMMYFUNCTION("GOOGLETRANSLATE(B41, ""en"", ""hi"")"),"कैरम के शुरुआती दिनों में स्ट्राइकर के रूप में क्या इस्तेमाल किया जाता था?")</f>
        <v>कैरम के शुरुआती दिनों में स्ट्राइकर के रूप में क्या इस्तेमाल किया जाता था?</v>
      </c>
      <c r="H41" s="5" t="str">
        <f>IFERROR(__xludf.DUMMYFUNCTION("GOOGLETRANSLATE(C41, ""en"", ""hi"")"),"A) कंकड़, B) लकड़ी की डिस्क, C) धातु का सिक्का, D) पत्थर का टुकड़ा")</f>
        <v>A) कंकड़, B) लकड़ी की डिस्क, C) धातु का सिक्का, D) पत्थर का टुकड़ा</v>
      </c>
      <c r="I41" s="5" t="str">
        <f>IFERROR(__xludf.DUMMYFUNCTION("GOOGLETRANSLATE(D41, ""en"", ""hi"")"),"बी) लकड़ी की डिस्क")</f>
        <v>बी) लकड़ी की डिस्क</v>
      </c>
    </row>
    <row r="42" ht="22.5" customHeight="1">
      <c r="A42" s="3">
        <v>41.0</v>
      </c>
      <c r="B42" s="4" t="s">
        <v>7788</v>
      </c>
      <c r="C42" s="4" t="s">
        <v>7789</v>
      </c>
      <c r="D42" s="4" t="s">
        <v>7790</v>
      </c>
      <c r="F42" s="5" t="str">
        <f>IFERROR(__xludf.DUMMYFUNCTION("GOOGLETRANSLATE(A42, ""en"", ""hi"")"),"41")</f>
        <v>41</v>
      </c>
      <c r="G42" s="5" t="str">
        <f>IFERROR(__xludf.DUMMYFUNCTION("GOOGLETRANSLATE(B42, ""en"", ""hi"")"),"कौन सा प्रसिद्ध भारतीय कैरम खिलाड़ी 1991 में विश्व चैम्पियनशिप का खिताब जीतने वाला पहला खिलाड़ी था?")</f>
        <v>कौन सा प्रसिद्ध भारतीय कैरम खिलाड़ी 1991 में विश्व चैम्पियनशिप का खिताब जीतने वाला पहला खिलाड़ी था?</v>
      </c>
      <c r="H42" s="5" t="str">
        <f>IFERROR(__xludf.DUMMYFUNCTION("GOOGLETRANSLATE(C42, ""en"", ""hi"")"),"ए) मारिया इरुदयम, बी) योगेश परदेशी, सी) रश्मी कुमारी, डी) के श्रीनिवास")</f>
        <v>ए) मारिया इरुदयम, बी) योगेश परदेशी, सी) रश्मी कुमारी, डी) के श्रीनिवास</v>
      </c>
      <c r="I42" s="5" t="str">
        <f>IFERROR(__xludf.DUMMYFUNCTION("GOOGLETRANSLATE(D42, ""en"", ""hi"")"),"A) मारिया इरुदयम")</f>
        <v>A) मारिया इरुदयम</v>
      </c>
    </row>
    <row r="43" ht="22.5" customHeight="1">
      <c r="A43" s="3">
        <v>42.0</v>
      </c>
      <c r="B43" s="4" t="s">
        <v>7791</v>
      </c>
      <c r="C43" s="4" t="s">
        <v>7792</v>
      </c>
      <c r="D43" s="4" t="s">
        <v>7793</v>
      </c>
      <c r="F43" s="5" t="str">
        <f>IFERROR(__xludf.DUMMYFUNCTION("GOOGLETRANSLATE(A43, ""en"", ""hi"")"),"42")</f>
        <v>42</v>
      </c>
      <c r="G43" s="5" t="str">
        <f>IFERROR(__xludf.DUMMYFUNCTION("GOOGLETRANSLATE(B43, ""en"", ""hi"")"),"उत्तरी अमेरिका में पहला कैरम टूर्नामेंट किस वर्ष आयोजित किया गया था?")</f>
        <v>उत्तरी अमेरिका में पहला कैरम टूर्नामेंट किस वर्ष आयोजित किया गया था?</v>
      </c>
      <c r="H43" s="5" t="str">
        <f>IFERROR(__xludf.DUMMYFUNCTION("GOOGLETRANSLATE(C43, ""en"", ""hi"")"),"ए) 1997, बी) 2001, सी) 2005, डी) 2010")</f>
        <v>ए) 1997, बी) 2001, सी) 2005, डी) 2010</v>
      </c>
      <c r="I43" s="5" t="str">
        <f>IFERROR(__xludf.DUMMYFUNCTION("GOOGLETRANSLATE(D43, ""en"", ""hi"")"),"बी) 2001")</f>
        <v>बी) 2001</v>
      </c>
    </row>
    <row r="44" ht="22.5" customHeight="1">
      <c r="A44" s="3">
        <v>43.0</v>
      </c>
      <c r="B44" s="4" t="s">
        <v>7794</v>
      </c>
      <c r="C44" s="4" t="s">
        <v>7697</v>
      </c>
      <c r="D44" s="4" t="s">
        <v>37</v>
      </c>
      <c r="F44" s="5" t="str">
        <f>IFERROR(__xludf.DUMMYFUNCTION("GOOGLETRANSLATE(A44, ""en"", ""hi"")"),"43")</f>
        <v>43</v>
      </c>
      <c r="G44" s="5" t="str">
        <f>IFERROR(__xludf.DUMMYFUNCTION("GOOGLETRANSLATE(B44, ""en"", ""hi"")"),"कौन सा देश 2020 में ऑनलाइन कैरम चैंपियनशिप की मेजबानी करने वाला पहला देश बना?")</f>
        <v>कौन सा देश 2020 में ऑनलाइन कैरम चैंपियनशिप की मेजबानी करने वाला पहला देश बना?</v>
      </c>
      <c r="H44" s="5" t="str">
        <f>IFERROR(__xludf.DUMMYFUNCTION("GOOGLETRANSLATE(C44, ""en"", ""hi"")"),"A) भारत, B) श्रीलंका, C) मालदीव, D) बांग्लादेश")</f>
        <v>A) भारत, B) श्रीलंका, C) मालदीव, D) बांग्लादेश</v>
      </c>
      <c r="I44" s="5" t="str">
        <f>IFERROR(__xludf.DUMMYFUNCTION("GOOGLETRANSLATE(D44, ""en"", ""hi"")"),"ए) भारत")</f>
        <v>ए) भारत</v>
      </c>
    </row>
    <row r="45" ht="22.5" customHeight="1">
      <c r="A45" s="3">
        <v>44.0</v>
      </c>
      <c r="B45" s="4" t="s">
        <v>7795</v>
      </c>
      <c r="C45" s="4" t="s">
        <v>7796</v>
      </c>
      <c r="D45" s="4" t="s">
        <v>7797</v>
      </c>
      <c r="F45" s="5" t="str">
        <f>IFERROR(__xludf.DUMMYFUNCTION("GOOGLETRANSLATE(A45, ""en"", ""hi"")"),"44")</f>
        <v>44</v>
      </c>
      <c r="G45" s="5" t="str">
        <f>IFERROR(__xludf.DUMMYFUNCTION("GOOGLETRANSLATE(B45, ""en"", ""hi"")"),"कैरम में 'क्वीन को कवर करना' शब्द का क्या अर्थ है?")</f>
        <v>कैरम में 'क्वीन को कवर करना' शब्द का क्या अर्थ है?</v>
      </c>
      <c r="H45" s="5" t="str">
        <f>IFERROR(__xludf.DUMMYFUNCTION("GOOGLETRANSLATE(C45, ""en"", ""hi"")"),"A) रानी को पॉकेट में डालना, B) रानी के बाद एक मोहरा पॉकेट में डालना, C) रानी को पॉकेट में डाले जाने से बचाना, D) रानी को पुनः स्थान पर रखना")</f>
        <v>A) रानी को पॉकेट में डालना, B) रानी के बाद एक मोहरा पॉकेट में डालना, C) रानी को पॉकेट में डाले जाने से बचाना, D) रानी को पुनः स्थान पर रखना</v>
      </c>
      <c r="I45" s="5" t="str">
        <f>IFERROR(__xludf.DUMMYFUNCTION("GOOGLETRANSLATE(D45, ""en"", ""hi"")"),"बी) रानी के बाद एक मोहरा जेब में डालना")</f>
        <v>बी) रानी के बाद एक मोहरा जेब में डालना</v>
      </c>
    </row>
    <row r="46" ht="22.5" customHeight="1">
      <c r="A46" s="3">
        <v>45.0</v>
      </c>
      <c r="B46" s="4" t="s">
        <v>7798</v>
      </c>
      <c r="C46" s="4" t="s">
        <v>7799</v>
      </c>
      <c r="D46" s="4" t="s">
        <v>7800</v>
      </c>
      <c r="F46" s="5" t="str">
        <f>IFERROR(__xludf.DUMMYFUNCTION("GOOGLETRANSLATE(A46, ""en"", ""hi"")"),"45")</f>
        <v>45</v>
      </c>
      <c r="G46" s="5" t="str">
        <f>IFERROR(__xludf.DUMMYFUNCTION("GOOGLETRANSLATE(B46, ""en"", ""hi"")"),"ऐसा माना जाता है कि किस ऐतिहासिक साम्राज्य ने कैरम खेल को बढ़ावा दिया?")</f>
        <v>ऐसा माना जाता है कि किस ऐतिहासिक साम्राज्य ने कैरम खेल को बढ़ावा दिया?</v>
      </c>
      <c r="H46" s="5" t="str">
        <f>IFERROR(__xludf.DUMMYFUNCTION("GOOGLETRANSLATE(C46, ""en"", ""hi"")"),"A) मुगल साम्राज्य, B) ब्रिटिश साम्राज्य, C) ओटोमन साम्राज्य, D) रोमन साम्राज्य")</f>
        <v>A) मुगल साम्राज्य, B) ब्रिटिश साम्राज्य, C) ओटोमन साम्राज्य, D) रोमन साम्राज्य</v>
      </c>
      <c r="I46" s="5" t="str">
        <f>IFERROR(__xludf.DUMMYFUNCTION("GOOGLETRANSLATE(D46, ""en"", ""hi"")"),"A) मुगल साम्राज्य")</f>
        <v>A) मुगल साम्राज्य</v>
      </c>
    </row>
    <row r="47" ht="22.5" customHeight="1">
      <c r="A47" s="3">
        <v>46.0</v>
      </c>
      <c r="B47" s="4" t="s">
        <v>7801</v>
      </c>
      <c r="C47" s="4" t="s">
        <v>7802</v>
      </c>
      <c r="D47" s="4" t="s">
        <v>7803</v>
      </c>
      <c r="F47" s="5" t="str">
        <f>IFERROR(__xludf.DUMMYFUNCTION("GOOGLETRANSLATE(A47, ""en"", ""hi"")"),"46")</f>
        <v>46</v>
      </c>
      <c r="G47" s="5" t="str">
        <f>IFERROR(__xludf.DUMMYFUNCTION("GOOGLETRANSLATE(B47, ""en"", ""hi"")"),"भारत में पहला कैरम क्लब किस वर्ष स्थापित किया गया था?")</f>
        <v>भारत में पहला कैरम क्लब किस वर्ष स्थापित किया गया था?</v>
      </c>
      <c r="H47" s="5" t="str">
        <f>IFERROR(__xludf.DUMMYFUNCTION("GOOGLETRANSLATE(C47, ""en"", ""hi"")"),"ए) 1935, बी) 1942, सी) 1950, डी) 1965")</f>
        <v>ए) 1935, बी) 1942, सी) 1950, डी) 1965</v>
      </c>
      <c r="I47" s="5" t="str">
        <f>IFERROR(__xludf.DUMMYFUNCTION("GOOGLETRANSLATE(D47, ""en"", ""hi"")"),"ए) 1935")</f>
        <v>ए) 1935</v>
      </c>
    </row>
    <row r="48" ht="22.5" customHeight="1">
      <c r="A48" s="3">
        <v>47.0</v>
      </c>
      <c r="B48" s="4" t="s">
        <v>7804</v>
      </c>
      <c r="C48" s="4" t="s">
        <v>7805</v>
      </c>
      <c r="D48" s="4" t="s">
        <v>7806</v>
      </c>
      <c r="F48" s="5" t="str">
        <f>IFERROR(__xludf.DUMMYFUNCTION("GOOGLETRANSLATE(A48, ""en"", ""hi"")"),"47")</f>
        <v>47</v>
      </c>
      <c r="G48" s="5" t="str">
        <f>IFERROR(__xludf.DUMMYFUNCTION("GOOGLETRANSLATE(B48, ""en"", ""hi"")"),"कैरम किस युद्ध के दौरान भारत में ब्रिटिश सैनिकों के बीच लोकप्रिय हुआ?")</f>
        <v>कैरम किस युद्ध के दौरान भारत में ब्रिटिश सैनिकों के बीच लोकप्रिय हुआ?</v>
      </c>
      <c r="H48" s="5" t="str">
        <f>IFERROR(__xludf.DUMMYFUNCTION("GOOGLETRANSLATE(C48, ""en"", ""hi"")"),"A) प्रथम विश्व युद्ध, B) द्वितीय विश्व युद्ध, C) 1857 का भारतीय विद्रोह, D) क्रीमिया युद्ध")</f>
        <v>A) प्रथम विश्व युद्ध, B) द्वितीय विश्व युद्ध, C) 1857 का भारतीय विद्रोह, D) क्रीमिया युद्ध</v>
      </c>
      <c r="I48" s="5" t="str">
        <f>IFERROR(__xludf.DUMMYFUNCTION("GOOGLETRANSLATE(D48, ""en"", ""hi"")"),"बी) द्वितीय विश्व युद्ध")</f>
        <v>बी) द्वितीय विश्व युद्ध</v>
      </c>
    </row>
    <row r="49" ht="22.5" customHeight="1">
      <c r="A49" s="3">
        <v>48.0</v>
      </c>
      <c r="B49" s="4" t="s">
        <v>7807</v>
      </c>
      <c r="C49" s="4" t="s">
        <v>7808</v>
      </c>
      <c r="D49" s="4" t="s">
        <v>7809</v>
      </c>
      <c r="F49" s="5" t="str">
        <f>IFERROR(__xludf.DUMMYFUNCTION("GOOGLETRANSLATE(A49, ""en"", ""hi"")"),"48")</f>
        <v>48</v>
      </c>
      <c r="G49" s="5" t="str">
        <f>IFERROR(__xludf.DUMMYFUNCTION("GOOGLETRANSLATE(B49, ""en"", ""hi"")"),"पहला अंतर्राष्ट्रीय कैरम टूर्नामेंट किस वर्ष आयोजित किया गया था?")</f>
        <v>पहला अंतर्राष्ट्रीय कैरम टूर्नामेंट किस वर्ष आयोजित किया गया था?</v>
      </c>
      <c r="H49" s="5" t="str">
        <f>IFERROR(__xludf.DUMMYFUNCTION("GOOGLETRANSLATE(C49, ""en"", ""hi"")"),"ए) 1958, बी) 1968, सी) 1978, डी) 1988")</f>
        <v>ए) 1958, बी) 1968, सी) 1978, डी) 1988</v>
      </c>
      <c r="I49" s="5" t="str">
        <f>IFERROR(__xludf.DUMMYFUNCTION("GOOGLETRANSLATE(D49, ""en"", ""hi"")"),"सी) 1978")</f>
        <v>सी) 1978</v>
      </c>
    </row>
    <row r="50" ht="22.5" customHeight="1">
      <c r="A50" s="3">
        <v>49.0</v>
      </c>
      <c r="B50" s="4" t="s">
        <v>7810</v>
      </c>
      <c r="C50" s="4" t="s">
        <v>7811</v>
      </c>
      <c r="D50" s="4" t="s">
        <v>205</v>
      </c>
      <c r="F50" s="5" t="str">
        <f>IFERROR(__xludf.DUMMYFUNCTION("GOOGLETRANSLATE(A50, ""en"", ""hi"")"),"49")</f>
        <v>49</v>
      </c>
      <c r="G50" s="5" t="str">
        <f>IFERROR(__xludf.DUMMYFUNCTION("GOOGLETRANSLATE(B50, ""en"", ""hi"")"),"भारत का कौन सा राज्य शीर्ष कैरम खिलाड़ियों के उत्पादन के लिए जाना जाता है?")</f>
        <v>भारत का कौन सा राज्य शीर्ष कैरम खिलाड़ियों के उत्पादन के लिए जाना जाता है?</v>
      </c>
      <c r="H50" s="5" t="str">
        <f>IFERROR(__xludf.DUMMYFUNCTION("GOOGLETRANSLATE(C50, ""en"", ""hi"")"),"A) तमिलनाडु, B) महाराष्ट्र, C) केरल, D) पश्चिम बंगाल")</f>
        <v>A) तमिलनाडु, B) महाराष्ट्र, C) केरल, D) पश्चिम बंगाल</v>
      </c>
      <c r="I50" s="5" t="str">
        <f>IFERROR(__xludf.DUMMYFUNCTION("GOOGLETRANSLATE(D50, ""en"", ""hi"")"),"A) तमिलनाडु")</f>
        <v>A) तमिलनाडु</v>
      </c>
    </row>
    <row r="51" ht="22.5" customHeight="1">
      <c r="A51" s="3">
        <v>50.0</v>
      </c>
      <c r="B51" s="4" t="s">
        <v>7812</v>
      </c>
      <c r="C51" s="4" t="s">
        <v>7813</v>
      </c>
      <c r="D51" s="4" t="s">
        <v>2446</v>
      </c>
      <c r="F51" s="5" t="str">
        <f>IFERROR(__xludf.DUMMYFUNCTION("GOOGLETRANSLATE(A51, ""en"", ""hi"")"),"50")</f>
        <v>50</v>
      </c>
      <c r="G51" s="5" t="str">
        <f>IFERROR(__xludf.DUMMYFUNCTION("GOOGLETRANSLATE(B51, ""en"", ""hi"")"),"भारत में पहला कैरम फेडरेशन किस शहर में स्थापित किया गया था?")</f>
        <v>भारत में पहला कैरम फेडरेशन किस शहर में स्थापित किया गया था?</v>
      </c>
      <c r="H51" s="5" t="str">
        <f>IFERROR(__xludf.DUMMYFUNCTION("GOOGLETRANSLATE(C51, ""en"", ""hi"")"),"ए) मुंबई, बी) चेन्नई, सी) कोलकाता, डी) बैंगलोर")</f>
        <v>ए) मुंबई, बी) चेन्नई, सी) कोलकाता, डी) बैंगलोर</v>
      </c>
      <c r="I51" s="5" t="str">
        <f>IFERROR(__xludf.DUMMYFUNCTION("GOOGLETRANSLATE(D51, ""en"", ""hi"")"),"बी) चेन्नई")</f>
        <v>बी) चेन्नई</v>
      </c>
    </row>
    <row r="52" ht="22.5" customHeight="1">
      <c r="A52" s="3">
        <v>51.0</v>
      </c>
      <c r="B52" s="4" t="s">
        <v>7814</v>
      </c>
      <c r="C52" s="4" t="s">
        <v>7815</v>
      </c>
      <c r="D52" s="4" t="s">
        <v>7750</v>
      </c>
      <c r="F52" s="5" t="str">
        <f>IFERROR(__xludf.DUMMYFUNCTION("GOOGLETRANSLATE(A52, ""en"", ""hi"")"),"51")</f>
        <v>51</v>
      </c>
      <c r="G52" s="5" t="str">
        <f>IFERROR(__xludf.DUMMYFUNCTION("GOOGLETRANSLATE(B52, ""en"", ""hi"")"),"'आधुनिक कैरम का जनक' किसे माना जाता है?")</f>
        <v>'आधुनिक कैरम का जनक' किसे माना जाता है?</v>
      </c>
      <c r="H52" s="5" t="str">
        <f>IFERROR(__xludf.DUMMYFUNCTION("GOOGLETRANSLATE(C52, ""en"", ""hi"")"),"ए) मोहम्मद इब्राहिम, बी) योगेश परदेशी, सी) एंथोनी मारिया, डी) राधाकृष्णन")</f>
        <v>ए) मोहम्मद इब्राहिम, बी) योगेश परदेशी, सी) एंथोनी मारिया, डी) राधाकृष्णन</v>
      </c>
      <c r="I52" s="5" t="str">
        <f>IFERROR(__xludf.DUMMYFUNCTION("GOOGLETRANSLATE(D52, ""en"", ""hi"")"),"A) मोहम्मद इब्राहिम")</f>
        <v>A) मोहम्मद इब्राहिम</v>
      </c>
    </row>
    <row r="53" ht="22.5" customHeight="1">
      <c r="A53" s="3">
        <v>52.0</v>
      </c>
      <c r="B53" s="4" t="s">
        <v>7816</v>
      </c>
      <c r="C53" s="4" t="s">
        <v>7817</v>
      </c>
      <c r="D53" s="4" t="s">
        <v>7818</v>
      </c>
      <c r="F53" s="5" t="str">
        <f>IFERROR(__xludf.DUMMYFUNCTION("GOOGLETRANSLATE(A53, ""en"", ""hi"")"),"52")</f>
        <v>52</v>
      </c>
      <c r="G53" s="5" t="str">
        <f>IFERROR(__xludf.DUMMYFUNCTION("GOOGLETRANSLATE(B53, ""en"", ""hi"")"),"भारत में पहली राष्ट्रीय कैरम चैंपियनशिप किस शहर में आयोजित की गई थी?")</f>
        <v>भारत में पहली राष्ट्रीय कैरम चैंपियनशिप किस शहर में आयोजित की गई थी?</v>
      </c>
      <c r="H53" s="5" t="str">
        <f>IFERROR(__xludf.DUMMYFUNCTION("GOOGLETRANSLATE(C53, ""en"", ""hi"")"),"ए) मुंबई, बी) दिल्ली, सी) कोलकाता, डी) चेन्नई")</f>
        <v>ए) मुंबई, बी) दिल्ली, सी) कोलकाता, डी) चेन्नई</v>
      </c>
      <c r="I53" s="5" t="str">
        <f>IFERROR(__xludf.DUMMYFUNCTION("GOOGLETRANSLATE(D53, ""en"", ""hi"")"),"D) चेन्नई")</f>
        <v>D) चेन्नई</v>
      </c>
    </row>
    <row r="54" ht="22.5" customHeight="1">
      <c r="A54" s="3">
        <v>53.0</v>
      </c>
      <c r="B54" s="4" t="s">
        <v>7819</v>
      </c>
      <c r="C54" s="4" t="s">
        <v>7820</v>
      </c>
      <c r="D54" s="4" t="s">
        <v>7821</v>
      </c>
      <c r="F54" s="5" t="str">
        <f>IFERROR(__xludf.DUMMYFUNCTION("GOOGLETRANSLATE(A54, ""en"", ""hi"")"),"53")</f>
        <v>53</v>
      </c>
      <c r="G54" s="5" t="str">
        <f>IFERROR(__xludf.DUMMYFUNCTION("GOOGLETRANSLATE(B54, ""en"", ""hi"")"),"कैरम भारत में किस वर्ष एक प्रतिस्पर्धात्मक खेल बन गया?")</f>
        <v>कैरम भारत में किस वर्ष एक प्रतिस्पर्धात्मक खेल बन गया?</v>
      </c>
      <c r="H54" s="5" t="str">
        <f>IFERROR(__xludf.DUMMYFUNCTION("GOOGLETRANSLATE(C54, ""en"", ""hi"")"),"ए) 1940, बी) 1950, सी) 1960, डी) 1970")</f>
        <v>ए) 1940, बी) 1950, सी) 1960, डी) 1970</v>
      </c>
      <c r="I54" s="5" t="str">
        <f>IFERROR(__xludf.DUMMYFUNCTION("GOOGLETRANSLATE(D54, ""en"", ""hi"")"),"सी) 1960")</f>
        <v>सी) 1960</v>
      </c>
    </row>
    <row r="55" ht="22.5" customHeight="1">
      <c r="A55" s="3">
        <v>54.0</v>
      </c>
      <c r="B55" s="4" t="s">
        <v>7822</v>
      </c>
      <c r="C55" s="4" t="s">
        <v>7823</v>
      </c>
      <c r="D55" s="4" t="s">
        <v>205</v>
      </c>
      <c r="F55" s="5" t="str">
        <f>IFERROR(__xludf.DUMMYFUNCTION("GOOGLETRANSLATE(A55, ""en"", ""hi"")"),"54")</f>
        <v>54</v>
      </c>
      <c r="G55" s="5" t="str">
        <f>IFERROR(__xludf.DUMMYFUNCTION("GOOGLETRANSLATE(B55, ""en"", ""hi"")"),"भारत के किस राज्य ने पहली बार कैरम विश्व कप की मेजबानी की?")</f>
        <v>भारत के किस राज्य ने पहली बार कैरम विश्व कप की मेजबानी की?</v>
      </c>
      <c r="H55" s="5" t="str">
        <f>IFERROR(__xludf.DUMMYFUNCTION("GOOGLETRANSLATE(C55, ""en"", ""hi"")"),"ए) तमिलनाडु, बी) केरल, सी) महाराष्ट्र, डी) गुजरात")</f>
        <v>ए) तमिलनाडु, बी) केरल, सी) महाराष्ट्र, डी) गुजरात</v>
      </c>
      <c r="I55" s="5" t="str">
        <f>IFERROR(__xludf.DUMMYFUNCTION("GOOGLETRANSLATE(D55, ""en"", ""hi"")"),"A) तमिलनाडु")</f>
        <v>A) तमिलनाडु</v>
      </c>
    </row>
    <row r="56" ht="22.5" customHeight="1">
      <c r="A56" s="3">
        <v>55.0</v>
      </c>
      <c r="B56" s="4" t="s">
        <v>7824</v>
      </c>
      <c r="C56" s="4" t="s">
        <v>7825</v>
      </c>
      <c r="D56" s="4" t="s">
        <v>7826</v>
      </c>
      <c r="F56" s="5" t="str">
        <f>IFERROR(__xludf.DUMMYFUNCTION("GOOGLETRANSLATE(A56, ""en"", ""hi"")"),"55")</f>
        <v>55</v>
      </c>
      <c r="G56" s="5" t="str">
        <f>IFERROR(__xludf.DUMMYFUNCTION("GOOGLETRANSLATE(B56, ""en"", ""hi"")"),"प्रथम अखिल भारतीय कैरम टूर्नामेंट कब आयोजित किया गया था?")</f>
        <v>प्रथम अखिल भारतीय कैरम टूर्नामेंट कब आयोजित किया गया था?</v>
      </c>
      <c r="H56" s="5" t="str">
        <f>IFERROR(__xludf.DUMMYFUNCTION("GOOGLETRANSLATE(C56, ""en"", ""hi"")"),"ए) 1946, बी) 1952, सी) 1956, डी) 1960")</f>
        <v>ए) 1946, बी) 1952, सी) 1956, डी) 1960</v>
      </c>
      <c r="I56" s="5" t="str">
        <f>IFERROR(__xludf.DUMMYFUNCTION("GOOGLETRANSLATE(D56, ""en"", ""hi"")"),"बी) 1952")</f>
        <v>बी) 1952</v>
      </c>
    </row>
    <row r="57" ht="22.5" customHeight="1">
      <c r="A57" s="3">
        <v>56.0</v>
      </c>
      <c r="B57" s="4" t="s">
        <v>7827</v>
      </c>
      <c r="C57" s="4" t="s">
        <v>7828</v>
      </c>
      <c r="D57" s="4" t="s">
        <v>7771</v>
      </c>
      <c r="F57" s="5" t="str">
        <f>IFERROR(__xludf.DUMMYFUNCTION("GOOGLETRANSLATE(A57, ""en"", ""hi"")"),"56")</f>
        <v>56</v>
      </c>
      <c r="G57" s="5" t="str">
        <f>IFERROR(__xludf.DUMMYFUNCTION("GOOGLETRANSLATE(B57, ""en"", ""hi"")"),"1970 के दशक में कैरम को किस यूरोपीय देश में लोकप्रियता मिली?")</f>
        <v>1970 के दशक में कैरम को किस यूरोपीय देश में लोकप्रियता मिली?</v>
      </c>
      <c r="H57" s="5" t="str">
        <f>IFERROR(__xludf.DUMMYFUNCTION("GOOGLETRANSLATE(C57, ""en"", ""hi"")"),"A) जर्मनी, B) यूके, C) फ्रांस, D) इटली")</f>
        <v>A) जर्मनी, B) यूके, C) फ्रांस, D) इटली</v>
      </c>
      <c r="I57" s="5" t="str">
        <f>IFERROR(__xludf.DUMMYFUNCTION("GOOGLETRANSLATE(D57, ""en"", ""hi"")"),"ए) जर्मनी")</f>
        <v>ए) जर्मनी</v>
      </c>
    </row>
    <row r="58" ht="22.5" customHeight="1">
      <c r="A58" s="3">
        <v>57.0</v>
      </c>
      <c r="B58" s="4" t="s">
        <v>7829</v>
      </c>
      <c r="C58" s="4" t="s">
        <v>7830</v>
      </c>
      <c r="D58" s="4" t="s">
        <v>7831</v>
      </c>
      <c r="F58" s="5" t="str">
        <f>IFERROR(__xludf.DUMMYFUNCTION("GOOGLETRANSLATE(A58, ""en"", ""hi"")"),"57")</f>
        <v>57</v>
      </c>
      <c r="G58" s="5" t="str">
        <f>IFERROR(__xludf.DUMMYFUNCTION("GOOGLETRANSLATE(B58, ""en"", ""hi"")"),"प्रथम महिला कैरम विश्व चैंपियन का ताज किस वर्ष पहनाया गया था?")</f>
        <v>प्रथम महिला कैरम विश्व चैंपियन का ताज किस वर्ष पहनाया गया था?</v>
      </c>
      <c r="H58" s="5" t="str">
        <f>IFERROR(__xludf.DUMMYFUNCTION("GOOGLETRANSLATE(C58, ""en"", ""hi"")"),"ए) 1993, बी) 1997, सी) 2001, डी) 2005")</f>
        <v>ए) 1993, बी) 1997, सी) 2001, डी) 2005</v>
      </c>
      <c r="I58" s="5" t="str">
        <f>IFERROR(__xludf.DUMMYFUNCTION("GOOGLETRANSLATE(D58, ""en"", ""hi"")"),"ए) 1993")</f>
        <v>ए) 1993</v>
      </c>
    </row>
    <row r="59" ht="22.5" customHeight="1">
      <c r="A59" s="3">
        <v>58.0</v>
      </c>
      <c r="B59" s="4" t="s">
        <v>7832</v>
      </c>
      <c r="C59" s="4" t="s">
        <v>7833</v>
      </c>
      <c r="D59" s="4" t="s">
        <v>7743</v>
      </c>
      <c r="F59" s="5" t="str">
        <f>IFERROR(__xludf.DUMMYFUNCTION("GOOGLETRANSLATE(A59, ""en"", ""hi"")"),"58")</f>
        <v>58</v>
      </c>
      <c r="G59" s="5" t="str">
        <f>IFERROR(__xludf.DUMMYFUNCTION("GOOGLETRANSLATE(B59, ""en"", ""hi"")"),"कैरम विश्व कप जीतने वाली पहली महिला खिलाड़ी कौन थी?")</f>
        <v>कैरम विश्व कप जीतने वाली पहली महिला खिलाड़ी कौन थी?</v>
      </c>
      <c r="H59" s="5" t="str">
        <f>IFERROR(__xludf.DUMMYFUNCTION("GOOGLETRANSLATE(C59, ""en"", ""hi"")"),"A) रश्मि कुमारी, B) मारिया इरुदयम, C) के. श्रीनिवास, D) निशा कुमारी")</f>
        <v>A) रश्मि कुमारी, B) मारिया इरुदयम, C) के. श्रीनिवास, D) निशा कुमारी</v>
      </c>
      <c r="I59" s="5" t="str">
        <f>IFERROR(__xludf.DUMMYFUNCTION("GOOGLETRANSLATE(D59, ""en"", ""hi"")"),"A) रश्मि कुमारी")</f>
        <v>A) रश्मि कुमारी</v>
      </c>
    </row>
    <row r="60" ht="22.5" customHeight="1">
      <c r="A60" s="3">
        <v>59.0</v>
      </c>
      <c r="B60" s="4" t="s">
        <v>7834</v>
      </c>
      <c r="C60" s="4" t="s">
        <v>7835</v>
      </c>
      <c r="D60" s="4" t="s">
        <v>7836</v>
      </c>
      <c r="F60" s="5" t="str">
        <f>IFERROR(__xludf.DUMMYFUNCTION("GOOGLETRANSLATE(A60, ""en"", ""hi"")"),"59")</f>
        <v>59</v>
      </c>
      <c r="G60" s="5" t="str">
        <f>IFERROR(__xludf.DUMMYFUNCTION("GOOGLETRANSLATE(B60, ""en"", ""hi"")"),"अंतर्राष्ट्रीय कैरम महासंघ ने किस वर्ष औपचारिक रैंकिंग प्रणाली शुरू की?")</f>
        <v>अंतर्राष्ट्रीय कैरम महासंघ ने किस वर्ष औपचारिक रैंकिंग प्रणाली शुरू की?</v>
      </c>
      <c r="H60" s="5" t="str">
        <f>IFERROR(__xludf.DUMMYFUNCTION("GOOGLETRANSLATE(C60, ""en"", ""hi"")"),"ए) 1995, बी) 1998, सी) 2000, डी) 2003")</f>
        <v>ए) 1995, बी) 1998, सी) 2000, डी) 2003</v>
      </c>
      <c r="I60" s="5" t="str">
        <f>IFERROR(__xludf.DUMMYFUNCTION("GOOGLETRANSLATE(D60, ""en"", ""hi"")"),"बी) 1998")</f>
        <v>बी) 1998</v>
      </c>
    </row>
    <row r="61" ht="22.5" customHeight="1">
      <c r="A61" s="3">
        <v>60.0</v>
      </c>
      <c r="B61" s="4" t="s">
        <v>7837</v>
      </c>
      <c r="C61" s="4" t="s">
        <v>7838</v>
      </c>
      <c r="D61" s="4" t="s">
        <v>98</v>
      </c>
      <c r="F61" s="5" t="str">
        <f>IFERROR(__xludf.DUMMYFUNCTION("GOOGLETRANSLATE(A61, ""en"", ""hi"")"),"60")</f>
        <v>60</v>
      </c>
      <c r="G61" s="5" t="str">
        <f>IFERROR(__xludf.DUMMYFUNCTION("GOOGLETRANSLATE(B61, ""en"", ""hi"")"),"किस भारतीय राज्य ने पहली बार दक्षिण एशियाई कैरम चैम्पियनशिप की मेजबानी की?")</f>
        <v>किस भारतीय राज्य ने पहली बार दक्षिण एशियाई कैरम चैम्पियनशिप की मेजबानी की?</v>
      </c>
      <c r="H61" s="5" t="str">
        <f>IFERROR(__xludf.DUMMYFUNCTION("GOOGLETRANSLATE(C61, ""en"", ""hi"")"),"ए) तमिलनाडु, बी) महाराष्ट्र, सी) केरल, डी) गुजरात")</f>
        <v>ए) तमिलनाडु, बी) महाराष्ट्र, सी) केरल, डी) गुजरात</v>
      </c>
      <c r="I61" s="5" t="str">
        <f>IFERROR(__xludf.DUMMYFUNCTION("GOOGLETRANSLATE(D61, ""en"", ""hi"")"),"बी) महाराष्ट्र")</f>
        <v>बी) महाराष्ट्र</v>
      </c>
    </row>
    <row r="62" ht="22.5" customHeight="1">
      <c r="A62" s="3">
        <v>61.0</v>
      </c>
      <c r="B62" s="4" t="s">
        <v>7839</v>
      </c>
      <c r="C62" s="4" t="s">
        <v>7840</v>
      </c>
      <c r="D62" s="4" t="s">
        <v>7841</v>
      </c>
      <c r="F62" s="5" t="str">
        <f>IFERROR(__xludf.DUMMYFUNCTION("GOOGLETRANSLATE(A62, ""en"", ""hi"")"),"61")</f>
        <v>61</v>
      </c>
      <c r="G62" s="5" t="str">
        <f>IFERROR(__xludf.DUMMYFUNCTION("GOOGLETRANSLATE(B62, ""en"", ""hi"")"),"किस अंतर्राष्ट्रीय संगठन ने 2001 में कैरम को खेल के रूप में मान्यता दी?")</f>
        <v>किस अंतर्राष्ट्रीय संगठन ने 2001 में कैरम को खेल के रूप में मान्यता दी?</v>
      </c>
      <c r="H62" s="5" t="str">
        <f>IFERROR(__xludf.DUMMYFUNCTION("GOOGLETRANSLATE(C62, ""en"", ""hi"")"),"A) संयुक्त राष्ट्र, B) एशियाई ओलंपिक परिषद, C) राष्ट्रमंडल खेल महासंघ, D) फीफा")</f>
        <v>A) संयुक्त राष्ट्र, B) एशियाई ओलंपिक परिषद, C) राष्ट्रमंडल खेल महासंघ, D) फीफा</v>
      </c>
      <c r="I62" s="5" t="str">
        <f>IFERROR(__xludf.DUMMYFUNCTION("GOOGLETRANSLATE(D62, ""en"", ""hi"")"),"बी) एशियाई ओलंपिक परिषद")</f>
        <v>बी) एशियाई ओलंपिक परिषद</v>
      </c>
    </row>
    <row r="63" ht="22.5" customHeight="1">
      <c r="A63" s="3">
        <v>62.0</v>
      </c>
      <c r="B63" s="4" t="s">
        <v>7842</v>
      </c>
      <c r="C63" s="4" t="s">
        <v>7843</v>
      </c>
      <c r="D63" s="4" t="s">
        <v>6521</v>
      </c>
      <c r="F63" s="5" t="str">
        <f>IFERROR(__xludf.DUMMYFUNCTION("GOOGLETRANSLATE(A63, ""en"", ""hi"")"),"62")</f>
        <v>62</v>
      </c>
      <c r="G63" s="5" t="str">
        <f>IFERROR(__xludf.DUMMYFUNCTION("GOOGLETRANSLATE(B63, ""en"", ""hi"")"),"किस देश ने प्रथम कैरम एशिया कप की मेजबानी की?")</f>
        <v>किस देश ने प्रथम कैरम एशिया कप की मेजबानी की?</v>
      </c>
      <c r="H63" s="5" t="str">
        <f>IFERROR(__xludf.DUMMYFUNCTION("GOOGLETRANSLATE(C63, ""en"", ""hi"")"),"A) भारत, B) श्रीलंका, C) बांग्लादेश, D) मालदीव")</f>
        <v>A) भारत, B) श्रीलंका, C) बांग्लादेश, D) मालदीव</v>
      </c>
      <c r="I63" s="5" t="str">
        <f>IFERROR(__xludf.DUMMYFUNCTION("GOOGLETRANSLATE(D63, ""en"", ""hi"")"),"C) बांग्लादेश")</f>
        <v>C) बांग्लादेश</v>
      </c>
    </row>
    <row r="64" ht="22.5" customHeight="1">
      <c r="A64" s="3">
        <v>63.0</v>
      </c>
      <c r="B64" s="4" t="s">
        <v>7844</v>
      </c>
      <c r="C64" s="4" t="s">
        <v>7845</v>
      </c>
      <c r="D64" s="4" t="s">
        <v>7846</v>
      </c>
      <c r="F64" s="5" t="str">
        <f>IFERROR(__xludf.DUMMYFUNCTION("GOOGLETRANSLATE(A64, ""en"", ""hi"")"),"63")</f>
        <v>63</v>
      </c>
      <c r="G64" s="5" t="str">
        <f>IFERROR(__xludf.DUMMYFUNCTION("GOOGLETRANSLATE(B64, ""en"", ""hi"")"),"कैरम फेडरेशन ऑफ इंडिया आधिकारिक तौर पर कब पंजीकृत हुआ?")</f>
        <v>कैरम फेडरेशन ऑफ इंडिया आधिकारिक तौर पर कब पंजीकृत हुआ?</v>
      </c>
      <c r="H64" s="5" t="str">
        <f>IFERROR(__xludf.DUMMYFUNCTION("GOOGLETRANSLATE(C64, ""en"", ""hi"")"),"ए) 1956, बी) 1962, सी) 1968, डी) 1974")</f>
        <v>ए) 1956, बी) 1962, सी) 1968, डी) 1974</v>
      </c>
      <c r="I64" s="5" t="str">
        <f>IFERROR(__xludf.DUMMYFUNCTION("GOOGLETRANSLATE(D64, ""en"", ""hi"")"),"ए) 1956")</f>
        <v>ए) 1956</v>
      </c>
    </row>
    <row r="65" ht="22.5" customHeight="1">
      <c r="A65" s="3">
        <v>64.0</v>
      </c>
      <c r="B65" s="4" t="s">
        <v>7847</v>
      </c>
      <c r="C65" s="4" t="s">
        <v>7848</v>
      </c>
      <c r="D65" s="4" t="s">
        <v>953</v>
      </c>
      <c r="F65" s="5" t="str">
        <f>IFERROR(__xludf.DUMMYFUNCTION("GOOGLETRANSLATE(A65, ""en"", ""hi"")"),"64")</f>
        <v>64</v>
      </c>
      <c r="G65" s="5" t="str">
        <f>IFERROR(__xludf.DUMMYFUNCTION("GOOGLETRANSLATE(B65, ""en"", ""hi"")"),"कौन सा प्रसिद्ध भारतीय एथलीट शौक के तौर पर कैरम खेलने के लिए जाना जाता है?")</f>
        <v>कौन सा प्रसिद्ध भारतीय एथलीट शौक के तौर पर कैरम खेलने के लिए जाना जाता है?</v>
      </c>
      <c r="H65" s="5" t="str">
        <f>IFERROR(__xludf.DUMMYFUNCTION("GOOGLETRANSLATE(C65, ""en"", ""hi"")"),"ए) सचिन तेंदुलकर, बी) विश्वनाथन आनंद, सी) पी.टी. उषा, डी) मिल्खा सिंह")</f>
        <v>ए) सचिन तेंदुलकर, बी) विश्वनाथन आनंद, सी) पी.टी. उषा, डी) मिल्खा सिंह</v>
      </c>
      <c r="I65" s="5" t="str">
        <f>IFERROR(__xludf.DUMMYFUNCTION("GOOGLETRANSLATE(D65, ""en"", ""hi"")"),"B) विश्वनाथन आनंद")</f>
        <v>B) विश्वनाथन आनंद</v>
      </c>
    </row>
    <row r="66" ht="22.5" customHeight="1">
      <c r="A66" s="3">
        <v>65.0</v>
      </c>
      <c r="B66" s="4" t="s">
        <v>7849</v>
      </c>
      <c r="C66" s="4" t="s">
        <v>24</v>
      </c>
      <c r="D66" s="4" t="s">
        <v>7850</v>
      </c>
      <c r="F66" s="5" t="str">
        <f>IFERROR(__xludf.DUMMYFUNCTION("GOOGLETRANSLATE(A66, ""en"", ""hi"")"),"65")</f>
        <v>65</v>
      </c>
      <c r="G66" s="5" t="str">
        <f>IFERROR(__xludf.DUMMYFUNCTION("GOOGLETRANSLATE(B66, ""en"", ""hi"")"),"कैरम को भारत के राष्ट्रीय खेलों में किस वर्ष शामिल किया गया था?")</f>
        <v>कैरम को भारत के राष्ट्रीय खेलों में किस वर्ष शामिल किया गया था?</v>
      </c>
      <c r="H66" s="5" t="str">
        <f>IFERROR(__xludf.DUMMYFUNCTION("GOOGLETRANSLATE(C66, ""en"", ""hi"")"),"ए) 1980, बी) 1985, सी) 1990, डी) 1995")</f>
        <v>ए) 1980, बी) 1985, सी) 1990, डी) 1995</v>
      </c>
      <c r="I66" s="5" t="str">
        <f>IFERROR(__xludf.DUMMYFUNCTION("GOOGLETRANSLATE(D66, ""en"", ""hi"")"),"डी) 1995")</f>
        <v>डी) 1995</v>
      </c>
    </row>
    <row r="67" ht="22.5" customHeight="1">
      <c r="A67" s="3">
        <v>66.0</v>
      </c>
      <c r="B67" s="4" t="s">
        <v>7851</v>
      </c>
      <c r="C67" s="4" t="s">
        <v>7852</v>
      </c>
      <c r="D67" s="4" t="s">
        <v>7853</v>
      </c>
      <c r="F67" s="5" t="str">
        <f>IFERROR(__xludf.DUMMYFUNCTION("GOOGLETRANSLATE(A67, ""en"", ""hi"")"),"66")</f>
        <v>66</v>
      </c>
      <c r="G67" s="5" t="str">
        <f>IFERROR(__xludf.DUMMYFUNCTION("GOOGLETRANSLATE(B67, ""en"", ""hi"")"),"भारत में कैरम टूर्नामेंट का टेलीविजन पर प्रसारण किस दशक में शुरू हुआ?")</f>
        <v>भारत में कैरम टूर्नामेंट का टेलीविजन पर प्रसारण किस दशक में शुरू हुआ?</v>
      </c>
      <c r="H67" s="5" t="str">
        <f>IFERROR(__xludf.DUMMYFUNCTION("GOOGLETRANSLATE(C67, ""en"", ""hi"")"),"ए) 1980 का दशक, बी) 1990 का दशक, सी) 2000 का दशक, डी) 2010 का दशक")</f>
        <v>ए) 1980 का दशक, बी) 1990 का दशक, सी) 2000 का दशक, डी) 2010 का दशक</v>
      </c>
      <c r="I67" s="5" t="str">
        <f>IFERROR(__xludf.DUMMYFUNCTION("GOOGLETRANSLATE(D67, ""en"", ""hi"")"),"बी) 1990 के दशक")</f>
        <v>बी) 1990 के दशक</v>
      </c>
    </row>
    <row r="68" ht="22.5" customHeight="1">
      <c r="A68" s="3">
        <v>67.0</v>
      </c>
      <c r="B68" s="4" t="s">
        <v>7854</v>
      </c>
      <c r="C68" s="4" t="s">
        <v>54</v>
      </c>
      <c r="D68" s="4" t="s">
        <v>55</v>
      </c>
      <c r="F68" s="5" t="str">
        <f>IFERROR(__xludf.DUMMYFUNCTION("GOOGLETRANSLATE(A68, ""en"", ""hi"")"),"67")</f>
        <v>67</v>
      </c>
      <c r="G68" s="5" t="str">
        <f>IFERROR(__xludf.DUMMYFUNCTION("GOOGLETRANSLATE(B68, ""en"", ""hi"")"),"कैरम विश्व चैम्पियनशिप किस दशक में शुरू हुई?")</f>
        <v>कैरम विश्व चैम्पियनशिप किस दशक में शुरू हुई?</v>
      </c>
      <c r="H68" s="5" t="str">
        <f>IFERROR(__xludf.DUMMYFUNCTION("GOOGLETRANSLATE(C68, ""en"", ""hi"")"),"ए) 1970 का दशक, बी) 1980 का दशक, सी) 1990 का दशक, डी) 2000 का दशक")</f>
        <v>ए) 1970 का दशक, बी) 1980 का दशक, सी) 1990 का दशक, डी) 2000 का दशक</v>
      </c>
      <c r="I68" s="5" t="str">
        <f>IFERROR(__xludf.DUMMYFUNCTION("GOOGLETRANSLATE(D68, ""en"", ""hi"")"),"सी) 1990 के दशक")</f>
        <v>सी) 1990 के दशक</v>
      </c>
    </row>
    <row r="69" ht="22.5" customHeight="1">
      <c r="A69" s="3">
        <v>68.0</v>
      </c>
      <c r="B69" s="4" t="s">
        <v>7855</v>
      </c>
      <c r="C69" s="4" t="s">
        <v>7856</v>
      </c>
      <c r="D69" s="4" t="s">
        <v>5227</v>
      </c>
      <c r="F69" s="5" t="str">
        <f>IFERROR(__xludf.DUMMYFUNCTION("GOOGLETRANSLATE(A69, ""en"", ""hi"")"),"68")</f>
        <v>68</v>
      </c>
      <c r="G69" s="5" t="str">
        <f>IFERROR(__xludf.DUMMYFUNCTION("GOOGLETRANSLATE(B69, ""en"", ""hi"")"),"एशिया के बाहर पहली कैरम विश्व चैम्पियनशिप किस वर्ष आयोजित हुई थी?")</f>
        <v>एशिया के बाहर पहली कैरम विश्व चैम्पियनशिप किस वर्ष आयोजित हुई थी?</v>
      </c>
      <c r="H69" s="5" t="str">
        <f>IFERROR(__xludf.DUMMYFUNCTION("GOOGLETRANSLATE(C69, ""en"", ""hi"")"),"ए) 1994, बी) 1998, सी) 2000, डी) 2004")</f>
        <v>ए) 1994, बी) 1998, सी) 2000, डी) 2004</v>
      </c>
      <c r="I69" s="5" t="str">
        <f>IFERROR(__xludf.DUMMYFUNCTION("GOOGLETRANSLATE(D69, ""en"", ""hi"")"),"सी) 2000")</f>
        <v>सी) 2000</v>
      </c>
    </row>
    <row r="70" ht="22.5" customHeight="1">
      <c r="A70" s="3">
        <v>69.0</v>
      </c>
      <c r="B70" s="4" t="s">
        <v>7857</v>
      </c>
      <c r="C70" s="4" t="s">
        <v>7789</v>
      </c>
      <c r="D70" s="4" t="s">
        <v>7790</v>
      </c>
      <c r="F70" s="5" t="str">
        <f>IFERROR(__xludf.DUMMYFUNCTION("GOOGLETRANSLATE(A70, ""en"", ""hi"")"),"69")</f>
        <v>69</v>
      </c>
      <c r="G70" s="5" t="str">
        <f>IFERROR(__xludf.DUMMYFUNCTION("GOOGLETRANSLATE(B70, ""en"", ""hi"")"),"कैरम विश्व चैम्पियनशिप दो बार जीतने वाले पहले भारतीय खिलाड़ी कौन थे?")</f>
        <v>कैरम विश्व चैम्पियनशिप दो बार जीतने वाले पहले भारतीय खिलाड़ी कौन थे?</v>
      </c>
      <c r="H70" s="5" t="str">
        <f>IFERROR(__xludf.DUMMYFUNCTION("GOOGLETRANSLATE(C70, ""en"", ""hi"")"),"ए) मारिया इरुदयम, बी) योगेश परदेशी, सी) रश्मी कुमारी, डी) के श्रीनिवास")</f>
        <v>ए) मारिया इरुदयम, बी) योगेश परदेशी, सी) रश्मी कुमारी, डी) के श्रीनिवास</v>
      </c>
      <c r="I70" s="5" t="str">
        <f>IFERROR(__xludf.DUMMYFUNCTION("GOOGLETRANSLATE(D70, ""en"", ""hi"")"),"A) मारिया इरुदयम")</f>
        <v>A) मारिया इरुदयम</v>
      </c>
    </row>
    <row r="71" ht="22.5" customHeight="1">
      <c r="A71" s="3">
        <v>70.0</v>
      </c>
      <c r="B71" s="4" t="s">
        <v>7858</v>
      </c>
      <c r="C71" s="4" t="s">
        <v>7859</v>
      </c>
      <c r="D71" s="4" t="s">
        <v>225</v>
      </c>
      <c r="F71" s="5" t="str">
        <f>IFERROR(__xludf.DUMMYFUNCTION("GOOGLETRANSLATE(A71, ""en"", ""hi"")"),"70")</f>
        <v>70</v>
      </c>
      <c r="G71" s="5" t="str">
        <f>IFERROR(__xludf.DUMMYFUNCTION("GOOGLETRANSLATE(B71, ""en"", ""hi"")"),"एशियाई इंडोर खेलों में कैरम को किस वर्ष शामिल किया गया?")</f>
        <v>एशियाई इंडोर खेलों में कैरम को किस वर्ष शामिल किया गया?</v>
      </c>
      <c r="H71" s="5" t="str">
        <f>IFERROR(__xludf.DUMMYFUNCTION("GOOGLETRANSLATE(C71, ""en"", ""hi"")"),"ए) 2003, बी) 2007, सी) 2011, डी) 2015")</f>
        <v>ए) 2003, बी) 2007, सी) 2011, डी) 2015</v>
      </c>
      <c r="I71" s="5" t="str">
        <f>IFERROR(__xludf.DUMMYFUNCTION("GOOGLETRANSLATE(D71, ""en"", ""hi"")"),"बी) 2007")</f>
        <v>बी) 2007</v>
      </c>
    </row>
    <row r="72" ht="22.5" customHeight="1">
      <c r="A72" s="3">
        <v>71.0</v>
      </c>
      <c r="B72" s="4" t="s">
        <v>7860</v>
      </c>
      <c r="C72" s="4" t="s">
        <v>70</v>
      </c>
      <c r="D72" s="4" t="s">
        <v>71</v>
      </c>
      <c r="F72" s="5" t="str">
        <f>IFERROR(__xludf.DUMMYFUNCTION("GOOGLETRANSLATE(A72, ""en"", ""hi"")"),"71")</f>
        <v>71</v>
      </c>
      <c r="G72" s="5" t="str">
        <f>IFERROR(__xludf.DUMMYFUNCTION("GOOGLETRANSLATE(B72, ""en"", ""hi"")"),"दृष्टिबाधित खिलाड़ियों के लिए पहली कैरम चैम्पियनशिप किस वर्ष आयोजित की गई थी?")</f>
        <v>दृष्टिबाधित खिलाड़ियों के लिए पहली कैरम चैम्पियनशिप किस वर्ष आयोजित की गई थी?</v>
      </c>
      <c r="H72" s="5" t="str">
        <f>IFERROR(__xludf.DUMMYFUNCTION("GOOGLETRANSLATE(C72, ""en"", ""hi"")"),"ए) 2008, बी) 2010, सी) 2012, डी) 2014")</f>
        <v>ए) 2008, बी) 2010, सी) 2012, डी) 2014</v>
      </c>
      <c r="I72" s="5" t="str">
        <f>IFERROR(__xludf.DUMMYFUNCTION("GOOGLETRANSLATE(D72, ""en"", ""hi"")"),"बी) 2010")</f>
        <v>बी) 2010</v>
      </c>
    </row>
    <row r="73" ht="22.5" customHeight="1">
      <c r="A73" s="3">
        <v>72.0</v>
      </c>
      <c r="B73" s="4" t="s">
        <v>7861</v>
      </c>
      <c r="C73" s="4" t="s">
        <v>7862</v>
      </c>
      <c r="D73" s="4" t="s">
        <v>7863</v>
      </c>
      <c r="F73" s="5" t="str">
        <f>IFERROR(__xludf.DUMMYFUNCTION("GOOGLETRANSLATE(A73, ""en"", ""hi"")"),"72")</f>
        <v>72</v>
      </c>
      <c r="G73" s="5" t="str">
        <f>IFERROR(__xludf.DUMMYFUNCTION("GOOGLETRANSLATE(B73, ""en"", ""hi"")"),"किस प्रसिद्ध भारतीय क्रिकेटर को विभिन्न अभियानों में कैरम का प्रचार करते देखा गया है?")</f>
        <v>किस प्रसिद्ध भारतीय क्रिकेटर को विभिन्न अभियानों में कैरम का प्रचार करते देखा गया है?</v>
      </c>
      <c r="H73" s="5" t="str">
        <f>IFERROR(__xludf.DUMMYFUNCTION("GOOGLETRANSLATE(C73, ""en"", ""hi"")"),"A) विराट कोहली, B) एम.एस. धोनी, C) रोहित शर्मा, D) कपिल देव")</f>
        <v>A) विराट कोहली, B) एम.एस. धोनी, C) रोहित शर्मा, D) कपिल देव</v>
      </c>
      <c r="I73" s="5" t="str">
        <f>IFERROR(__xludf.DUMMYFUNCTION("GOOGLETRANSLATE(D73, ""en"", ""hi"")"),"बी) एम.एस. धोनी")</f>
        <v>बी) एम.एस. धोनी</v>
      </c>
    </row>
    <row r="74" ht="22.5" customHeight="1">
      <c r="A74" s="3">
        <v>73.0</v>
      </c>
      <c r="B74" s="4" t="s">
        <v>7864</v>
      </c>
      <c r="C74" s="4" t="s">
        <v>7865</v>
      </c>
      <c r="D74" s="4" t="s">
        <v>7866</v>
      </c>
      <c r="F74" s="5" t="str">
        <f>IFERROR(__xludf.DUMMYFUNCTION("GOOGLETRANSLATE(A74, ""en"", ""hi"")"),"73")</f>
        <v>73</v>
      </c>
      <c r="G74" s="5" t="str">
        <f>IFERROR(__xludf.DUMMYFUNCTION("GOOGLETRANSLATE(B74, ""en"", ""hi"")"),"1980 के दशक में कैरम को लोकप्रिय बनाने में किस प्रसिद्ध भारतीय अभिनेता ने मदद की?")</f>
        <v>1980 के दशक में कैरम को लोकप्रिय बनाने में किस प्रसिद्ध भारतीय अभिनेता ने मदद की?</v>
      </c>
      <c r="H74" s="5" t="str">
        <f>IFERROR(__xludf.DUMMYFUNCTION("GOOGLETRANSLATE(C74, ""en"", ""hi"")"),"ए) रजनीकांत, बी) अमिताभ बच्चन, सी) अनिल कपूर, डी) धर्मेंद्र")</f>
        <v>ए) रजनीकांत, बी) अमिताभ बच्चन, सी) अनिल कपूर, डी) धर्मेंद्र</v>
      </c>
      <c r="I74" s="5" t="str">
        <f>IFERROR(__xludf.DUMMYFUNCTION("GOOGLETRANSLATE(D74, ""en"", ""hi"")"),"B) अमिताभ बच्चन")</f>
        <v>B) अमिताभ बच्चन</v>
      </c>
    </row>
    <row r="75" ht="22.5" customHeight="1">
      <c r="A75" s="3">
        <v>74.0</v>
      </c>
      <c r="B75" s="4" t="s">
        <v>7867</v>
      </c>
      <c r="C75" s="4" t="s">
        <v>7868</v>
      </c>
      <c r="D75" s="4" t="s">
        <v>6521</v>
      </c>
      <c r="F75" s="5" t="str">
        <f>IFERROR(__xludf.DUMMYFUNCTION("GOOGLETRANSLATE(A75, ""en"", ""hi"")"),"74")</f>
        <v>74</v>
      </c>
      <c r="G75" s="5" t="str">
        <f>IFERROR(__xludf.DUMMYFUNCTION("GOOGLETRANSLATE(B75, ""en"", ""hi"")"),"किस एशियाई देश ने अपने राष्ट्रीय स्कूल खेल पाठ्यक्रम में कैरम को शामिल किया?")</f>
        <v>किस एशियाई देश ने अपने राष्ट्रीय स्कूल खेल पाठ्यक्रम में कैरम को शामिल किया?</v>
      </c>
      <c r="H75" s="5" t="str">
        <f>IFERROR(__xludf.DUMMYFUNCTION("GOOGLETRANSLATE(C75, ""en"", ""hi"")"),"A) नेपाल, B) भूटान, C) बांग्लादेश, D) श्रीलंका")</f>
        <v>A) नेपाल, B) भूटान, C) बांग्लादेश, D) श्रीलंका</v>
      </c>
      <c r="I75" s="5" t="str">
        <f>IFERROR(__xludf.DUMMYFUNCTION("GOOGLETRANSLATE(D75, ""en"", ""hi"")"),"C) बांग्लादेश")</f>
        <v>C) बांग्लादेश</v>
      </c>
    </row>
    <row r="76" ht="22.5" customHeight="1">
      <c r="A76" s="3">
        <v>75.0</v>
      </c>
      <c r="B76" s="4" t="s">
        <v>7869</v>
      </c>
      <c r="C76" s="4" t="s">
        <v>7870</v>
      </c>
      <c r="D76" s="4" t="s">
        <v>7871</v>
      </c>
      <c r="F76" s="5" t="str">
        <f>IFERROR(__xludf.DUMMYFUNCTION("GOOGLETRANSLATE(A76, ""en"", ""hi"")"),"75")</f>
        <v>75</v>
      </c>
      <c r="G76" s="5" t="str">
        <f>IFERROR(__xludf.DUMMYFUNCTION("GOOGLETRANSLATE(B76, ""en"", ""hi"")"),"अंतर्राष्ट्रीय कैरम टूर्नामेंट के आयोजन के लिए कौन सा संगठन जिम्मेदार है?")</f>
        <v>अंतर्राष्ट्रीय कैरम टूर्नामेंट के आयोजन के लिए कौन सा संगठन जिम्मेदार है?</v>
      </c>
      <c r="H76" s="5" t="str">
        <f>IFERROR(__xludf.DUMMYFUNCTION("GOOGLETRANSLATE(C76, ""en"", ""hi"")"),"A) विश्व कैरम महासंघ, B) अंतर्राष्ट्रीय कैरम संघ, C) कैरम इंटरनेशनल, D) ग्लोबल कैरम लीग")</f>
        <v>A) विश्व कैरम महासंघ, B) अंतर्राष्ट्रीय कैरम संघ, C) कैरम इंटरनेशनल, D) ग्लोबल कैरम लीग</v>
      </c>
      <c r="I76" s="5" t="str">
        <f>IFERROR(__xludf.DUMMYFUNCTION("GOOGLETRANSLATE(D76, ""en"", ""hi"")"),"A) विश्व कैरम महासंघ")</f>
        <v>A) विश्व कैरम महासंघ</v>
      </c>
    </row>
    <row r="77" ht="22.5" customHeight="1">
      <c r="A77" s="3">
        <v>76.0</v>
      </c>
      <c r="B77" s="4" t="s">
        <v>7872</v>
      </c>
      <c r="C77" s="4" t="s">
        <v>24</v>
      </c>
      <c r="D77" s="4" t="s">
        <v>25</v>
      </c>
      <c r="F77" s="5" t="str">
        <f>IFERROR(__xludf.DUMMYFUNCTION("GOOGLETRANSLATE(A77, ""en"", ""hi"")"),"76")</f>
        <v>76</v>
      </c>
      <c r="G77" s="5" t="str">
        <f>IFERROR(__xludf.DUMMYFUNCTION("GOOGLETRANSLATE(B77, ""en"", ""hi"")"),"भारतीय कैरम महासंघ भारतीय ओलंपिक संघ से कब संबद्ध हुआ?")</f>
        <v>भारतीय कैरम महासंघ भारतीय ओलंपिक संघ से कब संबद्ध हुआ?</v>
      </c>
      <c r="H77" s="5" t="str">
        <f>IFERROR(__xludf.DUMMYFUNCTION("GOOGLETRANSLATE(C77, ""en"", ""hi"")"),"ए) 1980, बी) 1985, सी) 1990, डी) 1995")</f>
        <v>ए) 1980, बी) 1985, सी) 1990, डी) 1995</v>
      </c>
      <c r="I77" s="5" t="str">
        <f>IFERROR(__xludf.DUMMYFUNCTION("GOOGLETRANSLATE(D77, ""en"", ""hi"")"),"बी) 1985")</f>
        <v>बी) 1985</v>
      </c>
    </row>
    <row r="78" ht="22.5" customHeight="1">
      <c r="A78" s="3">
        <v>77.0</v>
      </c>
      <c r="B78" s="4" t="s">
        <v>7873</v>
      </c>
      <c r="C78" s="4" t="s">
        <v>7874</v>
      </c>
      <c r="D78" s="4" t="s">
        <v>6551</v>
      </c>
      <c r="F78" s="5" t="str">
        <f>IFERROR(__xludf.DUMMYFUNCTION("GOOGLETRANSLATE(A78, ""en"", ""hi"")"),"77")</f>
        <v>77</v>
      </c>
      <c r="G78" s="5" t="str">
        <f>IFERROR(__xludf.DUMMYFUNCTION("GOOGLETRANSLATE(B78, ""en"", ""hi"")"),"ऑस्ट्रेलिया में पहला कैरम टूर्नामेंट किस वर्ष आयोजित किया गया था?")</f>
        <v>ऑस्ट्रेलिया में पहला कैरम टूर्नामेंट किस वर्ष आयोजित किया गया था?</v>
      </c>
      <c r="H78" s="5" t="str">
        <f>IFERROR(__xludf.DUMMYFUNCTION("GOOGLETRANSLATE(C78, ""en"", ""hi"")"),"ए) 2000, बी) 2004, सी) 2008, डी) 2012")</f>
        <v>ए) 2000, बी) 2004, सी) 2008, डी) 2012</v>
      </c>
      <c r="I78" s="5" t="str">
        <f>IFERROR(__xludf.DUMMYFUNCTION("GOOGLETRANSLATE(D78, ""en"", ""hi"")"),"बी) 2004")</f>
        <v>बी) 2004</v>
      </c>
    </row>
    <row r="79" ht="22.5" customHeight="1">
      <c r="A79" s="3">
        <v>78.0</v>
      </c>
      <c r="B79" s="4" t="s">
        <v>7875</v>
      </c>
      <c r="C79" s="4" t="s">
        <v>7852</v>
      </c>
      <c r="D79" s="4" t="s">
        <v>7876</v>
      </c>
      <c r="F79" s="5" t="str">
        <f>IFERROR(__xludf.DUMMYFUNCTION("GOOGLETRANSLATE(A79, ""en"", ""hi"")"),"78")</f>
        <v>78</v>
      </c>
      <c r="G79" s="5" t="str">
        <f>IFERROR(__xludf.DUMMYFUNCTION("GOOGLETRANSLATE(B79, ""en"", ""hi"")"),"डिजिटल कैरम खेल की शुरुआत किस दशक में हुई?")</f>
        <v>डिजिटल कैरम खेल की शुरुआत किस दशक में हुई?</v>
      </c>
      <c r="H79" s="5" t="str">
        <f>IFERROR(__xludf.DUMMYFUNCTION("GOOGLETRANSLATE(C79, ""en"", ""hi"")"),"ए) 1980 का दशक, बी) 1990 का दशक, सी) 2000 का दशक, डी) 2010 का दशक")</f>
        <v>ए) 1980 का दशक, बी) 1990 का दशक, सी) 2000 का दशक, डी) 2010 का दशक</v>
      </c>
      <c r="I79" s="5" t="str">
        <f>IFERROR(__xludf.DUMMYFUNCTION("GOOGLETRANSLATE(D79, ""en"", ""hi"")"),"सी) 2000 के दशक")</f>
        <v>सी) 2000 के दशक</v>
      </c>
    </row>
    <row r="80" ht="22.5" customHeight="1">
      <c r="A80" s="3">
        <v>79.0</v>
      </c>
      <c r="B80" s="4" t="s">
        <v>7877</v>
      </c>
      <c r="C80" s="4" t="s">
        <v>7878</v>
      </c>
      <c r="D80" s="4" t="s">
        <v>25</v>
      </c>
      <c r="F80" s="5" t="str">
        <f>IFERROR(__xludf.DUMMYFUNCTION("GOOGLETRANSLATE(A80, ""en"", ""hi"")"),"79")</f>
        <v>79</v>
      </c>
      <c r="G80" s="5" t="str">
        <f>IFERROR(__xludf.DUMMYFUNCTION("GOOGLETRANSLATE(B80, ""en"", ""hi"")"),"प्लास्टिक से बने कैरम सिक्के किस वर्ष से प्रतियोगिताओं में मानक बन गए?")</f>
        <v>प्लास्टिक से बने कैरम सिक्के किस वर्ष से प्रतियोगिताओं में मानक बन गए?</v>
      </c>
      <c r="H80" s="5" t="str">
        <f>IFERROR(__xludf.DUMMYFUNCTION("GOOGLETRANSLATE(C80, ""en"", ""hi"")"),"ए) 1975, बी) 1985, सी) 1995, डी) 2005")</f>
        <v>ए) 1975, बी) 1985, सी) 1995, डी) 2005</v>
      </c>
      <c r="I80" s="5" t="str">
        <f>IFERROR(__xludf.DUMMYFUNCTION("GOOGLETRANSLATE(D80, ""en"", ""hi"")"),"बी) 1985")</f>
        <v>बी) 1985</v>
      </c>
    </row>
    <row r="81" ht="22.5" customHeight="1">
      <c r="A81" s="3">
        <v>80.0</v>
      </c>
      <c r="B81" s="4" t="s">
        <v>7879</v>
      </c>
      <c r="C81" s="4" t="s">
        <v>7880</v>
      </c>
      <c r="D81" s="4" t="s">
        <v>7881</v>
      </c>
      <c r="F81" s="5" t="str">
        <f>IFERROR(__xludf.DUMMYFUNCTION("GOOGLETRANSLATE(A81, ""en"", ""hi"")"),"80")</f>
        <v>80</v>
      </c>
      <c r="G81" s="5" t="str">
        <f>IFERROR(__xludf.DUMMYFUNCTION("GOOGLETRANSLATE(B81, ""en"", ""hi"")"),"दक्षिण अमेरिका में पहला कैरम टूर्नामेंट किस देश ने आयोजित किया था?")</f>
        <v>दक्षिण अमेरिका में पहला कैरम टूर्नामेंट किस देश ने आयोजित किया था?</v>
      </c>
      <c r="H81" s="5" t="str">
        <f>IFERROR(__xludf.DUMMYFUNCTION("GOOGLETRANSLATE(C81, ""en"", ""hi"")"),"A) ब्राज़ील, B) अर्जेंटीना, C) चिली, D) पेरू")</f>
        <v>A) ब्राज़ील, B) अर्जेंटीना, C) चिली, D) पेरू</v>
      </c>
      <c r="I81" s="5" t="str">
        <f>IFERROR(__xludf.DUMMYFUNCTION("GOOGLETRANSLATE(D81, ""en"", ""hi"")"),"A) ब्राज़ील")</f>
        <v>A) ब्राज़ील</v>
      </c>
    </row>
    <row r="82" ht="22.5" customHeight="1">
      <c r="A82" s="3">
        <v>81.0</v>
      </c>
      <c r="B82" s="4" t="s">
        <v>7882</v>
      </c>
      <c r="C82" s="4" t="s">
        <v>5882</v>
      </c>
      <c r="D82" s="4" t="s">
        <v>5883</v>
      </c>
      <c r="F82" s="5" t="str">
        <f>IFERROR(__xludf.DUMMYFUNCTION("GOOGLETRANSLATE(A82, ""en"", ""hi"")"),"81")</f>
        <v>81</v>
      </c>
      <c r="G82" s="5" t="str">
        <f>IFERROR(__xludf.DUMMYFUNCTION("GOOGLETRANSLATE(B82, ""en"", ""hi"")"),"किस दशक में भारतीय कैरम महासंघ ने स्कूलों में इस खेल को बढ़ावा देना शुरू किया?")</f>
        <v>किस दशक में भारतीय कैरम महासंघ ने स्कूलों में इस खेल को बढ़ावा देना शुरू किया?</v>
      </c>
      <c r="H82" s="5" t="str">
        <f>IFERROR(__xludf.DUMMYFUNCTION("GOOGLETRANSLATE(C82, ""en"", ""hi"")"),"ए) 1950 का दशक, बी) 1960 का दशक, सी) 1970 का दशक, डी) 1980 का दशक")</f>
        <v>ए) 1950 का दशक, बी) 1960 का दशक, सी) 1970 का दशक, डी) 1980 का दशक</v>
      </c>
      <c r="I82" s="5" t="str">
        <f>IFERROR(__xludf.DUMMYFUNCTION("GOOGLETRANSLATE(D82, ""en"", ""hi"")"),"सी) 1970 के दशक")</f>
        <v>सी) 1970 के दशक</v>
      </c>
    </row>
    <row r="83" ht="22.5" customHeight="1">
      <c r="A83" s="3">
        <v>82.0</v>
      </c>
      <c r="B83" s="4" t="s">
        <v>7883</v>
      </c>
      <c r="C83" s="4" t="s">
        <v>7884</v>
      </c>
      <c r="D83" s="4" t="s">
        <v>7885</v>
      </c>
      <c r="F83" s="5" t="str">
        <f>IFERROR(__xludf.DUMMYFUNCTION("GOOGLETRANSLATE(A83, ""en"", ""hi"")"),"82")</f>
        <v>82</v>
      </c>
      <c r="G83" s="5" t="str">
        <f>IFERROR(__xludf.DUMMYFUNCTION("GOOGLETRANSLATE(B83, ""en"", ""hi"")"),"20वीं सदी के प्रारंभ में कैरम बोर्ड बनाने के लिए आमतौर पर किस सामग्री का उपयोग किया जाता था?")</f>
        <v>20वीं सदी के प्रारंभ में कैरम बोर्ड बनाने के लिए आमतौर पर किस सामग्री का उपयोग किया जाता था?</v>
      </c>
      <c r="H83" s="5" t="str">
        <f>IFERROR(__xludf.DUMMYFUNCTION("GOOGLETRANSLATE(C83, ""en"", ""hi"")"),"A) सागौन, B) रोज़वुड, C) पाइनवुड, D) महोगनी")</f>
        <v>A) सागौन, B) रोज़वुड, C) पाइनवुड, D) महोगनी</v>
      </c>
      <c r="I83" s="5" t="str">
        <f>IFERROR(__xludf.DUMMYFUNCTION("GOOGLETRANSLATE(D83, ""en"", ""hi"")"),"A) सागौन की लकड़ी")</f>
        <v>A) सागौन की लकड़ी</v>
      </c>
    </row>
    <row r="84" ht="22.5" customHeight="1">
      <c r="A84" s="3">
        <v>83.0</v>
      </c>
      <c r="B84" s="4" t="s">
        <v>7886</v>
      </c>
      <c r="C84" s="4" t="s">
        <v>7887</v>
      </c>
      <c r="D84" s="4" t="s">
        <v>7888</v>
      </c>
      <c r="F84" s="5" t="str">
        <f>IFERROR(__xludf.DUMMYFUNCTION("GOOGLETRANSLATE(A84, ""en"", ""hi"")"),"83")</f>
        <v>83</v>
      </c>
      <c r="G84" s="5" t="str">
        <f>IFERROR(__xludf.DUMMYFUNCTION("GOOGLETRANSLATE(B84, ""en"", ""hi"")"),"कैरम चैंपियन के जीवन पर केंद्रित पहली कैरम फिल्म किस वर्ष रिलीज हुई थी?")</f>
        <v>कैरम चैंपियन के जीवन पर केंद्रित पहली कैरम फिल्म किस वर्ष रिलीज हुई थी?</v>
      </c>
      <c r="H84" s="5" t="str">
        <f>IFERROR(__xludf.DUMMYFUNCTION("GOOGLETRANSLATE(C84, ""en"", ""hi"")"),"ए) 2005, बी) 2009, सी) 2013, डी) 2017")</f>
        <v>ए) 2005, बी) 2009, सी) 2013, डी) 2017</v>
      </c>
      <c r="I84" s="5" t="str">
        <f>IFERROR(__xludf.DUMMYFUNCTION("GOOGLETRANSLATE(D84, ""en"", ""hi"")"),"बी) 2009")</f>
        <v>बी) 2009</v>
      </c>
    </row>
    <row r="85" ht="22.5" customHeight="1">
      <c r="A85" s="3">
        <v>84.0</v>
      </c>
      <c r="B85" s="4" t="s">
        <v>7889</v>
      </c>
      <c r="C85" s="4" t="s">
        <v>7890</v>
      </c>
      <c r="D85" s="4" t="s">
        <v>7891</v>
      </c>
      <c r="F85" s="5" t="str">
        <f>IFERROR(__xludf.DUMMYFUNCTION("GOOGLETRANSLATE(A85, ""en"", ""hi"")"),"84")</f>
        <v>84</v>
      </c>
      <c r="G85" s="5" t="str">
        <f>IFERROR(__xludf.DUMMYFUNCTION("GOOGLETRANSLATE(B85, ""en"", ""hi"")"),"विश्व कैरम महासंघ की स्थापना किस वर्ष हुई थी?")</f>
        <v>विश्व कैरम महासंघ की स्थापना किस वर्ष हुई थी?</v>
      </c>
      <c r="H85" s="5" t="str">
        <f>IFERROR(__xludf.DUMMYFUNCTION("GOOGLETRANSLATE(C85, ""en"", ""hi"")"),"ए) 1988, बी) 1990, सी) 1992, डी) 1994")</f>
        <v>ए) 1988, बी) 1990, सी) 1992, डी) 1994</v>
      </c>
      <c r="I85" s="5" t="str">
        <f>IFERROR(__xludf.DUMMYFUNCTION("GOOGLETRANSLATE(D85, ""en"", ""hi"")"),"ए) 1988")</f>
        <v>ए) 1988</v>
      </c>
    </row>
    <row r="86" ht="22.5" customHeight="1">
      <c r="A86" s="3">
        <v>85.0</v>
      </c>
      <c r="B86" s="4" t="s">
        <v>7892</v>
      </c>
      <c r="C86" s="4" t="s">
        <v>7893</v>
      </c>
      <c r="D86" s="4" t="s">
        <v>2002</v>
      </c>
      <c r="F86" s="5" t="str">
        <f>IFERROR(__xludf.DUMMYFUNCTION("GOOGLETRANSLATE(A86, ""en"", ""hi"")"),"85")</f>
        <v>85</v>
      </c>
      <c r="G86" s="5" t="str">
        <f>IFERROR(__xludf.DUMMYFUNCTION("GOOGLETRANSLATE(B86, ""en"", ""hi"")"),"राष्ट्रमंडल खेलों में पहली बार कैरम प्रदर्शनी किस वर्ष आयोजित की गई थी?")</f>
        <v>राष्ट्रमंडल खेलों में पहली बार कैरम प्रदर्शनी किस वर्ष आयोजित की गई थी?</v>
      </c>
      <c r="H86" s="5" t="str">
        <f>IFERROR(__xludf.DUMMYFUNCTION("GOOGLETRANSLATE(C86, ""en"", ""hi"")"),"ए) 2002, बी) 2006, सी) 2010, डी) 2014")</f>
        <v>ए) 2002, बी) 2006, सी) 2010, डी) 2014</v>
      </c>
      <c r="I86" s="5" t="str">
        <f>IFERROR(__xludf.DUMMYFUNCTION("GOOGLETRANSLATE(D86, ""en"", ""hi"")"),"सी) 2010")</f>
        <v>सी) 2010</v>
      </c>
    </row>
    <row r="87" ht="22.5" customHeight="1">
      <c r="A87" s="3">
        <v>86.0</v>
      </c>
      <c r="B87" s="4" t="s">
        <v>7894</v>
      </c>
      <c r="C87" s="4" t="s">
        <v>7895</v>
      </c>
      <c r="D87" s="4" t="s">
        <v>7896</v>
      </c>
      <c r="F87" s="5" t="str">
        <f>IFERROR(__xludf.DUMMYFUNCTION("GOOGLETRANSLATE(A87, ""en"", ""hi"")"),"86")</f>
        <v>86</v>
      </c>
      <c r="G87" s="5" t="str">
        <f>IFERROR(__xludf.DUMMYFUNCTION("GOOGLETRANSLATE(B87, ""en"", ""hi"")"),"विश्व कैरम चैम्पियनशिप कितने वर्ष में आयोजित की जाती है?")</f>
        <v>विश्व कैरम चैम्पियनशिप कितने वर्ष में आयोजित की जाती है?</v>
      </c>
      <c r="H87" s="5" t="str">
        <f>IFERROR(__xludf.DUMMYFUNCTION("GOOGLETRANSLATE(C87, ""en"", ""hi"")"),"A) 2 वर्ष, B) 3 वर्ष, C) 4 वर्ष, D) 5 वर्ष")</f>
        <v>A) 2 वर्ष, B) 3 वर्ष, C) 4 वर्ष, D) 5 वर्ष</v>
      </c>
      <c r="I87" s="5" t="str">
        <f>IFERROR(__xludf.DUMMYFUNCTION("GOOGLETRANSLATE(D87, ""en"", ""hi"")"),"सी) 4 वर्ष")</f>
        <v>सी) 4 वर्ष</v>
      </c>
    </row>
    <row r="88" ht="22.5" customHeight="1">
      <c r="A88" s="3">
        <v>87.0</v>
      </c>
      <c r="B88" s="4" t="s">
        <v>7897</v>
      </c>
      <c r="C88" s="4" t="s">
        <v>7898</v>
      </c>
      <c r="D88" s="4" t="s">
        <v>7899</v>
      </c>
      <c r="F88" s="5" t="str">
        <f>IFERROR(__xludf.DUMMYFUNCTION("GOOGLETRANSLATE(A88, ""en"", ""hi"")"),"87")</f>
        <v>87</v>
      </c>
      <c r="G88" s="5" t="str">
        <f>IFERROR(__xludf.DUMMYFUNCTION("GOOGLETRANSLATE(B88, ""en"", ""hi"")"),"कैरम फेडरेशन ऑफ इंडिया की स्थापना किस कानून के तहत की गई थी?")</f>
        <v>कैरम फेडरेशन ऑफ इंडिया की स्थापना किस कानून के तहत की गई थी?</v>
      </c>
      <c r="H88" s="5" t="str">
        <f>IFERROR(__xludf.DUMMYFUNCTION("GOOGLETRANSLATE(C88, ""en"", ""hi"")"),"A) कंपनी अधिनियम, B) सोसायटी पंजीकरण अधिनियम, C) खेल महासंघ अधिनियम, D) सार्वजनिक दान अधिनियम")</f>
        <v>A) कंपनी अधिनियम, B) सोसायटी पंजीकरण अधिनियम, C) खेल महासंघ अधिनियम, D) सार्वजनिक दान अधिनियम</v>
      </c>
      <c r="I88" s="5" t="str">
        <f>IFERROR(__xludf.DUMMYFUNCTION("GOOGLETRANSLATE(D88, ""en"", ""hi"")"),"बी) सोसायटी पंजीकरण अधिनियम")</f>
        <v>बी) सोसायटी पंजीकरण अधिनियम</v>
      </c>
    </row>
    <row r="89" ht="22.5" customHeight="1">
      <c r="A89" s="3">
        <v>88.0</v>
      </c>
      <c r="B89" s="4" t="s">
        <v>7900</v>
      </c>
      <c r="C89" s="4" t="s">
        <v>7901</v>
      </c>
      <c r="D89" s="4" t="s">
        <v>7902</v>
      </c>
      <c r="F89" s="5" t="str">
        <f>IFERROR(__xludf.DUMMYFUNCTION("GOOGLETRANSLATE(A89, ""en"", ""hi"")"),"88")</f>
        <v>88</v>
      </c>
      <c r="G89" s="5" t="str">
        <f>IFERROR(__xludf.DUMMYFUNCTION("GOOGLETRANSLATE(B89, ""en"", ""hi"")"),"दक्षिण एशियाई खेलों में कैरम को किस वर्ष शामिल किया गया था?")</f>
        <v>दक्षिण एशियाई खेलों में कैरम को किस वर्ष शामिल किया गया था?</v>
      </c>
      <c r="H89" s="5" t="str">
        <f>IFERROR(__xludf.DUMMYFUNCTION("GOOGLETRANSLATE(C89, ""en"", ""hi"")"),"ए) 2004, बी) 2008, सी) 2012, डी) 2016")</f>
        <v>ए) 2004, बी) 2008, सी) 2012, डी) 2016</v>
      </c>
      <c r="I89" s="5" t="str">
        <f>IFERROR(__xludf.DUMMYFUNCTION("GOOGLETRANSLATE(D89, ""en"", ""hi"")"),"ए) 2004")</f>
        <v>ए) 2004</v>
      </c>
    </row>
    <row r="90" ht="22.5" customHeight="1">
      <c r="A90" s="3">
        <v>89.0</v>
      </c>
      <c r="B90" s="4" t="s">
        <v>7903</v>
      </c>
      <c r="C90" s="4" t="s">
        <v>7904</v>
      </c>
      <c r="D90" s="4" t="s">
        <v>7905</v>
      </c>
      <c r="F90" s="5" t="str">
        <f>IFERROR(__xludf.DUMMYFUNCTION("GOOGLETRANSLATE(A90, ""en"", ""hi"")"),"89")</f>
        <v>89</v>
      </c>
      <c r="G90" s="5" t="str">
        <f>IFERROR(__xludf.DUMMYFUNCTION("GOOGLETRANSLATE(B90, ""en"", ""hi"")"),"कैरम पहली बार भारतीय उपमहाद्वीप के किस क्षेत्र में खेला गया था?")</f>
        <v>कैरम पहली बार भारतीय उपमहाद्वीप के किस क्षेत्र में खेला गया था?</v>
      </c>
      <c r="H90" s="5" t="str">
        <f>IFERROR(__xludf.DUMMYFUNCTION("GOOGLETRANSLATE(C90, ""en"", ""hi"")"),"A) उत्तरी भारत, B) दक्षिणी भारत, C) पश्चिमी भारत, D) पूर्वी भारत")</f>
        <v>A) उत्तरी भारत, B) दक्षिणी भारत, C) पश्चिमी भारत, D) पूर्वी भारत</v>
      </c>
      <c r="I90" s="5" t="str">
        <f>IFERROR(__xludf.DUMMYFUNCTION("GOOGLETRANSLATE(D90, ""en"", ""hi"")"),"बी) दक्षिणी भारत")</f>
        <v>बी) दक्षिणी भारत</v>
      </c>
    </row>
    <row r="91" ht="22.5" customHeight="1">
      <c r="A91" s="3">
        <v>90.0</v>
      </c>
      <c r="B91" s="4" t="s">
        <v>7906</v>
      </c>
      <c r="C91" s="4" t="s">
        <v>7907</v>
      </c>
      <c r="D91" s="4" t="s">
        <v>7908</v>
      </c>
      <c r="F91" s="5" t="str">
        <f>IFERROR(__xludf.DUMMYFUNCTION("GOOGLETRANSLATE(A91, ""en"", ""hi"")"),"90")</f>
        <v>90</v>
      </c>
      <c r="G91" s="5" t="str">
        <f>IFERROR(__xludf.DUMMYFUNCTION("GOOGLETRANSLATE(B91, ""en"", ""hi"")"),"ऐसा कहा जाता है कि किस भारतीय राजा ने कीमती पत्थरों से बोर्ड बनाकर कैरम को लोकप्रिय बनाया था?")</f>
        <v>ऐसा कहा जाता है कि किस भारतीय राजा ने कीमती पत्थरों से बोर्ड बनाकर कैरम को लोकप्रिय बनाया था?</v>
      </c>
      <c r="H91" s="5" t="str">
        <f>IFERROR(__xludf.DUMMYFUNCTION("GOOGLETRANSLATE(C91, ""en"", ""hi"")"),"ए) टीपू सुल्तान, बी) राजा राजा चोल, सी) त्रावणकोर के महाराजा, डी) अकबर")</f>
        <v>ए) टीपू सुल्तान, बी) राजा राजा चोल, सी) त्रावणकोर के महाराजा, डी) अकबर</v>
      </c>
      <c r="I91" s="5" t="str">
        <f>IFERROR(__xludf.DUMMYFUNCTION("GOOGLETRANSLATE(D91, ""en"", ""hi"")"),"C) त्रावणकोर के महाराजा")</f>
        <v>C) त्रावणकोर के महाराजा</v>
      </c>
    </row>
    <row r="92" ht="22.5" customHeight="1">
      <c r="A92" s="3">
        <v>91.0</v>
      </c>
      <c r="B92" s="4" t="s">
        <v>7909</v>
      </c>
      <c r="C92" s="4" t="s">
        <v>7910</v>
      </c>
      <c r="D92" s="4" t="s">
        <v>7911</v>
      </c>
      <c r="F92" s="5" t="str">
        <f>IFERROR(__xludf.DUMMYFUNCTION("GOOGLETRANSLATE(A92, ""en"", ""hi"")"),"91")</f>
        <v>91</v>
      </c>
      <c r="G92" s="5" t="str">
        <f>IFERROR(__xludf.DUMMYFUNCTION("GOOGLETRANSLATE(B92, ""en"", ""hi"")"),"ऐसा माना जाता है कि कैरम की उत्पत्ति किस शताब्दी में हुई थी?")</f>
        <v>ऐसा माना जाता है कि कैरम की उत्पत्ति किस शताब्दी में हुई थी?</v>
      </c>
      <c r="H92" s="5" t="str">
        <f>IFERROR(__xludf.DUMMYFUNCTION("GOOGLETRANSLATE(C92, ""en"", ""hi"")"),"A) 15वीं शताब्दी, B) 16वीं शताब्दी, C) 17वीं शताब्दी, D) 18वीं शताब्दी")</f>
        <v>A) 15वीं शताब्दी, B) 16वीं शताब्दी, C) 17वीं शताब्दी, D) 18वीं शताब्दी</v>
      </c>
      <c r="I92" s="5" t="str">
        <f>IFERROR(__xludf.DUMMYFUNCTION("GOOGLETRANSLATE(D92, ""en"", ""hi"")"),"बी) 16वीं शताब्दी")</f>
        <v>बी) 16वीं शताब्दी</v>
      </c>
    </row>
    <row r="93" ht="22.5" customHeight="1">
      <c r="A93" s="3">
        <v>92.0</v>
      </c>
      <c r="B93" s="4" t="s">
        <v>7912</v>
      </c>
      <c r="C93" s="4" t="s">
        <v>7913</v>
      </c>
      <c r="D93" s="4" t="s">
        <v>7914</v>
      </c>
      <c r="F93" s="5" t="str">
        <f>IFERROR(__xludf.DUMMYFUNCTION("GOOGLETRANSLATE(A93, ""en"", ""hi"")"),"92")</f>
        <v>92</v>
      </c>
      <c r="G93" s="5" t="str">
        <f>IFERROR(__xludf.DUMMYFUNCTION("GOOGLETRANSLATE(B93, ""en"", ""hi"")"),"20वीं शताब्दी में कैरम भारत के किस शैक्षणिक संस्थान में मनोरंजन के रूप में लोकप्रिय हुआ?")</f>
        <v>20वीं शताब्दी में कैरम भारत के किस शैक्षणिक संस्थान में मनोरंजन के रूप में लोकप्रिय हुआ?</v>
      </c>
      <c r="H93" s="5" t="str">
        <f>IFERROR(__xludf.DUMMYFUNCTION("GOOGLETRANSLATE(C93, ""en"", ""hi"")"),"A) विश्वविद्यालय, B) स्कूल, C) तकनीकी संस्थान, D) खेल अकादमियाँ")</f>
        <v>A) विश्वविद्यालय, B) स्कूल, C) तकनीकी संस्थान, D) खेल अकादमियाँ</v>
      </c>
      <c r="I93" s="5" t="str">
        <f>IFERROR(__xludf.DUMMYFUNCTION("GOOGLETRANSLATE(D93, ""en"", ""hi"")"),"ए) विश्वविद्यालय")</f>
        <v>ए) विश्वविद्यालय</v>
      </c>
    </row>
    <row r="94" ht="22.5" customHeight="1">
      <c r="A94" s="3">
        <v>93.0</v>
      </c>
      <c r="B94" s="4" t="s">
        <v>7915</v>
      </c>
      <c r="C94" s="4" t="s">
        <v>7916</v>
      </c>
      <c r="D94" s="4" t="s">
        <v>7917</v>
      </c>
      <c r="F94" s="5" t="str">
        <f>IFERROR(__xludf.DUMMYFUNCTION("GOOGLETRANSLATE(A94, ""en"", ""hi"")"),"93")</f>
        <v>93</v>
      </c>
      <c r="G94" s="5" t="str">
        <f>IFERROR(__xludf.DUMMYFUNCTION("GOOGLETRANSLATE(B94, ""en"", ""hi"")"),"भारत में किस प्रसिद्ध ऐतिहासिक नेता को कैरम खेलने का शौक था?")</f>
        <v>भारत में किस प्रसिद्ध ऐतिहासिक नेता को कैरम खेलने का शौक था?</v>
      </c>
      <c r="H94" s="5" t="str">
        <f>IFERROR(__xludf.DUMMYFUNCTION("GOOGLETRANSLATE(C94, ""en"", ""hi"")"),"A) महात्मा गांधी, B) जवाहरलाल नेहरू, C) सरदार पटेल, D) सुभाष चंद्र बोस")</f>
        <v>A) महात्मा गांधी, B) जवाहरलाल नेहरू, C) सरदार पटेल, D) सुभाष चंद्र बोस</v>
      </c>
      <c r="I94" s="5" t="str">
        <f>IFERROR(__xludf.DUMMYFUNCTION("GOOGLETRANSLATE(D94, ""en"", ""hi"")"),"B) जवाहरलाल नेहरू")</f>
        <v>B) जवाहरलाल नेहरू</v>
      </c>
    </row>
    <row r="95" ht="22.5" customHeight="1">
      <c r="A95" s="3">
        <v>94.0</v>
      </c>
      <c r="B95" s="4" t="s">
        <v>7918</v>
      </c>
      <c r="C95" s="4" t="s">
        <v>7919</v>
      </c>
      <c r="D95" s="4" t="s">
        <v>7920</v>
      </c>
      <c r="F95" s="5" t="str">
        <f>IFERROR(__xludf.DUMMYFUNCTION("GOOGLETRANSLATE(A95, ""en"", ""hi"")"),"94")</f>
        <v>94</v>
      </c>
      <c r="G95" s="5" t="str">
        <f>IFERROR(__xludf.DUMMYFUNCTION("GOOGLETRANSLATE(B95, ""en"", ""hi"")"),"पहला कैरम बोर्ड कथित तौर पर किस सामग्री से तैयार किया गया था?")</f>
        <v>पहला कैरम बोर्ड कथित तौर पर किस सामग्री से तैयार किया गया था?</v>
      </c>
      <c r="H95" s="5" t="str">
        <f>IFERROR(__xludf.DUMMYFUNCTION("GOOGLETRANSLATE(C95, ""en"", ""hi"")"),"A) हाथी दांत, B) सागौन, C) संगमरमर, D) बलुआ पत्थर")</f>
        <v>A) हाथी दांत, B) सागौन, C) संगमरमर, D) बलुआ पत्थर</v>
      </c>
      <c r="I95" s="5" t="str">
        <f>IFERROR(__xludf.DUMMYFUNCTION("GOOGLETRANSLATE(D95, ""en"", ""hi"")"),"बी) सागौन की लकड़ी")</f>
        <v>बी) सागौन की लकड़ी</v>
      </c>
    </row>
    <row r="96" ht="22.5" customHeight="1">
      <c r="A96" s="3">
        <v>95.0</v>
      </c>
      <c r="B96" s="4" t="s">
        <v>7921</v>
      </c>
      <c r="C96" s="4" t="s">
        <v>7922</v>
      </c>
      <c r="D96" s="4" t="s">
        <v>5631</v>
      </c>
      <c r="F96" s="5" t="str">
        <f>IFERROR(__xludf.DUMMYFUNCTION("GOOGLETRANSLATE(A96, ""en"", ""hi"")"),"95")</f>
        <v>95</v>
      </c>
      <c r="G96" s="5" t="str">
        <f>IFERROR(__xludf.DUMMYFUNCTION("GOOGLETRANSLATE(B96, ""en"", ""hi"")"),"कैरम में उंगली हिलाने की तकनीक के विकास में योगदान देने के लिए कौन सा क्षेत्र जाना जाता है?")</f>
        <v>कैरम में उंगली हिलाने की तकनीक के विकास में योगदान देने के लिए कौन सा क्षेत्र जाना जाता है?</v>
      </c>
      <c r="H96" s="5" t="str">
        <f>IFERROR(__xludf.DUMMYFUNCTION("GOOGLETRANSLATE(C96, ""en"", ""hi"")"),"A) केरल, B) महाराष्ट्र, C) तमिलनाडु, D) पंजाब")</f>
        <v>A) केरल, B) महाराष्ट्र, C) तमिलनाडु, D) पंजाब</v>
      </c>
      <c r="I96" s="5" t="str">
        <f>IFERROR(__xludf.DUMMYFUNCTION("GOOGLETRANSLATE(D96, ""en"", ""hi"")"),"C) तमिलनाडु")</f>
        <v>C) तमिलनाडु</v>
      </c>
    </row>
    <row r="97" ht="22.5" customHeight="1">
      <c r="A97" s="3">
        <v>96.0</v>
      </c>
      <c r="B97" s="4" t="s">
        <v>7923</v>
      </c>
      <c r="C97" s="4" t="s">
        <v>6844</v>
      </c>
      <c r="D97" s="4" t="s">
        <v>7924</v>
      </c>
      <c r="F97" s="5" t="str">
        <f>IFERROR(__xludf.DUMMYFUNCTION("GOOGLETRANSLATE(A97, ""en"", ""hi"")"),"96")</f>
        <v>96</v>
      </c>
      <c r="G97" s="5" t="str">
        <f>IFERROR(__xludf.DUMMYFUNCTION("GOOGLETRANSLATE(B97, ""en"", ""hi"")"),"भारतीय शहरों के सार्वजनिक पार्कों में कैरम खेल पहली बार किस दशक में शुरू किया गया था?")</f>
        <v>भारतीय शहरों के सार्वजनिक पार्कों में कैरम खेल पहली बार किस दशक में शुरू किया गया था?</v>
      </c>
      <c r="H97" s="5" t="str">
        <f>IFERROR(__xludf.DUMMYFUNCTION("GOOGLETRANSLATE(C97, ""en"", ""hi"")"),"ए) 1920 का दशक, बी) 1930 का दशक, सी) 1940 का दशक, डी) 1950 का दशक")</f>
        <v>ए) 1920 का दशक, बी) 1930 का दशक, सी) 1940 का दशक, डी) 1950 का दशक</v>
      </c>
      <c r="I97" s="5" t="str">
        <f>IFERROR(__xludf.DUMMYFUNCTION("GOOGLETRANSLATE(D97, ""en"", ""hi"")"),"बी) 1930 के दशक")</f>
        <v>बी) 1930 के दशक</v>
      </c>
    </row>
    <row r="98" ht="22.5" customHeight="1">
      <c r="A98" s="3">
        <v>97.0</v>
      </c>
      <c r="B98" s="4" t="s">
        <v>7925</v>
      </c>
      <c r="C98" s="4" t="s">
        <v>7926</v>
      </c>
      <c r="D98" s="4" t="s">
        <v>7821</v>
      </c>
      <c r="F98" s="5" t="str">
        <f>IFERROR(__xludf.DUMMYFUNCTION("GOOGLETRANSLATE(A98, ""en"", ""hi"")"),"97")</f>
        <v>97</v>
      </c>
      <c r="G98" s="5" t="str">
        <f>IFERROR(__xludf.DUMMYFUNCTION("GOOGLETRANSLATE(B98, ""en"", ""hi"")"),"भारत में कैरम को राष्ट्रीय शारीरिक स्वास्थ्य कार्यक्रम में किस वर्ष शामिल किया गया?")</f>
        <v>भारत में कैरम को राष्ट्रीय शारीरिक स्वास्थ्य कार्यक्रम में किस वर्ष शामिल किया गया?</v>
      </c>
      <c r="H98" s="5" t="str">
        <f>IFERROR(__xludf.DUMMYFUNCTION("GOOGLETRANSLATE(C98, ""en"", ""hi"")"),"ए) 1947, बी) 1952, सी) 1960, डी) 1972")</f>
        <v>ए) 1947, बी) 1952, सी) 1960, डी) 1972</v>
      </c>
      <c r="I98" s="5" t="str">
        <f>IFERROR(__xludf.DUMMYFUNCTION("GOOGLETRANSLATE(D98, ""en"", ""hi"")"),"सी) 1960")</f>
        <v>सी) 1960</v>
      </c>
    </row>
    <row r="99" ht="22.5" customHeight="1">
      <c r="A99" s="3">
        <v>98.0</v>
      </c>
      <c r="B99" s="4" t="s">
        <v>7927</v>
      </c>
      <c r="C99" s="4" t="s">
        <v>7928</v>
      </c>
      <c r="D99" s="4" t="s">
        <v>5523</v>
      </c>
      <c r="F99" s="5" t="str">
        <f>IFERROR(__xludf.DUMMYFUNCTION("GOOGLETRANSLATE(A99, ""en"", ""hi"")"),"98")</f>
        <v>98</v>
      </c>
      <c r="G99" s="5" t="str">
        <f>IFERROR(__xludf.DUMMYFUNCTION("GOOGLETRANSLATE(B99, ""en"", ""hi"")"),"कैरम सिक्के पारंपरिक रूप से किस सामग्री से बनाए जाते थे?")</f>
        <v>कैरम सिक्के पारंपरिक रूप से किस सामग्री से बनाए जाते थे?</v>
      </c>
      <c r="H99" s="5" t="str">
        <f>IFERROR(__xludf.DUMMYFUNCTION("GOOGLETRANSLATE(C99, ""en"", ""hi"")"),"A) लकड़ी, B) धातु, C) हड्डी, D) हाथी दांत")</f>
        <v>A) लकड़ी, B) धातु, C) हड्डी, D) हाथी दांत</v>
      </c>
      <c r="I99" s="5" t="str">
        <f>IFERROR(__xludf.DUMMYFUNCTION("GOOGLETRANSLATE(D99, ""en"", ""hi"")"),"एक लकड़ी")</f>
        <v>एक लकड़ी</v>
      </c>
    </row>
    <row r="100" ht="22.5" customHeight="1">
      <c r="A100" s="3">
        <v>99.0</v>
      </c>
      <c r="B100" s="4" t="s">
        <v>7929</v>
      </c>
      <c r="C100" s="4" t="s">
        <v>7930</v>
      </c>
      <c r="D100" s="4" t="s">
        <v>7931</v>
      </c>
      <c r="F100" s="5" t="str">
        <f>IFERROR(__xludf.DUMMYFUNCTION("GOOGLETRANSLATE(A100, ""en"", ""hi"")"),"99")</f>
        <v>99</v>
      </c>
      <c r="G100" s="5" t="str">
        <f>IFERROR(__xludf.DUMMYFUNCTION("GOOGLETRANSLATE(B100, ""en"", ""hi"")"),"भारतीय कैरम महासंघ 1990 में किस अंतर्राष्ट्रीय संगठन का सदस्य बना?")</f>
        <v>भारतीय कैरम महासंघ 1990 में किस अंतर्राष्ट्रीय संगठन का सदस्य बना?</v>
      </c>
      <c r="H100" s="5" t="str">
        <f>IFERROR(__xludf.DUMMYFUNCTION("GOOGLETRANSLATE(C100, ""en"", ""hi"")"),"A) अंतर्राष्ट्रीय ओलंपिक समिति, B) विश्व कैरम महासंघ, C) राष्ट्रमंडल खेल महासंघ, D) एशियाई खेल परिषद")</f>
        <v>A) अंतर्राष्ट्रीय ओलंपिक समिति, B) विश्व कैरम महासंघ, C) राष्ट्रमंडल खेल महासंघ, D) एशियाई खेल परिषद</v>
      </c>
      <c r="I100" s="5" t="str">
        <f>IFERROR(__xludf.DUMMYFUNCTION("GOOGLETRANSLATE(D100, ""en"", ""hi"")"),"बी) विश्व कैरम महासंघ")</f>
        <v>बी) विश्व कैरम महासंघ</v>
      </c>
    </row>
    <row r="101" ht="22.5" customHeight="1">
      <c r="A101" s="3">
        <v>100.0</v>
      </c>
      <c r="B101" s="4" t="s">
        <v>7932</v>
      </c>
      <c r="C101" s="4" t="s">
        <v>7933</v>
      </c>
      <c r="D101" s="4" t="s">
        <v>2556</v>
      </c>
      <c r="F101" s="5" t="str">
        <f>IFERROR(__xludf.DUMMYFUNCTION("GOOGLETRANSLATE(A101, ""en"", ""hi"")"),"100")</f>
        <v>100</v>
      </c>
      <c r="G101" s="5" t="str">
        <f>IFERROR(__xludf.DUMMYFUNCTION("GOOGLETRANSLATE(B101, ""en"", ""hi"")"),"ऐसा माना जाता है कि किस ऐतिहासिक भारतीय हस्ती ने शाही दरबारों में कैरम की शुरुआत की थी?")</f>
        <v>ऐसा माना जाता है कि किस ऐतिहासिक भारतीय हस्ती ने शाही दरबारों में कैरम की शुरुआत की थी?</v>
      </c>
      <c r="H101" s="5" t="str">
        <f>IFERROR(__xludf.DUMMYFUNCTION("GOOGLETRANSLATE(C101, ""en"", ""hi"")"),"A) अकबर, B) शेरशाह सूरी, C) महाराजा रणजीत सिंह, D) राजेंद्र चोल")</f>
        <v>A) अकबर, B) शेरशाह सूरी, C) महाराजा रणजीत सिंह, D) राजेंद्र चोल</v>
      </c>
      <c r="I101" s="5" t="str">
        <f>IFERROR(__xludf.DUMMYFUNCTION("GOOGLETRANSLATE(D101, ""en"", ""hi"")"),"A) अकबर")</f>
        <v>A) अकबर</v>
      </c>
    </row>
    <row r="102" ht="22.5" customHeight="1">
      <c r="A102" s="3">
        <v>101.0</v>
      </c>
      <c r="B102" s="4" t="s">
        <v>7934</v>
      </c>
      <c r="C102" s="4" t="s">
        <v>7935</v>
      </c>
      <c r="D102" s="4" t="s">
        <v>7936</v>
      </c>
      <c r="F102" s="5" t="str">
        <f>IFERROR(__xludf.DUMMYFUNCTION("GOOGLETRANSLATE(A102, ""en"", ""hi"")"),"101")</f>
        <v>101</v>
      </c>
      <c r="G102" s="5" t="str">
        <f>IFERROR(__xludf.DUMMYFUNCTION("GOOGLETRANSLATE(B102, ""en"", ""hi"")"),"1970 के दशक में कैरम टूर्नामेंट अक्सर भारतीय शहरों में किस प्रकार के स्थान पर आयोजित किए जाते थे?")</f>
        <v>1970 के दशक में कैरम टूर्नामेंट अक्सर भारतीय शहरों में किस प्रकार के स्थान पर आयोजित किए जाते थे?</v>
      </c>
      <c r="H102" s="5" t="str">
        <f>IFERROR(__xludf.DUMMYFUNCTION("GOOGLETRANSLATE(C102, ""en"", ""hi"")"),"A) स्कूल, B) कॉफ़ीहाउस, C) सामुदायिक केंद्र, D) खेल स्टेडियम")</f>
        <v>A) स्कूल, B) कॉफ़ीहाउस, C) सामुदायिक केंद्र, D) खेल स्टेडियम</v>
      </c>
      <c r="I102" s="5" t="str">
        <f>IFERROR(__xludf.DUMMYFUNCTION("GOOGLETRANSLATE(D102, ""en"", ""hi"")"),"सी) सामुदायिक केंद्र")</f>
        <v>सी) सामुदायिक केंद्र</v>
      </c>
    </row>
    <row r="103" ht="22.5" customHeight="1">
      <c r="A103" s="3">
        <v>102.0</v>
      </c>
      <c r="B103" s="4" t="s">
        <v>7937</v>
      </c>
      <c r="C103" s="4" t="s">
        <v>7938</v>
      </c>
      <c r="D103" s="4" t="s">
        <v>7939</v>
      </c>
      <c r="F103" s="5" t="str">
        <f>IFERROR(__xludf.DUMMYFUNCTION("GOOGLETRANSLATE(A103, ""en"", ""hi"")"),"102")</f>
        <v>102</v>
      </c>
      <c r="G103" s="5" t="str">
        <f>IFERROR(__xludf.DUMMYFUNCTION("GOOGLETRANSLATE(B103, ""en"", ""hi"")"),"किस अंतर्राष्ट्रीय खेल आयोजन ने 21वीं सदी में कैरम को एक पारंपरिक भारतीय खेल के रूप में मान्यता दी?")</f>
        <v>किस अंतर्राष्ट्रीय खेल आयोजन ने 21वीं सदी में कैरम को एक पारंपरिक भारतीय खेल के रूप में मान्यता दी?</v>
      </c>
      <c r="H103" s="5" t="str">
        <f>IFERROR(__xludf.DUMMYFUNCTION("GOOGLETRANSLATE(C103, ""en"", ""hi"")"),"A) राष्ट्रमंडल खेल, B) एशियाई खेल, C) दक्षिण एशियाई खेल, D) विश्व इनडोर खेल")</f>
        <v>A) राष्ट्रमंडल खेल, B) एशियाई खेल, C) दक्षिण एशियाई खेल, D) विश्व इनडोर खेल</v>
      </c>
      <c r="I103" s="5" t="str">
        <f>IFERROR(__xludf.DUMMYFUNCTION("GOOGLETRANSLATE(D103, ""en"", ""hi"")"),"ए) राष्ट्रमंडल खेल")</f>
        <v>ए) राष्ट्रमंडल खेल</v>
      </c>
    </row>
    <row r="104" ht="22.5" customHeight="1">
      <c r="A104" s="3">
        <v>103.0</v>
      </c>
      <c r="B104" s="4" t="s">
        <v>7940</v>
      </c>
      <c r="C104" s="4" t="s">
        <v>7941</v>
      </c>
      <c r="D104" s="4" t="s">
        <v>7942</v>
      </c>
      <c r="F104" s="5" t="str">
        <f>IFERROR(__xludf.DUMMYFUNCTION("GOOGLETRANSLATE(A104, ""en"", ""hi"")"),"103")</f>
        <v>103</v>
      </c>
      <c r="G104" s="5" t="str">
        <f>IFERROR(__xludf.DUMMYFUNCTION("GOOGLETRANSLATE(B104, ""en"", ""hi"")"),"यूरोप में कैरम क्लब किस दशक में उभरने लगे?")</f>
        <v>यूरोप में कैरम क्लब किस दशक में उभरने लगे?</v>
      </c>
      <c r="H104" s="5" t="str">
        <f>IFERROR(__xludf.DUMMYFUNCTION("GOOGLETRANSLATE(C104, ""en"", ""hi"")"),"ए) 1960 का दशक, बी) 1970 का दशक, सी) 1980 का दशक, डी) 1990 का दशक")</f>
        <v>ए) 1960 का दशक, बी) 1970 का दशक, सी) 1980 का दशक, डी) 1990 का दशक</v>
      </c>
      <c r="I104" s="5" t="str">
        <f>IFERROR(__xludf.DUMMYFUNCTION("GOOGLETRANSLATE(D104, ""en"", ""hi"")"),"सी) 1980 के दशक")</f>
        <v>सी) 1980 के दशक</v>
      </c>
    </row>
    <row r="105" ht="22.5" customHeight="1">
      <c r="A105" s="3">
        <v>104.0</v>
      </c>
      <c r="B105" s="4" t="s">
        <v>7943</v>
      </c>
      <c r="C105" s="4" t="s">
        <v>7944</v>
      </c>
      <c r="D105" s="4" t="s">
        <v>7771</v>
      </c>
      <c r="F105" s="5" t="str">
        <f>IFERROR(__xludf.DUMMYFUNCTION("GOOGLETRANSLATE(A105, ""en"", ""hi"")"),"104")</f>
        <v>104</v>
      </c>
      <c r="G105" s="5" t="str">
        <f>IFERROR(__xludf.DUMMYFUNCTION("GOOGLETRANSLATE(B105, ""en"", ""hi"")"),"किस यूरोपीय देश ने कई कैरम विश्व चैंपियनशिप की मेजबानी की है?")</f>
        <v>किस यूरोपीय देश ने कई कैरम विश्व चैंपियनशिप की मेजबानी की है?</v>
      </c>
      <c r="H105" s="5" t="str">
        <f>IFERROR(__xludf.DUMMYFUNCTION("GOOGLETRANSLATE(C105, ""en"", ""hi"")"),"A) जर्मनी, B) फ्रांस, C) स्विट्जरलैंड, D) यूके")</f>
        <v>A) जर्मनी, B) फ्रांस, C) स्विट्जरलैंड, D) यूके</v>
      </c>
      <c r="I105" s="5" t="str">
        <f>IFERROR(__xludf.DUMMYFUNCTION("GOOGLETRANSLATE(D105, ""en"", ""hi"")"),"ए) जर्मनी")</f>
        <v>ए) जर्मनी</v>
      </c>
    </row>
    <row r="106" ht="22.5" customHeight="1">
      <c r="A106" s="3">
        <v>105.0</v>
      </c>
      <c r="B106" s="4" t="s">
        <v>7945</v>
      </c>
      <c r="C106" s="4" t="s">
        <v>54</v>
      </c>
      <c r="D106" s="4" t="s">
        <v>7946</v>
      </c>
      <c r="F106" s="5" t="str">
        <f>IFERROR(__xludf.DUMMYFUNCTION("GOOGLETRANSLATE(A106, ""en"", ""hi"")"),"105")</f>
        <v>105</v>
      </c>
      <c r="G106" s="5" t="str">
        <f>IFERROR(__xludf.DUMMYFUNCTION("GOOGLETRANSLATE(B106, ""en"", ""hi"")"),"कैरम मध्य पूर्व में पहुंचा और किस दशक में लोकप्रियता हासिल की?")</f>
        <v>कैरम मध्य पूर्व में पहुंचा और किस दशक में लोकप्रियता हासिल की?</v>
      </c>
      <c r="H106" s="5" t="str">
        <f>IFERROR(__xludf.DUMMYFUNCTION("GOOGLETRANSLATE(C106, ""en"", ""hi"")"),"ए) 1970 का दशक, बी) 1980 का दशक, सी) 1990 का दशक, डी) 2000 का दशक")</f>
        <v>ए) 1970 का दशक, बी) 1980 का दशक, सी) 1990 का दशक, डी) 2000 का दशक</v>
      </c>
      <c r="I106" s="5" t="str">
        <f>IFERROR(__xludf.DUMMYFUNCTION("GOOGLETRANSLATE(D106, ""en"", ""hi"")"),"ए) 1970 के दशक")</f>
        <v>ए) 1970 के दशक</v>
      </c>
    </row>
    <row r="107" ht="22.5" customHeight="1">
      <c r="A107" s="3">
        <v>106.0</v>
      </c>
      <c r="B107" s="4" t="s">
        <v>7947</v>
      </c>
      <c r="C107" s="4" t="s">
        <v>7948</v>
      </c>
      <c r="D107" s="4" t="s">
        <v>7949</v>
      </c>
      <c r="F107" s="5" t="str">
        <f>IFERROR(__xludf.DUMMYFUNCTION("GOOGLETRANSLATE(A107, ""en"", ""hi"")"),"106")</f>
        <v>106</v>
      </c>
      <c r="G107" s="5" t="str">
        <f>IFERROR(__xludf.DUMMYFUNCTION("GOOGLETRANSLATE(B107, ""en"", ""hi"")"),"20वीं सदी में कैरम किस देश में प्रवासियों के बीच एक लोकप्रिय इनडोर खेल बन गया?")</f>
        <v>20वीं सदी में कैरम किस देश में प्रवासियों के बीच एक लोकप्रिय इनडोर खेल बन गया?</v>
      </c>
      <c r="H107" s="5" t="str">
        <f>IFERROR(__xludf.DUMMYFUNCTION("GOOGLETRANSLATE(C107, ""en"", ""hi"")"),"A) यूएसए, B) यूके, C) कनाडा, D) ऑस्ट्रेलिया")</f>
        <v>A) यूएसए, B) यूके, C) कनाडा, D) ऑस्ट्रेलिया</v>
      </c>
      <c r="I107" s="5" t="str">
        <f>IFERROR(__xludf.DUMMYFUNCTION("GOOGLETRANSLATE(D107, ""en"", ""hi"")"),"बी) यूके")</f>
        <v>बी) यूके</v>
      </c>
    </row>
    <row r="108" ht="22.5" customHeight="1">
      <c r="A108" s="3">
        <v>107.0</v>
      </c>
      <c r="B108" s="4" t="s">
        <v>7950</v>
      </c>
      <c r="C108" s="4" t="s">
        <v>5909</v>
      </c>
      <c r="D108" s="4" t="s">
        <v>5114</v>
      </c>
      <c r="F108" s="5" t="str">
        <f>IFERROR(__xludf.DUMMYFUNCTION("GOOGLETRANSLATE(A108, ""en"", ""hi"")"),"107")</f>
        <v>107</v>
      </c>
      <c r="G108" s="5" t="str">
        <f>IFERROR(__xludf.DUMMYFUNCTION("GOOGLETRANSLATE(B108, ""en"", ""hi"")"),"किस दक्षिण एशियाई देश ने 1985 में अपना पहला आधिकारिक कैरम टूर्नामेंट आयोजित किया था?")</f>
        <v>किस दक्षिण एशियाई देश ने 1985 में अपना पहला आधिकारिक कैरम टूर्नामेंट आयोजित किया था?</v>
      </c>
      <c r="H108" s="5" t="str">
        <f>IFERROR(__xludf.DUMMYFUNCTION("GOOGLETRANSLATE(C108, ""en"", ""hi"")"),"A) नेपाल, B) बांग्लादेश, C) श्रीलंका, D) पाकिस्तान")</f>
        <v>A) नेपाल, B) बांग्लादेश, C) श्रीलंका, D) पाकिस्तान</v>
      </c>
      <c r="I108" s="5" t="str">
        <f>IFERROR(__xludf.DUMMYFUNCTION("GOOGLETRANSLATE(D108, ""en"", ""hi"")"),"C) श्रीलंका")</f>
        <v>C) श्रीलंका</v>
      </c>
    </row>
    <row r="109" ht="22.5" customHeight="1">
      <c r="A109" s="3">
        <v>108.0</v>
      </c>
      <c r="B109" s="4" t="s">
        <v>7951</v>
      </c>
      <c r="C109" s="4" t="s">
        <v>7813</v>
      </c>
      <c r="D109" s="4" t="s">
        <v>2446</v>
      </c>
      <c r="F109" s="5" t="str">
        <f>IFERROR(__xludf.DUMMYFUNCTION("GOOGLETRANSLATE(A109, ""en"", ""hi"")"),"108")</f>
        <v>108</v>
      </c>
      <c r="G109" s="5" t="str">
        <f>IFERROR(__xludf.DUMMYFUNCTION("GOOGLETRANSLATE(B109, ""en"", ""hi"")"),"20वीं सदी के प्रारम्भ में कैरम बोर्ड का निर्माण किस भारतीय शहर के कारखानों में शुरू हुआ?")</f>
        <v>20वीं सदी के प्रारम्भ में कैरम बोर्ड का निर्माण किस भारतीय शहर के कारखानों में शुरू हुआ?</v>
      </c>
      <c r="H109" s="5" t="str">
        <f>IFERROR(__xludf.DUMMYFUNCTION("GOOGLETRANSLATE(C109, ""en"", ""hi"")"),"ए) मुंबई, बी) चेन्नई, सी) कोलकाता, डी) बैंगलोर")</f>
        <v>ए) मुंबई, बी) चेन्नई, सी) कोलकाता, डी) बैंगलोर</v>
      </c>
      <c r="I109" s="5" t="str">
        <f>IFERROR(__xludf.DUMMYFUNCTION("GOOGLETRANSLATE(D109, ""en"", ""hi"")"),"बी) चेन्नई")</f>
        <v>बी) चेन्नई</v>
      </c>
    </row>
    <row r="110" ht="22.5" customHeight="1">
      <c r="A110" s="3">
        <v>109.0</v>
      </c>
      <c r="B110" s="4" t="s">
        <v>7952</v>
      </c>
      <c r="C110" s="4" t="s">
        <v>7953</v>
      </c>
      <c r="D110" s="4" t="s">
        <v>7954</v>
      </c>
      <c r="F110" s="5" t="str">
        <f>IFERROR(__xludf.DUMMYFUNCTION("GOOGLETRANSLATE(A110, ""en"", ""hi"")"),"109")</f>
        <v>109</v>
      </c>
      <c r="G110" s="5" t="str">
        <f>IFERROR(__xludf.DUMMYFUNCTION("GOOGLETRANSLATE(B110, ""en"", ""hi"")"),"ऐसा माना जाता है कि कैरम का पहला उल्लेख भारतीय साहित्य की किस शैली में मिलता है?")</f>
        <v>ऐसा माना जाता है कि कैरम का पहला उल्लेख भारतीय साहित्य की किस शैली में मिलता है?</v>
      </c>
      <c r="H110" s="5" t="str">
        <f>IFERROR(__xludf.DUMMYFUNCTION("GOOGLETRANSLATE(C110, ""en"", ""hi"")"),"A) प्राचीन ग्रंथ, B) ऐतिहासिक पांडुलिपियाँ, C) यात्रा वृत्तांत, D) अदालती अभिलेख")</f>
        <v>A) प्राचीन ग्रंथ, B) ऐतिहासिक पांडुलिपियाँ, C) यात्रा वृत्तांत, D) अदालती अभिलेख</v>
      </c>
      <c r="I110" s="5" t="str">
        <f>IFERROR(__xludf.DUMMYFUNCTION("GOOGLETRANSLATE(D110, ""en"", ""hi"")"),"C) यात्रा वृत्तांत")</f>
        <v>C) यात्रा वृत्तांत</v>
      </c>
    </row>
    <row r="111" ht="22.5" customHeight="1">
      <c r="A111" s="3">
        <v>110.0</v>
      </c>
      <c r="B111" s="4" t="s">
        <v>7955</v>
      </c>
      <c r="C111" s="4" t="s">
        <v>7956</v>
      </c>
      <c r="D111" s="4" t="s">
        <v>7771</v>
      </c>
      <c r="F111" s="5" t="str">
        <f>IFERROR(__xludf.DUMMYFUNCTION("GOOGLETRANSLATE(A111, ""en"", ""hi"")"),"110")</f>
        <v>110</v>
      </c>
      <c r="G111" s="5" t="str">
        <f>IFERROR(__xludf.DUMMYFUNCTION("GOOGLETRANSLATE(B111, ""en"", ""hi"")"),"एशिया के बाहर पहली कैरम चैंपियनशिप किस देश में आयोजित की गई थी?")</f>
        <v>एशिया के बाहर पहली कैरम चैंपियनशिप किस देश में आयोजित की गई थी?</v>
      </c>
      <c r="H111" s="5" t="str">
        <f>IFERROR(__xludf.DUMMYFUNCTION("GOOGLETRANSLATE(C111, ""en"", ""hi"")"),"A) जर्मनी, B) फ्रांस, C) यूएसए, D) यूके")</f>
        <v>A) जर्मनी, B) फ्रांस, C) यूएसए, D) यूके</v>
      </c>
      <c r="I111" s="5" t="str">
        <f>IFERROR(__xludf.DUMMYFUNCTION("GOOGLETRANSLATE(D111, ""en"", ""hi"")"),"ए) जर्मनी")</f>
        <v>ए) जर्मनी</v>
      </c>
    </row>
    <row r="112" ht="22.5" customHeight="1">
      <c r="A112" s="3">
        <v>111.0</v>
      </c>
      <c r="B112" s="4" t="s">
        <v>7957</v>
      </c>
      <c r="C112" s="4" t="s">
        <v>7958</v>
      </c>
      <c r="D112" s="4" t="s">
        <v>7959</v>
      </c>
      <c r="F112" s="5" t="str">
        <f>IFERROR(__xludf.DUMMYFUNCTION("GOOGLETRANSLATE(A112, ""en"", ""hi"")"),"111")</f>
        <v>111</v>
      </c>
      <c r="G112" s="5" t="str">
        <f>IFERROR(__xludf.DUMMYFUNCTION("GOOGLETRANSLATE(B112, ""en"", ""hi"")"),"ऐसा माना जाता है कि कैरम का प्रारंभिक रूप किस प्रकार की सतह पर खेला जाता था?")</f>
        <v>ऐसा माना जाता है कि कैरम का प्रारंभिक रूप किस प्रकार की सतह पर खेला जाता था?</v>
      </c>
      <c r="H112" s="5" t="str">
        <f>IFERROR(__xludf.DUMMYFUNCTION("GOOGLETRANSLATE(C112, ""en"", ""hi"")"),"A) कपड़ा, B) पॉलिश की हुई लकड़ी, C) रेत, D) संगमरमर")</f>
        <v>A) कपड़ा, B) पॉलिश की हुई लकड़ी, C) रेत, D) संगमरमर</v>
      </c>
      <c r="I112" s="5" t="str">
        <f>IFERROR(__xludf.DUMMYFUNCTION("GOOGLETRANSLATE(D112, ""en"", ""hi"")"),"सी) रेत")</f>
        <v>सी) रेत</v>
      </c>
    </row>
    <row r="113" ht="22.5" customHeight="1">
      <c r="A113" s="3">
        <v>112.0</v>
      </c>
      <c r="B113" s="4" t="s">
        <v>7960</v>
      </c>
      <c r="C113" s="4" t="s">
        <v>7961</v>
      </c>
      <c r="D113" s="4" t="s">
        <v>7891</v>
      </c>
      <c r="F113" s="5" t="str">
        <f>IFERROR(__xludf.DUMMYFUNCTION("GOOGLETRANSLATE(A113, ""en"", ""hi"")"),"112")</f>
        <v>112</v>
      </c>
      <c r="G113" s="5" t="str">
        <f>IFERROR(__xludf.DUMMYFUNCTION("GOOGLETRANSLATE(B113, ""en"", ""hi"")"),"विश्व कैरम महासंघ का गठन किस वर्ष हुआ था?")</f>
        <v>विश्व कैरम महासंघ का गठन किस वर्ष हुआ था?</v>
      </c>
      <c r="H113" s="5" t="str">
        <f>IFERROR(__xludf.DUMMYFUNCTION("GOOGLETRANSLATE(C113, ""en"", ""hi"")"),"ए) 1988, बी) 1992, सी) 1995, डी) 1999")</f>
        <v>ए) 1988, बी) 1992, सी) 1995, डी) 1999</v>
      </c>
      <c r="I113" s="5" t="str">
        <f>IFERROR(__xludf.DUMMYFUNCTION("GOOGLETRANSLATE(D113, ""en"", ""hi"")"),"ए) 1988")</f>
        <v>ए) 1988</v>
      </c>
    </row>
    <row r="114" ht="22.5" customHeight="1">
      <c r="A114" s="3">
        <v>113.0</v>
      </c>
      <c r="B114" s="4" t="s">
        <v>7962</v>
      </c>
      <c r="C114" s="4" t="s">
        <v>7963</v>
      </c>
      <c r="D114" s="4" t="s">
        <v>7964</v>
      </c>
      <c r="F114" s="5" t="str">
        <f>IFERROR(__xludf.DUMMYFUNCTION("GOOGLETRANSLATE(A114, ""en"", ""hi"")"),"113")</f>
        <v>113</v>
      </c>
      <c r="G114" s="5" t="str">
        <f>IFERROR(__xludf.DUMMYFUNCTION("GOOGLETRANSLATE(B114, ""en"", ""hi"")"),"विश्व कैरम महासंघ के प्रथम अध्यक्ष कौन थे?")</f>
        <v>विश्व कैरम महासंघ के प्रथम अध्यक्ष कौन थे?</v>
      </c>
      <c r="H114" s="5" t="str">
        <f>IFERROR(__xludf.DUMMYFUNCTION("GOOGLETRANSLATE(C114, ""en"", ""hi"")"),"A) आर.एस. विजयलक्ष्मी, B) मोहम्मद फारूक, C) सरथ महादेवा, D) एस.पी. मिश्रा")</f>
        <v>A) आर.एस. विजयलक्ष्मी, B) मोहम्मद फारूक, C) सरथ महादेवा, D) एस.पी. मिश्रा</v>
      </c>
      <c r="I114" s="5" t="str">
        <f>IFERROR(__xludf.DUMMYFUNCTION("GOOGLETRANSLATE(D114, ""en"", ""hi"")"),"D) एस.पी. मिश्रा")</f>
        <v>D) एस.पी. मिश्रा</v>
      </c>
    </row>
    <row r="115" ht="22.5" customHeight="1">
      <c r="A115" s="3">
        <v>114.0</v>
      </c>
      <c r="B115" s="4" t="s">
        <v>7965</v>
      </c>
      <c r="C115" s="4" t="s">
        <v>7966</v>
      </c>
      <c r="D115" s="4" t="s">
        <v>2382</v>
      </c>
      <c r="F115" s="5" t="str">
        <f>IFERROR(__xludf.DUMMYFUNCTION("GOOGLETRANSLATE(A115, ""en"", ""hi"")"),"114")</f>
        <v>114</v>
      </c>
      <c r="G115" s="5" t="str">
        <f>IFERROR(__xludf.DUMMYFUNCTION("GOOGLETRANSLATE(B115, ""en"", ""hi"")"),"एशिया में पहला अंतर्राष्ट्रीय कैरम टूर्नामेंट किस शहर में आयोजित किया गया था?")</f>
        <v>एशिया में पहला अंतर्राष्ट्रीय कैरम टूर्नामेंट किस शहर में आयोजित किया गया था?</v>
      </c>
      <c r="H115" s="5" t="str">
        <f>IFERROR(__xludf.DUMMYFUNCTION("GOOGLETRANSLATE(C115, ""en"", ""hi"")"),"ए) कोलंबो, बी) ढाका, सी) मुंबई, डी) काठमांडू")</f>
        <v>ए) कोलंबो, बी) ढाका, सी) मुंबई, डी) काठमांडू</v>
      </c>
      <c r="I115" s="5" t="str">
        <f>IFERROR(__xludf.DUMMYFUNCTION("GOOGLETRANSLATE(D115, ""en"", ""hi"")"),"C) मुंबई")</f>
        <v>C) मुंबई</v>
      </c>
    </row>
    <row r="116" ht="22.5" customHeight="1">
      <c r="A116" s="3">
        <v>115.0</v>
      </c>
      <c r="B116" s="4" t="s">
        <v>7967</v>
      </c>
      <c r="C116" s="4" t="s">
        <v>7968</v>
      </c>
      <c r="D116" s="4" t="s">
        <v>829</v>
      </c>
      <c r="F116" s="5" t="str">
        <f>IFERROR(__xludf.DUMMYFUNCTION("GOOGLETRANSLATE(A116, ""en"", ""hi"")"),"115")</f>
        <v>115</v>
      </c>
      <c r="G116" s="5" t="str">
        <f>IFERROR(__xludf.DUMMYFUNCTION("GOOGLETRANSLATE(B116, ""en"", ""hi"")"),"मालदीव में पहली औपचारिक कैरम चैंपियनशिप किस वर्ष आयोजित की गई थी?")</f>
        <v>मालदीव में पहली औपचारिक कैरम चैंपियनशिप किस वर्ष आयोजित की गई थी?</v>
      </c>
      <c r="H116" s="5" t="str">
        <f>IFERROR(__xludf.DUMMYFUNCTION("GOOGLETRANSLATE(C116, ""en"", ""hi"")"),"ए) 1996, बी) 2000, सी) 2003, डी) 2007")</f>
        <v>ए) 1996, बी) 2000, सी) 2003, डी) 2007</v>
      </c>
      <c r="I116" s="5" t="str">
        <f>IFERROR(__xludf.DUMMYFUNCTION("GOOGLETRANSLATE(D116, ""en"", ""hi"")"),"बी) 2000")</f>
        <v>बी) 2000</v>
      </c>
    </row>
    <row r="117" ht="22.5" customHeight="1">
      <c r="A117" s="3">
        <v>116.0</v>
      </c>
      <c r="B117" s="4" t="s">
        <v>7969</v>
      </c>
      <c r="C117" s="4" t="s">
        <v>7970</v>
      </c>
      <c r="D117" s="4" t="s">
        <v>7866</v>
      </c>
      <c r="F117" s="5" t="str">
        <f>IFERROR(__xludf.DUMMYFUNCTION("GOOGLETRANSLATE(A117, ""en"", ""hi"")"),"116")</f>
        <v>116</v>
      </c>
      <c r="G117" s="5" t="str">
        <f>IFERROR(__xludf.DUMMYFUNCTION("GOOGLETRANSLATE(B117, ""en"", ""hi"")"),"1970 के दशक में भारतीय सिनेमा में कैरम को लोकप्रिय बनाने के लिए कौन से प्रसिद्ध भारतीय अभिनेता जाने जाते हैं?")</f>
        <v>1970 के दशक में भारतीय सिनेमा में कैरम को लोकप्रिय बनाने के लिए कौन से प्रसिद्ध भारतीय अभिनेता जाने जाते हैं?</v>
      </c>
      <c r="H117" s="5" t="str">
        <f>IFERROR(__xludf.DUMMYFUNCTION("GOOGLETRANSLATE(C117, ""en"", ""hi"")"),"ए) राजेश खन्ना, बी) अमिताभ बच्चन, सी) धर्मेंद्र, डी) शशि कपूर")</f>
        <v>ए) राजेश खन्ना, बी) अमिताभ बच्चन, सी) धर्मेंद्र, डी) शशि कपूर</v>
      </c>
      <c r="I117" s="5" t="str">
        <f>IFERROR(__xludf.DUMMYFUNCTION("GOOGLETRANSLATE(D117, ""en"", ""hi"")"),"B) अमिताभ बच्चन")</f>
        <v>B) अमिताभ बच्चन</v>
      </c>
    </row>
    <row r="118" ht="22.5" customHeight="1">
      <c r="A118" s="3">
        <v>117.0</v>
      </c>
      <c r="B118" s="4" t="s">
        <v>7971</v>
      </c>
      <c r="C118" s="4" t="s">
        <v>7972</v>
      </c>
      <c r="D118" s="4" t="s">
        <v>7973</v>
      </c>
      <c r="F118" s="5" t="str">
        <f>IFERROR(__xludf.DUMMYFUNCTION("GOOGLETRANSLATE(A118, ""en"", ""hi"")"),"117")</f>
        <v>117</v>
      </c>
      <c r="G118" s="5" t="str">
        <f>IFERROR(__xludf.DUMMYFUNCTION("GOOGLETRANSLATE(B118, ""en"", ""hi"")"),"कैरम ब्रिटिश राज में एक लोकप्रिय इनडोर खेल था और इसे अक्सर किस प्रकार के प्रतिष्ठान में खेला जाता था?")</f>
        <v>कैरम ब्रिटिश राज में एक लोकप्रिय इनडोर खेल था और इसे अक्सर किस प्रकार के प्रतिष्ठान में खेला जाता था?</v>
      </c>
      <c r="H118" s="5" t="str">
        <f>IFERROR(__xludf.DUMMYFUNCTION("GOOGLETRANSLATE(C118, ""en"", ""hi"")"),"A) क्लब, B) स्कूल, C) सेना बैरक, D) रेलवे")</f>
        <v>A) क्लब, B) स्कूल, C) सेना बैरक, D) रेलवे</v>
      </c>
      <c r="I118" s="5" t="str">
        <f>IFERROR(__xludf.DUMMYFUNCTION("GOOGLETRANSLATE(D118, ""en"", ""hi"")"),"C) सेना बैरक")</f>
        <v>C) सेना बैरक</v>
      </c>
    </row>
    <row r="119" ht="22.5" customHeight="1">
      <c r="A119" s="3">
        <v>118.0</v>
      </c>
      <c r="B119" s="4" t="s">
        <v>7974</v>
      </c>
      <c r="C119" s="4" t="s">
        <v>5882</v>
      </c>
      <c r="D119" s="4" t="s">
        <v>7975</v>
      </c>
      <c r="F119" s="5" t="str">
        <f>IFERROR(__xludf.DUMMYFUNCTION("GOOGLETRANSLATE(A119, ""en"", ""hi"")"),"118")</f>
        <v>118</v>
      </c>
      <c r="G119" s="5" t="str">
        <f>IFERROR(__xludf.DUMMYFUNCTION("GOOGLETRANSLATE(B119, ""en"", ""hi"")"),"किस दशक में कैरम को भारतीय खेल निकायों द्वारा प्रतिस्पर्धी खेल के रूप में मान्यता दी जाने लगी?")</f>
        <v>किस दशक में कैरम को भारतीय खेल निकायों द्वारा प्रतिस्पर्धी खेल के रूप में मान्यता दी जाने लगी?</v>
      </c>
      <c r="H119" s="5" t="str">
        <f>IFERROR(__xludf.DUMMYFUNCTION("GOOGLETRANSLATE(C119, ""en"", ""hi"")"),"ए) 1950 का दशक, बी) 1960 का दशक, सी) 1970 का दशक, डी) 1980 का दशक")</f>
        <v>ए) 1950 का दशक, बी) 1960 का दशक, सी) 1970 का दशक, डी) 1980 का दशक</v>
      </c>
      <c r="I119" s="5" t="str">
        <f>IFERROR(__xludf.DUMMYFUNCTION("GOOGLETRANSLATE(D119, ""en"", ""hi"")"),"बी) 1960 के दशक")</f>
        <v>बी) 1960 के दशक</v>
      </c>
    </row>
    <row r="120" ht="22.5" customHeight="1">
      <c r="A120" s="3">
        <v>119.0</v>
      </c>
      <c r="B120" s="4" t="s">
        <v>7976</v>
      </c>
      <c r="C120" s="4" t="s">
        <v>7977</v>
      </c>
      <c r="D120" s="4" t="s">
        <v>37</v>
      </c>
      <c r="F120" s="5" t="str">
        <f>IFERROR(__xludf.DUMMYFUNCTION("GOOGLETRANSLATE(A120, ""en"", ""hi"")"),"119")</f>
        <v>119</v>
      </c>
      <c r="G120" s="5" t="str">
        <f>IFERROR(__xludf.DUMMYFUNCTION("GOOGLETRANSLATE(B120, ""en"", ""hi"")"),"कैरम बोर्ड पर सुचारू खेल के लिए पाउडर का उपयोग किस देश में शुरू हुआ?")</f>
        <v>कैरम बोर्ड पर सुचारू खेल के लिए पाउडर का उपयोग किस देश में शुरू हुआ?</v>
      </c>
      <c r="H120" s="5" t="str">
        <f>IFERROR(__xludf.DUMMYFUNCTION("GOOGLETRANSLATE(C120, ""en"", ""hi"")"),"A) भारत, B) श्रीलंका, C) नेपाल, D) बांग्लादेश")</f>
        <v>A) भारत, B) श्रीलंका, C) नेपाल, D) बांग्लादेश</v>
      </c>
      <c r="I120" s="5" t="str">
        <f>IFERROR(__xludf.DUMMYFUNCTION("GOOGLETRANSLATE(D120, ""en"", ""hi"")"),"ए) भारत")</f>
        <v>ए) भारत</v>
      </c>
    </row>
    <row r="121" ht="22.5" customHeight="1">
      <c r="A121" s="3">
        <v>120.0</v>
      </c>
      <c r="B121" s="4" t="s">
        <v>7978</v>
      </c>
      <c r="C121" s="4" t="s">
        <v>7979</v>
      </c>
      <c r="D121" s="4" t="s">
        <v>7980</v>
      </c>
      <c r="F121" s="5" t="str">
        <f>IFERROR(__xludf.DUMMYFUNCTION("GOOGLETRANSLATE(A121, ""en"", ""hi"")"),"120")</f>
        <v>120</v>
      </c>
      <c r="G121" s="5" t="str">
        <f>IFERROR(__xludf.DUMMYFUNCTION("GOOGLETRANSLATE(B121, ""en"", ""hi"")"),"कैरम के प्रथम नियमों को आधिकारिक रूप से किस दशक में मानकीकृत किया गया था?")</f>
        <v>कैरम के प्रथम नियमों को आधिकारिक रूप से किस दशक में मानकीकृत किया गया था?</v>
      </c>
      <c r="H121" s="5" t="str">
        <f>IFERROR(__xludf.DUMMYFUNCTION("GOOGLETRANSLATE(C121, ""en"", ""hi"")"),"ए) 1940 का दशक, बी) 1950 का दशक, सी) 1960 का दशक, डी) 1970 का दशक")</f>
        <v>ए) 1940 का दशक, बी) 1950 का दशक, सी) 1960 का दशक, डी) 1970 का दशक</v>
      </c>
      <c r="I121" s="5" t="str">
        <f>IFERROR(__xludf.DUMMYFUNCTION("GOOGLETRANSLATE(D121, ""en"", ""hi"")"),"सी) 1960 के दशक")</f>
        <v>सी) 1960 के दशक</v>
      </c>
    </row>
    <row r="122" ht="22.5" customHeight="1">
      <c r="A122" s="3">
        <v>121.0</v>
      </c>
      <c r="B122" s="4" t="s">
        <v>7981</v>
      </c>
      <c r="C122" s="4" t="s">
        <v>7982</v>
      </c>
      <c r="D122" s="4" t="s">
        <v>7983</v>
      </c>
      <c r="F122" s="5" t="str">
        <f>IFERROR(__xludf.DUMMYFUNCTION("GOOGLETRANSLATE(A122, ""en"", ""hi"")"),"121")</f>
        <v>121</v>
      </c>
      <c r="G122" s="5" t="str">
        <f>IFERROR(__xludf.DUMMYFUNCTION("GOOGLETRANSLATE(B122, ""en"", ""hi"")"),"ग्रामीण भारत में कैरम किस दशक में एक लोकप्रिय खेल बन गया?")</f>
        <v>ग्रामीण भारत में कैरम किस दशक में एक लोकप्रिय खेल बन गया?</v>
      </c>
      <c r="H122" s="5" t="str">
        <f>IFERROR(__xludf.DUMMYFUNCTION("GOOGLETRANSLATE(C122, ""en"", ""hi"")"),"ए) 1930 का दशक, बी) 1940 का दशक, सी) 1950 का दशक, डी) 1960 का दशक")</f>
        <v>ए) 1930 का दशक, बी) 1940 का दशक, सी) 1950 का दशक, डी) 1960 का दशक</v>
      </c>
      <c r="I122" s="5" t="str">
        <f>IFERROR(__xludf.DUMMYFUNCTION("GOOGLETRANSLATE(D122, ""en"", ""hi"")"),"बी) 1940 के दशक")</f>
        <v>बी) 1940 के दशक</v>
      </c>
    </row>
    <row r="123" ht="22.5" customHeight="1">
      <c r="A123" s="3">
        <v>122.0</v>
      </c>
      <c r="B123" s="4" t="s">
        <v>7984</v>
      </c>
      <c r="C123" s="4" t="s">
        <v>7985</v>
      </c>
      <c r="D123" s="4" t="s">
        <v>7986</v>
      </c>
      <c r="F123" s="5" t="str">
        <f>IFERROR(__xludf.DUMMYFUNCTION("GOOGLETRANSLATE(A123, ""en"", ""hi"")"),"122")</f>
        <v>122</v>
      </c>
      <c r="G123" s="5" t="str">
        <f>IFERROR(__xludf.DUMMYFUNCTION("GOOGLETRANSLATE(B123, ""en"", ""hi"")"),"भारतीय कैरम महासंघ किस वर्ष एशियाई कैरम परिसंघ का सक्रिय सदस्य बना?")</f>
        <v>भारतीय कैरम महासंघ किस वर्ष एशियाई कैरम परिसंघ का सक्रिय सदस्य बना?</v>
      </c>
      <c r="H123" s="5" t="str">
        <f>IFERROR(__xludf.DUMMYFUNCTION("GOOGLETRANSLATE(C123, ""en"", ""hi"")"),"ए) 1987, बी) 1991, सी) 1995, डी) 1999")</f>
        <v>ए) 1987, बी) 1991, सी) 1995, डी) 1999</v>
      </c>
      <c r="I123" s="5" t="str">
        <f>IFERROR(__xludf.DUMMYFUNCTION("GOOGLETRANSLATE(D123, ""en"", ""hi"")"),"बी) 1991")</f>
        <v>बी) 1991</v>
      </c>
    </row>
    <row r="124" ht="22.5" customHeight="1">
      <c r="A124" s="3">
        <v>123.0</v>
      </c>
      <c r="B124" s="4" t="s">
        <v>7987</v>
      </c>
      <c r="C124" s="4" t="s">
        <v>7843</v>
      </c>
      <c r="D124" s="4" t="s">
        <v>5027</v>
      </c>
      <c r="F124" s="5" t="str">
        <f>IFERROR(__xludf.DUMMYFUNCTION("GOOGLETRANSLATE(A124, ""en"", ""hi"")"),"123")</f>
        <v>123</v>
      </c>
      <c r="G124" s="5" t="str">
        <f>IFERROR(__xludf.DUMMYFUNCTION("GOOGLETRANSLATE(B124, ""en"", ""hi"")"),"1990 के दशक के दौरान कौन सा देश अंतर्राष्ट्रीय कैरम प्रतियोगिताओं में एक प्रमुख शक्ति के रूप में उभरा?")</f>
        <v>1990 के दशक के दौरान कौन सा देश अंतर्राष्ट्रीय कैरम प्रतियोगिताओं में एक प्रमुख शक्ति के रूप में उभरा?</v>
      </c>
      <c r="H124" s="5" t="str">
        <f>IFERROR(__xludf.DUMMYFUNCTION("GOOGLETRANSLATE(C124, ""en"", ""hi"")"),"A) भारत, B) श्रीलंका, C) बांग्लादेश, D) मालदीव")</f>
        <v>A) भारत, B) श्रीलंका, C) बांग्लादेश, D) मालदीव</v>
      </c>
      <c r="I124" s="5" t="str">
        <f>IFERROR(__xludf.DUMMYFUNCTION("GOOGLETRANSLATE(D124, ""en"", ""hi"")"),"बी) श्रीलंका")</f>
        <v>बी) श्रीलंका</v>
      </c>
    </row>
    <row r="125" ht="22.5" customHeight="1">
      <c r="A125" s="3">
        <v>124.0</v>
      </c>
      <c r="B125" s="4" t="s">
        <v>7988</v>
      </c>
      <c r="C125" s="4" t="s">
        <v>7941</v>
      </c>
      <c r="D125" s="4" t="s">
        <v>7989</v>
      </c>
      <c r="F125" s="5" t="str">
        <f>IFERROR(__xludf.DUMMYFUNCTION("GOOGLETRANSLATE(A125, ""en"", ""hi"")"),"124")</f>
        <v>124</v>
      </c>
      <c r="G125" s="5" t="str">
        <f>IFERROR(__xludf.DUMMYFUNCTION("GOOGLETRANSLATE(B125, ""en"", ""hi"")"),"कैरम किस दशक के दौरान शहरी भारतीय घरों में लोकप्रिय हुआ?")</f>
        <v>कैरम किस दशक के दौरान शहरी भारतीय घरों में लोकप्रिय हुआ?</v>
      </c>
      <c r="H125" s="5" t="str">
        <f>IFERROR(__xludf.DUMMYFUNCTION("GOOGLETRANSLATE(C125, ""en"", ""hi"")"),"ए) 1960 का दशक, बी) 1970 का दशक, सी) 1980 का दशक, डी) 1990 का दशक")</f>
        <v>ए) 1960 का दशक, बी) 1970 का दशक, सी) 1980 का दशक, डी) 1990 का दशक</v>
      </c>
      <c r="I125" s="5" t="str">
        <f>IFERROR(__xludf.DUMMYFUNCTION("GOOGLETRANSLATE(D125, ""en"", ""hi"")"),"ए) 1960 के दशक")</f>
        <v>ए) 1960 के दशक</v>
      </c>
    </row>
    <row r="126" ht="22.5" customHeight="1">
      <c r="A126" s="3">
        <v>125.0</v>
      </c>
      <c r="B126" s="4" t="s">
        <v>7990</v>
      </c>
      <c r="C126" s="4" t="s">
        <v>7991</v>
      </c>
      <c r="D126" s="4" t="s">
        <v>7992</v>
      </c>
      <c r="F126" s="5" t="str">
        <f>IFERROR(__xludf.DUMMYFUNCTION("GOOGLETRANSLATE(A126, ""en"", ""hi"")"),"125")</f>
        <v>125</v>
      </c>
      <c r="G126" s="5" t="str">
        <f>IFERROR(__xludf.DUMMYFUNCTION("GOOGLETRANSLATE(B126, ""en"", ""hi"")"),"कैरम प्रतियोगिताओं में सिंथेटिक सिक्कों का प्रयोग किस वर्ष शुरू हुआ?")</f>
        <v>कैरम प्रतियोगिताओं में सिंथेटिक सिक्कों का प्रयोग किस वर्ष शुरू हुआ?</v>
      </c>
      <c r="H126" s="5" t="str">
        <f>IFERROR(__xludf.DUMMYFUNCTION("GOOGLETRANSLATE(C126, ""en"", ""hi"")"),"ए) 1972, बी) 1980, सी) 1985, डी) 1990")</f>
        <v>ए) 1972, बी) 1980, सी) 1985, डी) 1990</v>
      </c>
      <c r="I126" s="5" t="str">
        <f>IFERROR(__xludf.DUMMYFUNCTION("GOOGLETRANSLATE(D126, ""en"", ""hi"")"),"बी) 1980")</f>
        <v>बी) 1980</v>
      </c>
    </row>
    <row r="127" ht="22.5" customHeight="1">
      <c r="A127" s="3">
        <v>126.0</v>
      </c>
      <c r="B127" s="4" t="s">
        <v>7993</v>
      </c>
      <c r="C127" s="4" t="s">
        <v>7994</v>
      </c>
      <c r="D127" s="4" t="s">
        <v>7995</v>
      </c>
      <c r="F127" s="5" t="str">
        <f>IFERROR(__xludf.DUMMYFUNCTION("GOOGLETRANSLATE(A127, ""en"", ""hi"")"),"126")</f>
        <v>126</v>
      </c>
      <c r="G127" s="5" t="str">
        <f>IFERROR(__xludf.DUMMYFUNCTION("GOOGLETRANSLATE(B127, ""en"", ""hi"")"),"कैरम बोर्ड गेम का पहला डिज़ाइन किस देश में पेटेंट कराया गया था?")</f>
        <v>कैरम बोर्ड गेम का पहला डिज़ाइन किस देश में पेटेंट कराया गया था?</v>
      </c>
      <c r="H127" s="5" t="str">
        <f>IFERROR(__xludf.DUMMYFUNCTION("GOOGLETRANSLATE(C127, ""en"", ""hi"")"),"A) भारत, B) अमेरिका, C) ब्रिटेन, D) जर्मनी")</f>
        <v>A) भारत, B) अमेरिका, C) ब्रिटेन, D) जर्मनी</v>
      </c>
      <c r="I127" s="5" t="str">
        <f>IFERROR(__xludf.DUMMYFUNCTION("GOOGLETRANSLATE(D127, ""en"", ""hi"")"),"बी) यूएसए")</f>
        <v>बी) यूएसए</v>
      </c>
    </row>
    <row r="128" ht="22.5" customHeight="1">
      <c r="A128" s="3">
        <v>127.0</v>
      </c>
      <c r="B128" s="4" t="s">
        <v>7996</v>
      </c>
      <c r="C128" s="4" t="s">
        <v>7997</v>
      </c>
      <c r="D128" s="4" t="s">
        <v>2107</v>
      </c>
      <c r="F128" s="5" t="str">
        <f>IFERROR(__xludf.DUMMYFUNCTION("GOOGLETRANSLATE(A128, ""en"", ""hi"")"),"127")</f>
        <v>127</v>
      </c>
      <c r="G128" s="5" t="str">
        <f>IFERROR(__xludf.DUMMYFUNCTION("GOOGLETRANSLATE(B128, ""en"", ""hi"")"),"भारत में पहला कैरम क्लब किस शहर में स्थापित किया गया था?")</f>
        <v>भारत में पहला कैरम क्लब किस शहर में स्थापित किया गया था?</v>
      </c>
      <c r="H128" s="5" t="str">
        <f>IFERROR(__xludf.DUMMYFUNCTION("GOOGLETRANSLATE(C128, ""en"", ""hi"")"),"ए) चेन्नई, बी) मुंबई, सी) दिल्ली, डी) कोलकाता")</f>
        <v>ए) चेन्नई, बी) मुंबई, सी) दिल्ली, डी) कोलकाता</v>
      </c>
      <c r="I128" s="5" t="str">
        <f>IFERROR(__xludf.DUMMYFUNCTION("GOOGLETRANSLATE(D128, ""en"", ""hi"")"),"D) कोलकाता")</f>
        <v>D) कोलकाता</v>
      </c>
    </row>
    <row r="129" ht="22.5" customHeight="1">
      <c r="A129" s="3">
        <v>128.0</v>
      </c>
      <c r="B129" s="4" t="s">
        <v>7998</v>
      </c>
      <c r="C129" s="4" t="s">
        <v>7999</v>
      </c>
      <c r="D129" s="4" t="s">
        <v>8000</v>
      </c>
      <c r="F129" s="5" t="str">
        <f>IFERROR(__xludf.DUMMYFUNCTION("GOOGLETRANSLATE(A129, ""en"", ""hi"")"),"128")</f>
        <v>128</v>
      </c>
      <c r="G129" s="5" t="str">
        <f>IFERROR(__xludf.DUMMYFUNCTION("GOOGLETRANSLATE(B129, ""en"", ""hi"")"),"19वीं शताब्दी में कैरम ने भारतीय जनसंख्या के किस वर्ग में लोकप्रियता हासिल की?")</f>
        <v>19वीं शताब्दी में कैरम ने भारतीय जनसंख्या के किस वर्ग में लोकप्रियता हासिल की?</v>
      </c>
      <c r="H129" s="5" t="str">
        <f>IFERROR(__xludf.DUMMYFUNCTION("GOOGLETRANSLATE(C129, ""en"", ""hi"")"),"A) सैनिक, B) व्यापारी, C) छात्र, D) कारखाना श्रमिक")</f>
        <v>A) सैनिक, B) व्यापारी, C) छात्र, D) कारखाना श्रमिक</v>
      </c>
      <c r="I129" s="5" t="str">
        <f>IFERROR(__xludf.DUMMYFUNCTION("GOOGLETRANSLATE(D129, ""en"", ""hi"")"),"ए) सैनिक")</f>
        <v>ए) सैनिक</v>
      </c>
    </row>
    <row r="130" ht="22.5" customHeight="1">
      <c r="A130" s="3">
        <v>129.0</v>
      </c>
      <c r="B130" s="4" t="s">
        <v>8001</v>
      </c>
      <c r="C130" s="4" t="s">
        <v>8002</v>
      </c>
      <c r="D130" s="4" t="s">
        <v>8003</v>
      </c>
      <c r="F130" s="5" t="str">
        <f>IFERROR(__xludf.DUMMYFUNCTION("GOOGLETRANSLATE(A130, ""en"", ""hi"")"),"129")</f>
        <v>129</v>
      </c>
      <c r="G130" s="5" t="str">
        <f>IFERROR(__xludf.DUMMYFUNCTION("GOOGLETRANSLATE(B130, ""en"", ""hi"")"),"20वीं सदी में कौन से प्रसिद्ध भारतीय संगीतकार कैरम के शौकीन माने जाते थे?")</f>
        <v>20वीं सदी में कौन से प्रसिद्ध भारतीय संगीतकार कैरम के शौकीन माने जाते थे?</v>
      </c>
      <c r="H130" s="5" t="str">
        <f>IFERROR(__xludf.DUMMYFUNCTION("GOOGLETRANSLATE(C130, ""en"", ""hi"")"),"ए) लता मंगेशकर, बी) रविशंकर, सी) जाकिर हुसैन, डी) किशोर कुमार")</f>
        <v>ए) लता मंगेशकर, बी) रविशंकर, सी) जाकिर हुसैन, डी) किशोर कुमार</v>
      </c>
      <c r="I130" s="5" t="str">
        <f>IFERROR(__xludf.DUMMYFUNCTION("GOOGLETRANSLATE(D130, ""en"", ""hi"")"),"D) किशोर कुमार")</f>
        <v>D) किशोर कुमार</v>
      </c>
    </row>
    <row r="131" ht="22.5" customHeight="1">
      <c r="A131" s="3">
        <v>130.0</v>
      </c>
      <c r="B131" s="4" t="s">
        <v>8004</v>
      </c>
      <c r="C131" s="4" t="s">
        <v>7941</v>
      </c>
      <c r="D131" s="4" t="s">
        <v>8005</v>
      </c>
      <c r="F131" s="5" t="str">
        <f>IFERROR(__xludf.DUMMYFUNCTION("GOOGLETRANSLATE(A131, ""en"", ""hi"")"),"130")</f>
        <v>130</v>
      </c>
      <c r="G131" s="5" t="str">
        <f>IFERROR(__xludf.DUMMYFUNCTION("GOOGLETRANSLATE(B131, ""en"", ""hi"")"),"पहली कैरम पत्रिका किस दशक में प्रकाशित हुई थी?")</f>
        <v>पहली कैरम पत्रिका किस दशक में प्रकाशित हुई थी?</v>
      </c>
      <c r="H131" s="5" t="str">
        <f>IFERROR(__xludf.DUMMYFUNCTION("GOOGLETRANSLATE(C131, ""en"", ""hi"")"),"ए) 1960 का दशक, बी) 1970 का दशक, सी) 1980 का दशक, डी) 1990 का दशक")</f>
        <v>ए) 1960 का दशक, बी) 1970 का दशक, सी) 1980 का दशक, डी) 1990 का दशक</v>
      </c>
      <c r="I131" s="5" t="str">
        <f>IFERROR(__xludf.DUMMYFUNCTION("GOOGLETRANSLATE(D131, ""en"", ""hi"")"),"बी) 1970 के दशक")</f>
        <v>बी) 1970 के दशक</v>
      </c>
    </row>
    <row r="132" ht="22.5" customHeight="1">
      <c r="A132" s="3">
        <v>131.0</v>
      </c>
      <c r="B132" s="4" t="s">
        <v>8006</v>
      </c>
      <c r="C132" s="4" t="s">
        <v>8007</v>
      </c>
      <c r="D132" s="4" t="s">
        <v>8008</v>
      </c>
      <c r="F132" s="5" t="str">
        <f>IFERROR(__xludf.DUMMYFUNCTION("GOOGLETRANSLATE(A132, ""en"", ""hi"")"),"131")</f>
        <v>131</v>
      </c>
      <c r="G132" s="5" t="str">
        <f>IFERROR(__xludf.DUMMYFUNCTION("GOOGLETRANSLATE(B132, ""en"", ""hi"")"),"पहला कैरम विश्व कप किस वर्ष आयोजित किया गया था?")</f>
        <v>पहला कैरम विश्व कप किस वर्ष आयोजित किया गया था?</v>
      </c>
      <c r="H132" s="5" t="str">
        <f>IFERROR(__xludf.DUMMYFUNCTION("GOOGLETRANSLATE(C132, ""en"", ""hi"")"),"ए) 1988, बी) 1992, सी) 1996, डी) 2000")</f>
        <v>ए) 1988, बी) 1992, सी) 1996, डी) 2000</v>
      </c>
      <c r="I132" s="5" t="str">
        <f>IFERROR(__xludf.DUMMYFUNCTION("GOOGLETRANSLATE(D132, ""en"", ""hi"")"),"सी) 1996")</f>
        <v>सी) 1996</v>
      </c>
    </row>
    <row r="133" ht="22.5" customHeight="1">
      <c r="A133" s="3">
        <v>132.0</v>
      </c>
      <c r="B133" s="4" t="s">
        <v>8009</v>
      </c>
      <c r="C133" s="4" t="s">
        <v>8010</v>
      </c>
      <c r="D133" s="4" t="s">
        <v>7931</v>
      </c>
      <c r="F133" s="5" t="str">
        <f>IFERROR(__xludf.DUMMYFUNCTION("GOOGLETRANSLATE(A133, ""en"", ""hi"")"),"132")</f>
        <v>132</v>
      </c>
      <c r="G133" s="5" t="str">
        <f>IFERROR(__xludf.DUMMYFUNCTION("GOOGLETRANSLATE(B133, ""en"", ""hi"")"),"प्रथम अंतर्राष्ट्रीय कैरम नियम पुस्तिका किस संगठन द्वारा प्रकाशित की गई थी?")</f>
        <v>प्रथम अंतर्राष्ट्रीय कैरम नियम पुस्तिका किस संगठन द्वारा प्रकाशित की गई थी?</v>
      </c>
      <c r="H133" s="5" t="str">
        <f>IFERROR(__xludf.DUMMYFUNCTION("GOOGLETRANSLATE(C133, ""en"", ""hi"")"),"A) भारतीय कैरम महासंघ, B) विश्व कैरम महासंघ, C) अंतर्राष्ट्रीय कैरम संघ, D) एशियाई कैरम परिसंघ")</f>
        <v>A) भारतीय कैरम महासंघ, B) विश्व कैरम महासंघ, C) अंतर्राष्ट्रीय कैरम संघ, D) एशियाई कैरम परिसंघ</v>
      </c>
      <c r="I133" s="5" t="str">
        <f>IFERROR(__xludf.DUMMYFUNCTION("GOOGLETRANSLATE(D133, ""en"", ""hi"")"),"बी) विश्व कैरम महासंघ")</f>
        <v>बी) विश्व कैरम महासंघ</v>
      </c>
    </row>
    <row r="134" ht="22.5" customHeight="1">
      <c r="A134" s="3">
        <v>133.0</v>
      </c>
      <c r="B134" s="4" t="s">
        <v>8011</v>
      </c>
      <c r="C134" s="4" t="s">
        <v>7941</v>
      </c>
      <c r="D134" s="4" t="s">
        <v>7942</v>
      </c>
      <c r="F134" s="5" t="str">
        <f>IFERROR(__xludf.DUMMYFUNCTION("GOOGLETRANSLATE(A134, ""en"", ""hi"")"),"133")</f>
        <v>133</v>
      </c>
      <c r="G134" s="5" t="str">
        <f>IFERROR(__xludf.DUMMYFUNCTION("GOOGLETRANSLATE(B134, ""en"", ""hi"")"),"किस दशक में कैरम को यूरोपीय देशों में व्यापक लोकप्रियता मिलनी शुरू हुई?")</f>
        <v>किस दशक में कैरम को यूरोपीय देशों में व्यापक लोकप्रियता मिलनी शुरू हुई?</v>
      </c>
      <c r="H134" s="5" t="str">
        <f>IFERROR(__xludf.DUMMYFUNCTION("GOOGLETRANSLATE(C134, ""en"", ""hi"")"),"ए) 1960 का दशक, बी) 1970 का दशक, सी) 1980 का दशक, डी) 1990 का दशक")</f>
        <v>ए) 1960 का दशक, बी) 1970 का दशक, सी) 1980 का दशक, डी) 1990 का दशक</v>
      </c>
      <c r="I134" s="5" t="str">
        <f>IFERROR(__xludf.DUMMYFUNCTION("GOOGLETRANSLATE(D134, ""en"", ""hi"")"),"सी) 1980 के दशक")</f>
        <v>सी) 1980 के दशक</v>
      </c>
    </row>
    <row r="135" ht="22.5" customHeight="1">
      <c r="A135" s="3">
        <v>134.0</v>
      </c>
      <c r="B135" s="4" t="s">
        <v>8012</v>
      </c>
      <c r="C135" s="4" t="s">
        <v>8013</v>
      </c>
      <c r="D135" s="4" t="s">
        <v>8014</v>
      </c>
      <c r="F135" s="5" t="str">
        <f>IFERROR(__xludf.DUMMYFUNCTION("GOOGLETRANSLATE(A135, ""en"", ""hi"")"),"134")</f>
        <v>134</v>
      </c>
      <c r="G135" s="5" t="str">
        <f>IFERROR(__xludf.DUMMYFUNCTION("GOOGLETRANSLATE(B135, ""en"", ""hi"")"),"भारत में पहली बार राष्ट्रीय कैरम चैंपियनशिप का आयोजन किस शहर में हुआ?")</f>
        <v>भारत में पहली बार राष्ट्रीय कैरम चैंपियनशिप का आयोजन किस शहर में हुआ?</v>
      </c>
      <c r="H135" s="5" t="str">
        <f>IFERROR(__xludf.DUMMYFUNCTION("GOOGLETRANSLATE(C135, ""en"", ""hi"")"),"ए) मुंबई, बी) दिल्ली, सी) चेन्नई, डी) कोलकाता")</f>
        <v>ए) मुंबई, बी) दिल्ली, सी) चेन्नई, डी) कोलकाता</v>
      </c>
      <c r="I135" s="5" t="str">
        <f>IFERROR(__xludf.DUMMYFUNCTION("GOOGLETRANSLATE(D135, ""en"", ""hi"")"),"C) चेन्नई")</f>
        <v>C) चेन्नई</v>
      </c>
    </row>
    <row r="136" ht="22.5" customHeight="1">
      <c r="A136" s="3">
        <v>135.0</v>
      </c>
      <c r="B136" s="4" t="s">
        <v>8015</v>
      </c>
      <c r="C136" s="4" t="s">
        <v>8016</v>
      </c>
      <c r="D136" s="4" t="s">
        <v>37</v>
      </c>
      <c r="F136" s="5" t="str">
        <f>IFERROR(__xludf.DUMMYFUNCTION("GOOGLETRANSLATE(A136, ""en"", ""hi"")"),"135")</f>
        <v>135</v>
      </c>
      <c r="G136" s="5" t="str">
        <f>IFERROR(__xludf.DUMMYFUNCTION("GOOGLETRANSLATE(B136, ""en"", ""hi"")"),"20वीं सदी के आरंभ में किस देश के आप्रवासी कैरम को मध्य पूर्व में लेकर आए?")</f>
        <v>20वीं सदी के आरंभ में किस देश के आप्रवासी कैरम को मध्य पूर्व में लेकर आए?</v>
      </c>
      <c r="H136" s="5" t="str">
        <f>IFERROR(__xludf.DUMMYFUNCTION("GOOGLETRANSLATE(C136, ""en"", ""hi"")"),"A) भारत, B) श्रीलंका, C) पाकिस्तान, D) बांग्लादेश")</f>
        <v>A) भारत, B) श्रीलंका, C) पाकिस्तान, D) बांग्लादेश</v>
      </c>
      <c r="I136" s="5" t="str">
        <f>IFERROR(__xludf.DUMMYFUNCTION("GOOGLETRANSLATE(D136, ""en"", ""hi"")"),"ए) भारत")</f>
        <v>ए) भारत</v>
      </c>
    </row>
    <row r="137" ht="22.5" customHeight="1">
      <c r="A137" s="3">
        <v>136.0</v>
      </c>
      <c r="B137" s="4" t="s">
        <v>8017</v>
      </c>
      <c r="C137" s="4" t="s">
        <v>2028</v>
      </c>
      <c r="D137" s="4" t="s">
        <v>7992</v>
      </c>
      <c r="F137" s="5" t="str">
        <f>IFERROR(__xludf.DUMMYFUNCTION("GOOGLETRANSLATE(A137, ""en"", ""hi"")"),"136")</f>
        <v>136</v>
      </c>
      <c r="G137" s="5" t="str">
        <f>IFERROR(__xludf.DUMMYFUNCTION("GOOGLETRANSLATE(B137, ""en"", ""hi"")"),"कैरम को पहली बार भारतीय खेल प्राधिकरण द्वारा आधिकारिक खेल के रूप में किस वर्ष मान्यता दी गई थी?")</f>
        <v>कैरम को पहली बार भारतीय खेल प्राधिकरण द्वारा आधिकारिक खेल के रूप में किस वर्ष मान्यता दी गई थी?</v>
      </c>
      <c r="H137" s="5" t="str">
        <f>IFERROR(__xludf.DUMMYFUNCTION("GOOGLETRANSLATE(C137, ""en"", ""hi"")"),"ए) 1975, बी) 1980, सी) 1985, डी) 1990")</f>
        <v>ए) 1975, बी) 1980, सी) 1985, डी) 1990</v>
      </c>
      <c r="I137" s="5" t="str">
        <f>IFERROR(__xludf.DUMMYFUNCTION("GOOGLETRANSLATE(D137, ""en"", ""hi"")"),"बी) 1980")</f>
        <v>बी) 1980</v>
      </c>
    </row>
    <row r="138" ht="22.5" customHeight="1">
      <c r="A138" s="3">
        <v>137.0</v>
      </c>
      <c r="B138" s="4" t="s">
        <v>8018</v>
      </c>
      <c r="C138" s="4" t="s">
        <v>8019</v>
      </c>
      <c r="D138" s="4" t="s">
        <v>8020</v>
      </c>
      <c r="F138" s="5" t="str">
        <f>IFERROR(__xludf.DUMMYFUNCTION("GOOGLETRANSLATE(A138, ""en"", ""hi"")"),"137")</f>
        <v>137</v>
      </c>
      <c r="G138" s="5" t="str">
        <f>IFERROR(__xludf.DUMMYFUNCTION("GOOGLETRANSLATE(B138, ""en"", ""hi"")"),"भारत में कैरम बोर्ड का बड़े पैमाने पर उत्पादन करने वाली पहली कंपनी कौन सी थी?")</f>
        <v>भारत में कैरम बोर्ड का बड़े पैमाने पर उत्पादन करने वाली पहली कंपनी कौन सी थी?</v>
      </c>
      <c r="H138" s="5" t="str">
        <f>IFERROR(__xludf.DUMMYFUNCTION("GOOGLETRANSLATE(C138, ""en"", ""hi"")"),"A) सुरको, B) सिंको, C) घोष, D) स्टार")</f>
        <v>A) सुरको, B) सिंको, C) घोष, D) स्टार</v>
      </c>
      <c r="I138" s="5" t="str">
        <f>IFERROR(__xludf.DUMMYFUNCTION("GOOGLETRANSLATE(D138, ""en"", ""hi"")"),"ए) सुरको")</f>
        <v>ए) सुरको</v>
      </c>
    </row>
    <row r="139" ht="22.5" customHeight="1">
      <c r="A139" s="3">
        <v>138.0</v>
      </c>
      <c r="B139" s="4" t="s">
        <v>8021</v>
      </c>
      <c r="C139" s="4" t="s">
        <v>8022</v>
      </c>
      <c r="D139" s="4" t="s">
        <v>7695</v>
      </c>
      <c r="F139" s="5" t="str">
        <f>IFERROR(__xludf.DUMMYFUNCTION("GOOGLETRANSLATE(A139, ""en"", ""hi"")"),"138")</f>
        <v>138</v>
      </c>
      <c r="G139" s="5" t="str">
        <f>IFERROR(__xludf.DUMMYFUNCTION("GOOGLETRANSLATE(B139, ""en"", ""hi"")"),"प्रथम कैरम विश्व चैम्पियनशिप किस वर्ष आयोजित की गई थी?")</f>
        <v>प्रथम कैरम विश्व चैम्पियनशिप किस वर्ष आयोजित की गई थी?</v>
      </c>
      <c r="H139" s="5" t="str">
        <f>IFERROR(__xludf.DUMMYFUNCTION("GOOGLETRANSLATE(C139, ""en"", ""hi"")"),"ए) 1980, बी) 1985, सी) 1991, डी) 1997")</f>
        <v>ए) 1980, बी) 1985, सी) 1991, डी) 1997</v>
      </c>
      <c r="I139" s="5" t="str">
        <f>IFERROR(__xludf.DUMMYFUNCTION("GOOGLETRANSLATE(D139, ""en"", ""hi"")"),"सी) 1991")</f>
        <v>सी) 1991</v>
      </c>
    </row>
    <row r="140" ht="22.5" customHeight="1">
      <c r="A140" s="3">
        <v>139.0</v>
      </c>
      <c r="B140" s="4" t="s">
        <v>8023</v>
      </c>
      <c r="C140" s="4" t="s">
        <v>8024</v>
      </c>
      <c r="D140" s="4" t="s">
        <v>205</v>
      </c>
      <c r="F140" s="5" t="str">
        <f>IFERROR(__xludf.DUMMYFUNCTION("GOOGLETRANSLATE(A140, ""en"", ""hi"")"),"139")</f>
        <v>139</v>
      </c>
      <c r="G140" s="5" t="str">
        <f>IFERROR(__xludf.DUMMYFUNCTION("GOOGLETRANSLATE(B140, ""en"", ""hi"")"),"कौन सा भारतीय राज्य इतिहास में कुछ सर्वश्रेष्ठ कैरम खिलाड़ियों को पैदा करने के लिए जाना जाता है?")</f>
        <v>कौन सा भारतीय राज्य इतिहास में कुछ सर्वश्रेष्ठ कैरम खिलाड़ियों को पैदा करने के लिए जाना जाता है?</v>
      </c>
      <c r="H140" s="5" t="str">
        <f>IFERROR(__xludf.DUMMYFUNCTION("GOOGLETRANSLATE(C140, ""en"", ""hi"")"),"ए) तमिलनाडु, बी) महाराष्ट्र, सी) केरल, डी) कर्नाटक")</f>
        <v>ए) तमिलनाडु, बी) महाराष्ट्र, सी) केरल, डी) कर्नाटक</v>
      </c>
      <c r="I140" s="5" t="str">
        <f>IFERROR(__xludf.DUMMYFUNCTION("GOOGLETRANSLATE(D140, ""en"", ""hi"")"),"A) तमिलनाडु")</f>
        <v>A) तमिलनाडु</v>
      </c>
    </row>
    <row r="141" ht="22.5" customHeight="1">
      <c r="A141" s="3">
        <v>140.0</v>
      </c>
      <c r="B141" s="4" t="s">
        <v>8025</v>
      </c>
      <c r="C141" s="4" t="s">
        <v>8026</v>
      </c>
      <c r="D141" s="4" t="s">
        <v>7771</v>
      </c>
      <c r="F141" s="5" t="str">
        <f>IFERROR(__xludf.DUMMYFUNCTION("GOOGLETRANSLATE(A141, ""en"", ""hi"")"),"140")</f>
        <v>140</v>
      </c>
      <c r="G141" s="5" t="str">
        <f>IFERROR(__xludf.DUMMYFUNCTION("GOOGLETRANSLATE(B141, ""en"", ""hi"")"),"किस यूरोपीय देश ने सबसे पहले राष्ट्रीय कैरम संघ का गठन किया?")</f>
        <v>किस यूरोपीय देश ने सबसे पहले राष्ट्रीय कैरम संघ का गठन किया?</v>
      </c>
      <c r="H141" s="5" t="str">
        <f>IFERROR(__xludf.DUMMYFUNCTION("GOOGLETRANSLATE(C141, ""en"", ""hi"")"),"A) जर्मनी, B) फ्रांस, C) इटली, D) स्विट्जरलैंड")</f>
        <v>A) जर्मनी, B) फ्रांस, C) इटली, D) स्विट्जरलैंड</v>
      </c>
      <c r="I141" s="5" t="str">
        <f>IFERROR(__xludf.DUMMYFUNCTION("GOOGLETRANSLATE(D141, ""en"", ""hi"")"),"ए) जर्मनी")</f>
        <v>ए) जर्मनी</v>
      </c>
    </row>
    <row r="142" ht="22.5" customHeight="1">
      <c r="A142" s="3">
        <v>141.0</v>
      </c>
      <c r="B142" s="4" t="s">
        <v>8027</v>
      </c>
      <c r="C142" s="4" t="s">
        <v>54</v>
      </c>
      <c r="D142" s="4" t="s">
        <v>55</v>
      </c>
      <c r="F142" s="5" t="str">
        <f>IFERROR(__xludf.DUMMYFUNCTION("GOOGLETRANSLATE(A142, ""en"", ""hi"")"),"141")</f>
        <v>141</v>
      </c>
      <c r="G142" s="5" t="str">
        <f>IFERROR(__xludf.DUMMYFUNCTION("GOOGLETRANSLATE(B142, ""en"", ""hi"")"),"भारत में कैरम प्रतियोगिताओं का नियमित प्रसारण किस दशक में शुरू हुआ?")</f>
        <v>भारत में कैरम प्रतियोगिताओं का नियमित प्रसारण किस दशक में शुरू हुआ?</v>
      </c>
      <c r="H142" s="5" t="str">
        <f>IFERROR(__xludf.DUMMYFUNCTION("GOOGLETRANSLATE(C142, ""en"", ""hi"")"),"ए) 1970 का दशक, बी) 1980 का दशक, सी) 1990 का दशक, डी) 2000 का दशक")</f>
        <v>ए) 1970 का दशक, बी) 1980 का दशक, सी) 1990 का दशक, डी) 2000 का दशक</v>
      </c>
      <c r="I142" s="5" t="str">
        <f>IFERROR(__xludf.DUMMYFUNCTION("GOOGLETRANSLATE(D142, ""en"", ""hi"")"),"सी) 1990 के दशक")</f>
        <v>सी) 1990 के दशक</v>
      </c>
    </row>
    <row r="143" ht="22.5" customHeight="1">
      <c r="A143" s="3">
        <v>142.0</v>
      </c>
      <c r="B143" s="4" t="s">
        <v>8028</v>
      </c>
      <c r="C143" s="4" t="s">
        <v>8029</v>
      </c>
      <c r="D143" s="4" t="s">
        <v>7891</v>
      </c>
      <c r="F143" s="5" t="str">
        <f>IFERROR(__xludf.DUMMYFUNCTION("GOOGLETRANSLATE(A143, ""en"", ""hi"")"),"142")</f>
        <v>142</v>
      </c>
      <c r="G143" s="5" t="str">
        <f>IFERROR(__xludf.DUMMYFUNCTION("GOOGLETRANSLATE(B143, ""en"", ""hi"")"),"प्रथम अंतर्राष्ट्रीय कैरम महासंघ की स्थापना किस वर्ष हुई थी?")</f>
        <v>प्रथम अंतर्राष्ट्रीय कैरम महासंघ की स्थापना किस वर्ष हुई थी?</v>
      </c>
      <c r="H143" s="5" t="str">
        <f>IFERROR(__xludf.DUMMYFUNCTION("GOOGLETRANSLATE(C143, ""en"", ""hi"")"),"ए) 1988, बी) 1991, सी) 1994, डी) 1996")</f>
        <v>ए) 1988, बी) 1991, सी) 1994, डी) 1996</v>
      </c>
      <c r="I143" s="5" t="str">
        <f>IFERROR(__xludf.DUMMYFUNCTION("GOOGLETRANSLATE(D143, ""en"", ""hi"")"),"ए) 1988")</f>
        <v>ए) 1988</v>
      </c>
    </row>
    <row r="144" ht="22.5" customHeight="1">
      <c r="A144" s="3">
        <v>143.0</v>
      </c>
      <c r="B144" s="4" t="s">
        <v>8030</v>
      </c>
      <c r="C144" s="4" t="s">
        <v>8031</v>
      </c>
      <c r="D144" s="4" t="s">
        <v>7706</v>
      </c>
      <c r="F144" s="5" t="str">
        <f>IFERROR(__xludf.DUMMYFUNCTION("GOOGLETRANSLATE(A144, ""en"", ""hi"")"),"143")</f>
        <v>143</v>
      </c>
      <c r="G144" s="5" t="str">
        <f>IFERROR(__xludf.DUMMYFUNCTION("GOOGLETRANSLATE(B144, ""en"", ""hi"")"),"कौन सा भारतीय कैरम खिलाड़ी 1991 में पहला विश्व चैंपियन बना?")</f>
        <v>कौन सा भारतीय कैरम खिलाड़ी 1991 में पहला विश्व चैंपियन बना?</v>
      </c>
      <c r="H144" s="5" t="str">
        <f>IFERROR(__xludf.DUMMYFUNCTION("GOOGLETRANSLATE(C144, ""en"", ""hi"")"),"ए) एंथोनी मारिया इरुदायम, बी) योगेश परदेशी, सी) ए शकूर, डी) रश्मी कुमारी")</f>
        <v>ए) एंथोनी मारिया इरुदायम, बी) योगेश परदेशी, सी) ए शकूर, डी) रश्मी कुमारी</v>
      </c>
      <c r="I144" s="5" t="str">
        <f>IFERROR(__xludf.DUMMYFUNCTION("GOOGLETRANSLATE(D144, ""en"", ""hi"")"),"A) एंथनी मारिया इरुदयम")</f>
        <v>A) एंथनी मारिया इरुदयम</v>
      </c>
    </row>
    <row r="145" ht="22.5" customHeight="1">
      <c r="A145" s="3">
        <v>144.0</v>
      </c>
      <c r="B145" s="4" t="s">
        <v>8032</v>
      </c>
      <c r="C145" s="4" t="s">
        <v>8033</v>
      </c>
      <c r="D145" s="4" t="s">
        <v>7774</v>
      </c>
      <c r="F145" s="5" t="str">
        <f>IFERROR(__xludf.DUMMYFUNCTION("GOOGLETRANSLATE(A145, ""en"", ""hi"")"),"144")</f>
        <v>144</v>
      </c>
      <c r="G145" s="5" t="str">
        <f>IFERROR(__xludf.DUMMYFUNCTION("GOOGLETRANSLATE(B145, ""en"", ""hi"")"),"पहला कैरम विश्व कप किस शहर में आयोजित हुआ था?")</f>
        <v>पहला कैरम विश्व कप किस शहर में आयोजित हुआ था?</v>
      </c>
      <c r="H145" s="5" t="str">
        <f>IFERROR(__xludf.DUMMYFUNCTION("GOOGLETRANSLATE(C145, ""en"", ""hi"")"),"A) कोलंबो, B) चेन्नई, C) ढाका, D) ज्यूरिख")</f>
        <v>A) कोलंबो, B) चेन्नई, C) ढाका, D) ज्यूरिख</v>
      </c>
      <c r="I145" s="5" t="str">
        <f>IFERROR(__xludf.DUMMYFUNCTION("GOOGLETRANSLATE(D145, ""en"", ""hi"")"),"D) ज्यूरिख")</f>
        <v>D) ज्यूरिख</v>
      </c>
    </row>
    <row r="146" ht="22.5" customHeight="1">
      <c r="A146" s="3">
        <v>145.0</v>
      </c>
      <c r="B146" s="4" t="s">
        <v>8034</v>
      </c>
      <c r="C146" s="4" t="s">
        <v>8035</v>
      </c>
      <c r="D146" s="4" t="s">
        <v>7931</v>
      </c>
      <c r="F146" s="5" t="str">
        <f>IFERROR(__xludf.DUMMYFUNCTION("GOOGLETRANSLATE(A146, ""en"", ""hi"")"),"145")</f>
        <v>145</v>
      </c>
      <c r="G146" s="5" t="str">
        <f>IFERROR(__xludf.DUMMYFUNCTION("GOOGLETRANSLATE(B146, ""en"", ""hi"")"),"अंतर्राष्ट्रीय कैरम टूर्नामेंट के प्रबंधन के लिए कौन सा संगठन जिम्मेदार है?")</f>
        <v>अंतर्राष्ट्रीय कैरम टूर्नामेंट के प्रबंधन के लिए कौन सा संगठन जिम्मेदार है?</v>
      </c>
      <c r="H146" s="5" t="str">
        <f>IFERROR(__xludf.DUMMYFUNCTION("GOOGLETRANSLATE(C146, ""en"", ""hi"")"),"A) अंतर्राष्ट्रीय कैरम महासंघ, B) विश्व कैरम महासंघ, C) एशियाई कैरम परिसंघ, D) अंतर्राष्ट्रीय इंडोर खेल महासंघ")</f>
        <v>A) अंतर्राष्ट्रीय कैरम महासंघ, B) विश्व कैरम महासंघ, C) एशियाई कैरम परिसंघ, D) अंतर्राष्ट्रीय इंडोर खेल महासंघ</v>
      </c>
      <c r="I146" s="5" t="str">
        <f>IFERROR(__xludf.DUMMYFUNCTION("GOOGLETRANSLATE(D146, ""en"", ""hi"")"),"बी) विश्व कैरम महासंघ")</f>
        <v>बी) विश्व कैरम महासंघ</v>
      </c>
    </row>
    <row r="147" ht="22.5" customHeight="1">
      <c r="A147" s="3">
        <v>146.0</v>
      </c>
      <c r="B147" s="4" t="s">
        <v>8036</v>
      </c>
      <c r="C147" s="4" t="s">
        <v>8037</v>
      </c>
      <c r="D147" s="4" t="s">
        <v>2261</v>
      </c>
      <c r="F147" s="5" t="str">
        <f>IFERROR(__xludf.DUMMYFUNCTION("GOOGLETRANSLATE(A147, ""en"", ""hi"")"),"146")</f>
        <v>146</v>
      </c>
      <c r="G147" s="5" t="str">
        <f>IFERROR(__xludf.DUMMYFUNCTION("GOOGLETRANSLATE(B147, ""en"", ""hi"")"),"किस वर्ष कैरम को श्रीलंका में आधिकारिक तौर पर मान्यता प्राप्त खेल बना दिया गया?")</f>
        <v>किस वर्ष कैरम को श्रीलंका में आधिकारिक तौर पर मान्यता प्राप्त खेल बना दिया गया?</v>
      </c>
      <c r="H147" s="5" t="str">
        <f>IFERROR(__xludf.DUMMYFUNCTION("GOOGLETRANSLATE(C147, ""en"", ""hi"")"),"ए) 1952, बी) 1965, सी) 1970, डी) 1975")</f>
        <v>ए) 1952, बी) 1965, सी) 1970, डी) 1975</v>
      </c>
      <c r="I147" s="5" t="str">
        <f>IFERROR(__xludf.DUMMYFUNCTION("GOOGLETRANSLATE(D147, ""en"", ""hi"")"),"सी) 1970")</f>
        <v>सी) 1970</v>
      </c>
    </row>
    <row r="148" ht="22.5" customHeight="1">
      <c r="A148" s="3">
        <v>147.0</v>
      </c>
      <c r="B148" s="4" t="s">
        <v>8038</v>
      </c>
      <c r="C148" s="4" t="s">
        <v>8039</v>
      </c>
      <c r="D148" s="4" t="s">
        <v>7790</v>
      </c>
      <c r="F148" s="5" t="str">
        <f>IFERROR(__xludf.DUMMYFUNCTION("GOOGLETRANSLATE(A148, ""en"", ""hi"")"),"147")</f>
        <v>147</v>
      </c>
      <c r="G148" s="5" t="str">
        <f>IFERROR(__xludf.DUMMYFUNCTION("GOOGLETRANSLATE(B148, ""en"", ""hi"")"),"कौन सा भारतीय कैरम खिलाड़ी लगातार दो विश्व खिताब जीतने वाला पहला खिलाड़ी था?")</f>
        <v>कौन सा भारतीय कैरम खिलाड़ी लगातार दो विश्व खिताब जीतने वाला पहला खिलाड़ी था?</v>
      </c>
      <c r="H148" s="5" t="str">
        <f>IFERROR(__xludf.DUMMYFUNCTION("GOOGLETRANSLATE(C148, ""en"", ""hi"")"),"ए) मारिया इरुदायम, बी) चामिल कूरे, सी) के. श्रीनिवास, डी) योगेश परदेशी")</f>
        <v>ए) मारिया इरुदायम, बी) चामिल कूरे, सी) के. श्रीनिवास, डी) योगेश परदेशी</v>
      </c>
      <c r="I148" s="5" t="str">
        <f>IFERROR(__xludf.DUMMYFUNCTION("GOOGLETRANSLATE(D148, ""en"", ""hi"")"),"A) मारिया इरुदयम")</f>
        <v>A) मारिया इरुदयम</v>
      </c>
    </row>
    <row r="149" ht="22.5" customHeight="1">
      <c r="A149" s="3">
        <v>148.0</v>
      </c>
      <c r="B149" s="4" t="s">
        <v>8040</v>
      </c>
      <c r="C149" s="4" t="s">
        <v>1821</v>
      </c>
      <c r="D149" s="4" t="s">
        <v>46</v>
      </c>
      <c r="F149" s="5" t="str">
        <f>IFERROR(__xludf.DUMMYFUNCTION("GOOGLETRANSLATE(A149, ""en"", ""hi"")"),"148")</f>
        <v>148</v>
      </c>
      <c r="G149" s="5" t="str">
        <f>IFERROR(__xludf.DUMMYFUNCTION("GOOGLETRANSLATE(B149, ""en"", ""hi"")"),"भारतीय ओलंपिक संघ ने कैरम को खेल के रूप में किस वर्ष मान्यता दी?")</f>
        <v>भारतीय ओलंपिक संघ ने कैरम को खेल के रूप में किस वर्ष मान्यता दी?</v>
      </c>
      <c r="H149" s="5" t="str">
        <f>IFERROR(__xludf.DUMMYFUNCTION("GOOGLETRANSLATE(C149, ""en"", ""hi"")"),"ए) 1978, बी) 1982, सी) 1986, डी) 1990")</f>
        <v>ए) 1978, बी) 1982, सी) 1986, डी) 1990</v>
      </c>
      <c r="I149" s="5" t="str">
        <f>IFERROR(__xludf.DUMMYFUNCTION("GOOGLETRANSLATE(D149, ""en"", ""hi"")"),"सी) 1986")</f>
        <v>सी) 1986</v>
      </c>
    </row>
    <row r="150" ht="22.5" customHeight="1">
      <c r="A150" s="3">
        <v>149.0</v>
      </c>
      <c r="B150" s="4" t="s">
        <v>8041</v>
      </c>
      <c r="C150" s="4" t="s">
        <v>7982</v>
      </c>
      <c r="D150" s="4" t="s">
        <v>7983</v>
      </c>
      <c r="F150" s="5" t="str">
        <f>IFERROR(__xludf.DUMMYFUNCTION("GOOGLETRANSLATE(A150, ""en"", ""hi"")"),"149")</f>
        <v>149</v>
      </c>
      <c r="G150" s="5" t="str">
        <f>IFERROR(__xludf.DUMMYFUNCTION("GOOGLETRANSLATE(B150, ""en"", ""hi"")"),"कैरम को भारत के स्कूलों में पहली बार किस दशक में शुरू किया गया था?")</f>
        <v>कैरम को भारत के स्कूलों में पहली बार किस दशक में शुरू किया गया था?</v>
      </c>
      <c r="H150" s="5" t="str">
        <f>IFERROR(__xludf.DUMMYFUNCTION("GOOGLETRANSLATE(C150, ""en"", ""hi"")"),"ए) 1930 का दशक, बी) 1940 का दशक, सी) 1950 का दशक, डी) 1960 का दशक")</f>
        <v>ए) 1930 का दशक, बी) 1940 का दशक, सी) 1950 का दशक, डी) 1960 का दशक</v>
      </c>
      <c r="I150" s="5" t="str">
        <f>IFERROR(__xludf.DUMMYFUNCTION("GOOGLETRANSLATE(D150, ""en"", ""hi"")"),"बी) 1940 के दशक")</f>
        <v>बी) 1940 के दशक</v>
      </c>
    </row>
    <row r="151" ht="22.5" customHeight="1">
      <c r="A151" s="3">
        <v>150.0</v>
      </c>
      <c r="B151" s="4" t="s">
        <v>8042</v>
      </c>
      <c r="C151" s="4" t="s">
        <v>8043</v>
      </c>
      <c r="D151" s="4" t="s">
        <v>7771</v>
      </c>
      <c r="F151" s="5" t="str">
        <f>IFERROR(__xludf.DUMMYFUNCTION("GOOGLETRANSLATE(A151, ""en"", ""hi"")"),"150")</f>
        <v>150</v>
      </c>
      <c r="G151" s="5" t="str">
        <f>IFERROR(__xludf.DUMMYFUNCTION("GOOGLETRANSLATE(B151, ""en"", ""hi"")"),"1996 में किस देश ने पहली बार कैरम यूरोपीय कप की मेजबानी की थी?")</f>
        <v>1996 में किस देश ने पहली बार कैरम यूरोपीय कप की मेजबानी की थी?</v>
      </c>
      <c r="H151" s="5" t="str">
        <f>IFERROR(__xludf.DUMMYFUNCTION("GOOGLETRANSLATE(C151, ""en"", ""hi"")"),"A) जर्मनी, B) फ्रांस, C) स्विट्जरलैंड, D) इटली")</f>
        <v>A) जर्मनी, B) फ्रांस, C) स्विट्जरलैंड, D) इटली</v>
      </c>
      <c r="I151" s="5" t="str">
        <f>IFERROR(__xludf.DUMMYFUNCTION("GOOGLETRANSLATE(D151, ""en"", ""hi"")"),"ए) जर्मनी")</f>
        <v>ए) जर्मनी</v>
      </c>
    </row>
    <row r="152" ht="22.5" customHeight="1">
      <c r="A152" s="3">
        <v>151.0</v>
      </c>
      <c r="B152" s="4" t="s">
        <v>8044</v>
      </c>
      <c r="C152" s="4" t="s">
        <v>7845</v>
      </c>
      <c r="D152" s="4" t="s">
        <v>8045</v>
      </c>
      <c r="F152" s="5" t="str">
        <f>IFERROR(__xludf.DUMMYFUNCTION("GOOGLETRANSLATE(A152, ""en"", ""hi"")"),"151")</f>
        <v>151</v>
      </c>
      <c r="G152" s="5" t="str">
        <f>IFERROR(__xludf.DUMMYFUNCTION("GOOGLETRANSLATE(B152, ""en"", ""hi"")"),"भारतीय कैरम महासंघ की स्थापना किस वर्ष हुई थी?")</f>
        <v>भारतीय कैरम महासंघ की स्थापना किस वर्ष हुई थी?</v>
      </c>
      <c r="H152" s="5" t="str">
        <f>IFERROR(__xludf.DUMMYFUNCTION("GOOGLETRANSLATE(C152, ""en"", ""hi"")"),"ए) 1956, बी) 1962, सी) 1968, डी) 1974")</f>
        <v>ए) 1956, बी) 1962, सी) 1968, डी) 1974</v>
      </c>
      <c r="I152" s="5" t="str">
        <f>IFERROR(__xludf.DUMMYFUNCTION("GOOGLETRANSLATE(D152, ""en"", ""hi"")"),"सी) 1968")</f>
        <v>सी) 1968</v>
      </c>
    </row>
    <row r="153" ht="22.5" customHeight="1">
      <c r="A153" s="3">
        <v>152.0</v>
      </c>
      <c r="B153" s="4" t="s">
        <v>8046</v>
      </c>
      <c r="C153" s="4" t="s">
        <v>8047</v>
      </c>
      <c r="D153" s="4" t="s">
        <v>8048</v>
      </c>
      <c r="F153" s="5" t="str">
        <f>IFERROR(__xludf.DUMMYFUNCTION("GOOGLETRANSLATE(A153, ""en"", ""hi"")"),"152")</f>
        <v>152</v>
      </c>
      <c r="G153" s="5" t="str">
        <f>IFERROR(__xludf.DUMMYFUNCTION("GOOGLETRANSLATE(B153, ""en"", ""hi"")"),"किस उल्लेखनीय भारतीय हस्ती ने 1970 के दशक में भारतीय सिनेमा के माध्यम से कैरम को लोकप्रिय बनाया?")</f>
        <v>किस उल्लेखनीय भारतीय हस्ती ने 1970 के दशक में भारतीय सिनेमा के माध्यम से कैरम को लोकप्रिय बनाया?</v>
      </c>
      <c r="H153" s="5" t="str">
        <f>IFERROR(__xludf.DUMMYFUNCTION("GOOGLETRANSLATE(C153, ""en"", ""hi"")"),"ए) अमिताभ बच्चन, बी) राज कपूर, सी) धर्मेंद्र, डी) हेमा मालिनी")</f>
        <v>ए) अमिताभ बच्चन, बी) राज कपूर, सी) धर्मेंद्र, डी) हेमा मालिनी</v>
      </c>
      <c r="I153" s="5" t="str">
        <f>IFERROR(__xludf.DUMMYFUNCTION("GOOGLETRANSLATE(D153, ""en"", ""hi"")"),"A) अमिताभ बच्चन")</f>
        <v>A) अमिताभ बच्चन</v>
      </c>
    </row>
    <row r="154" ht="22.5" customHeight="1">
      <c r="A154" s="3">
        <v>153.0</v>
      </c>
      <c r="B154" s="4" t="s">
        <v>8049</v>
      </c>
      <c r="C154" s="4" t="s">
        <v>8050</v>
      </c>
      <c r="D154" s="4" t="s">
        <v>8051</v>
      </c>
      <c r="F154" s="5" t="str">
        <f>IFERROR(__xludf.DUMMYFUNCTION("GOOGLETRANSLATE(A154, ""en"", ""hi"")"),"153")</f>
        <v>153</v>
      </c>
      <c r="G154" s="5" t="str">
        <f>IFERROR(__xludf.DUMMYFUNCTION("GOOGLETRANSLATE(B154, ""en"", ""hi"")"),"1980 के दशक के अंत में कैरम टूर्नामेंट किस दक्षिण पूर्व एशियाई देश में शुरू किए गए थे?")</f>
        <v>1980 के दशक के अंत में कैरम टूर्नामेंट किस दक्षिण पूर्व एशियाई देश में शुरू किए गए थे?</v>
      </c>
      <c r="H154" s="5" t="str">
        <f>IFERROR(__xludf.DUMMYFUNCTION("GOOGLETRANSLATE(C154, ""en"", ""hi"")"),"A) सिंगापुर, B) मलेशिया, C) थाईलैंड, D) इंडोनेशिया")</f>
        <v>A) सिंगापुर, B) मलेशिया, C) थाईलैंड, D) इंडोनेशिया</v>
      </c>
      <c r="I154" s="5" t="str">
        <f>IFERROR(__xludf.DUMMYFUNCTION("GOOGLETRANSLATE(D154, ""en"", ""hi"")"),"ए) सिंगापुर")</f>
        <v>ए) सिंगापुर</v>
      </c>
    </row>
    <row r="155" ht="22.5" customHeight="1">
      <c r="A155" s="3">
        <v>154.0</v>
      </c>
      <c r="B155" s="4" t="s">
        <v>8052</v>
      </c>
      <c r="C155" s="4" t="s">
        <v>8053</v>
      </c>
      <c r="D155" s="4" t="s">
        <v>7730</v>
      </c>
      <c r="F155" s="5" t="str">
        <f>IFERROR(__xludf.DUMMYFUNCTION("GOOGLETRANSLATE(A155, ""en"", ""hi"")"),"154")</f>
        <v>154</v>
      </c>
      <c r="G155" s="5" t="str">
        <f>IFERROR(__xludf.DUMMYFUNCTION("GOOGLETRANSLATE(B155, ""en"", ""hi"")"),"1998 में कैरम विश्व कप की मेजबानी किस यूरोपीय देश ने की थी?")</f>
        <v>1998 में कैरम विश्व कप की मेजबानी किस यूरोपीय देश ने की थी?</v>
      </c>
      <c r="H155" s="5" t="str">
        <f>IFERROR(__xludf.DUMMYFUNCTION("GOOGLETRANSLATE(C155, ""en"", ""hi"")"),"A) स्विट्जरलैंड, B) जर्मनी, C) फ्रांस, D) यूके")</f>
        <v>A) स्विट्जरलैंड, B) जर्मनी, C) फ्रांस, D) यूके</v>
      </c>
      <c r="I155" s="5" t="str">
        <f>IFERROR(__xludf.DUMMYFUNCTION("GOOGLETRANSLATE(D155, ""en"", ""hi"")"),"बी) जर्मनी")</f>
        <v>बी) जर्मनी</v>
      </c>
    </row>
    <row r="156" ht="22.5" customHeight="1">
      <c r="A156" s="3">
        <v>155.0</v>
      </c>
      <c r="B156" s="4" t="s">
        <v>8054</v>
      </c>
      <c r="C156" s="4" t="s">
        <v>8055</v>
      </c>
      <c r="D156" s="4" t="s">
        <v>8056</v>
      </c>
      <c r="F156" s="5" t="str">
        <f>IFERROR(__xludf.DUMMYFUNCTION("GOOGLETRANSLATE(A156, ""en"", ""hi"")"),"155")</f>
        <v>155</v>
      </c>
      <c r="G156" s="5" t="str">
        <f>IFERROR(__xludf.DUMMYFUNCTION("GOOGLETRANSLATE(B156, ""en"", ""hi"")"),"कैरम प्रतियोगिताएं राष्ट्रमंडल खेल महासंघ में किस वर्ष शुरू की गईं?")</f>
        <v>कैरम प्रतियोगिताएं राष्ट्रमंडल खेल महासंघ में किस वर्ष शुरू की गईं?</v>
      </c>
      <c r="H156" s="5" t="str">
        <f>IFERROR(__xludf.DUMMYFUNCTION("GOOGLETRANSLATE(C156, ""en"", ""hi"")"),"ए) 1982, बी) 1990, सी) 1994, डी) 1998")</f>
        <v>ए) 1982, बी) 1990, सी) 1994, डी) 1998</v>
      </c>
      <c r="I156" s="5" t="str">
        <f>IFERROR(__xludf.DUMMYFUNCTION("GOOGLETRANSLATE(D156, ""en"", ""hi"")"),"सी) 1994")</f>
        <v>सी) 1994</v>
      </c>
    </row>
    <row r="157" ht="22.5" customHeight="1">
      <c r="A157" s="3">
        <v>156.0</v>
      </c>
      <c r="B157" s="4" t="s">
        <v>8057</v>
      </c>
      <c r="C157" s="4" t="s">
        <v>8058</v>
      </c>
      <c r="D157" s="4" t="s">
        <v>8059</v>
      </c>
      <c r="F157" s="5" t="str">
        <f>IFERROR(__xludf.DUMMYFUNCTION("GOOGLETRANSLATE(A157, ""en"", ""hi"")"),"156")</f>
        <v>156</v>
      </c>
      <c r="G157" s="5" t="str">
        <f>IFERROR(__xludf.DUMMYFUNCTION("GOOGLETRANSLATE(B157, ""en"", ""hi"")"),"प्रथम भारतीय कैरम विश्व कप विजेता का ताज किस वर्ष पहनाया गया था?")</f>
        <v>प्रथम भारतीय कैरम विश्व कप विजेता का ताज किस वर्ष पहनाया गया था?</v>
      </c>
      <c r="H157" s="5" t="str">
        <f>IFERROR(__xludf.DUMMYFUNCTION("GOOGLETRANSLATE(C157, ""en"", ""hi"")"),"ए) 1991, बी) 1993, सी) 1995, डी) 1997")</f>
        <v>ए) 1991, बी) 1993, सी) 1995, डी) 1997</v>
      </c>
      <c r="I157" s="5" t="str">
        <f>IFERROR(__xludf.DUMMYFUNCTION("GOOGLETRANSLATE(D157, ""en"", ""hi"")"),"ए) 1991")</f>
        <v>ए) 1991</v>
      </c>
    </row>
    <row r="158" ht="22.5" customHeight="1">
      <c r="A158" s="3">
        <v>157.0</v>
      </c>
      <c r="B158" s="4" t="s">
        <v>8060</v>
      </c>
      <c r="C158" s="4" t="s">
        <v>8061</v>
      </c>
      <c r="D158" s="4" t="s">
        <v>8062</v>
      </c>
      <c r="F158" s="5" t="str">
        <f>IFERROR(__xludf.DUMMYFUNCTION("GOOGLETRANSLATE(A158, ""en"", ""hi"")"),"157")</f>
        <v>157</v>
      </c>
      <c r="G158" s="5" t="str">
        <f>IFERROR(__xludf.DUMMYFUNCTION("GOOGLETRANSLATE(B158, ""en"", ""hi"")"),"अखिल एशियाई कैरम टूर्नामेंट की मेजबानी करने वाला पहला शहर कौन सा था?")</f>
        <v>अखिल एशियाई कैरम टूर्नामेंट की मेजबानी करने वाला पहला शहर कौन सा था?</v>
      </c>
      <c r="H158" s="5" t="str">
        <f>IFERROR(__xludf.DUMMYFUNCTION("GOOGLETRANSLATE(C158, ""en"", ""hi"")"),"ए) कोलंबो, बी) चेन्नई, सी) ढाका, डी) कराची")</f>
        <v>ए) कोलंबो, बी) चेन्नई, सी) ढाका, डी) कराची</v>
      </c>
      <c r="I158" s="5" t="str">
        <f>IFERROR(__xludf.DUMMYFUNCTION("GOOGLETRANSLATE(D158, ""en"", ""hi"")"),"C) ढाका")</f>
        <v>C) ढाका</v>
      </c>
    </row>
    <row r="159" ht="22.5" customHeight="1">
      <c r="A159" s="3">
        <v>158.0</v>
      </c>
      <c r="B159" s="4" t="s">
        <v>8063</v>
      </c>
      <c r="C159" s="4" t="s">
        <v>8064</v>
      </c>
      <c r="D159" s="4" t="s">
        <v>8065</v>
      </c>
      <c r="F159" s="5" t="str">
        <f>IFERROR(__xludf.DUMMYFUNCTION("GOOGLETRANSLATE(A159, ""en"", ""hi"")"),"158")</f>
        <v>158</v>
      </c>
      <c r="G159" s="5" t="str">
        <f>IFERROR(__xludf.DUMMYFUNCTION("GOOGLETRANSLATE(B159, ""en"", ""hi"")"),"पहली कैरम एशियाई चैम्पियनशिप किस वर्ष आयोजित की गई थी?")</f>
        <v>पहली कैरम एशियाई चैम्पियनशिप किस वर्ष आयोजित की गई थी?</v>
      </c>
      <c r="H159" s="5" t="str">
        <f>IFERROR(__xludf.DUMMYFUNCTION("GOOGLETRANSLATE(C159, ""en"", ""hi"")"),"ए) 1991, बी) 1994, सी) 1997, डी) 2000")</f>
        <v>ए) 1991, बी) 1994, सी) 1997, डी) 2000</v>
      </c>
      <c r="I159" s="5" t="str">
        <f>IFERROR(__xludf.DUMMYFUNCTION("GOOGLETRANSLATE(D159, ""en"", ""hi"")"),"बी) 1994")</f>
        <v>बी) 1994</v>
      </c>
    </row>
    <row r="160" ht="22.5" customHeight="1">
      <c r="A160" s="3">
        <v>159.0</v>
      </c>
      <c r="B160" s="4" t="s">
        <v>8066</v>
      </c>
      <c r="C160" s="4" t="s">
        <v>8067</v>
      </c>
      <c r="D160" s="4" t="s">
        <v>7695</v>
      </c>
      <c r="F160" s="5" t="str">
        <f>IFERROR(__xludf.DUMMYFUNCTION("GOOGLETRANSLATE(A160, ""en"", ""hi"")"),"159")</f>
        <v>159</v>
      </c>
      <c r="G160" s="5" t="str">
        <f>IFERROR(__xludf.DUMMYFUNCTION("GOOGLETRANSLATE(B160, ""en"", ""hi"")"),"कैरम पहली बार किस वर्ष दक्षिण एशियाई खेलों का हिस्सा बना?")</f>
        <v>कैरम पहली बार किस वर्ष दक्षिण एशियाई खेलों का हिस्सा बना?</v>
      </c>
      <c r="H160" s="5" t="str">
        <f>IFERROR(__xludf.DUMMYFUNCTION("GOOGLETRANSLATE(C160, ""en"", ""hi"")"),"ए) 1984, बी) 1987, सी) 1991, डी) 1995")</f>
        <v>ए) 1984, बी) 1987, सी) 1991, डी) 1995</v>
      </c>
      <c r="I160" s="5" t="str">
        <f>IFERROR(__xludf.DUMMYFUNCTION("GOOGLETRANSLATE(D160, ""en"", ""hi"")"),"सी) 1991")</f>
        <v>सी) 1991</v>
      </c>
    </row>
    <row r="161" ht="22.5" customHeight="1">
      <c r="A161" s="3">
        <v>160.0</v>
      </c>
      <c r="B161" s="4" t="s">
        <v>8068</v>
      </c>
      <c r="C161" s="4" t="s">
        <v>8069</v>
      </c>
      <c r="D161" s="4" t="s">
        <v>8070</v>
      </c>
      <c r="F161" s="5" t="str">
        <f>IFERROR(__xludf.DUMMYFUNCTION("GOOGLETRANSLATE(A161, ""en"", ""hi"")"),"160")</f>
        <v>160</v>
      </c>
      <c r="G161" s="5" t="str">
        <f>IFERROR(__xludf.DUMMYFUNCTION("GOOGLETRANSLATE(B161, ""en"", ""hi"")"),"महिलाओं के लिए पहली कैरम विश्व चैम्पियनशिप किस वर्ष आयोजित की गई थी?")</f>
        <v>महिलाओं के लिए पहली कैरम विश्व चैम्पियनशिप किस वर्ष आयोजित की गई थी?</v>
      </c>
      <c r="H161" s="5" t="str">
        <f>IFERROR(__xludf.DUMMYFUNCTION("GOOGLETRANSLATE(C161, ""en"", ""hi"")"),"ए) 1996, बी) 1998, सी) 2000, डी) 2002")</f>
        <v>ए) 1996, बी) 1998, सी) 2000, डी) 2002</v>
      </c>
      <c r="I161" s="5" t="str">
        <f>IFERROR(__xludf.DUMMYFUNCTION("GOOGLETRANSLATE(D161, ""en"", ""hi"")"),"ए) 1996")</f>
        <v>ए) 1996</v>
      </c>
    </row>
    <row r="162" ht="22.5" customHeight="1">
      <c r="A162" s="3">
        <v>161.0</v>
      </c>
      <c r="B162" s="4" t="s">
        <v>8071</v>
      </c>
      <c r="C162" s="4" t="s">
        <v>8072</v>
      </c>
      <c r="D162" s="4" t="s">
        <v>8073</v>
      </c>
      <c r="F162" s="5" t="str">
        <f>IFERROR(__xludf.DUMMYFUNCTION("GOOGLETRANSLATE(A162, ""en"", ""hi"")"),"161")</f>
        <v>161</v>
      </c>
      <c r="G162" s="5" t="str">
        <f>IFERROR(__xludf.DUMMYFUNCTION("GOOGLETRANSLATE(B162, ""en"", ""hi"")"),"भारत में पहली बार कैरम आधिकारिक स्कूल स्तर के टूर्नामेंट में किस वर्ष खेला गया था?")</f>
        <v>भारत में पहली बार कैरम आधिकारिक स्कूल स्तर के टूर्नामेंट में किस वर्ष खेला गया था?</v>
      </c>
      <c r="H162" s="5" t="str">
        <f>IFERROR(__xludf.DUMMYFUNCTION("GOOGLETRANSLATE(C162, ""en"", ""hi"")"),"ए) 1952, बी) 1960, सी) 1972, डी) 1980")</f>
        <v>ए) 1952, बी) 1960, सी) 1972, डी) 1980</v>
      </c>
      <c r="I162" s="5" t="str">
        <f>IFERROR(__xludf.DUMMYFUNCTION("GOOGLETRANSLATE(D162, ""en"", ""hi"")"),"बी) 1960")</f>
        <v>बी) 1960</v>
      </c>
    </row>
    <row r="163" ht="22.5" customHeight="1">
      <c r="A163" s="3">
        <v>162.0</v>
      </c>
      <c r="B163" s="4" t="s">
        <v>8074</v>
      </c>
      <c r="C163" s="4" t="s">
        <v>7979</v>
      </c>
      <c r="D163" s="4" t="s">
        <v>8075</v>
      </c>
      <c r="F163" s="5" t="str">
        <f>IFERROR(__xludf.DUMMYFUNCTION("GOOGLETRANSLATE(A163, ""en"", ""hi"")"),"162")</f>
        <v>162</v>
      </c>
      <c r="G163" s="5" t="str">
        <f>IFERROR(__xludf.DUMMYFUNCTION("GOOGLETRANSLATE(B163, ""en"", ""hi"")"),"भारत में कैरम बोर्ड का बड़े पैमाने पर उत्पादन और व्यवसायीकरण किस दशक से शुरू हुआ?")</f>
        <v>भारत में कैरम बोर्ड का बड़े पैमाने पर उत्पादन और व्यवसायीकरण किस दशक से शुरू हुआ?</v>
      </c>
      <c r="H163" s="5" t="str">
        <f>IFERROR(__xludf.DUMMYFUNCTION("GOOGLETRANSLATE(C163, ""en"", ""hi"")"),"ए) 1940 का दशक, बी) 1950 का दशक, सी) 1960 का दशक, डी) 1970 का दशक")</f>
        <v>ए) 1940 का दशक, बी) 1950 का दशक, सी) 1960 का दशक, डी) 1970 का दशक</v>
      </c>
      <c r="I163" s="5" t="str">
        <f>IFERROR(__xludf.DUMMYFUNCTION("GOOGLETRANSLATE(D163, ""en"", ""hi"")"),"बी) 1950 के दशक")</f>
        <v>बी) 1950 के दशक</v>
      </c>
    </row>
    <row r="164" ht="22.5" customHeight="1">
      <c r="A164" s="3">
        <v>163.0</v>
      </c>
      <c r="B164" s="4" t="s">
        <v>8076</v>
      </c>
      <c r="C164" s="4" t="s">
        <v>8077</v>
      </c>
      <c r="D164" s="4" t="s">
        <v>8078</v>
      </c>
      <c r="F164" s="5" t="str">
        <f>IFERROR(__xludf.DUMMYFUNCTION("GOOGLETRANSLATE(A164, ""en"", ""hi"")"),"163")</f>
        <v>163</v>
      </c>
      <c r="G164" s="5" t="str">
        <f>IFERROR(__xludf.DUMMYFUNCTION("GOOGLETRANSLATE(B164, ""en"", ""hi"")"),"वर्ष 2000 के बाद कौन सा देश अंतर्राष्ट्रीय कैरम स्पर्धाओं में प्रमुख प्रतियोगी बन गया?")</f>
        <v>वर्ष 2000 के बाद कौन सा देश अंतर्राष्ट्रीय कैरम स्पर्धाओं में प्रमुख प्रतियोगी बन गया?</v>
      </c>
      <c r="H164" s="5" t="str">
        <f>IFERROR(__xludf.DUMMYFUNCTION("GOOGLETRANSLATE(C164, ""en"", ""hi"")"),"A) मालदीव, B) बांग्लादेश, C) श्रीलंका, D) नेपाल")</f>
        <v>A) मालदीव, B) बांग्लादेश, C) श्रीलंका, D) नेपाल</v>
      </c>
      <c r="I164" s="5" t="str">
        <f>IFERROR(__xludf.DUMMYFUNCTION("GOOGLETRANSLATE(D164, ""en"", ""hi"")"),"A) मालदीव")</f>
        <v>A) मालदीव</v>
      </c>
    </row>
    <row r="165" ht="22.5" customHeight="1">
      <c r="A165" s="3">
        <v>164.0</v>
      </c>
      <c r="B165" s="4" t="s">
        <v>8079</v>
      </c>
      <c r="C165" s="4" t="s">
        <v>8080</v>
      </c>
      <c r="D165" s="4" t="s">
        <v>829</v>
      </c>
      <c r="F165" s="5" t="str">
        <f>IFERROR(__xludf.DUMMYFUNCTION("GOOGLETRANSLATE(A165, ""en"", ""hi"")"),"164")</f>
        <v>164</v>
      </c>
      <c r="G165" s="5" t="str">
        <f>IFERROR(__xludf.DUMMYFUNCTION("GOOGLETRANSLATE(B165, ""en"", ""hi"")"),"पहला कैरम मास्टर्स कप किस वर्ष आयोजित किया गया था?")</f>
        <v>पहला कैरम मास्टर्स कप किस वर्ष आयोजित किया गया था?</v>
      </c>
      <c r="H165" s="5" t="str">
        <f>IFERROR(__xludf.DUMMYFUNCTION("GOOGLETRANSLATE(C165, ""en"", ""hi"")"),"ए) 1998, बी) 2000, सी) 2003, डी) 2005")</f>
        <v>ए) 1998, बी) 2000, सी) 2003, डी) 2005</v>
      </c>
      <c r="I165" s="5" t="str">
        <f>IFERROR(__xludf.DUMMYFUNCTION("GOOGLETRANSLATE(D165, ""en"", ""hi"")"),"बी) 2000")</f>
        <v>बी) 2000</v>
      </c>
    </row>
    <row r="166" ht="22.5" customHeight="1">
      <c r="A166" s="3">
        <v>165.0</v>
      </c>
      <c r="B166" s="4" t="s">
        <v>8081</v>
      </c>
      <c r="C166" s="4" t="s">
        <v>8082</v>
      </c>
      <c r="D166" s="4" t="s">
        <v>8083</v>
      </c>
      <c r="F166" s="5" t="str">
        <f>IFERROR(__xludf.DUMMYFUNCTION("GOOGLETRANSLATE(A166, ""en"", ""hi"")"),"165")</f>
        <v>165</v>
      </c>
      <c r="G166" s="5" t="str">
        <f>IFERROR(__xludf.DUMMYFUNCTION("GOOGLETRANSLATE(B166, ""en"", ""hi"")"),"कैरम को पहली बार किस प्रमुख भारतीय फिल्म महोत्सव में पेश किया गया था?")</f>
        <v>कैरम को पहली बार किस प्रमुख भारतीय फिल्म महोत्सव में पेश किया गया था?</v>
      </c>
      <c r="H166" s="5" t="str">
        <f>IFERROR(__xludf.DUMMYFUNCTION("GOOGLETRANSLATE(C166, ""en"", ""hi"")"),"A) राष्ट्रीय फिल्म पुरस्कार, B) भारतीय अंतर्राष्ट्रीय फिल्म महोत्सव, C) मुंबई फिल्म महोत्सव, D) कोलकाता अंतर्राष्ट्रीय फिल्म महोत्सव")</f>
        <v>A) राष्ट्रीय फिल्म पुरस्कार, B) भारतीय अंतर्राष्ट्रीय फिल्म महोत्सव, C) मुंबई फिल्म महोत्सव, D) कोलकाता अंतर्राष्ट्रीय फिल्म महोत्सव</v>
      </c>
      <c r="I166" s="5" t="str">
        <f>IFERROR(__xludf.DUMMYFUNCTION("GOOGLETRANSLATE(D166, ""en"", ""hi"")"),"बी) भारतीय अंतर्राष्ट्रीय फिल्म महोत्सव")</f>
        <v>बी) भारतीय अंतर्राष्ट्रीय फिल्म महोत्सव</v>
      </c>
    </row>
    <row r="167" ht="22.5" customHeight="1">
      <c r="A167" s="3">
        <v>166.0</v>
      </c>
      <c r="B167" s="4" t="s">
        <v>8084</v>
      </c>
      <c r="C167" s="4" t="s">
        <v>8085</v>
      </c>
      <c r="D167" s="4" t="s">
        <v>8086</v>
      </c>
      <c r="F167" s="5" t="str">
        <f>IFERROR(__xludf.DUMMYFUNCTION("GOOGLETRANSLATE(A167, ""en"", ""hi"")"),"166")</f>
        <v>166</v>
      </c>
      <c r="G167" s="5" t="str">
        <f>IFERROR(__xludf.DUMMYFUNCTION("GOOGLETRANSLATE(B167, ""en"", ""hi"")"),"किस एशियाई देश ने 2000 के दशक के प्रारंभ में कैरम को अपने राष्ट्रीय खेल पाठ्यक्रम में शामिल किया?")</f>
        <v>किस एशियाई देश ने 2000 के दशक के प्रारंभ में कैरम को अपने राष्ट्रीय खेल पाठ्यक्रम में शामिल किया?</v>
      </c>
      <c r="H167" s="5" t="str">
        <f>IFERROR(__xludf.DUMMYFUNCTION("GOOGLETRANSLATE(C167, ""en"", ""hi"")"),"A) थाईलैंड, B) मलेशिया, C) सिंगापुर, D) इंडोनेशिया")</f>
        <v>A) थाईलैंड, B) मलेशिया, C) सिंगापुर, D) इंडोनेशिया</v>
      </c>
      <c r="I167" s="5" t="str">
        <f>IFERROR(__xludf.DUMMYFUNCTION("GOOGLETRANSLATE(D167, ""en"", ""hi"")"),"C) सिंगापुर")</f>
        <v>C) सिंगापुर</v>
      </c>
    </row>
    <row r="168" ht="22.5" customHeight="1">
      <c r="A168" s="3">
        <v>167.0</v>
      </c>
      <c r="B168" s="4" t="s">
        <v>8087</v>
      </c>
      <c r="C168" s="4" t="s">
        <v>8088</v>
      </c>
      <c r="D168" s="4" t="s">
        <v>8089</v>
      </c>
      <c r="F168" s="5" t="str">
        <f>IFERROR(__xludf.DUMMYFUNCTION("GOOGLETRANSLATE(A168, ""en"", ""hi"")"),"167")</f>
        <v>167</v>
      </c>
      <c r="G168" s="5" t="str">
        <f>IFERROR(__xludf.DUMMYFUNCTION("GOOGLETRANSLATE(B168, ""en"", ""hi"")"),"दक्षिण एशियाई खेलों में कैरम किस वर्ष एक नियमित आयोजन बन गया?")</f>
        <v>दक्षिण एशियाई खेलों में कैरम किस वर्ष एक नियमित आयोजन बन गया?</v>
      </c>
      <c r="H168" s="5" t="str">
        <f>IFERROR(__xludf.DUMMYFUNCTION("GOOGLETRANSLATE(C168, ""en"", ""hi"")"),"ए) 1984, बी) 1988, सी) 1990, डी) 1991")</f>
        <v>ए) 1984, बी) 1988, सी) 1990, डी) 1991</v>
      </c>
      <c r="I168" s="5" t="str">
        <f>IFERROR(__xludf.DUMMYFUNCTION("GOOGLETRANSLATE(D168, ""en"", ""hi"")"),"डी) 1991")</f>
        <v>डी) 1991</v>
      </c>
    </row>
    <row r="169" ht="22.5" customHeight="1">
      <c r="A169" s="3">
        <v>168.0</v>
      </c>
      <c r="B169" s="4" t="s">
        <v>8090</v>
      </c>
      <c r="C169" s="4" t="s">
        <v>8091</v>
      </c>
      <c r="D169" s="4" t="s">
        <v>8092</v>
      </c>
      <c r="F169" s="5" t="str">
        <f>IFERROR(__xludf.DUMMYFUNCTION("GOOGLETRANSLATE(A169, ""en"", ""hi"")"),"168")</f>
        <v>168</v>
      </c>
      <c r="G169" s="5" t="str">
        <f>IFERROR(__xludf.DUMMYFUNCTION("GOOGLETRANSLATE(B169, ""en"", ""hi"")"),"एशियाई कैरम चैम्पियनशिप जीतने वाले पहले भारतीय कैरम खिलाड़ी कौन थे?")</f>
        <v>एशियाई कैरम चैम्पियनशिप जीतने वाले पहले भारतीय कैरम खिलाड़ी कौन थे?</v>
      </c>
      <c r="H169" s="5" t="str">
        <f>IFERROR(__xludf.DUMMYFUNCTION("GOOGLETRANSLATE(C169, ""en"", ""hi"")"),"A) वी. के. गुप्ता, B) एंथनी मारिया इरुदयम, C) एम. एस. रमेश, D) ए. एस. बाबू")</f>
        <v>A) वी. के. गुप्ता, B) एंथनी मारिया इरुदयम, C) एम. एस. रमेश, D) ए. एस. बाबू</v>
      </c>
      <c r="I169" s="5" t="str">
        <f>IFERROR(__xludf.DUMMYFUNCTION("GOOGLETRANSLATE(D169, ""en"", ""hi"")"),"बी) एंथनी मारिया इरुदयम")</f>
        <v>बी) एंथनी मारिया इरुदयम</v>
      </c>
    </row>
    <row r="170" ht="22.5" customHeight="1">
      <c r="A170" s="3">
        <v>169.0</v>
      </c>
      <c r="B170" s="4" t="s">
        <v>8093</v>
      </c>
      <c r="C170" s="4" t="s">
        <v>8024</v>
      </c>
      <c r="D170" s="4" t="s">
        <v>205</v>
      </c>
      <c r="F170" s="5" t="str">
        <f>IFERROR(__xludf.DUMMYFUNCTION("GOOGLETRANSLATE(A170, ""en"", ""hi"")"),"169")</f>
        <v>169</v>
      </c>
      <c r="G170" s="5" t="str">
        <f>IFERROR(__xludf.DUMMYFUNCTION("GOOGLETRANSLATE(B170, ""en"", ""hi"")"),"1991 में किस भारतीय राज्य ने पहला कैरम विश्व कप आयोजित किया था?")</f>
        <v>1991 में किस भारतीय राज्य ने पहला कैरम विश्व कप आयोजित किया था?</v>
      </c>
      <c r="H170" s="5" t="str">
        <f>IFERROR(__xludf.DUMMYFUNCTION("GOOGLETRANSLATE(C170, ""en"", ""hi"")"),"ए) तमिलनाडु, बी) महाराष्ट्र, सी) केरल, डी) कर्नाटक")</f>
        <v>ए) तमिलनाडु, बी) महाराष्ट्र, सी) केरल, डी) कर्नाटक</v>
      </c>
      <c r="I170" s="5" t="str">
        <f>IFERROR(__xludf.DUMMYFUNCTION("GOOGLETRANSLATE(D170, ""en"", ""hi"")"),"A) तमिलनाडु")</f>
        <v>A) तमिलनाडु</v>
      </c>
    </row>
    <row r="171" ht="22.5" customHeight="1">
      <c r="A171" s="3">
        <v>170.0</v>
      </c>
      <c r="B171" s="4" t="s">
        <v>8094</v>
      </c>
      <c r="C171" s="4" t="s">
        <v>1901</v>
      </c>
      <c r="D171" s="4" t="s">
        <v>1902</v>
      </c>
      <c r="F171" s="5" t="str">
        <f>IFERROR(__xludf.DUMMYFUNCTION("GOOGLETRANSLATE(A171, ""en"", ""hi"")"),"170")</f>
        <v>170</v>
      </c>
      <c r="G171" s="5" t="str">
        <f>IFERROR(__xludf.DUMMYFUNCTION("GOOGLETRANSLATE(B171, ""en"", ""hi"")"),"मध्य पूर्व में पहला अंतर्राष्ट्रीय कैरम टूर्नामेंट किस वर्ष आयोजित किया गया था?")</f>
        <v>मध्य पूर्व में पहला अंतर्राष्ट्रीय कैरम टूर्नामेंट किस वर्ष आयोजित किया गया था?</v>
      </c>
      <c r="H171" s="5" t="str">
        <f>IFERROR(__xludf.DUMMYFUNCTION("GOOGLETRANSLATE(C171, ""en"", ""hi"")"),"ए) 1985, बी) 1990, सी) 1995, डी) 2000")</f>
        <v>ए) 1985, बी) 1990, सी) 1995, डी) 2000</v>
      </c>
      <c r="I171" s="5" t="str">
        <f>IFERROR(__xludf.DUMMYFUNCTION("GOOGLETRANSLATE(D171, ""en"", ""hi"")"),"सी) 1995")</f>
        <v>सी) 1995</v>
      </c>
    </row>
    <row r="172" ht="22.5" customHeight="1">
      <c r="A172" s="3">
        <v>171.0</v>
      </c>
      <c r="B172" s="4" t="s">
        <v>8095</v>
      </c>
      <c r="C172" s="4" t="s">
        <v>1880</v>
      </c>
      <c r="D172" s="4" t="s">
        <v>37</v>
      </c>
      <c r="F172" s="5" t="str">
        <f>IFERROR(__xludf.DUMMYFUNCTION("GOOGLETRANSLATE(A172, ""en"", ""hi"")"),"171")</f>
        <v>171</v>
      </c>
      <c r="G172" s="5" t="str">
        <f>IFERROR(__xludf.DUMMYFUNCTION("GOOGLETRANSLATE(B172, ""en"", ""hi"")"),"कौन सा देश अपने राष्ट्रीय स्कूल खेल कार्यक्रम के एक भाग के रूप में कैरम का उपयोग करने वाला पहला देश था?")</f>
        <v>कौन सा देश अपने राष्ट्रीय स्कूल खेल कार्यक्रम के एक भाग के रूप में कैरम का उपयोग करने वाला पहला देश था?</v>
      </c>
      <c r="H172" s="5" t="str">
        <f>IFERROR(__xludf.DUMMYFUNCTION("GOOGLETRANSLATE(C172, ""en"", ""hi"")"),"A) भारत, B) पाकिस्तान, C) श्रीलंका, D) बांग्लादेश")</f>
        <v>A) भारत, B) पाकिस्तान, C) श्रीलंका, D) बांग्लादेश</v>
      </c>
      <c r="I172" s="5" t="str">
        <f>IFERROR(__xludf.DUMMYFUNCTION("GOOGLETRANSLATE(D172, ""en"", ""hi"")"),"ए) भारत")</f>
        <v>ए) भारत</v>
      </c>
    </row>
    <row r="173" ht="22.5" customHeight="1">
      <c r="A173" s="3">
        <v>172.0</v>
      </c>
      <c r="B173" s="4" t="s">
        <v>8096</v>
      </c>
      <c r="C173" s="4" t="s">
        <v>7941</v>
      </c>
      <c r="D173" s="4" t="s">
        <v>8005</v>
      </c>
      <c r="F173" s="5" t="str">
        <f>IFERROR(__xludf.DUMMYFUNCTION("GOOGLETRANSLATE(A173, ""en"", ""hi"")"),"172")</f>
        <v>172</v>
      </c>
      <c r="G173" s="5" t="str">
        <f>IFERROR(__xludf.DUMMYFUNCTION("GOOGLETRANSLATE(B173, ""en"", ""hi"")"),"पहली कैरम नियम पुस्तिका किस दशक में मानकीकृत की गई थी?")</f>
        <v>पहली कैरम नियम पुस्तिका किस दशक में मानकीकृत की गई थी?</v>
      </c>
      <c r="H173" s="5" t="str">
        <f>IFERROR(__xludf.DUMMYFUNCTION("GOOGLETRANSLATE(C173, ""en"", ""hi"")"),"ए) 1960 का दशक, बी) 1970 का दशक, सी) 1980 का दशक, डी) 1990 का दशक")</f>
        <v>ए) 1960 का दशक, बी) 1970 का दशक, सी) 1980 का दशक, डी) 1990 का दशक</v>
      </c>
      <c r="I173" s="5" t="str">
        <f>IFERROR(__xludf.DUMMYFUNCTION("GOOGLETRANSLATE(D173, ""en"", ""hi"")"),"बी) 1970 के दशक")</f>
        <v>बी) 1970 के दशक</v>
      </c>
    </row>
    <row r="174" ht="22.5" customHeight="1">
      <c r="A174" s="3">
        <v>173.0</v>
      </c>
      <c r="B174" s="4" t="s">
        <v>8097</v>
      </c>
      <c r="C174" s="4" t="s">
        <v>1854</v>
      </c>
      <c r="D174" s="4" t="s">
        <v>1855</v>
      </c>
      <c r="F174" s="5" t="str">
        <f>IFERROR(__xludf.DUMMYFUNCTION("GOOGLETRANSLATE(A174, ""en"", ""hi"")"),"173")</f>
        <v>173</v>
      </c>
      <c r="G174" s="5" t="str">
        <f>IFERROR(__xludf.DUMMYFUNCTION("GOOGLETRANSLATE(B174, ""en"", ""hi"")"),"कैरम किस वर्ष भारत के राष्ट्रीय स्कूल खेलों में एक आधिकारिक खेल बन गया?")</f>
        <v>कैरम किस वर्ष भारत के राष्ट्रीय स्कूल खेलों में एक आधिकारिक खेल बन गया?</v>
      </c>
      <c r="H174" s="5" t="str">
        <f>IFERROR(__xludf.DUMMYFUNCTION("GOOGLETRANSLATE(C174, ""en"", ""hi"")"),"ए) 1970, बी) 1980, सी) 1990, डी) 2000")</f>
        <v>ए) 1970, बी) 1980, सी) 1990, डी) 2000</v>
      </c>
      <c r="I174" s="5" t="str">
        <f>IFERROR(__xludf.DUMMYFUNCTION("GOOGLETRANSLATE(D174, ""en"", ""hi"")"),"सी) 1990")</f>
        <v>सी) 1990</v>
      </c>
    </row>
    <row r="175" ht="22.5" customHeight="1">
      <c r="A175" s="3">
        <v>174.0</v>
      </c>
      <c r="B175" s="4" t="s">
        <v>8098</v>
      </c>
      <c r="C175" s="4" t="s">
        <v>4900</v>
      </c>
      <c r="D175" s="4" t="s">
        <v>5027</v>
      </c>
      <c r="F175" s="5" t="str">
        <f>IFERROR(__xludf.DUMMYFUNCTION("GOOGLETRANSLATE(A175, ""en"", ""hi"")"),"174")</f>
        <v>174</v>
      </c>
      <c r="G175" s="5" t="str">
        <f>IFERROR(__xludf.DUMMYFUNCTION("GOOGLETRANSLATE(B175, ""en"", ""hi"")"),"हॉल ऑफ फेम में शामिल होने वाला पहला अंतर्राष्ट्रीय कैरम खिलाड़ी किस देश से था?")</f>
        <v>हॉल ऑफ फेम में शामिल होने वाला पहला अंतर्राष्ट्रीय कैरम खिलाड़ी किस देश से था?</v>
      </c>
      <c r="H175" s="5" t="str">
        <f>IFERROR(__xludf.DUMMYFUNCTION("GOOGLETRANSLATE(C175, ""en"", ""hi"")"),"A) भारत, B) श्रीलंका, C) बांग्लादेश, D) पाकिस्तान")</f>
        <v>A) भारत, B) श्रीलंका, C) बांग्लादेश, D) पाकिस्तान</v>
      </c>
      <c r="I175" s="5" t="str">
        <f>IFERROR(__xludf.DUMMYFUNCTION("GOOGLETRANSLATE(D175, ""en"", ""hi"")"),"बी) श्रीलंका")</f>
        <v>बी) श्रीलंका</v>
      </c>
    </row>
    <row r="176" ht="22.5" customHeight="1">
      <c r="A176" s="3">
        <v>175.0</v>
      </c>
      <c r="B176" s="4" t="s">
        <v>8099</v>
      </c>
      <c r="C176" s="4" t="s">
        <v>7997</v>
      </c>
      <c r="D176" s="4" t="s">
        <v>561</v>
      </c>
      <c r="F176" s="5" t="str">
        <f>IFERROR(__xludf.DUMMYFUNCTION("GOOGLETRANSLATE(A176, ""en"", ""hi"")"),"175")</f>
        <v>175</v>
      </c>
      <c r="G176" s="5" t="str">
        <f>IFERROR(__xludf.DUMMYFUNCTION("GOOGLETRANSLATE(B176, ""en"", ""hi"")"),"कौन सा भारतीय शहर वार्षिक कैरम महोत्सव की मेजबानी के लिए जाना जाता है?")</f>
        <v>कौन सा भारतीय शहर वार्षिक कैरम महोत्सव की मेजबानी के लिए जाना जाता है?</v>
      </c>
      <c r="H176" s="5" t="str">
        <f>IFERROR(__xludf.DUMMYFUNCTION("GOOGLETRANSLATE(C176, ""en"", ""hi"")"),"ए) चेन्नई, बी) मुंबई, सी) दिल्ली, डी) कोलकाता")</f>
        <v>ए) चेन्नई, बी) मुंबई, सी) दिल्ली, डी) कोलकाता</v>
      </c>
      <c r="I176" s="5" t="str">
        <f>IFERROR(__xludf.DUMMYFUNCTION("GOOGLETRANSLATE(D176, ""en"", ""hi"")"),"ए) चेन्नई")</f>
        <v>ए) चेन्नई</v>
      </c>
    </row>
    <row r="177" ht="22.5" customHeight="1">
      <c r="A177" s="3">
        <v>176.0</v>
      </c>
      <c r="B177" s="4" t="s">
        <v>8100</v>
      </c>
      <c r="C177" s="4" t="s">
        <v>7982</v>
      </c>
      <c r="D177" s="4" t="s">
        <v>7983</v>
      </c>
      <c r="F177" s="5" t="str">
        <f>IFERROR(__xludf.DUMMYFUNCTION("GOOGLETRANSLATE(A177, ""en"", ""hi"")"),"176")</f>
        <v>176</v>
      </c>
      <c r="G177" s="5" t="str">
        <f>IFERROR(__xludf.DUMMYFUNCTION("GOOGLETRANSLATE(B177, ""en"", ""hi"")"),"कैरम बोर्ड का व्यावसायिक निर्माण पहली बार किस दशक में किया गया था?")</f>
        <v>कैरम बोर्ड का व्यावसायिक निर्माण पहली बार किस दशक में किया गया था?</v>
      </c>
      <c r="H177" s="5" t="str">
        <f>IFERROR(__xludf.DUMMYFUNCTION("GOOGLETRANSLATE(C177, ""en"", ""hi"")"),"ए) 1930 का दशक, बी) 1940 का दशक, सी) 1950 का दशक, डी) 1960 का दशक")</f>
        <v>ए) 1930 का दशक, बी) 1940 का दशक, सी) 1950 का दशक, डी) 1960 का दशक</v>
      </c>
      <c r="I177" s="5" t="str">
        <f>IFERROR(__xludf.DUMMYFUNCTION("GOOGLETRANSLATE(D177, ""en"", ""hi"")"),"बी) 1940 के दशक")</f>
        <v>बी) 1940 के दशक</v>
      </c>
    </row>
    <row r="178" ht="22.5" customHeight="1">
      <c r="A178" s="3">
        <v>177.0</v>
      </c>
      <c r="B178" s="4" t="s">
        <v>8101</v>
      </c>
      <c r="C178" s="4" t="s">
        <v>8102</v>
      </c>
      <c r="D178" s="4" t="s">
        <v>8103</v>
      </c>
      <c r="F178" s="5" t="str">
        <f>IFERROR(__xludf.DUMMYFUNCTION("GOOGLETRANSLATE(A178, ""en"", ""hi"")"),"177")</f>
        <v>177</v>
      </c>
      <c r="G178" s="5" t="str">
        <f>IFERROR(__xludf.DUMMYFUNCTION("GOOGLETRANSLATE(B178, ""en"", ""hi"")"),"किस कंपनी ने पहली बार कांच की सतह वाले कैरम बोर्ड पेश किए?")</f>
        <v>किस कंपनी ने पहली बार कांच की सतह वाले कैरम बोर्ड पेश किए?</v>
      </c>
      <c r="H178" s="5" t="str">
        <f>IFERROR(__xludf.DUMMYFUNCTION("GOOGLETRANSLATE(C178, ""en"", ""hi"")"),"A) सुरको, B) स्टार, C) सिंको, D) घोष")</f>
        <v>A) सुरको, B) स्टार, C) सिंको, D) घोष</v>
      </c>
      <c r="I178" s="5" t="str">
        <f>IFERROR(__xludf.DUMMYFUNCTION("GOOGLETRANSLATE(D178, ""en"", ""hi"")"),"बी) स्टार")</f>
        <v>बी) स्टार</v>
      </c>
    </row>
    <row r="179" ht="22.5" customHeight="1">
      <c r="A179" s="3">
        <v>178.0</v>
      </c>
      <c r="B179" s="4" t="s">
        <v>8104</v>
      </c>
      <c r="C179" s="4" t="s">
        <v>8069</v>
      </c>
      <c r="D179" s="4" t="s">
        <v>8070</v>
      </c>
      <c r="F179" s="5" t="str">
        <f>IFERROR(__xludf.DUMMYFUNCTION("GOOGLETRANSLATE(A179, ""en"", ""hi"")"),"178")</f>
        <v>178</v>
      </c>
      <c r="G179" s="5" t="str">
        <f>IFERROR(__xludf.DUMMYFUNCTION("GOOGLETRANSLATE(B179, ""en"", ""hi"")"),"महिलाओं के लिए पहला कैरम अंतर्राष्ट्रीय टूर्नामेंट किस वर्ष आयोजित किया गया था?")</f>
        <v>महिलाओं के लिए पहला कैरम अंतर्राष्ट्रीय टूर्नामेंट किस वर्ष आयोजित किया गया था?</v>
      </c>
      <c r="H179" s="5" t="str">
        <f>IFERROR(__xludf.DUMMYFUNCTION("GOOGLETRANSLATE(C179, ""en"", ""hi"")"),"ए) 1996, बी) 1998, सी) 2000, डी) 2002")</f>
        <v>ए) 1996, बी) 1998, सी) 2000, डी) 2002</v>
      </c>
      <c r="I179" s="5" t="str">
        <f>IFERROR(__xludf.DUMMYFUNCTION("GOOGLETRANSLATE(D179, ""en"", ""hi"")"),"ए) 1996")</f>
        <v>ए) 1996</v>
      </c>
    </row>
    <row r="180" ht="22.5" customHeight="1">
      <c r="A180" s="3">
        <v>179.0</v>
      </c>
      <c r="B180" s="4" t="s">
        <v>8105</v>
      </c>
      <c r="C180" s="4" t="s">
        <v>1955</v>
      </c>
      <c r="D180" s="4" t="s">
        <v>814</v>
      </c>
      <c r="F180" s="5" t="str">
        <f>IFERROR(__xludf.DUMMYFUNCTION("GOOGLETRANSLATE(A180, ""en"", ""hi"")"),"179")</f>
        <v>179</v>
      </c>
      <c r="G180" s="5" t="str">
        <f>IFERROR(__xludf.DUMMYFUNCTION("GOOGLETRANSLATE(B180, ""en"", ""hi"")"),"कैरम किस वर्ष एशियाई खेलों का हिस्सा बना?")</f>
        <v>कैरम किस वर्ष एशियाई खेलों का हिस्सा बना?</v>
      </c>
      <c r="H180" s="5" t="str">
        <f>IFERROR(__xludf.DUMMYFUNCTION("GOOGLETRANSLATE(C180, ""en"", ""hi"")"),"ए) 1986, बी) 1990, सी) 1994, डी) 1998")</f>
        <v>ए) 1986, बी) 1990, सी) 1994, डी) 1998</v>
      </c>
      <c r="I180" s="5" t="str">
        <f>IFERROR(__xludf.DUMMYFUNCTION("GOOGLETRANSLATE(D180, ""en"", ""hi"")"),"बी) 1990")</f>
        <v>बी) 1990</v>
      </c>
    </row>
    <row r="181" ht="22.5" customHeight="1">
      <c r="A181" s="3">
        <v>180.0</v>
      </c>
      <c r="B181" s="4" t="s">
        <v>8106</v>
      </c>
      <c r="C181" s="4" t="s">
        <v>8107</v>
      </c>
      <c r="D181" s="4" t="s">
        <v>8108</v>
      </c>
      <c r="F181" s="5" t="str">
        <f>IFERROR(__xludf.DUMMYFUNCTION("GOOGLETRANSLATE(A181, ""en"", ""hi"")"),"180")</f>
        <v>180</v>
      </c>
      <c r="G181" s="5" t="str">
        <f>IFERROR(__xludf.DUMMYFUNCTION("GOOGLETRANSLATE(B181, ""en"", ""hi"")"),"किस भारतीय खिलाड़ी ने 2000 में कैरम विश्व चैम्पियनशिप जीती?")</f>
        <v>किस भारतीय खिलाड़ी ने 2000 में कैरम विश्व चैम्पियनशिप जीती?</v>
      </c>
      <c r="H181" s="5" t="str">
        <f>IFERROR(__xludf.DUMMYFUNCTION("GOOGLETRANSLATE(C181, ""en"", ""hi"")"),"ए) मारिया इरुदयम, बी) योगेश परदेशी, सी) एंथोनी इरुदयम, डी) रश्मी कुमारी")</f>
        <v>ए) मारिया इरुदयम, बी) योगेश परदेशी, सी) एंथोनी इरुदयम, डी) रश्मी कुमारी</v>
      </c>
      <c r="I181" s="5" t="str">
        <f>IFERROR(__xludf.DUMMYFUNCTION("GOOGLETRANSLATE(D181, ""en"", ""hi"")"),"B) योगेश परदेशी")</f>
        <v>B) योगेश परदेशी</v>
      </c>
    </row>
    <row r="182" ht="22.5" customHeight="1">
      <c r="A182" s="3">
        <v>181.0</v>
      </c>
      <c r="B182" s="4" t="s">
        <v>8109</v>
      </c>
      <c r="C182" s="4" t="s">
        <v>24</v>
      </c>
      <c r="D182" s="4" t="s">
        <v>25</v>
      </c>
      <c r="F182" s="5" t="str">
        <f>IFERROR(__xludf.DUMMYFUNCTION("GOOGLETRANSLATE(A182, ""en"", ""hi"")"),"181")</f>
        <v>181</v>
      </c>
      <c r="G182" s="5" t="str">
        <f>IFERROR(__xludf.DUMMYFUNCTION("GOOGLETRANSLATE(B182, ""en"", ""hi"")"),"संयुक्त राज्य अमेरिका में पहला कैरम टूर्नामेंट किस वर्ष आयोजित किया गया था?")</f>
        <v>संयुक्त राज्य अमेरिका में पहला कैरम टूर्नामेंट किस वर्ष आयोजित किया गया था?</v>
      </c>
      <c r="H182" s="5" t="str">
        <f>IFERROR(__xludf.DUMMYFUNCTION("GOOGLETRANSLATE(C182, ""en"", ""hi"")"),"ए) 1980, बी) 1985, सी) 1990, डी) 1995")</f>
        <v>ए) 1980, बी) 1985, सी) 1990, डी) 1995</v>
      </c>
      <c r="I182" s="5" t="str">
        <f>IFERROR(__xludf.DUMMYFUNCTION("GOOGLETRANSLATE(D182, ""en"", ""hi"")"),"बी) 1985")</f>
        <v>बी) 1985</v>
      </c>
    </row>
    <row r="183" ht="22.5" customHeight="1">
      <c r="A183" s="3">
        <v>182.0</v>
      </c>
      <c r="B183" s="4" t="s">
        <v>8110</v>
      </c>
      <c r="C183" s="4" t="s">
        <v>1880</v>
      </c>
      <c r="D183" s="4" t="s">
        <v>5114</v>
      </c>
      <c r="F183" s="5" t="str">
        <f>IFERROR(__xludf.DUMMYFUNCTION("GOOGLETRANSLATE(A183, ""en"", ""hi"")"),"182")</f>
        <v>182</v>
      </c>
      <c r="G183" s="5" t="str">
        <f>IFERROR(__xludf.DUMMYFUNCTION("GOOGLETRANSLATE(B183, ""en"", ""hi"")"),"किस दक्षिण एशियाई देश ने पहली बार अपने राष्ट्रीय स्कूल पाठ्यक्रम में कैरम को शामिल किया?")</f>
        <v>किस दक्षिण एशियाई देश ने पहली बार अपने राष्ट्रीय स्कूल पाठ्यक्रम में कैरम को शामिल किया?</v>
      </c>
      <c r="H183" s="5" t="str">
        <f>IFERROR(__xludf.DUMMYFUNCTION("GOOGLETRANSLATE(C183, ""en"", ""hi"")"),"A) भारत, B) पाकिस्तान, C) श्रीलंका, D) बांग्लादेश")</f>
        <v>A) भारत, B) पाकिस्तान, C) श्रीलंका, D) बांग्लादेश</v>
      </c>
      <c r="I183" s="5" t="str">
        <f>IFERROR(__xludf.DUMMYFUNCTION("GOOGLETRANSLATE(D183, ""en"", ""hi"")"),"C) श्रीलंका")</f>
        <v>C) श्रीलंका</v>
      </c>
    </row>
    <row r="184" ht="22.5" customHeight="1">
      <c r="A184" s="3">
        <v>183.0</v>
      </c>
      <c r="B184" s="4" t="s">
        <v>8111</v>
      </c>
      <c r="C184" s="4" t="s">
        <v>8112</v>
      </c>
      <c r="D184" s="4" t="s">
        <v>8113</v>
      </c>
      <c r="F184" s="5" t="str">
        <f>IFERROR(__xludf.DUMMYFUNCTION("GOOGLETRANSLATE(A184, ""en"", ""hi"")"),"183")</f>
        <v>183</v>
      </c>
      <c r="G184" s="5" t="str">
        <f>IFERROR(__xludf.DUMMYFUNCTION("GOOGLETRANSLATE(B184, ""en"", ""hi"")"),"श्रीलंका का कैरम महासंघ किस वर्ष विश्व कैरम महासंघ का सदस्य बना?")</f>
        <v>श्रीलंका का कैरम महासंघ किस वर्ष विश्व कैरम महासंघ का सदस्य बना?</v>
      </c>
      <c r="H184" s="5" t="str">
        <f>IFERROR(__xludf.DUMMYFUNCTION("GOOGLETRANSLATE(C184, ""en"", ""hi"")"),"ए) 1985, बी) 1988, सी) 1991, डी) 1994")</f>
        <v>ए) 1985, बी) 1988, सी) 1991, डी) 1994</v>
      </c>
      <c r="I184" s="5" t="str">
        <f>IFERROR(__xludf.DUMMYFUNCTION("GOOGLETRANSLATE(D184, ""en"", ""hi"")"),"ए) 1985")</f>
        <v>ए) 1985</v>
      </c>
    </row>
    <row r="185" ht="22.5" customHeight="1">
      <c r="A185" s="3">
        <v>184.0</v>
      </c>
      <c r="B185" s="4" t="s">
        <v>8114</v>
      </c>
      <c r="C185" s="4" t="s">
        <v>8115</v>
      </c>
      <c r="D185" s="4" t="s">
        <v>172</v>
      </c>
      <c r="F185" s="5" t="str">
        <f>IFERROR(__xludf.DUMMYFUNCTION("GOOGLETRANSLATE(A185, ""en"", ""hi"")"),"184")</f>
        <v>184</v>
      </c>
      <c r="G185" s="5" t="str">
        <f>IFERROR(__xludf.DUMMYFUNCTION("GOOGLETRANSLATE(B185, ""en"", ""hi"")"),"किस भारतीय राज्य ने 1972 में पहली राष्ट्रीय कैरम चैंपियनशिप की मेजबानी की?")</f>
        <v>किस भारतीय राज्य ने 1972 में पहली राष्ट्रीय कैरम चैंपियनशिप की मेजबानी की?</v>
      </c>
      <c r="H185" s="5" t="str">
        <f>IFERROR(__xludf.DUMMYFUNCTION("GOOGLETRANSLATE(C185, ""en"", ""hi"")"),"ए) केरल, बी) तमिलनाडु, सी) महाराष्ट्र, डी) कर्नाटक")</f>
        <v>ए) केरल, बी) तमिलनाडु, सी) महाराष्ट्र, डी) कर्नाटक</v>
      </c>
      <c r="I185" s="5" t="str">
        <f>IFERROR(__xludf.DUMMYFUNCTION("GOOGLETRANSLATE(D185, ""en"", ""hi"")"),"A) केरल")</f>
        <v>A) केरल</v>
      </c>
    </row>
    <row r="186" ht="22.5" customHeight="1">
      <c r="A186" s="3">
        <v>185.0</v>
      </c>
      <c r="B186" s="4" t="s">
        <v>8116</v>
      </c>
      <c r="C186" s="4" t="s">
        <v>8117</v>
      </c>
      <c r="D186" s="4" t="s">
        <v>8118</v>
      </c>
      <c r="F186" s="5" t="str">
        <f>IFERROR(__xludf.DUMMYFUNCTION("GOOGLETRANSLATE(A186, ""en"", ""hi"")"),"185")</f>
        <v>185</v>
      </c>
      <c r="G186" s="5" t="str">
        <f>IFERROR(__xludf.DUMMYFUNCTION("GOOGLETRANSLATE(B186, ""en"", ""hi"")"),"कैरम बोर्ड को पहली बार किस प्रमुख भारतीय आयोजन के लिए खेल उपकरण सूची में शामिल किया गया था?")</f>
        <v>कैरम बोर्ड को पहली बार किस प्रमुख भारतीय आयोजन के लिए खेल उपकरण सूची में शामिल किया गया था?</v>
      </c>
      <c r="H186" s="5" t="str">
        <f>IFERROR(__xludf.DUMMYFUNCTION("GOOGLETRANSLATE(C186, ""en"", ""hi"")"),"A) अखिल भारतीय अंतर-विश्वविद्यालय खेल, B) राष्ट्रीय स्कूल खेल, C) भारतीय राष्ट्रीय खेल, D) भारतीय खेल महोत्सव")</f>
        <v>A) अखिल भारतीय अंतर-विश्वविद्यालय खेल, B) राष्ट्रीय स्कूल खेल, C) भारतीय राष्ट्रीय खेल, D) भारतीय खेल महोत्सव</v>
      </c>
      <c r="I186" s="5" t="str">
        <f>IFERROR(__xludf.DUMMYFUNCTION("GOOGLETRANSLATE(D186, ""en"", ""hi"")"),"बी) राष्ट्रीय स्कूल खेल")</f>
        <v>बी) राष्ट्रीय स्कूल खेल</v>
      </c>
    </row>
    <row r="187" ht="22.5" customHeight="1">
      <c r="A187" s="3">
        <v>186.0</v>
      </c>
      <c r="B187" s="4" t="s">
        <v>8119</v>
      </c>
      <c r="C187" s="4" t="s">
        <v>7997</v>
      </c>
      <c r="D187" s="4" t="s">
        <v>2107</v>
      </c>
      <c r="F187" s="5" t="str">
        <f>IFERROR(__xludf.DUMMYFUNCTION("GOOGLETRANSLATE(A187, ""en"", ""hi"")"),"186")</f>
        <v>186</v>
      </c>
      <c r="G187" s="5" t="str">
        <f>IFERROR(__xludf.DUMMYFUNCTION("GOOGLETRANSLATE(B187, ""en"", ""hi"")"),"कौन सा भारतीय शहर पहली कैरम प्रशिक्षण अकादमी के लिए जाना जाता है?")</f>
        <v>कौन सा भारतीय शहर पहली कैरम प्रशिक्षण अकादमी के लिए जाना जाता है?</v>
      </c>
      <c r="H187" s="5" t="str">
        <f>IFERROR(__xludf.DUMMYFUNCTION("GOOGLETRANSLATE(C187, ""en"", ""hi"")"),"ए) चेन्नई, बी) मुंबई, सी) दिल्ली, डी) कोलकाता")</f>
        <v>ए) चेन्नई, बी) मुंबई, सी) दिल्ली, डी) कोलकाता</v>
      </c>
      <c r="I187" s="5" t="str">
        <f>IFERROR(__xludf.DUMMYFUNCTION("GOOGLETRANSLATE(D187, ""en"", ""hi"")"),"D) कोलकाता")</f>
        <v>D) कोलकाता</v>
      </c>
    </row>
    <row r="188" ht="22.5" customHeight="1">
      <c r="A188" s="3">
        <v>187.0</v>
      </c>
      <c r="B188" s="4" t="s">
        <v>8120</v>
      </c>
      <c r="C188" s="4" t="s">
        <v>8121</v>
      </c>
      <c r="D188" s="4" t="s">
        <v>8122</v>
      </c>
      <c r="F188" s="5" t="str">
        <f>IFERROR(__xludf.DUMMYFUNCTION("GOOGLETRANSLATE(A188, ""en"", ""hi"")"),"187")</f>
        <v>187</v>
      </c>
      <c r="G188" s="5" t="str">
        <f>IFERROR(__xludf.DUMMYFUNCTION("GOOGLETRANSLATE(B188, ""en"", ""hi"")"),"यूरोप में आयोजित पहला अंतर्राष्ट्रीय कैरम टूर्नामेंट किस शहर में हुआ था?")</f>
        <v>यूरोप में आयोजित पहला अंतर्राष्ट्रीय कैरम टूर्नामेंट किस शहर में हुआ था?</v>
      </c>
      <c r="H188" s="5" t="str">
        <f>IFERROR(__xludf.DUMMYFUNCTION("GOOGLETRANSLATE(C188, ""en"", ""hi"")"),"A) बर्लिन, B) पेरिस, C) ज्यूरिख, D) लंदन")</f>
        <v>A) बर्लिन, B) पेरिस, C) ज्यूरिख, D) लंदन</v>
      </c>
      <c r="I188" s="5" t="str">
        <f>IFERROR(__xludf.DUMMYFUNCTION("GOOGLETRANSLATE(D188, ""en"", ""hi"")"),"C) ज्यूरिख")</f>
        <v>C) ज्यूरिख</v>
      </c>
    </row>
    <row r="189" ht="22.5" customHeight="1">
      <c r="A189" s="3">
        <v>188.0</v>
      </c>
      <c r="B189" s="4" t="s">
        <v>8123</v>
      </c>
      <c r="C189" s="4" t="s">
        <v>8124</v>
      </c>
      <c r="D189" s="4" t="s">
        <v>6516</v>
      </c>
      <c r="F189" s="5" t="str">
        <f>IFERROR(__xludf.DUMMYFUNCTION("GOOGLETRANSLATE(A189, ""en"", ""hi"")"),"188")</f>
        <v>188</v>
      </c>
      <c r="G189" s="5" t="str">
        <f>IFERROR(__xludf.DUMMYFUNCTION("GOOGLETRANSLATE(B189, ""en"", ""hi"")"),"स्थानीय त्योहारों में शामिल होने के बाद कैरम किस दक्षिण एशियाई देश में लोकप्रिय हो गया?")</f>
        <v>स्थानीय त्योहारों में शामिल होने के बाद कैरम किस दक्षिण एशियाई देश में लोकप्रिय हो गया?</v>
      </c>
      <c r="H189" s="5" t="str">
        <f>IFERROR(__xludf.DUMMYFUNCTION("GOOGLETRANSLATE(C189, ""en"", ""hi"")"),"A) नेपाल, B) बांग्लादेश, C) श्रीलंका, D) भूटान")</f>
        <v>A) नेपाल, B) बांग्लादेश, C) श्रीलंका, D) भूटान</v>
      </c>
      <c r="I189" s="5" t="str">
        <f>IFERROR(__xludf.DUMMYFUNCTION("GOOGLETRANSLATE(D189, ""en"", ""hi"")"),"बी) बांग्लादेश")</f>
        <v>बी) बांग्लादेश</v>
      </c>
    </row>
    <row r="190" ht="22.5" customHeight="1">
      <c r="A190" s="3">
        <v>189.0</v>
      </c>
      <c r="B190" s="4" t="s">
        <v>8125</v>
      </c>
      <c r="C190" s="4" t="s">
        <v>8126</v>
      </c>
      <c r="D190" s="4" t="s">
        <v>8127</v>
      </c>
      <c r="F190" s="5" t="str">
        <f>IFERROR(__xludf.DUMMYFUNCTION("GOOGLETRANSLATE(A190, ""en"", ""hi"")"),"189")</f>
        <v>189</v>
      </c>
      <c r="G190" s="5" t="str">
        <f>IFERROR(__xludf.DUMMYFUNCTION("GOOGLETRANSLATE(B190, ""en"", ""hi"")"),"कैरम को अंतर्राष्ट्रीय ओलंपिक समिति से आधिकारिक मान्यता किस वर्ष मिली?")</f>
        <v>कैरम को अंतर्राष्ट्रीय ओलंपिक समिति से आधिकारिक मान्यता किस वर्ष मिली?</v>
      </c>
      <c r="H190" s="5" t="str">
        <f>IFERROR(__xludf.DUMMYFUNCTION("GOOGLETRANSLATE(C190, ""en"", ""hi"")"),"ए) 1990, बी) 1992, सी) 1994, डी) 1996")</f>
        <v>ए) 1990, बी) 1992, सी) 1994, डी) 1996</v>
      </c>
      <c r="I190" s="5" t="str">
        <f>IFERROR(__xludf.DUMMYFUNCTION("GOOGLETRANSLATE(D190, ""en"", ""hi"")"),"डी) 1996")</f>
        <v>डी) 1996</v>
      </c>
    </row>
    <row r="191" ht="22.5" customHeight="1">
      <c r="A191" s="3">
        <v>190.0</v>
      </c>
      <c r="B191" s="4" t="s">
        <v>8128</v>
      </c>
      <c r="C191" s="4" t="s">
        <v>8102</v>
      </c>
      <c r="D191" s="4" t="s">
        <v>8129</v>
      </c>
      <c r="F191" s="5" t="str">
        <f>IFERROR(__xludf.DUMMYFUNCTION("GOOGLETRANSLATE(A191, ""en"", ""hi"")"),"190")</f>
        <v>190</v>
      </c>
      <c r="G191" s="5" t="str">
        <f>IFERROR(__xludf.DUMMYFUNCTION("GOOGLETRANSLATE(B191, ""en"", ""hi"")"),"1980 के दशक में किस कंपनी ने पहली बार उच्च गुणवत्ता वाले प्लाईवुड के साथ कैरम बोर्ड पेश किया?")</f>
        <v>1980 के दशक में किस कंपनी ने पहली बार उच्च गुणवत्ता वाले प्लाईवुड के साथ कैरम बोर्ड पेश किया?</v>
      </c>
      <c r="H191" s="5" t="str">
        <f>IFERROR(__xludf.DUMMYFUNCTION("GOOGLETRANSLATE(C191, ""en"", ""hi"")"),"A) सुरको, B) स्टार, C) सिंको, D) घोष")</f>
        <v>A) सुरको, B) स्टार, C) सिंको, D) घोष</v>
      </c>
      <c r="I191" s="5" t="str">
        <f>IFERROR(__xludf.DUMMYFUNCTION("GOOGLETRANSLATE(D191, ""en"", ""hi"")"),"सी) सिंको")</f>
        <v>सी) सिंको</v>
      </c>
    </row>
    <row r="192" ht="22.5" customHeight="1">
      <c r="A192" s="3">
        <v>191.0</v>
      </c>
      <c r="B192" s="4" t="s">
        <v>8130</v>
      </c>
      <c r="C192" s="4" t="s">
        <v>4900</v>
      </c>
      <c r="D192" s="4" t="s">
        <v>37</v>
      </c>
      <c r="F192" s="5" t="str">
        <f>IFERROR(__xludf.DUMMYFUNCTION("GOOGLETRANSLATE(A192, ""en"", ""hi"")"),"191")</f>
        <v>191</v>
      </c>
      <c r="G192" s="5" t="str">
        <f>IFERROR(__xludf.DUMMYFUNCTION("GOOGLETRANSLATE(B192, ""en"", ""hi"")"),"कैरम विश्व कप की मेजबानी के लिए किस देश का कैरम महासंघ जिम्मेदार है?")</f>
        <v>कैरम विश्व कप की मेजबानी के लिए किस देश का कैरम महासंघ जिम्मेदार है?</v>
      </c>
      <c r="H192" s="5" t="str">
        <f>IFERROR(__xludf.DUMMYFUNCTION("GOOGLETRANSLATE(C192, ""en"", ""hi"")"),"A) भारत, B) श्रीलंका, C) बांग्लादेश, D) पाकिस्तान")</f>
        <v>A) भारत, B) श्रीलंका, C) बांग्लादेश, D) पाकिस्तान</v>
      </c>
      <c r="I192" s="5" t="str">
        <f>IFERROR(__xludf.DUMMYFUNCTION("GOOGLETRANSLATE(D192, ""en"", ""hi"")"),"ए) भारत")</f>
        <v>ए) भारत</v>
      </c>
    </row>
    <row r="193" ht="22.5" customHeight="1">
      <c r="A193" s="3">
        <v>192.0</v>
      </c>
      <c r="B193" s="4" t="s">
        <v>8131</v>
      </c>
      <c r="C193" s="4" t="s">
        <v>7941</v>
      </c>
      <c r="D193" s="4" t="s">
        <v>7942</v>
      </c>
      <c r="F193" s="5" t="str">
        <f>IFERROR(__xludf.DUMMYFUNCTION("GOOGLETRANSLATE(A193, ""en"", ""hi"")"),"192")</f>
        <v>192</v>
      </c>
      <c r="G193" s="5" t="str">
        <f>IFERROR(__xludf.DUMMYFUNCTION("GOOGLETRANSLATE(B193, ""en"", ""hi"")"),"मध्य पूर्व के स्कूलों में कैरम किस दशक में लोकप्रिय हुआ?")</f>
        <v>मध्य पूर्व के स्कूलों में कैरम किस दशक में लोकप्रिय हुआ?</v>
      </c>
      <c r="H193" s="5" t="str">
        <f>IFERROR(__xludf.DUMMYFUNCTION("GOOGLETRANSLATE(C193, ""en"", ""hi"")"),"ए) 1960 का दशक, बी) 1970 का दशक, सी) 1980 का दशक, डी) 1990 का दशक")</f>
        <v>ए) 1960 का दशक, बी) 1970 का दशक, सी) 1980 का दशक, डी) 1990 का दशक</v>
      </c>
      <c r="I193" s="5" t="str">
        <f>IFERROR(__xludf.DUMMYFUNCTION("GOOGLETRANSLATE(D193, ""en"", ""hi"")"),"सी) 1980 के दशक")</f>
        <v>सी) 1980 के दशक</v>
      </c>
    </row>
    <row r="194" ht="22.5" customHeight="1">
      <c r="A194" s="3">
        <v>193.0</v>
      </c>
      <c r="B194" s="4" t="s">
        <v>8132</v>
      </c>
      <c r="C194" s="4" t="s">
        <v>8133</v>
      </c>
      <c r="D194" s="4" t="s">
        <v>8134</v>
      </c>
      <c r="F194" s="5" t="str">
        <f>IFERROR(__xludf.DUMMYFUNCTION("GOOGLETRANSLATE(A194, ""en"", ""hi"")"),"193")</f>
        <v>193</v>
      </c>
      <c r="G194" s="5" t="str">
        <f>IFERROR(__xludf.DUMMYFUNCTION("GOOGLETRANSLATE(B194, ""en"", ""hi"")"),"किस देश ने 2000 के दशक के प्रारंभ में पहली बार अपने राष्ट्रीय खेल महासंघ में कैरम को शामिल किया था?")</f>
        <v>किस देश ने 2000 के दशक के प्रारंभ में पहली बार अपने राष्ट्रीय खेल महासंघ में कैरम को शामिल किया था?</v>
      </c>
      <c r="H194" s="5" t="str">
        <f>IFERROR(__xludf.DUMMYFUNCTION("GOOGLETRANSLATE(C194, ""en"", ""hi"")"),"A) सिंगापुर, B) मलेशिया, C) थाईलैंड, D) फिलीपींस")</f>
        <v>A) सिंगापुर, B) मलेशिया, C) थाईलैंड, D) फिलीपींस</v>
      </c>
      <c r="I194" s="5" t="str">
        <f>IFERROR(__xludf.DUMMYFUNCTION("GOOGLETRANSLATE(D194, ""en"", ""hi"")"),"बी) मलेशिया")</f>
        <v>बी) मलेशिया</v>
      </c>
    </row>
    <row r="195" ht="22.5" customHeight="1">
      <c r="A195" s="3">
        <v>194.0</v>
      </c>
      <c r="B195" s="4" t="s">
        <v>8135</v>
      </c>
      <c r="C195" s="4" t="s">
        <v>8136</v>
      </c>
      <c r="D195" s="4" t="s">
        <v>8137</v>
      </c>
      <c r="F195" s="5" t="str">
        <f>IFERROR(__xludf.DUMMYFUNCTION("GOOGLETRANSLATE(A195, ""en"", ""hi"")"),"194")</f>
        <v>194</v>
      </c>
      <c r="G195" s="5" t="str">
        <f>IFERROR(__xludf.DUMMYFUNCTION("GOOGLETRANSLATE(B195, ""en"", ""hi"")"),"2004 में किस शहर में आयोजित कैरम विश्व कप अपनी बड़ी अंतर्राष्ट्रीय भागीदारी के लिए उल्लेखनीय था?")</f>
        <v>2004 में किस शहर में आयोजित कैरम विश्व कप अपनी बड़ी अंतर्राष्ट्रीय भागीदारी के लिए उल्लेखनीय था?</v>
      </c>
      <c r="H195" s="5" t="str">
        <f>IFERROR(__xludf.DUMMYFUNCTION("GOOGLETRANSLATE(C195, ""en"", ""hi"")"),"A) कोलंबो, B) ढाका, C) नई दिल्ली, D) मुंबई")</f>
        <v>A) कोलंबो, B) ढाका, C) नई दिल्ली, D) मुंबई</v>
      </c>
      <c r="I195" s="5" t="str">
        <f>IFERROR(__xludf.DUMMYFUNCTION("GOOGLETRANSLATE(D195, ""en"", ""hi"")"),"C) नई दिल्ली")</f>
        <v>C) नई दिल्ली</v>
      </c>
    </row>
    <row r="196" ht="22.5" customHeight="1">
      <c r="A196" s="3">
        <v>195.0</v>
      </c>
      <c r="B196" s="4" t="s">
        <v>8138</v>
      </c>
      <c r="C196" s="4" t="s">
        <v>7941</v>
      </c>
      <c r="D196" s="4" t="s">
        <v>8139</v>
      </c>
      <c r="F196" s="5" t="str">
        <f>IFERROR(__xludf.DUMMYFUNCTION("GOOGLETRANSLATE(A196, ""en"", ""hi"")"),"195")</f>
        <v>195</v>
      </c>
      <c r="G196" s="5" t="str">
        <f>IFERROR(__xludf.DUMMYFUNCTION("GOOGLETRANSLATE(B196, ""en"", ""hi"")"),"किस दशक में उच्च घनत्व वाले फाइबरबोर्ड से कैरम बोर्ड का उत्पादन शुरू हुआ?")</f>
        <v>किस दशक में उच्च घनत्व वाले फाइबरबोर्ड से कैरम बोर्ड का उत्पादन शुरू हुआ?</v>
      </c>
      <c r="H196" s="5" t="str">
        <f>IFERROR(__xludf.DUMMYFUNCTION("GOOGLETRANSLATE(C196, ""en"", ""hi"")"),"ए) 1960 का दशक, बी) 1970 का दशक, सी) 1980 का दशक, डी) 1990 का दशक")</f>
        <v>ए) 1960 का दशक, बी) 1970 का दशक, सी) 1980 का दशक, डी) 1990 का दशक</v>
      </c>
      <c r="I196" s="5" t="str">
        <f>IFERROR(__xludf.DUMMYFUNCTION("GOOGLETRANSLATE(D196, ""en"", ""hi"")"),"डी) 1990 के दशक")</f>
        <v>डी) 1990 के दशक</v>
      </c>
    </row>
    <row r="197" ht="22.5" customHeight="1">
      <c r="A197" s="3">
        <v>196.0</v>
      </c>
      <c r="B197" s="4" t="s">
        <v>8140</v>
      </c>
      <c r="C197" s="4" t="s">
        <v>8141</v>
      </c>
      <c r="D197" s="4" t="s">
        <v>8142</v>
      </c>
      <c r="F197" s="5" t="str">
        <f>IFERROR(__xludf.DUMMYFUNCTION("GOOGLETRANSLATE(A197, ""en"", ""hi"")"),"196")</f>
        <v>196</v>
      </c>
      <c r="G197" s="5" t="str">
        <f>IFERROR(__xludf.DUMMYFUNCTION("GOOGLETRANSLATE(B197, ""en"", ""hi"")"),"1970 के दशक में भारतीय फिल्म उद्योग में कैरम को लाने के लिए किस भारतीय खिलाड़ी को जाना जाता है?")</f>
        <v>1970 के दशक में भारतीय फिल्म उद्योग में कैरम को लाने के लिए किस भारतीय खिलाड़ी को जाना जाता है?</v>
      </c>
      <c r="H197" s="5" t="str">
        <f>IFERROR(__xludf.DUMMYFUNCTION("GOOGLETRANSLATE(C197, ""en"", ""hi"")"),"ए) अमिताभ बच्चन, बी) राजेश खन्ना, सी) धर्मेंद्र, डी) देव आनंद")</f>
        <v>ए) अमिताभ बच्चन, बी) राजेश खन्ना, सी) धर्मेंद्र, डी) देव आनंद</v>
      </c>
      <c r="I197" s="5" t="str">
        <f>IFERROR(__xludf.DUMMYFUNCTION("GOOGLETRANSLATE(D197, ""en"", ""hi"")"),"C) धर्मेंद्र")</f>
        <v>C) धर्मेंद्र</v>
      </c>
    </row>
    <row r="198" ht="22.5" customHeight="1">
      <c r="A198" s="3">
        <v>197.0</v>
      </c>
      <c r="B198" s="4" t="s">
        <v>8143</v>
      </c>
      <c r="C198" s="4" t="s">
        <v>8144</v>
      </c>
      <c r="D198" s="4" t="s">
        <v>829</v>
      </c>
      <c r="F198" s="5" t="str">
        <f>IFERROR(__xludf.DUMMYFUNCTION("GOOGLETRANSLATE(A198, ""en"", ""hi"")"),"197")</f>
        <v>197</v>
      </c>
      <c r="G198" s="5" t="str">
        <f>IFERROR(__xludf.DUMMYFUNCTION("GOOGLETRANSLATE(B198, ""en"", ""hi"")"),"जूनियर वर्ग के लिए पहली कैरम विश्व चैम्पियनशिप किस वर्ष आयोजित की गई थी?")</f>
        <v>जूनियर वर्ग के लिए पहली कैरम विश्व चैम्पियनशिप किस वर्ष आयोजित की गई थी?</v>
      </c>
      <c r="H198" s="5" t="str">
        <f>IFERROR(__xludf.DUMMYFUNCTION("GOOGLETRANSLATE(C198, ""en"", ""hi"")"),"ए) 1998, बी) 2000, सी) 2002, डी) 2004")</f>
        <v>ए) 1998, बी) 2000, सी) 2002, डी) 2004</v>
      </c>
      <c r="I198" s="5" t="str">
        <f>IFERROR(__xludf.DUMMYFUNCTION("GOOGLETRANSLATE(D198, ""en"", ""hi"")"),"बी) 2000")</f>
        <v>बी) 2000</v>
      </c>
    </row>
    <row r="199" ht="22.5" customHeight="1">
      <c r="A199" s="3">
        <v>198.0</v>
      </c>
      <c r="B199" s="4" t="s">
        <v>8145</v>
      </c>
      <c r="C199" s="4" t="s">
        <v>8146</v>
      </c>
      <c r="D199" s="4" t="s">
        <v>609</v>
      </c>
      <c r="F199" s="5" t="str">
        <f>IFERROR(__xludf.DUMMYFUNCTION("GOOGLETRANSLATE(A199, ""en"", ""hi"")"),"198")</f>
        <v>198</v>
      </c>
      <c r="G199" s="5" t="str">
        <f>IFERROR(__xludf.DUMMYFUNCTION("GOOGLETRANSLATE(B199, ""en"", ""hi"")"),"किस दक्षिण एशियाई देश ने 1990 के दशक में कैरम को अपने विश्वविद्यालय खेल लीग में शामिल किया?")</f>
        <v>किस दक्षिण एशियाई देश ने 1990 के दशक में कैरम को अपने विश्वविद्यालय खेल लीग में शामिल किया?</v>
      </c>
      <c r="H199" s="5" t="str">
        <f>IFERROR(__xludf.DUMMYFUNCTION("GOOGLETRANSLATE(C199, ""en"", ""hi"")"),"ए) नेपाल, बी) भूटान, सी) श्रीलंका, डी) पाकिस्तान")</f>
        <v>ए) नेपाल, बी) भूटान, सी) श्रीलंका, डी) पाकिस्तान</v>
      </c>
      <c r="I199" s="5" t="str">
        <f>IFERROR(__xludf.DUMMYFUNCTION("GOOGLETRANSLATE(D199, ""en"", ""hi"")"),"D) पाकिस्तान")</f>
        <v>D) पाकिस्तान</v>
      </c>
    </row>
    <row r="200" ht="22.5" customHeight="1">
      <c r="A200" s="3">
        <v>199.0</v>
      </c>
      <c r="B200" s="4" t="s">
        <v>8147</v>
      </c>
      <c r="C200" s="4" t="s">
        <v>8148</v>
      </c>
      <c r="D200" s="4" t="s">
        <v>8149</v>
      </c>
      <c r="F200" s="5" t="str">
        <f>IFERROR(__xludf.DUMMYFUNCTION("GOOGLETRANSLATE(A200, ""en"", ""hi"")"),"199")</f>
        <v>199</v>
      </c>
      <c r="G200" s="5" t="str">
        <f>IFERROR(__xludf.DUMMYFUNCTION("GOOGLETRANSLATE(B200, ""en"", ""hi"")"),"कैरम को 2002 में पहली बार किस प्रमुख अंतर्राष्ट्रीय खेल महोत्सव में शामिल किया गया था?")</f>
        <v>कैरम को 2002 में पहली बार किस प्रमुख अंतर्राष्ट्रीय खेल महोत्सव में शामिल किया गया था?</v>
      </c>
      <c r="H200" s="5" t="str">
        <f>IFERROR(__xludf.DUMMYFUNCTION("GOOGLETRANSLATE(C200, ""en"", ""hi"")"),"A) राष्ट्रमंडल खेल, B) एशियाई खेल, C) विश्व खेल, D) यूनिवर्सियाड")</f>
        <v>A) राष्ट्रमंडल खेल, B) एशियाई खेल, C) विश्व खेल, D) यूनिवर्सियाड</v>
      </c>
      <c r="I200" s="5" t="str">
        <f>IFERROR(__xludf.DUMMYFUNCTION("GOOGLETRANSLATE(D200, ""en"", ""hi"")"),"डी) यूनिवर्सियाड")</f>
        <v>डी) यूनिवर्सियाड</v>
      </c>
    </row>
    <row r="201" ht="22.5" customHeight="1">
      <c r="A201" s="3">
        <v>200.0</v>
      </c>
      <c r="B201" s="4" t="s">
        <v>8150</v>
      </c>
      <c r="C201" s="4" t="s">
        <v>8151</v>
      </c>
      <c r="D201" s="4" t="s">
        <v>2107</v>
      </c>
      <c r="F201" s="5" t="str">
        <f>IFERROR(__xludf.DUMMYFUNCTION("GOOGLETRANSLATE(A201, ""en"", ""hi"")"),"200")</f>
        <v>200</v>
      </c>
      <c r="G201" s="5" t="str">
        <f>IFERROR(__xludf.DUMMYFUNCTION("GOOGLETRANSLATE(B201, ""en"", ""hi"")"),"1985 में पहली दक्षिण एशियाई कैरम चैम्पियनशिप की मेजबानी किस भारतीय शहर ने की थी?")</f>
        <v>1985 में पहली दक्षिण एशियाई कैरम चैम्पियनशिप की मेजबानी किस भारतीय शहर ने की थी?</v>
      </c>
      <c r="H201" s="5" t="str">
        <f>IFERROR(__xludf.DUMMYFUNCTION("GOOGLETRANSLATE(C201, ""en"", ""hi"")"),"A) चेन्नई, B) बैंगलोर, C) हैदराबाद, D) कोलकाता")</f>
        <v>A) चेन्नई, B) बैंगलोर, C) हैदराबाद, D) कोलकाता</v>
      </c>
      <c r="I201" s="5" t="str">
        <f>IFERROR(__xludf.DUMMYFUNCTION("GOOGLETRANSLATE(D201, ""en"", ""hi"")"),"D) कोलकाता")</f>
        <v>D) कोलकाता</v>
      </c>
    </row>
    <row r="202" ht="22.5" customHeight="1">
      <c r="A202" s="3">
        <v>201.0</v>
      </c>
      <c r="B202" s="4" t="s">
        <v>8152</v>
      </c>
      <c r="C202" s="4" t="s">
        <v>24</v>
      </c>
      <c r="D202" s="4" t="s">
        <v>1855</v>
      </c>
      <c r="F202" s="5" t="str">
        <f>IFERROR(__xludf.DUMMYFUNCTION("GOOGLETRANSLATE(A202, ""en"", ""hi"")"),"201")</f>
        <v>201</v>
      </c>
      <c r="G202" s="5" t="str">
        <f>IFERROR(__xludf.DUMMYFUNCTION("GOOGLETRANSLATE(B202, ""en"", ""hi"")"),"श्रीलंका में पहला कैरम प्रशिक्षण मैनुअल किस वर्ष प्रकाशित हुआ था?")</f>
        <v>श्रीलंका में पहला कैरम प्रशिक्षण मैनुअल किस वर्ष प्रकाशित हुआ था?</v>
      </c>
      <c r="H202" s="5" t="str">
        <f>IFERROR(__xludf.DUMMYFUNCTION("GOOGLETRANSLATE(C202, ""en"", ""hi"")"),"ए) 1980, बी) 1985, सी) 1990, डी) 1995")</f>
        <v>ए) 1980, बी) 1985, सी) 1990, डी) 1995</v>
      </c>
      <c r="I202" s="5" t="str">
        <f>IFERROR(__xludf.DUMMYFUNCTION("GOOGLETRANSLATE(D202, ""en"", ""hi"")"),"सी) 1990")</f>
        <v>सी) 1990</v>
      </c>
    </row>
    <row r="203" ht="22.5" customHeight="1">
      <c r="A203" s="3">
        <v>202.0</v>
      </c>
      <c r="B203" s="4" t="s">
        <v>8153</v>
      </c>
      <c r="C203" s="4" t="s">
        <v>8126</v>
      </c>
      <c r="D203" s="4" t="s">
        <v>6668</v>
      </c>
      <c r="F203" s="5" t="str">
        <f>IFERROR(__xludf.DUMMYFUNCTION("GOOGLETRANSLATE(A203, ""en"", ""hi"")"),"202")</f>
        <v>202</v>
      </c>
      <c r="G203" s="5" t="str">
        <f>IFERROR(__xludf.DUMMYFUNCTION("GOOGLETRANSLATE(B203, ""en"", ""hi"")"),"अफ्रीका में पहला अंतर्राष्ट्रीय कैरम टूर्नामेंट किस वर्ष आयोजित किया गया था?")</f>
        <v>अफ्रीका में पहला अंतर्राष्ट्रीय कैरम टूर्नामेंट किस वर्ष आयोजित किया गया था?</v>
      </c>
      <c r="H203" s="5" t="str">
        <f>IFERROR(__xludf.DUMMYFUNCTION("GOOGLETRANSLATE(C203, ""en"", ""hi"")"),"ए) 1990, बी) 1992, सी) 1994, डी) 1996")</f>
        <v>ए) 1990, बी) 1992, सी) 1994, डी) 1996</v>
      </c>
      <c r="I203" s="5" t="str">
        <f>IFERROR(__xludf.DUMMYFUNCTION("GOOGLETRANSLATE(D203, ""en"", ""hi"")"),"बी) 1992")</f>
        <v>बी) 1992</v>
      </c>
    </row>
    <row r="204" ht="22.5" customHeight="1">
      <c r="A204" s="3">
        <v>203.0</v>
      </c>
      <c r="B204" s="4" t="s">
        <v>8154</v>
      </c>
      <c r="C204" s="4" t="s">
        <v>8102</v>
      </c>
      <c r="D204" s="4" t="s">
        <v>8020</v>
      </c>
      <c r="F204" s="5" t="str">
        <f>IFERROR(__xludf.DUMMYFUNCTION("GOOGLETRANSLATE(A204, ""en"", ""hi"")"),"203")</f>
        <v>203</v>
      </c>
      <c r="G204" s="5" t="str">
        <f>IFERROR(__xludf.DUMMYFUNCTION("GOOGLETRANSLATE(B204, ""en"", ""hi"")"),"किस कंपनी ने समायोज्य सतहों वाले कैरम बोर्ड के उत्पादन का बीड़ा उठाया?")</f>
        <v>किस कंपनी ने समायोज्य सतहों वाले कैरम बोर्ड के उत्पादन का बीड़ा उठाया?</v>
      </c>
      <c r="H204" s="5" t="str">
        <f>IFERROR(__xludf.DUMMYFUNCTION("GOOGLETRANSLATE(C204, ""en"", ""hi"")"),"A) सुरको, B) स्टार, C) सिंको, D) घोष")</f>
        <v>A) सुरको, B) स्टार, C) सिंको, D) घोष</v>
      </c>
      <c r="I204" s="5" t="str">
        <f>IFERROR(__xludf.DUMMYFUNCTION("GOOGLETRANSLATE(D204, ""en"", ""hi"")"),"ए) सुरको")</f>
        <v>ए) सुरको</v>
      </c>
    </row>
    <row r="205" ht="22.5" customHeight="1">
      <c r="A205" s="3">
        <v>204.0</v>
      </c>
      <c r="B205" s="4" t="s">
        <v>8155</v>
      </c>
      <c r="C205" s="4" t="s">
        <v>7852</v>
      </c>
      <c r="D205" s="4" t="s">
        <v>7853</v>
      </c>
      <c r="F205" s="5" t="str">
        <f>IFERROR(__xludf.DUMMYFUNCTION("GOOGLETRANSLATE(A205, ""en"", ""hi"")"),"204")</f>
        <v>204</v>
      </c>
      <c r="G205" s="5" t="str">
        <f>IFERROR(__xludf.DUMMYFUNCTION("GOOGLETRANSLATE(B205, ""en"", ""hi"")"),"कैरम को ऑस्ट्रेलियाई खेल परिदृश्य में किस दशक में पेश किया गया था?")</f>
        <v>कैरम को ऑस्ट्रेलियाई खेल परिदृश्य में किस दशक में पेश किया गया था?</v>
      </c>
      <c r="H205" s="5" t="str">
        <f>IFERROR(__xludf.DUMMYFUNCTION("GOOGLETRANSLATE(C205, ""en"", ""hi"")"),"ए) 1980 का दशक, बी) 1990 का दशक, सी) 2000 का दशक, डी) 2010 का दशक")</f>
        <v>ए) 1980 का दशक, बी) 1990 का दशक, सी) 2000 का दशक, डी) 2010 का दशक</v>
      </c>
      <c r="I205" s="5" t="str">
        <f>IFERROR(__xludf.DUMMYFUNCTION("GOOGLETRANSLATE(D205, ""en"", ""hi"")"),"बी) 1990 के दशक")</f>
        <v>बी) 1990 के दशक</v>
      </c>
    </row>
    <row r="206" ht="22.5" customHeight="1">
      <c r="A206" s="3">
        <v>205.0</v>
      </c>
      <c r="B206" s="4" t="s">
        <v>8156</v>
      </c>
      <c r="C206" s="4" t="s">
        <v>2518</v>
      </c>
      <c r="D206" s="4" t="s">
        <v>77</v>
      </c>
      <c r="F206" s="5" t="str">
        <f>IFERROR(__xludf.DUMMYFUNCTION("GOOGLETRANSLATE(A206, ""en"", ""hi"")"),"205")</f>
        <v>205</v>
      </c>
      <c r="G206" s="5" t="str">
        <f>IFERROR(__xludf.DUMMYFUNCTION("GOOGLETRANSLATE(B206, ""en"", ""hi"")"),"कौन सा भारतीय शहर 1990 के दशक के प्रारंभ में अपने वार्षिक कैरम टूर्नामेंट के लिए जाना गया?")</f>
        <v>कौन सा भारतीय शहर 1990 के दशक के प्रारंभ में अपने वार्षिक कैरम टूर्नामेंट के लिए जाना गया?</v>
      </c>
      <c r="H206" s="5" t="str">
        <f>IFERROR(__xludf.DUMMYFUNCTION("GOOGLETRANSLATE(C206, ""en"", ""hi"")"),"A) चेन्नई, B) मुंबई, C) दिल्ली, D) बैंगलोर")</f>
        <v>A) चेन्नई, B) मुंबई, C) दिल्ली, D) बैंगलोर</v>
      </c>
      <c r="I206" s="5" t="str">
        <f>IFERROR(__xludf.DUMMYFUNCTION("GOOGLETRANSLATE(D206, ""en"", ""hi"")"),"बी) मुंबई")</f>
        <v>बी) मुंबई</v>
      </c>
    </row>
    <row r="207" ht="22.5" customHeight="1">
      <c r="A207" s="3">
        <v>206.0</v>
      </c>
      <c r="B207" s="4" t="s">
        <v>8157</v>
      </c>
      <c r="C207" s="4" t="s">
        <v>8158</v>
      </c>
      <c r="D207" s="4" t="s">
        <v>8159</v>
      </c>
      <c r="F207" s="5" t="str">
        <f>IFERROR(__xludf.DUMMYFUNCTION("GOOGLETRANSLATE(A207, ""en"", ""hi"")"),"206")</f>
        <v>206</v>
      </c>
      <c r="G207" s="5" t="str">
        <f>IFERROR(__xludf.DUMMYFUNCTION("GOOGLETRANSLATE(B207, ""en"", ""hi"")"),"संयुक्त राज्य अमेरिका में पहला कैरम टूर्नामेंट किस शहर में आयोजित हुआ था?")</f>
        <v>संयुक्त राज्य अमेरिका में पहला कैरम टूर्नामेंट किस शहर में आयोजित हुआ था?</v>
      </c>
      <c r="H207" s="5" t="str">
        <f>IFERROR(__xludf.DUMMYFUNCTION("GOOGLETRANSLATE(C207, ""en"", ""hi"")"),"ए) न्यूयॉर्क, बी) सैन फ्रांसिस्को, सी) शिकागो, डी) लॉस एंजिल्स")</f>
        <v>ए) न्यूयॉर्क, बी) सैन फ्रांसिस्को, सी) शिकागो, डी) लॉस एंजिल्स</v>
      </c>
      <c r="I207" s="5" t="str">
        <f>IFERROR(__xludf.DUMMYFUNCTION("GOOGLETRANSLATE(D207, ""en"", ""hi"")"),"C) शिकागो")</f>
        <v>C) शिकागो</v>
      </c>
    </row>
    <row r="208" ht="22.5" customHeight="1">
      <c r="A208" s="3">
        <v>207.0</v>
      </c>
      <c r="B208" s="4" t="s">
        <v>8160</v>
      </c>
      <c r="C208" s="4" t="s">
        <v>2028</v>
      </c>
      <c r="D208" s="4" t="s">
        <v>7992</v>
      </c>
      <c r="F208" s="5" t="str">
        <f>IFERROR(__xludf.DUMMYFUNCTION("GOOGLETRANSLATE(A208, ""en"", ""hi"")"),"207")</f>
        <v>207</v>
      </c>
      <c r="G208" s="5" t="str">
        <f>IFERROR(__xludf.DUMMYFUNCTION("GOOGLETRANSLATE(B208, ""en"", ""hi"")"),"कैरम फेडरेशन ऑफ इंडिया ने किस वर्ष राज्य स्तरीय चैंपियनशिप का आयोजन शुरू किया?")</f>
        <v>कैरम फेडरेशन ऑफ इंडिया ने किस वर्ष राज्य स्तरीय चैंपियनशिप का आयोजन शुरू किया?</v>
      </c>
      <c r="H208" s="5" t="str">
        <f>IFERROR(__xludf.DUMMYFUNCTION("GOOGLETRANSLATE(C208, ""en"", ""hi"")"),"ए) 1975, बी) 1980, सी) 1985, डी) 1990")</f>
        <v>ए) 1975, बी) 1980, सी) 1985, डी) 1990</v>
      </c>
      <c r="I208" s="5" t="str">
        <f>IFERROR(__xludf.DUMMYFUNCTION("GOOGLETRANSLATE(D208, ""en"", ""hi"")"),"बी) 1980")</f>
        <v>बी) 1980</v>
      </c>
    </row>
    <row r="209" ht="22.5" customHeight="1">
      <c r="A209" s="3">
        <v>208.0</v>
      </c>
      <c r="B209" s="4" t="s">
        <v>8161</v>
      </c>
      <c r="C209" s="4" t="s">
        <v>8162</v>
      </c>
      <c r="D209" s="4" t="s">
        <v>8163</v>
      </c>
      <c r="F209" s="5" t="str">
        <f>IFERROR(__xludf.DUMMYFUNCTION("GOOGLETRANSLATE(A209, ""en"", ""hi"")"),"208")</f>
        <v>208</v>
      </c>
      <c r="G209" s="5" t="str">
        <f>IFERROR(__xludf.DUMMYFUNCTION("GOOGLETRANSLATE(B209, ""en"", ""hi"")"),"एशियाई खेलों में स्वर्ण पदक जीतने वाला पहला कैरम खिलाड़ी कौन था?")</f>
        <v>एशियाई खेलों में स्वर्ण पदक जीतने वाला पहला कैरम खिलाड़ी कौन था?</v>
      </c>
      <c r="H209" s="5" t="str">
        <f>IFERROR(__xludf.DUMMYFUNCTION("GOOGLETRANSLATE(C209, ""en"", ""hi"")"),"ए) मारिया इरुदायम, बी) ए. शकूर, सी) योगेश परदेशी, डी) एंथोनी इरुदायम")</f>
        <v>ए) मारिया इरुदायम, बी) ए. शकूर, सी) योगेश परदेशी, डी) एंथोनी इरुदायम</v>
      </c>
      <c r="I209" s="5" t="str">
        <f>IFERROR(__xludf.DUMMYFUNCTION("GOOGLETRANSLATE(D209, ""en"", ""hi"")"),"बी) ए. शकूर")</f>
        <v>बी) ए. शकूर</v>
      </c>
    </row>
    <row r="210" ht="22.5" customHeight="1">
      <c r="A210" s="3">
        <v>209.0</v>
      </c>
      <c r="B210" s="4" t="s">
        <v>8164</v>
      </c>
      <c r="C210" s="4" t="s">
        <v>8165</v>
      </c>
      <c r="D210" s="4" t="s">
        <v>6725</v>
      </c>
      <c r="F210" s="5" t="str">
        <f>IFERROR(__xludf.DUMMYFUNCTION("GOOGLETRANSLATE(A210, ""en"", ""hi"")"),"209")</f>
        <v>209</v>
      </c>
      <c r="G210" s="5" t="str">
        <f>IFERROR(__xludf.DUMMYFUNCTION("GOOGLETRANSLATE(B210, ""en"", ""hi"")"),"श्रीलंका में पहला कैरम विश्व कप किस वर्ष आयोजित किया गया था?")</f>
        <v>श्रीलंका में पहला कैरम विश्व कप किस वर्ष आयोजित किया गया था?</v>
      </c>
      <c r="H210" s="5" t="str">
        <f>IFERROR(__xludf.DUMMYFUNCTION("GOOGLETRANSLATE(C210, ""en"", ""hi"")"),"ए) 2000, बी) 2002, सी) 2004, डी) 2006")</f>
        <v>ए) 2000, बी) 2002, सी) 2004, डी) 2006</v>
      </c>
      <c r="I210" s="5" t="str">
        <f>IFERROR(__xludf.DUMMYFUNCTION("GOOGLETRANSLATE(D210, ""en"", ""hi"")"),"बी) 2002")</f>
        <v>बी) 2002</v>
      </c>
    </row>
    <row r="211" ht="22.5" customHeight="1">
      <c r="A211" s="3">
        <v>210.0</v>
      </c>
      <c r="B211" s="4" t="s">
        <v>8166</v>
      </c>
      <c r="C211" s="4" t="s">
        <v>8167</v>
      </c>
      <c r="D211" s="4" t="s">
        <v>1855</v>
      </c>
      <c r="F211" s="5" t="str">
        <f>IFERROR(__xludf.DUMMYFUNCTION("GOOGLETRANSLATE(A211, ""en"", ""hi"")"),"210")</f>
        <v>210</v>
      </c>
      <c r="G211" s="5" t="str">
        <f>IFERROR(__xludf.DUMMYFUNCTION("GOOGLETRANSLATE(B211, ""en"", ""hi"")"),"कैरम ने किस वर्ष दक्षिण एशियाई खेलों में एक प्रतिस्पर्धी खेल के रूप में अपनी शुरुआत की?")</f>
        <v>कैरम ने किस वर्ष दक्षिण एशियाई खेलों में एक प्रतिस्पर्धी खेल के रूप में अपनी शुरुआत की?</v>
      </c>
      <c r="H211" s="5" t="str">
        <f>IFERROR(__xludf.DUMMYFUNCTION("GOOGLETRANSLATE(C211, ""en"", ""hi"")"),"ए) 1984, बी) 1986, सी) 1990, डी) 1992")</f>
        <v>ए) 1984, बी) 1986, सी) 1990, डी) 1992</v>
      </c>
      <c r="I211" s="5" t="str">
        <f>IFERROR(__xludf.DUMMYFUNCTION("GOOGLETRANSLATE(D211, ""en"", ""hi"")"),"सी) 1990")</f>
        <v>सी) 1990</v>
      </c>
    </row>
    <row r="212" ht="22.5" customHeight="1">
      <c r="A212" s="3">
        <v>211.0</v>
      </c>
      <c r="B212" s="4" t="s">
        <v>8168</v>
      </c>
      <c r="C212" s="4" t="s">
        <v>8169</v>
      </c>
      <c r="D212" s="4" t="s">
        <v>8170</v>
      </c>
      <c r="F212" s="5" t="str">
        <f>IFERROR(__xludf.DUMMYFUNCTION("GOOGLETRANSLATE(A212, ""en"", ""hi"")"),"211")</f>
        <v>211</v>
      </c>
      <c r="G212" s="5" t="str">
        <f>IFERROR(__xludf.DUMMYFUNCTION("GOOGLETRANSLATE(B212, ""en"", ""hi"")"),"श्रीलंका के किस उल्लेखनीय कैरम खिलाड़ी ने 1997 में विश्व चैम्पियनशिप जीती?")</f>
        <v>श्रीलंका के किस उल्लेखनीय कैरम खिलाड़ी ने 1997 में विश्व चैम्पियनशिप जीती?</v>
      </c>
      <c r="H212" s="5" t="str">
        <f>IFERROR(__xludf.DUMMYFUNCTION("GOOGLETRANSLATE(C212, ""en"", ""hi"")"),"ए) चामिल कुरे, बी) धर्मेंद्र राणावीरा, सी) निमल दिसानायके, डी) शिरन फर्नांडो")</f>
        <v>ए) चामिल कुरे, बी) धर्मेंद्र राणावीरा, सी) निमल दिसानायके, डी) शिरन फर्नांडो</v>
      </c>
      <c r="I212" s="5" t="str">
        <f>IFERROR(__xludf.DUMMYFUNCTION("GOOGLETRANSLATE(D212, ""en"", ""hi"")"),"A) चमिल कूरे")</f>
        <v>A) चमिल कूरे</v>
      </c>
    </row>
    <row r="213" ht="22.5" customHeight="1">
      <c r="A213" s="3">
        <v>212.0</v>
      </c>
      <c r="B213" s="4" t="s">
        <v>8171</v>
      </c>
      <c r="C213" s="4" t="s">
        <v>5882</v>
      </c>
      <c r="D213" s="4" t="s">
        <v>5883</v>
      </c>
      <c r="F213" s="5" t="str">
        <f>IFERROR(__xludf.DUMMYFUNCTION("GOOGLETRANSLATE(A213, ""en"", ""hi"")"),"212")</f>
        <v>212</v>
      </c>
      <c r="G213" s="5" t="str">
        <f>IFERROR(__xludf.DUMMYFUNCTION("GOOGLETRANSLATE(B213, ""en"", ""hi"")"),"किस दशक में पहली बार प्लास्टिक के सिक्कों से कैरम बोर्ड का उत्पादन शुरू हुआ?")</f>
        <v>किस दशक में पहली बार प्लास्टिक के सिक्कों से कैरम बोर्ड का उत्पादन शुरू हुआ?</v>
      </c>
      <c r="H213" s="5" t="str">
        <f>IFERROR(__xludf.DUMMYFUNCTION("GOOGLETRANSLATE(C213, ""en"", ""hi"")"),"ए) 1950 का दशक, बी) 1960 का दशक, सी) 1970 का दशक, डी) 1980 का दशक")</f>
        <v>ए) 1950 का दशक, बी) 1960 का दशक, सी) 1970 का दशक, डी) 1980 का दशक</v>
      </c>
      <c r="I213" s="5" t="str">
        <f>IFERROR(__xludf.DUMMYFUNCTION("GOOGLETRANSLATE(D213, ""en"", ""hi"")"),"सी) 1970 के दशक")</f>
        <v>सी) 1970 के दशक</v>
      </c>
    </row>
    <row r="214" ht="22.5" customHeight="1">
      <c r="A214" s="3">
        <v>213.0</v>
      </c>
      <c r="B214" s="4" t="s">
        <v>8172</v>
      </c>
      <c r="C214" s="4" t="s">
        <v>8173</v>
      </c>
      <c r="D214" s="4" t="s">
        <v>8174</v>
      </c>
      <c r="F214" s="5" t="str">
        <f>IFERROR(__xludf.DUMMYFUNCTION("GOOGLETRANSLATE(A214, ""en"", ""hi"")"),"213")</f>
        <v>213</v>
      </c>
      <c r="G214" s="5" t="str">
        <f>IFERROR(__xludf.DUMMYFUNCTION("GOOGLETRANSLATE(B214, ""en"", ""hi"")"),"किस एशियाई देश ने 1995 में कैरम को अपने राष्ट्रीय खेल उत्सव के भाग के रूप में शामिल किया?")</f>
        <v>किस एशियाई देश ने 1995 में कैरम को अपने राष्ट्रीय खेल उत्सव के भाग के रूप में शामिल किया?</v>
      </c>
      <c r="H214" s="5" t="str">
        <f>IFERROR(__xludf.DUMMYFUNCTION("GOOGLETRANSLATE(C214, ""en"", ""hi"")"),"A) नेपाल, B) बांग्लादेश, C) पाकिस्तान, D) श्रीलंका")</f>
        <v>A) नेपाल, B) बांग्लादेश, C) पाकिस्तान, D) श्रीलंका</v>
      </c>
      <c r="I214" s="5" t="str">
        <f>IFERROR(__xludf.DUMMYFUNCTION("GOOGLETRANSLATE(D214, ""en"", ""hi"")"),"D) श्रीलंका")</f>
        <v>D) श्रीलंका</v>
      </c>
    </row>
    <row r="215" ht="22.5" customHeight="1">
      <c r="A215" s="3">
        <v>214.0</v>
      </c>
      <c r="B215" s="4" t="s">
        <v>8175</v>
      </c>
      <c r="C215" s="4" t="s">
        <v>8176</v>
      </c>
      <c r="D215" s="4" t="s">
        <v>8177</v>
      </c>
      <c r="F215" s="5" t="str">
        <f>IFERROR(__xludf.DUMMYFUNCTION("GOOGLETRANSLATE(A215, ""en"", ""hi"")"),"214")</f>
        <v>214</v>
      </c>
      <c r="G215" s="5" t="str">
        <f>IFERROR(__xludf.DUMMYFUNCTION("GOOGLETRANSLATE(B215, ""en"", ""hi"")"),"अफ्रीका में आयोजित पहला अंतर्राष्ट्रीय कैरम टूर्नामेंट किस शहर द्वारा आयोजित किया गया था?")</f>
        <v>अफ्रीका में आयोजित पहला अंतर्राष्ट्रीय कैरम टूर्नामेंट किस शहर द्वारा आयोजित किया गया था?</v>
      </c>
      <c r="H215" s="5" t="str">
        <f>IFERROR(__xludf.DUMMYFUNCTION("GOOGLETRANSLATE(C215, ""en"", ""hi"")"),"ए) काहिरा, बी) जोहान्सबर्ग, सी) नैरोबी, डी) अदीस अबाबा")</f>
        <v>ए) काहिरा, बी) जोहान्सबर्ग, सी) नैरोबी, डी) अदीस अबाबा</v>
      </c>
      <c r="I215" s="5" t="str">
        <f>IFERROR(__xludf.DUMMYFUNCTION("GOOGLETRANSLATE(D215, ""en"", ""hi"")"),"बी) जोहान्सबर्ग")</f>
        <v>बी) जोहान्सबर्ग</v>
      </c>
    </row>
    <row r="216" ht="22.5" customHeight="1">
      <c r="A216" s="3">
        <v>215.0</v>
      </c>
      <c r="B216" s="4" t="s">
        <v>8178</v>
      </c>
      <c r="C216" s="4" t="s">
        <v>8179</v>
      </c>
      <c r="D216" s="4" t="s">
        <v>8180</v>
      </c>
      <c r="F216" s="5" t="str">
        <f>IFERROR(__xludf.DUMMYFUNCTION("GOOGLETRANSLATE(A216, ""en"", ""hi"")"),"215")</f>
        <v>215</v>
      </c>
      <c r="G216" s="5" t="str">
        <f>IFERROR(__xludf.DUMMYFUNCTION("GOOGLETRANSLATE(B216, ""en"", ""hi"")"),"1980 के दशक में कौन सा भारतीय खिलाड़ी अपनी नवीन कैरम तकनीकों के लिए जाना गया?")</f>
        <v>1980 के दशक में कौन सा भारतीय खिलाड़ी अपनी नवीन कैरम तकनीकों के लिए जाना गया?</v>
      </c>
      <c r="H216" s="5" t="str">
        <f>IFERROR(__xludf.DUMMYFUNCTION("GOOGLETRANSLATE(C216, ""en"", ""hi"")"),"ए) आर. वी. एस. शर्मा, बी) ए. एस. बाबू, सी) वी. के. गुप्ता, डी) योगेश परदेशी")</f>
        <v>ए) आर. वी. एस. शर्मा, बी) ए. एस. बाबू, सी) वी. के. गुप्ता, डी) योगेश परदेशी</v>
      </c>
      <c r="I216" s="5" t="str">
        <f>IFERROR(__xludf.DUMMYFUNCTION("GOOGLETRANSLATE(D216, ""en"", ""hi"")"),"C) वी. के. गुप्ता")</f>
        <v>C) वी. के. गुप्ता</v>
      </c>
    </row>
    <row r="217" ht="22.5" customHeight="1">
      <c r="A217" s="3">
        <v>216.0</v>
      </c>
      <c r="B217" s="4" t="s">
        <v>8181</v>
      </c>
      <c r="C217" s="4" t="s">
        <v>24</v>
      </c>
      <c r="D217" s="4" t="s">
        <v>7850</v>
      </c>
      <c r="F217" s="5" t="str">
        <f>IFERROR(__xludf.DUMMYFUNCTION("GOOGLETRANSLATE(A217, ""en"", ""hi"")"),"216")</f>
        <v>216</v>
      </c>
      <c r="G217" s="5" t="str">
        <f>IFERROR(__xludf.DUMMYFUNCTION("GOOGLETRANSLATE(B217, ""en"", ""hi"")"),"किस वर्ष में अंतर्निर्मित स्कोरिंग प्रणाली के साथ कैरम बोर्ड का उत्पादन शुरू हुआ?")</f>
        <v>किस वर्ष में अंतर्निर्मित स्कोरिंग प्रणाली के साथ कैरम बोर्ड का उत्पादन शुरू हुआ?</v>
      </c>
      <c r="H217" s="5" t="str">
        <f>IFERROR(__xludf.DUMMYFUNCTION("GOOGLETRANSLATE(C217, ""en"", ""hi"")"),"ए) 1980, बी) 1985, सी) 1990, डी) 1995")</f>
        <v>ए) 1980, बी) 1985, सी) 1990, डी) 1995</v>
      </c>
      <c r="I217" s="5" t="str">
        <f>IFERROR(__xludf.DUMMYFUNCTION("GOOGLETRANSLATE(D217, ""en"", ""hi"")"),"डी) 1995")</f>
        <v>डी) 1995</v>
      </c>
    </row>
    <row r="218" ht="22.5" customHeight="1">
      <c r="A218" s="3">
        <v>217.0</v>
      </c>
      <c r="B218" s="4" t="s">
        <v>8182</v>
      </c>
      <c r="C218" s="4" t="s">
        <v>8183</v>
      </c>
      <c r="D218" s="4" t="s">
        <v>8184</v>
      </c>
      <c r="F218" s="5" t="str">
        <f>IFERROR(__xludf.DUMMYFUNCTION("GOOGLETRANSLATE(A218, ""en"", ""hi"")"),"217")</f>
        <v>217</v>
      </c>
      <c r="G218" s="5" t="str">
        <f>IFERROR(__xludf.DUMMYFUNCTION("GOOGLETRANSLATE(B218, ""en"", ""hi"")"),"2006 में कैरम विश्व चैम्पियनशिप की मेजबानी किस भारतीय शहर ने की थी?")</f>
        <v>2006 में कैरम विश्व चैम्पियनशिप की मेजबानी किस भारतीय शहर ने की थी?</v>
      </c>
      <c r="H218" s="5" t="str">
        <f>IFERROR(__xludf.DUMMYFUNCTION("GOOGLETRANSLATE(C218, ""en"", ""hi"")"),"A) बैंगलोर, B) चेन्नई, C) मुंबई, D) नई दिल्ली")</f>
        <v>A) बैंगलोर, B) चेन्नई, C) मुंबई, D) नई दिल्ली</v>
      </c>
      <c r="I218" s="5" t="str">
        <f>IFERROR(__xludf.DUMMYFUNCTION("GOOGLETRANSLATE(D218, ""en"", ""hi"")"),"D) नई दिल्ली")</f>
        <v>D) नई दिल्ली</v>
      </c>
    </row>
    <row r="219" ht="22.5" customHeight="1">
      <c r="A219" s="3">
        <v>218.0</v>
      </c>
      <c r="B219" s="4" t="s">
        <v>8185</v>
      </c>
      <c r="C219" s="4" t="s">
        <v>8186</v>
      </c>
      <c r="D219" s="4" t="s">
        <v>8187</v>
      </c>
      <c r="F219" s="5" t="str">
        <f>IFERROR(__xludf.DUMMYFUNCTION("GOOGLETRANSLATE(A219, ""en"", ""hi"")"),"218")</f>
        <v>218</v>
      </c>
      <c r="G219" s="5" t="str">
        <f>IFERROR(__xludf.DUMMYFUNCTION("GOOGLETRANSLATE(B219, ""en"", ""hi"")"),"एलईडी प्रकाश व्यवस्था वाला पहला कैरम बोर्ड किस कंपनी द्वारा पेश किया गया था?")</f>
        <v>एलईडी प्रकाश व्यवस्था वाला पहला कैरम बोर्ड किस कंपनी द्वारा पेश किया गया था?</v>
      </c>
      <c r="H219" s="5" t="str">
        <f>IFERROR(__xludf.DUMMYFUNCTION("GOOGLETRANSLATE(C219, ""en"", ""hi"")"),"A) सुरको, B) स्टार, C) घोष, D) सिंको")</f>
        <v>A) सुरको, B) स्टार, C) घोष, D) सिंको</v>
      </c>
      <c r="I219" s="5" t="str">
        <f>IFERROR(__xludf.DUMMYFUNCTION("GOOGLETRANSLATE(D219, ""en"", ""hi"")"),"डी) सिंको")</f>
        <v>डी) सिंको</v>
      </c>
    </row>
    <row r="220" ht="22.5" customHeight="1">
      <c r="A220" s="3">
        <v>219.0</v>
      </c>
      <c r="B220" s="4" t="s">
        <v>8188</v>
      </c>
      <c r="C220" s="4" t="s">
        <v>4900</v>
      </c>
      <c r="D220" s="4" t="s">
        <v>37</v>
      </c>
      <c r="F220" s="5" t="str">
        <f>IFERROR(__xludf.DUMMYFUNCTION("GOOGLETRANSLATE(A220, ""en"", ""hi"")"),"219")</f>
        <v>219</v>
      </c>
      <c r="G220" s="5" t="str">
        <f>IFERROR(__xludf.DUMMYFUNCTION("GOOGLETRANSLATE(B220, ""en"", ""hi"")"),"किस देश ने 2002 में जूनियर वर्ग के लिए पहला कैरम विश्व कप आयोजित किया था?")</f>
        <v>किस देश ने 2002 में जूनियर वर्ग के लिए पहला कैरम विश्व कप आयोजित किया था?</v>
      </c>
      <c r="H220" s="5" t="str">
        <f>IFERROR(__xludf.DUMMYFUNCTION("GOOGLETRANSLATE(C220, ""en"", ""hi"")"),"A) भारत, B) श्रीलंका, C) बांग्लादेश, D) पाकिस्तान")</f>
        <v>A) भारत, B) श्रीलंका, C) बांग्लादेश, D) पाकिस्तान</v>
      </c>
      <c r="I220" s="5" t="str">
        <f>IFERROR(__xludf.DUMMYFUNCTION("GOOGLETRANSLATE(D220, ""en"", ""hi"")"),"ए) भारत")</f>
        <v>ए) भारत</v>
      </c>
    </row>
    <row r="221" ht="22.5" customHeight="1">
      <c r="A221" s="3">
        <v>220.0</v>
      </c>
      <c r="B221" s="4" t="s">
        <v>8189</v>
      </c>
      <c r="C221" s="4" t="s">
        <v>8190</v>
      </c>
      <c r="D221" s="4" t="s">
        <v>5027</v>
      </c>
      <c r="F221" s="5" t="str">
        <f>IFERROR(__xludf.DUMMYFUNCTION("GOOGLETRANSLATE(A221, ""en"", ""hi"")"),"220")</f>
        <v>220</v>
      </c>
      <c r="G221" s="5" t="str">
        <f>IFERROR(__xludf.DUMMYFUNCTION("GOOGLETRANSLATE(B221, ""en"", ""hi"")"),"किस दक्षिण एशियाई देश ने 1990 के दशक में पहली बार अपने पेशेवर खेल लीग में कैरम की शुरुआत की?")</f>
        <v>किस दक्षिण एशियाई देश ने 1990 के दशक में पहली बार अपने पेशेवर खेल लीग में कैरम की शुरुआत की?</v>
      </c>
      <c r="H221" s="5" t="str">
        <f>IFERROR(__xludf.DUMMYFUNCTION("GOOGLETRANSLATE(C221, ""en"", ""hi"")"),"A) भारत, B) श्रीलंका, C) बांग्लादेश, D) नेपाल")</f>
        <v>A) भारत, B) श्रीलंका, C) बांग्लादेश, D) नेपाल</v>
      </c>
      <c r="I221" s="5" t="str">
        <f>IFERROR(__xludf.DUMMYFUNCTION("GOOGLETRANSLATE(D221, ""en"", ""hi"")"),"बी) श्रीलंका")</f>
        <v>बी) श्रीलंका</v>
      </c>
    </row>
    <row r="222" ht="22.5" customHeight="1">
      <c r="A222" s="3">
        <v>221.0</v>
      </c>
      <c r="B222" s="4" t="s">
        <v>8191</v>
      </c>
      <c r="C222" s="4" t="s">
        <v>8192</v>
      </c>
      <c r="D222" s="4" t="s">
        <v>8122</v>
      </c>
      <c r="F222" s="5" t="str">
        <f>IFERROR(__xludf.DUMMYFUNCTION("GOOGLETRANSLATE(A222, ""en"", ""hi"")"),"221")</f>
        <v>221</v>
      </c>
      <c r="G222" s="5" t="str">
        <f>IFERROR(__xludf.DUMMYFUNCTION("GOOGLETRANSLATE(B222, ""en"", ""hi"")"),"यूरोप में पहली कैरम प्रशिक्षण अकादमी किस शहर में स्थापित की गई थी?")</f>
        <v>यूरोप में पहली कैरम प्रशिक्षण अकादमी किस शहर में स्थापित की गई थी?</v>
      </c>
      <c r="H222" s="5" t="str">
        <f>IFERROR(__xludf.DUMMYFUNCTION("GOOGLETRANSLATE(C222, ""en"", ""hi"")"),"A) पेरिस, B) बर्लिन, C) ज्यूरिख, D) लंदन")</f>
        <v>A) पेरिस, B) बर्लिन, C) ज्यूरिख, D) लंदन</v>
      </c>
      <c r="I222" s="5" t="str">
        <f>IFERROR(__xludf.DUMMYFUNCTION("GOOGLETRANSLATE(D222, ""en"", ""hi"")"),"C) ज्यूरिख")</f>
        <v>C) ज्यूरिख</v>
      </c>
    </row>
    <row r="223" ht="22.5" customHeight="1">
      <c r="A223" s="3">
        <v>222.0</v>
      </c>
      <c r="B223" s="4" t="s">
        <v>8193</v>
      </c>
      <c r="C223" s="4" t="s">
        <v>1854</v>
      </c>
      <c r="D223" s="4" t="s">
        <v>8194</v>
      </c>
      <c r="F223" s="5" t="str">
        <f>IFERROR(__xludf.DUMMYFUNCTION("GOOGLETRANSLATE(A223, ""en"", ""hi"")"),"222")</f>
        <v>222</v>
      </c>
      <c r="G223" s="5" t="str">
        <f>IFERROR(__xludf.DUMMYFUNCTION("GOOGLETRANSLATE(B223, ""en"", ""hi"")"),"किस वर्ष कैरम भारतीय राज्य केरल के स्कूल खेलों में एक प्रतिस्पर्धी खेल बन गया?")</f>
        <v>किस वर्ष कैरम भारतीय राज्य केरल के स्कूल खेलों में एक प्रतिस्पर्धी खेल बन गया?</v>
      </c>
      <c r="H223" s="5" t="str">
        <f>IFERROR(__xludf.DUMMYFUNCTION("GOOGLETRANSLATE(C223, ""en"", ""hi"")"),"ए) 1970, बी) 1980, सी) 1990, डी) 2000")</f>
        <v>ए) 1970, बी) 1980, सी) 1990, डी) 2000</v>
      </c>
      <c r="I223" s="5" t="str">
        <f>IFERROR(__xludf.DUMMYFUNCTION("GOOGLETRANSLATE(D223, ""en"", ""hi"")"),"ए) 1970")</f>
        <v>ए) 1970</v>
      </c>
    </row>
    <row r="224" ht="22.5" customHeight="1">
      <c r="A224" s="3">
        <v>223.0</v>
      </c>
      <c r="B224" s="4" t="s">
        <v>8195</v>
      </c>
      <c r="C224" s="4" t="s">
        <v>8024</v>
      </c>
      <c r="D224" s="4" t="s">
        <v>8196</v>
      </c>
      <c r="F224" s="5" t="str">
        <f>IFERROR(__xludf.DUMMYFUNCTION("GOOGLETRANSLATE(A224, ""en"", ""hi"")"),"223")</f>
        <v>223</v>
      </c>
      <c r="G224" s="5" t="str">
        <f>IFERROR(__xludf.DUMMYFUNCTION("GOOGLETRANSLATE(B224, ""en"", ""hi"")"),"कौन सा भारतीय राज्य 1980 के दशक में कुछ सर्वश्रेष्ठ कैरम कोचों के उत्पादन के लिए जाना जाता है?")</f>
        <v>कौन सा भारतीय राज्य 1980 के दशक में कुछ सर्वश्रेष्ठ कैरम कोचों के उत्पादन के लिए जाना जाता है?</v>
      </c>
      <c r="H224" s="5" t="str">
        <f>IFERROR(__xludf.DUMMYFUNCTION("GOOGLETRANSLATE(C224, ""en"", ""hi"")"),"ए) तमिलनाडु, बी) महाराष्ट्र, सी) केरल, डी) कर्नाटक")</f>
        <v>ए) तमिलनाडु, बी) महाराष्ट्र, सी) केरल, डी) कर्नाटक</v>
      </c>
      <c r="I224" s="5" t="str">
        <f>IFERROR(__xludf.DUMMYFUNCTION("GOOGLETRANSLATE(D224, ""en"", ""hi"")"),"C) केरल")</f>
        <v>C) केरल</v>
      </c>
    </row>
    <row r="225" ht="22.5" customHeight="1">
      <c r="A225" s="3">
        <v>224.0</v>
      </c>
      <c r="B225" s="4" t="s">
        <v>8197</v>
      </c>
      <c r="C225" s="4" t="s">
        <v>54</v>
      </c>
      <c r="D225" s="4" t="s">
        <v>4958</v>
      </c>
      <c r="F225" s="5" t="str">
        <f>IFERROR(__xludf.DUMMYFUNCTION("GOOGLETRANSLATE(A225, ""en"", ""hi"")"),"224")</f>
        <v>224</v>
      </c>
      <c r="G225" s="5" t="str">
        <f>IFERROR(__xludf.DUMMYFUNCTION("GOOGLETRANSLATE(B225, ""en"", ""hi"")"),"संयुक्त राज्य अमेरिका में आयोजित पहला अंतर्राष्ट्रीय कैरम टूर्नामेंट किस दशक में हुआ था?")</f>
        <v>संयुक्त राज्य अमेरिका में आयोजित पहला अंतर्राष्ट्रीय कैरम टूर्नामेंट किस दशक में हुआ था?</v>
      </c>
      <c r="H225" s="5" t="str">
        <f>IFERROR(__xludf.DUMMYFUNCTION("GOOGLETRANSLATE(C225, ""en"", ""hi"")"),"ए) 1970 का दशक, बी) 1980 का दशक, सी) 1990 का दशक, डी) 2000 का दशक")</f>
        <v>ए) 1970 का दशक, बी) 1980 का दशक, सी) 1990 का दशक, डी) 2000 का दशक</v>
      </c>
      <c r="I225" s="5" t="str">
        <f>IFERROR(__xludf.DUMMYFUNCTION("GOOGLETRANSLATE(D225, ""en"", ""hi"")"),"बी) 1980 के दशक")</f>
        <v>बी) 1980 के दशक</v>
      </c>
    </row>
    <row r="226" ht="22.5" customHeight="1">
      <c r="A226" s="3">
        <v>225.0</v>
      </c>
      <c r="B226" s="4" t="s">
        <v>8198</v>
      </c>
      <c r="C226" s="4" t="s">
        <v>8199</v>
      </c>
      <c r="D226" s="4" t="s">
        <v>8200</v>
      </c>
      <c r="F226" s="5" t="str">
        <f>IFERROR(__xludf.DUMMYFUNCTION("GOOGLETRANSLATE(A226, ""en"", ""hi"")"),"225")</f>
        <v>225</v>
      </c>
      <c r="G226" s="5" t="str">
        <f>IFERROR(__xludf.DUMMYFUNCTION("GOOGLETRANSLATE(B226, ""en"", ""hi"")"),"कौन सा कैरम खिलाड़ी 2000 के दशक के प्रारंभ में कैरम तकनीक के विकास में अपने योगदान के लिए जाना गया?")</f>
        <v>कौन सा कैरम खिलाड़ी 2000 के दशक के प्रारंभ में कैरम तकनीक के विकास में अपने योगदान के लिए जाना गया?</v>
      </c>
      <c r="H226" s="5" t="str">
        <f>IFERROR(__xludf.DUMMYFUNCTION("GOOGLETRANSLATE(C226, ""en"", ""hi"")"),"ए) एंथोनी मारिया इरुदायम, बी) चामिल कूरे, सी) मारिया इरुदायम, डी) योगेश परदेशी")</f>
        <v>ए) एंथोनी मारिया इरुदायम, बी) चामिल कूरे, सी) मारिया इरुदायम, डी) योगेश परदेशी</v>
      </c>
      <c r="I226" s="5" t="str">
        <f>IFERROR(__xludf.DUMMYFUNCTION("GOOGLETRANSLATE(D226, ""en"", ""hi"")"),"बी) चमिल कूरे")</f>
        <v>बी) चमिल कूरे</v>
      </c>
    </row>
    <row r="227" ht="22.5" customHeight="1">
      <c r="A227" s="3">
        <v>226.0</v>
      </c>
      <c r="B227" s="4" t="s">
        <v>8201</v>
      </c>
      <c r="C227" s="4" t="s">
        <v>4933</v>
      </c>
      <c r="D227" s="4" t="s">
        <v>4934</v>
      </c>
      <c r="F227" s="5" t="str">
        <f>IFERROR(__xludf.DUMMYFUNCTION("GOOGLETRANSLATE(A227, ""en"", ""hi"")"),"226")</f>
        <v>226</v>
      </c>
      <c r="G227" s="5" t="str">
        <f>IFERROR(__xludf.DUMMYFUNCTION("GOOGLETRANSLATE(B227, ""en"", ""hi"")"),"किस वर्ष स्कोरिंग के लिए डिजिटल काउंटर के साथ कैरम बोर्ड का उत्पादन शुरू हुआ?")</f>
        <v>किस वर्ष स्कोरिंग के लिए डिजिटल काउंटर के साथ कैरम बोर्ड का उत्पादन शुरू हुआ?</v>
      </c>
      <c r="H227" s="5" t="str">
        <f>IFERROR(__xludf.DUMMYFUNCTION("GOOGLETRANSLATE(C227, ""en"", ""hi"")"),"ए) 1990, बी) 1995, सी) 2000, डी) 2005")</f>
        <v>ए) 1990, बी) 1995, सी) 2000, डी) 2005</v>
      </c>
      <c r="I227" s="5" t="str">
        <f>IFERROR(__xludf.DUMMYFUNCTION("GOOGLETRANSLATE(D227, ""en"", ""hi"")"),"बी) 1995")</f>
        <v>बी) 1995</v>
      </c>
    </row>
    <row r="228" ht="22.5" customHeight="1">
      <c r="A228" s="3">
        <v>227.0</v>
      </c>
      <c r="B228" s="4" t="s">
        <v>8202</v>
      </c>
      <c r="C228" s="4" t="s">
        <v>8203</v>
      </c>
      <c r="D228" s="4" t="s">
        <v>236</v>
      </c>
      <c r="F228" s="5" t="str">
        <f>IFERROR(__xludf.DUMMYFUNCTION("GOOGLETRANSLATE(A228, ""en"", ""hi"")"),"227")</f>
        <v>227</v>
      </c>
      <c r="G228" s="5" t="str">
        <f>IFERROR(__xludf.DUMMYFUNCTION("GOOGLETRANSLATE(B228, ""en"", ""hi"")"),"कौन सा भारतीय शहर हर चार साल में कैरम विश्व चैंपियनशिप की मेजबानी के लिए प्रसिद्ध है?")</f>
        <v>कौन सा भारतीय शहर हर चार साल में कैरम विश्व चैंपियनशिप की मेजबानी के लिए प्रसिद्ध है?</v>
      </c>
      <c r="H228" s="5" t="str">
        <f>IFERROR(__xludf.DUMMYFUNCTION("GOOGLETRANSLATE(C228, ""en"", ""hi"")"),"ए) चेन्नई, बी) दिल्ली, सी) मुंबई, डी) कोलकाता")</f>
        <v>ए) चेन्नई, बी) दिल्ली, सी) मुंबई, डी) कोलकाता</v>
      </c>
      <c r="I228" s="5" t="str">
        <f>IFERROR(__xludf.DUMMYFUNCTION("GOOGLETRANSLATE(D228, ""en"", ""hi"")"),"बी) दिल्ली")</f>
        <v>बी) दिल्ली</v>
      </c>
    </row>
    <row r="229" ht="22.5" customHeight="1">
      <c r="A229" s="3">
        <v>228.0</v>
      </c>
      <c r="B229" s="4" t="s">
        <v>8204</v>
      </c>
      <c r="C229" s="4" t="s">
        <v>8205</v>
      </c>
      <c r="D229" s="4" t="s">
        <v>330</v>
      </c>
      <c r="F229" s="5" t="str">
        <f>IFERROR(__xludf.DUMMYFUNCTION("GOOGLETRANSLATE(A229, ""en"", ""hi"")"),"228")</f>
        <v>228</v>
      </c>
      <c r="G229" s="5" t="str">
        <f>IFERROR(__xludf.DUMMYFUNCTION("GOOGLETRANSLATE(B229, ""en"", ""hi"")"),"मध्य पूर्व में आयोजित पहली कैरम चैंपियनशिप किस शहर द्वारा आयोजित की गई थी?")</f>
        <v>मध्य पूर्व में आयोजित पहली कैरम चैंपियनशिप किस शहर द्वारा आयोजित की गई थी?</v>
      </c>
      <c r="H229" s="5" t="str">
        <f>IFERROR(__xludf.DUMMYFUNCTION("GOOGLETRANSLATE(C229, ""en"", ""hi"")"),"A) दुबई, B) अबू धाबी, C) दोहा, D) कुवैत सिटी")</f>
        <v>A) दुबई, B) अबू धाबी, C) दोहा, D) कुवैत सिटी</v>
      </c>
      <c r="I229" s="5" t="str">
        <f>IFERROR(__xludf.DUMMYFUNCTION("GOOGLETRANSLATE(D229, ""en"", ""hi"")"),"A) दुबई")</f>
        <v>A) दुबई</v>
      </c>
    </row>
    <row r="230" ht="22.5" customHeight="1">
      <c r="A230" s="3">
        <v>229.0</v>
      </c>
      <c r="B230" s="4" t="s">
        <v>8206</v>
      </c>
      <c r="C230" s="4" t="s">
        <v>8207</v>
      </c>
      <c r="D230" s="4" t="s">
        <v>7724</v>
      </c>
      <c r="F230" s="5" t="str">
        <f>IFERROR(__xludf.DUMMYFUNCTION("GOOGLETRANSLATE(A230, ""en"", ""hi"")"),"229")</f>
        <v>229</v>
      </c>
      <c r="G230" s="5" t="str">
        <f>IFERROR(__xludf.DUMMYFUNCTION("GOOGLETRANSLATE(B230, ""en"", ""hi"")"),"1994 में किस उल्लेखनीय भारतीय खिलाड़ी ने कैरम विश्व कप जीता?")</f>
        <v>1994 में किस उल्लेखनीय भारतीय खिलाड़ी ने कैरम विश्व कप जीता?</v>
      </c>
      <c r="H230" s="5" t="str">
        <f>IFERROR(__xludf.DUMMYFUNCTION("GOOGLETRANSLATE(C230, ""en"", ""hi"")"),"ए) योगेश परदेशी, बी) मारिया इरुदायम, सी) एंथोनी इरुदायम, डी) रश्मी कुमारी")</f>
        <v>ए) योगेश परदेशी, बी) मारिया इरुदायम, सी) एंथोनी इरुदायम, डी) रश्मी कुमारी</v>
      </c>
      <c r="I230" s="5" t="str">
        <f>IFERROR(__xludf.DUMMYFUNCTION("GOOGLETRANSLATE(D230, ""en"", ""hi"")"),"A) योगेश परदेशी")</f>
        <v>A) योगेश परदेशी</v>
      </c>
    </row>
    <row r="231" ht="22.5" customHeight="1">
      <c r="A231" s="3">
        <v>230.0</v>
      </c>
      <c r="B231" s="4" t="s">
        <v>8208</v>
      </c>
      <c r="C231" s="4" t="s">
        <v>2028</v>
      </c>
      <c r="D231" s="4" t="s">
        <v>8209</v>
      </c>
      <c r="F231" s="5" t="str">
        <f>IFERROR(__xludf.DUMMYFUNCTION("GOOGLETRANSLATE(A231, ""en"", ""hi"")"),"230")</f>
        <v>230</v>
      </c>
      <c r="G231" s="5" t="str">
        <f>IFERROR(__xludf.DUMMYFUNCTION("GOOGLETRANSLATE(B231, ""en"", ""hi"")"),"सिंथेटिक सतहों के साथ कैरम बोर्ड का उत्पादन किस वर्ष शुरू हुआ?")</f>
        <v>सिंथेटिक सतहों के साथ कैरम बोर्ड का उत्पादन किस वर्ष शुरू हुआ?</v>
      </c>
      <c r="H231" s="5" t="str">
        <f>IFERROR(__xludf.DUMMYFUNCTION("GOOGLETRANSLATE(C231, ""en"", ""hi"")"),"ए) 1975, बी) 1980, सी) 1985, डी) 1990")</f>
        <v>ए) 1975, बी) 1980, सी) 1985, डी) 1990</v>
      </c>
      <c r="I231" s="5" t="str">
        <f>IFERROR(__xludf.DUMMYFUNCTION("GOOGLETRANSLATE(D231, ""en"", ""hi"")"),"सी) 1985")</f>
        <v>सी) 1985</v>
      </c>
    </row>
    <row r="232" ht="22.5" customHeight="1">
      <c r="A232" s="3">
        <v>231.0</v>
      </c>
      <c r="B232" s="4" t="s">
        <v>8210</v>
      </c>
      <c r="C232" s="4" t="s">
        <v>8211</v>
      </c>
      <c r="D232" s="4" t="s">
        <v>8212</v>
      </c>
      <c r="F232" s="5" t="str">
        <f>IFERROR(__xludf.DUMMYFUNCTION("GOOGLETRANSLATE(A232, ""en"", ""hi"")"),"231")</f>
        <v>231</v>
      </c>
      <c r="G232" s="5" t="str">
        <f>IFERROR(__xludf.DUMMYFUNCTION("GOOGLETRANSLATE(B232, ""en"", ""hi"")"),"दक्षिण अमेरिका में पहला कैरम टूर्नामेंट किस शहर में आयोजित किया गया था?")</f>
        <v>दक्षिण अमेरिका में पहला कैरम टूर्नामेंट किस शहर में आयोजित किया गया था?</v>
      </c>
      <c r="H232" s="5" t="str">
        <f>IFERROR(__xludf.DUMMYFUNCTION("GOOGLETRANSLATE(C232, ""en"", ""hi"")"),"ए) ब्यूनस आयर्स, बी) रियो डी जनेरियो, सी) सैंटियागो, डी) लीमा")</f>
        <v>ए) ब्यूनस आयर्स, बी) रियो डी जनेरियो, सी) सैंटियागो, डी) लीमा</v>
      </c>
      <c r="I232" s="5" t="str">
        <f>IFERROR(__xludf.DUMMYFUNCTION("GOOGLETRANSLATE(D232, ""en"", ""hi"")"),"A) ब्यूनस आयर्स")</f>
        <v>A) ब्यूनस आयर्स</v>
      </c>
    </row>
    <row r="233" ht="22.5" customHeight="1">
      <c r="A233" s="3">
        <v>232.0</v>
      </c>
      <c r="B233" s="4" t="s">
        <v>8213</v>
      </c>
      <c r="C233" s="4" t="s">
        <v>8214</v>
      </c>
      <c r="D233" s="4" t="s">
        <v>8215</v>
      </c>
      <c r="F233" s="5" t="str">
        <f>IFERROR(__xludf.DUMMYFUNCTION("GOOGLETRANSLATE(A233, ""en"", ""hi"")"),"232")</f>
        <v>232</v>
      </c>
      <c r="G233" s="5" t="str">
        <f>IFERROR(__xludf.DUMMYFUNCTION("GOOGLETRANSLATE(B233, ""en"", ""hi"")"),"कौन सा कैरम महासंघ अफ्रीका में अंतर्राष्ट्रीय कैरम प्रतियोगिता आयोजित करने वाला पहला देश था?")</f>
        <v>कौन सा कैरम महासंघ अफ्रीका में अंतर्राष्ट्रीय कैरम प्रतियोगिता आयोजित करने वाला पहला देश था?</v>
      </c>
      <c r="H233" s="5" t="str">
        <f>IFERROR(__xludf.DUMMYFUNCTION("GOOGLETRANSLATE(C233, ""en"", ""hi"")"),"A) दक्षिण अफ्रीका कैरम महासंघ, B) मिस्र कैरम महासंघ, C) केन्या कैरम महासंघ, D) नाइजीरियाई कैरम महासंघ")</f>
        <v>A) दक्षिण अफ्रीका कैरम महासंघ, B) मिस्र कैरम महासंघ, C) केन्या कैरम महासंघ, D) नाइजीरियाई कैरम महासंघ</v>
      </c>
      <c r="I233" s="5" t="str">
        <f>IFERROR(__xludf.DUMMYFUNCTION("GOOGLETRANSLATE(D233, ""en"", ""hi"")"),"A) दक्षिण अफ्रीका कैरम महासंघ")</f>
        <v>A) दक्षिण अफ्रीका कैरम महासंघ</v>
      </c>
    </row>
    <row r="234" ht="22.5" customHeight="1">
      <c r="A234" s="3">
        <v>233.0</v>
      </c>
      <c r="B234" s="4" t="s">
        <v>8006</v>
      </c>
      <c r="C234" s="4" t="s">
        <v>7890</v>
      </c>
      <c r="D234" s="4" t="s">
        <v>814</v>
      </c>
      <c r="F234" s="5" t="str">
        <f>IFERROR(__xludf.DUMMYFUNCTION("GOOGLETRANSLATE(A234, ""en"", ""hi"")"),"233")</f>
        <v>233</v>
      </c>
      <c r="G234" s="5" t="str">
        <f>IFERROR(__xludf.DUMMYFUNCTION("GOOGLETRANSLATE(B234, ""en"", ""hi"")"),"पहला कैरम विश्व कप किस वर्ष आयोजित किया गया था?")</f>
        <v>पहला कैरम विश्व कप किस वर्ष आयोजित किया गया था?</v>
      </c>
      <c r="H234" s="5" t="str">
        <f>IFERROR(__xludf.DUMMYFUNCTION("GOOGLETRANSLATE(C234, ""en"", ""hi"")"),"ए) 1988, बी) 1990, सी) 1992, डी) 1994")</f>
        <v>ए) 1988, बी) 1990, सी) 1992, डी) 1994</v>
      </c>
      <c r="I234" s="5" t="str">
        <f>IFERROR(__xludf.DUMMYFUNCTION("GOOGLETRANSLATE(D234, ""en"", ""hi"")"),"बी) 1990")</f>
        <v>बी) 1990</v>
      </c>
    </row>
    <row r="235" ht="22.5" customHeight="1">
      <c r="A235" s="3">
        <v>234.0</v>
      </c>
      <c r="B235" s="4" t="s">
        <v>8216</v>
      </c>
      <c r="C235" s="4" t="s">
        <v>8217</v>
      </c>
      <c r="D235" s="4" t="s">
        <v>8218</v>
      </c>
      <c r="F235" s="5" t="str">
        <f>IFERROR(__xludf.DUMMYFUNCTION("GOOGLETRANSLATE(A235, ""en"", ""hi"")"),"234")</f>
        <v>234</v>
      </c>
      <c r="G235" s="5" t="str">
        <f>IFERROR(__xludf.DUMMYFUNCTION("GOOGLETRANSLATE(B235, ""en"", ""hi"")"),"1980 के दशक में कैरम में रिकॉर्ड बनाने के लिए कौन सा भारतीय खिलाड़ी जाना जाता था?")</f>
        <v>1980 के दशक में कैरम में रिकॉर्ड बनाने के लिए कौन सा भारतीय खिलाड़ी जाना जाता था?</v>
      </c>
      <c r="H235" s="5" t="str">
        <f>IFERROR(__xludf.DUMMYFUNCTION("GOOGLETRANSLATE(C235, ""en"", ""hi"")"),"ए) आर. वी. एस. शर्मा, बी) वी. के. गुप्ता, सी) एंथोनी मारिया इरुदायम, डी) योगेश परदेशी")</f>
        <v>ए) आर. वी. एस. शर्मा, बी) वी. के. गुप्ता, सी) एंथोनी मारिया इरुदायम, डी) योगेश परदेशी</v>
      </c>
      <c r="I235" s="5" t="str">
        <f>IFERROR(__xludf.DUMMYFUNCTION("GOOGLETRANSLATE(D235, ""en"", ""hi"")"),"बी) वी. के. गुप्ता")</f>
        <v>बी) वी. के. गुप्ता</v>
      </c>
    </row>
    <row r="236" ht="22.5" customHeight="1">
      <c r="A236" s="3">
        <v>235.0</v>
      </c>
      <c r="B236" s="4" t="s">
        <v>8219</v>
      </c>
      <c r="C236" s="4" t="s">
        <v>8102</v>
      </c>
      <c r="D236" s="4" t="s">
        <v>8020</v>
      </c>
      <c r="F236" s="5" t="str">
        <f>IFERROR(__xludf.DUMMYFUNCTION("GOOGLETRANSLATE(A236, ""en"", ""hi"")"),"235")</f>
        <v>235</v>
      </c>
      <c r="G236" s="5" t="str">
        <f>IFERROR(__xludf.DUMMYFUNCTION("GOOGLETRANSLATE(B236, ""en"", ""hi"")"),"अंतर्निर्मित चुंबकीय स्कोरिंग प्रणाली वाला पहला कैरम बोर्ड किस कंपनी द्वारा पेश किया गया था?")</f>
        <v>अंतर्निर्मित चुंबकीय स्कोरिंग प्रणाली वाला पहला कैरम बोर्ड किस कंपनी द्वारा पेश किया गया था?</v>
      </c>
      <c r="H236" s="5" t="str">
        <f>IFERROR(__xludf.DUMMYFUNCTION("GOOGLETRANSLATE(C236, ""en"", ""hi"")"),"A) सुरको, B) स्टार, C) सिंको, D) घोष")</f>
        <v>A) सुरको, B) स्टार, C) सिंको, D) घोष</v>
      </c>
      <c r="I236" s="5" t="str">
        <f>IFERROR(__xludf.DUMMYFUNCTION("GOOGLETRANSLATE(D236, ""en"", ""hi"")"),"ए) सुरको")</f>
        <v>ए) सुरको</v>
      </c>
    </row>
    <row r="237" ht="22.5" customHeight="1">
      <c r="A237" s="3">
        <v>236.0</v>
      </c>
      <c r="B237" s="4" t="s">
        <v>8220</v>
      </c>
      <c r="C237" s="4" t="s">
        <v>8221</v>
      </c>
      <c r="D237" s="4" t="s">
        <v>2127</v>
      </c>
      <c r="F237" s="5" t="str">
        <f>IFERROR(__xludf.DUMMYFUNCTION("GOOGLETRANSLATE(A237, ""en"", ""hi"")"),"236")</f>
        <v>236</v>
      </c>
      <c r="G237" s="5" t="str">
        <f>IFERROR(__xludf.DUMMYFUNCTION("GOOGLETRANSLATE(B237, ""en"", ""hi"")"),"1990 के दशक के अंत में कौन सा भारतीय शहर कैरम टूर्नामेंट का केंद्र बन गया?")</f>
        <v>1990 के दशक के अंत में कौन सा भारतीय शहर कैरम टूर्नामेंट का केंद्र बन गया?</v>
      </c>
      <c r="H237" s="5" t="str">
        <f>IFERROR(__xludf.DUMMYFUNCTION("GOOGLETRANSLATE(C237, ""en"", ""hi"")"),"ए) चेन्नई, बी) मुंबई, सी) कोलकाता, डी) बैंगलोर")</f>
        <v>ए) चेन्नई, बी) मुंबई, सी) कोलकाता, डी) बैंगलोर</v>
      </c>
      <c r="I237" s="5" t="str">
        <f>IFERROR(__xludf.DUMMYFUNCTION("GOOGLETRANSLATE(D237, ""en"", ""hi"")"),"C) कोलकाता")</f>
        <v>C) कोलकाता</v>
      </c>
    </row>
    <row r="238" ht="22.5" customHeight="1">
      <c r="A238" s="3">
        <v>237.0</v>
      </c>
      <c r="B238" s="4" t="s">
        <v>8222</v>
      </c>
      <c r="C238" s="4" t="s">
        <v>8016</v>
      </c>
      <c r="D238" s="4" t="s">
        <v>5027</v>
      </c>
      <c r="F238" s="5" t="str">
        <f>IFERROR(__xludf.DUMMYFUNCTION("GOOGLETRANSLATE(A238, ""en"", ""hi"")"),"237")</f>
        <v>237</v>
      </c>
      <c r="G238" s="5" t="str">
        <f>IFERROR(__xludf.DUMMYFUNCTION("GOOGLETRANSLATE(B238, ""en"", ""hi"")"),"पहली कैरम विश्व चैम्पियनशिप किस देश में आयोजित की गई थी?")</f>
        <v>पहली कैरम विश्व चैम्पियनशिप किस देश में आयोजित की गई थी?</v>
      </c>
      <c r="H238" s="5" t="str">
        <f>IFERROR(__xludf.DUMMYFUNCTION("GOOGLETRANSLATE(C238, ""en"", ""hi"")"),"A) भारत, B) श्रीलंका, C) पाकिस्तान, D) बांग्लादेश")</f>
        <v>A) भारत, B) श्रीलंका, C) पाकिस्तान, D) बांग्लादेश</v>
      </c>
      <c r="I238" s="5" t="str">
        <f>IFERROR(__xludf.DUMMYFUNCTION("GOOGLETRANSLATE(D238, ""en"", ""hi"")"),"बी) श्रीलंका")</f>
        <v>बी) श्रीलंका</v>
      </c>
    </row>
    <row r="239" ht="22.5" customHeight="1">
      <c r="A239" s="3">
        <v>238.0</v>
      </c>
      <c r="B239" s="4" t="s">
        <v>8223</v>
      </c>
      <c r="C239" s="4" t="s">
        <v>8224</v>
      </c>
      <c r="D239" s="4" t="s">
        <v>1933</v>
      </c>
      <c r="F239" s="5" t="str">
        <f>IFERROR(__xludf.DUMMYFUNCTION("GOOGLETRANSLATE(A239, ""en"", ""hi"")"),"238")</f>
        <v>238</v>
      </c>
      <c r="G239" s="5" t="str">
        <f>IFERROR(__xludf.DUMMYFUNCTION("GOOGLETRANSLATE(B239, ""en"", ""hi"")"),"कैरम पहली बार दक्षिण एशियाई खेलों में किस वर्ष शामिल हुआ?")</f>
        <v>कैरम पहली बार दक्षिण एशियाई खेलों में किस वर्ष शामिल हुआ?</v>
      </c>
      <c r="H239" s="5" t="str">
        <f>IFERROR(__xludf.DUMMYFUNCTION("GOOGLETRANSLATE(C239, ""en"", ""hi"")"),"ए) 1986, बी) 1987, सी) 1988, डी) 1990")</f>
        <v>ए) 1986, बी) 1987, सी) 1988, डी) 1990</v>
      </c>
      <c r="I239" s="5" t="str">
        <f>IFERROR(__xludf.DUMMYFUNCTION("GOOGLETRANSLATE(D239, ""en"", ""hi"")"),"डी) 1990")</f>
        <v>डी) 1990</v>
      </c>
    </row>
    <row r="240" ht="22.5" customHeight="1">
      <c r="A240" s="3">
        <v>239.0</v>
      </c>
      <c r="B240" s="4" t="s">
        <v>8225</v>
      </c>
      <c r="C240" s="4" t="s">
        <v>4071</v>
      </c>
      <c r="D240" s="4" t="s">
        <v>8196</v>
      </c>
      <c r="F240" s="5" t="str">
        <f>IFERROR(__xludf.DUMMYFUNCTION("GOOGLETRANSLATE(A240, ""en"", ""hi"")"),"239")</f>
        <v>239</v>
      </c>
      <c r="G240" s="5" t="str">
        <f>IFERROR(__xludf.DUMMYFUNCTION("GOOGLETRANSLATE(B240, ""en"", ""hi"")"),"1970 के दशक में कैरम को स्कूली पाठ्यक्रम में शामिल करने वाला पहला भारतीय राज्य कौन सा था?")</f>
        <v>1970 के दशक में कैरम को स्कूली पाठ्यक्रम में शामिल करने वाला पहला भारतीय राज्य कौन सा था?</v>
      </c>
      <c r="H240" s="5" t="str">
        <f>IFERROR(__xludf.DUMMYFUNCTION("GOOGLETRANSLATE(C240, ""en"", ""hi"")"),"A) तमिलनाडु, B) कर्नाटक, C) केरल, D) आंध्र प्रदेश")</f>
        <v>A) तमिलनाडु, B) कर्नाटक, C) केरल, D) आंध्र प्रदेश</v>
      </c>
      <c r="I240" s="5" t="str">
        <f>IFERROR(__xludf.DUMMYFUNCTION("GOOGLETRANSLATE(D240, ""en"", ""hi"")"),"C) केरल")</f>
        <v>C) केरल</v>
      </c>
    </row>
    <row r="241" ht="22.5" customHeight="1">
      <c r="A241" s="3">
        <v>240.0</v>
      </c>
      <c r="B241" s="4" t="s">
        <v>8068</v>
      </c>
      <c r="C241" s="4" t="s">
        <v>8058</v>
      </c>
      <c r="D241" s="4" t="s">
        <v>7709</v>
      </c>
      <c r="F241" s="5" t="str">
        <f>IFERROR(__xludf.DUMMYFUNCTION("GOOGLETRANSLATE(A241, ""en"", ""hi"")"),"240")</f>
        <v>240</v>
      </c>
      <c r="G241" s="5" t="str">
        <f>IFERROR(__xludf.DUMMYFUNCTION("GOOGLETRANSLATE(B241, ""en"", ""hi"")"),"महिलाओं के लिए पहली कैरम विश्व चैम्पियनशिप किस वर्ष आयोजित की गई थी?")</f>
        <v>महिलाओं के लिए पहली कैरम विश्व चैम्पियनशिप किस वर्ष आयोजित की गई थी?</v>
      </c>
      <c r="H241" s="5" t="str">
        <f>IFERROR(__xludf.DUMMYFUNCTION("GOOGLETRANSLATE(C241, ""en"", ""hi"")"),"ए) 1991, बी) 1993, सी) 1995, डी) 1997")</f>
        <v>ए) 1991, बी) 1993, सी) 1995, डी) 1997</v>
      </c>
      <c r="I241" s="5" t="str">
        <f>IFERROR(__xludf.DUMMYFUNCTION("GOOGLETRANSLATE(D241, ""en"", ""hi"")"),"बी) 1993")</f>
        <v>बी) 1993</v>
      </c>
    </row>
    <row r="242" ht="22.5" customHeight="1">
      <c r="A242" s="3">
        <v>241.0</v>
      </c>
      <c r="B242" s="4" t="s">
        <v>8226</v>
      </c>
      <c r="C242" s="4" t="s">
        <v>8227</v>
      </c>
      <c r="D242" s="4" t="s">
        <v>7931</v>
      </c>
      <c r="F242" s="5" t="str">
        <f>IFERROR(__xludf.DUMMYFUNCTION("GOOGLETRANSLATE(A242, ""en"", ""hi"")"),"241")</f>
        <v>241</v>
      </c>
      <c r="G242" s="5" t="str">
        <f>IFERROR(__xludf.DUMMYFUNCTION("GOOGLETRANSLATE(B242, ""en"", ""hi"")"),"अंतर्राष्ट्रीय कैरम टूर्नामेंटों का आधिकारिक रूप से संचालन करने वाला पहला संगठन कौन सा था?")</f>
        <v>अंतर्राष्ट्रीय कैरम टूर्नामेंटों का आधिकारिक रूप से संचालन करने वाला पहला संगठन कौन सा था?</v>
      </c>
      <c r="H242" s="5" t="str">
        <f>IFERROR(__xludf.DUMMYFUNCTION("GOOGLETRANSLATE(C242, ""en"", ""hi"")"),"A) अंतर्राष्ट्रीय कैरम महासंघ, B) विश्व कैरम महासंघ, C) कैरम एसोसिएशन ऑफ एशिया, D) ग्लोबल कैरम काउंसिल")</f>
        <v>A) अंतर्राष्ट्रीय कैरम महासंघ, B) विश्व कैरम महासंघ, C) कैरम एसोसिएशन ऑफ एशिया, D) ग्लोबल कैरम काउंसिल</v>
      </c>
      <c r="I242" s="5" t="str">
        <f>IFERROR(__xludf.DUMMYFUNCTION("GOOGLETRANSLATE(D242, ""en"", ""hi"")"),"बी) विश्व कैरम महासंघ")</f>
        <v>बी) विश्व कैरम महासंघ</v>
      </c>
    </row>
    <row r="243" ht="22.5" customHeight="1">
      <c r="A243" s="3">
        <v>242.0</v>
      </c>
      <c r="B243" s="4" t="s">
        <v>8228</v>
      </c>
      <c r="C243" s="4" t="s">
        <v>8229</v>
      </c>
      <c r="D243" s="4" t="s">
        <v>8230</v>
      </c>
      <c r="F243" s="5" t="str">
        <f>IFERROR(__xludf.DUMMYFUNCTION("GOOGLETRANSLATE(A243, ""en"", ""hi"")"),"242")</f>
        <v>242</v>
      </c>
      <c r="G243" s="5" t="str">
        <f>IFERROR(__xludf.DUMMYFUNCTION("GOOGLETRANSLATE(B243, ""en"", ""hi"")"),"जापान में पहला कैरम टूर्नामेंट किस शहर में आयोजित किया गया था?")</f>
        <v>जापान में पहला कैरम टूर्नामेंट किस शहर में आयोजित किया गया था?</v>
      </c>
      <c r="H243" s="5" t="str">
        <f>IFERROR(__xludf.DUMMYFUNCTION("GOOGLETRANSLATE(C243, ""en"", ""hi"")"),"ए) टोक्यो, बी) ओसाका, सी) क्योटो, डी) योकोहामा")</f>
        <v>ए) टोक्यो, बी) ओसाका, सी) क्योटो, डी) योकोहामा</v>
      </c>
      <c r="I243" s="5" t="str">
        <f>IFERROR(__xludf.DUMMYFUNCTION("GOOGLETRANSLATE(D243, ""en"", ""hi"")"),"ए) टोक्यो")</f>
        <v>ए) टोक्यो</v>
      </c>
    </row>
    <row r="244" ht="22.5" customHeight="1">
      <c r="A244" s="3">
        <v>243.0</v>
      </c>
      <c r="B244" s="4" t="s">
        <v>8231</v>
      </c>
      <c r="C244" s="4" t="s">
        <v>7745</v>
      </c>
      <c r="D244" s="4" t="s">
        <v>2107</v>
      </c>
      <c r="F244" s="5" t="str">
        <f>IFERROR(__xludf.DUMMYFUNCTION("GOOGLETRANSLATE(A244, ""en"", ""hi"")"),"243")</f>
        <v>243</v>
      </c>
      <c r="G244" s="5" t="str">
        <f>IFERROR(__xludf.DUMMYFUNCTION("GOOGLETRANSLATE(B244, ""en"", ""hi"")"),"किस भारतीय शहर ने 1999 में जूनियर वर्ग के लिए पहली कैरम विश्व चैम्पियनशिप की मेजबानी की थी?")</f>
        <v>किस भारतीय शहर ने 1999 में जूनियर वर्ग के लिए पहली कैरम विश्व चैम्पियनशिप की मेजबानी की थी?</v>
      </c>
      <c r="H244" s="5" t="str">
        <f>IFERROR(__xludf.DUMMYFUNCTION("GOOGLETRANSLATE(C244, ""en"", ""hi"")"),"ए) मुंबई, बी) चेन्नई, सी) बैंगलोर, डी) कोलकाता")</f>
        <v>ए) मुंबई, बी) चेन्नई, सी) बैंगलोर, डी) कोलकाता</v>
      </c>
      <c r="I244" s="5" t="str">
        <f>IFERROR(__xludf.DUMMYFUNCTION("GOOGLETRANSLATE(D244, ""en"", ""hi"")"),"D) कोलकाता")</f>
        <v>D) कोलकाता</v>
      </c>
    </row>
    <row r="245" ht="22.5" customHeight="1">
      <c r="A245" s="3">
        <v>244.0</v>
      </c>
      <c r="B245" s="4" t="s">
        <v>8232</v>
      </c>
      <c r="C245" s="4" t="s">
        <v>4900</v>
      </c>
      <c r="D245" s="4" t="s">
        <v>5027</v>
      </c>
      <c r="F245" s="5" t="str">
        <f>IFERROR(__xludf.DUMMYFUNCTION("GOOGLETRANSLATE(A245, ""en"", ""hi"")"),"244")</f>
        <v>244</v>
      </c>
      <c r="G245" s="5" t="str">
        <f>IFERROR(__xludf.DUMMYFUNCTION("GOOGLETRANSLATE(B245, ""en"", ""hi"")"),"1990 में पहली कैरम विश्व चैम्पियनशिप की मेजबानी किस देश ने की थी?")</f>
        <v>1990 में पहली कैरम विश्व चैम्पियनशिप की मेजबानी किस देश ने की थी?</v>
      </c>
      <c r="H245" s="5" t="str">
        <f>IFERROR(__xludf.DUMMYFUNCTION("GOOGLETRANSLATE(C245, ""en"", ""hi"")"),"A) भारत, B) श्रीलंका, C) बांग्लादेश, D) पाकिस्तान")</f>
        <v>A) भारत, B) श्रीलंका, C) बांग्लादेश, D) पाकिस्तान</v>
      </c>
      <c r="I245" s="5" t="str">
        <f>IFERROR(__xludf.DUMMYFUNCTION("GOOGLETRANSLATE(D245, ""en"", ""hi"")"),"बी) श्रीलंका")</f>
        <v>बी) श्रीलंका</v>
      </c>
    </row>
    <row r="246" ht="22.5" customHeight="1">
      <c r="A246" s="3">
        <v>245.0</v>
      </c>
      <c r="B246" s="4" t="s">
        <v>8233</v>
      </c>
      <c r="C246" s="4" t="s">
        <v>8234</v>
      </c>
      <c r="D246" s="4" t="s">
        <v>8235</v>
      </c>
      <c r="F246" s="5" t="str">
        <f>IFERROR(__xludf.DUMMYFUNCTION("GOOGLETRANSLATE(A246, ""en"", ""hi"")"),"245")</f>
        <v>245</v>
      </c>
      <c r="G246" s="5" t="str">
        <f>IFERROR(__xludf.DUMMYFUNCTION("GOOGLETRANSLATE(B246, ""en"", ""hi"")"),"श्रीलंका के कैरम महासंघ ने अपना पहला अंतर्राष्ट्रीय टूर्नामेंट किस वर्ष आयोजित किया था?")</f>
        <v>श्रीलंका के कैरम महासंघ ने अपना पहला अंतर्राष्ट्रीय टूर्नामेंट किस वर्ष आयोजित किया था?</v>
      </c>
      <c r="H246" s="5" t="str">
        <f>IFERROR(__xludf.DUMMYFUNCTION("GOOGLETRANSLATE(C246, ""en"", ""hi"")"),"ए) 1989, बी) 1990, सी) 1991, डी) 1992")</f>
        <v>ए) 1989, बी) 1990, सी) 1991, डी) 1992</v>
      </c>
      <c r="I246" s="5" t="str">
        <f>IFERROR(__xludf.DUMMYFUNCTION("GOOGLETRANSLATE(D246, ""en"", ""hi"")"),"ए) 1989")</f>
        <v>ए) 1989</v>
      </c>
    </row>
    <row r="247" ht="22.5" customHeight="1">
      <c r="A247" s="3">
        <v>246.0</v>
      </c>
      <c r="B247" s="4" t="s">
        <v>8236</v>
      </c>
      <c r="C247" s="4" t="s">
        <v>76</v>
      </c>
      <c r="D247" s="4" t="s">
        <v>77</v>
      </c>
      <c r="F247" s="5" t="str">
        <f>IFERROR(__xludf.DUMMYFUNCTION("GOOGLETRANSLATE(A247, ""en"", ""hi"")"),"246")</f>
        <v>246</v>
      </c>
      <c r="G247" s="5" t="str">
        <f>IFERROR(__xludf.DUMMYFUNCTION("GOOGLETRANSLATE(B247, ""en"", ""hi"")"),"1980 के दशक में किस भारतीय शहर ने कैरम क्लब की अवधारणा शुरू की?")</f>
        <v>1980 के दशक में किस भारतीय शहर ने कैरम क्लब की अवधारणा शुरू की?</v>
      </c>
      <c r="H247" s="5" t="str">
        <f>IFERROR(__xludf.DUMMYFUNCTION("GOOGLETRANSLATE(C247, ""en"", ""hi"")"),"ए) दिल्ली, बी) मुंबई, सी) चेन्नई, डी) कोलकाता")</f>
        <v>ए) दिल्ली, बी) मुंबई, सी) चेन्नई, डी) कोलकाता</v>
      </c>
      <c r="I247" s="5" t="str">
        <f>IFERROR(__xludf.DUMMYFUNCTION("GOOGLETRANSLATE(D247, ""en"", ""hi"")"),"बी) मुंबई")</f>
        <v>बी) मुंबई</v>
      </c>
    </row>
    <row r="248" ht="22.5" customHeight="1">
      <c r="A248" s="3">
        <v>247.0</v>
      </c>
      <c r="B248" s="4" t="s">
        <v>8237</v>
      </c>
      <c r="C248" s="4" t="s">
        <v>8238</v>
      </c>
      <c r="D248" s="4" t="s">
        <v>25</v>
      </c>
      <c r="F248" s="5" t="str">
        <f>IFERROR(__xludf.DUMMYFUNCTION("GOOGLETRANSLATE(A248, ""en"", ""hi"")"),"247")</f>
        <v>247</v>
      </c>
      <c r="G248" s="5" t="str">
        <f>IFERROR(__xludf.DUMMYFUNCTION("GOOGLETRANSLATE(B248, ""en"", ""hi"")"),"शुरुआती लोगों के लिए पहला कैरम प्रशिक्षण मैनुअल किस वर्ष प्रकाशित किया गया था?")</f>
        <v>शुरुआती लोगों के लिए पहला कैरम प्रशिक्षण मैनुअल किस वर्ष प्रकाशित किया गया था?</v>
      </c>
      <c r="H248" s="5" t="str">
        <f>IFERROR(__xludf.DUMMYFUNCTION("GOOGLETRANSLATE(C248, ""en"", ""hi"")"),"ए) 1982, बी) 1985, सी) 1988, डी) 1990")</f>
        <v>ए) 1982, बी) 1985, सी) 1988, डी) 1990</v>
      </c>
      <c r="I248" s="5" t="str">
        <f>IFERROR(__xludf.DUMMYFUNCTION("GOOGLETRANSLATE(D248, ""en"", ""hi"")"),"बी) 1985")</f>
        <v>बी) 1985</v>
      </c>
    </row>
    <row r="249" ht="22.5" customHeight="1">
      <c r="A249" s="3">
        <v>248.0</v>
      </c>
      <c r="B249" s="4" t="s">
        <v>8239</v>
      </c>
      <c r="C249" s="4" t="s">
        <v>8240</v>
      </c>
      <c r="D249" s="4" t="s">
        <v>6611</v>
      </c>
      <c r="F249" s="5" t="str">
        <f>IFERROR(__xludf.DUMMYFUNCTION("GOOGLETRANSLATE(A249, ""en"", ""hi"")"),"248")</f>
        <v>248</v>
      </c>
      <c r="G249" s="5" t="str">
        <f>IFERROR(__xludf.DUMMYFUNCTION("GOOGLETRANSLATE(B249, ""en"", ""hi"")"),"किस दक्षिण एशियाई देश ने 1990 के दशक की शुरुआत में पहली बार कैरम को अपने राष्ट्रीय खेल पाठ्यक्रम में शामिल किया था?")</f>
        <v>किस दक्षिण एशियाई देश ने 1990 के दशक की शुरुआत में पहली बार कैरम को अपने राष्ट्रीय खेल पाठ्यक्रम में शामिल किया था?</v>
      </c>
      <c r="H249" s="5" t="str">
        <f>IFERROR(__xludf.DUMMYFUNCTION("GOOGLETRANSLATE(C249, ""en"", ""hi"")"),"A) बांग्लादेश, B) पाकिस्तान, C) श्रीलंका, D) नेपाल")</f>
        <v>A) बांग्लादेश, B) पाकिस्तान, C) श्रीलंका, D) नेपाल</v>
      </c>
      <c r="I249" s="5" t="str">
        <f>IFERROR(__xludf.DUMMYFUNCTION("GOOGLETRANSLATE(D249, ""en"", ""hi"")"),"ए) बांग्लादेश")</f>
        <v>ए) बांग्लादेश</v>
      </c>
    </row>
    <row r="250" ht="22.5" customHeight="1">
      <c r="A250" s="3">
        <v>249.0</v>
      </c>
      <c r="B250" s="4" t="s">
        <v>8241</v>
      </c>
      <c r="C250" s="4" t="s">
        <v>8242</v>
      </c>
      <c r="D250" s="4" t="s">
        <v>330</v>
      </c>
      <c r="F250" s="5" t="str">
        <f>IFERROR(__xludf.DUMMYFUNCTION("GOOGLETRANSLATE(A250, ""en"", ""hi"")"),"249")</f>
        <v>249</v>
      </c>
      <c r="G250" s="5" t="str">
        <f>IFERROR(__xludf.DUMMYFUNCTION("GOOGLETRANSLATE(B250, ""en"", ""hi"")"),"मध्य पूर्व में आयोजित पहला कैरम टूर्नामेंट किस शहर में हुआ था?")</f>
        <v>मध्य पूर्व में आयोजित पहला कैरम टूर्नामेंट किस शहर में हुआ था?</v>
      </c>
      <c r="H250" s="5" t="str">
        <f>IFERROR(__xludf.DUMMYFUNCTION("GOOGLETRANSLATE(C250, ""en"", ""hi"")"),"A) दुबई, B) रियाद, C) दोहा, D) कुवैत सिटी")</f>
        <v>A) दुबई, B) रियाद, C) दोहा, D) कुवैत सिटी</v>
      </c>
      <c r="I250" s="5" t="str">
        <f>IFERROR(__xludf.DUMMYFUNCTION("GOOGLETRANSLATE(D250, ""en"", ""hi"")"),"A) दुबई")</f>
        <v>A) दुबई</v>
      </c>
    </row>
    <row r="251" ht="22.5" customHeight="1">
      <c r="A251" s="3">
        <v>250.0</v>
      </c>
      <c r="B251" s="4" t="s">
        <v>8243</v>
      </c>
      <c r="C251" s="4" t="s">
        <v>8244</v>
      </c>
      <c r="D251" s="4" t="s">
        <v>8196</v>
      </c>
      <c r="F251" s="5" t="str">
        <f>IFERROR(__xludf.DUMMYFUNCTION("GOOGLETRANSLATE(A251, ""en"", ""hi"")"),"250")</f>
        <v>250</v>
      </c>
      <c r="G251" s="5" t="str">
        <f>IFERROR(__xludf.DUMMYFUNCTION("GOOGLETRANSLATE(B251, ""en"", ""hi"")"),"कौन सा भारतीय राज्य 1980 के दशक में कैरम को पेशेवर खेल के रूप में अपनाने के लिए जाना जाता है?")</f>
        <v>कौन सा भारतीय राज्य 1980 के दशक में कैरम को पेशेवर खेल के रूप में अपनाने के लिए जाना जाता है?</v>
      </c>
      <c r="H251" s="5" t="str">
        <f>IFERROR(__xludf.DUMMYFUNCTION("GOOGLETRANSLATE(C251, ""en"", ""hi"")"),"A) महाराष्ट्र, B) तमिलनाडु, C) केरल, D) आंध्र प्रदेश")</f>
        <v>A) महाराष्ट्र, B) तमिलनाडु, C) केरल, D) आंध्र प्रदेश</v>
      </c>
      <c r="I251" s="5" t="str">
        <f>IFERROR(__xludf.DUMMYFUNCTION("GOOGLETRANSLATE(D251, ""en"", ""hi"")"),"C) केरल")</f>
        <v>C) केरल</v>
      </c>
    </row>
    <row r="252" ht="22.5" customHeight="1">
      <c r="A252" s="3">
        <v>251.0</v>
      </c>
      <c r="B252" s="4" t="s">
        <v>8245</v>
      </c>
      <c r="C252" s="4" t="s">
        <v>1896</v>
      </c>
      <c r="D252" s="4" t="s">
        <v>8246</v>
      </c>
      <c r="F252" s="5" t="str">
        <f>IFERROR(__xludf.DUMMYFUNCTION("GOOGLETRANSLATE(A252, ""en"", ""hi"")"),"251")</f>
        <v>251</v>
      </c>
      <c r="G252" s="5" t="str">
        <f>IFERROR(__xludf.DUMMYFUNCTION("GOOGLETRANSLATE(B252, ""en"", ""hi"")"),"कैरम पहली बार किस वर्ष भारतीय राष्ट्रीय खेलों का हिस्सा बना?")</f>
        <v>कैरम पहली बार किस वर्ष भारतीय राष्ट्रीय खेलों का हिस्सा बना?</v>
      </c>
      <c r="H252" s="5" t="str">
        <f>IFERROR(__xludf.DUMMYFUNCTION("GOOGLETRANSLATE(C252, ""en"", ""hi"")"),"ए) 1980, बी) 1982, सी) 1984, डी) 1986")</f>
        <v>ए) 1980, बी) 1982, सी) 1984, डी) 1986</v>
      </c>
      <c r="I252" s="5" t="str">
        <f>IFERROR(__xludf.DUMMYFUNCTION("GOOGLETRANSLATE(D252, ""en"", ""hi"")"),"ए) 1980")</f>
        <v>ए) 1980</v>
      </c>
    </row>
    <row r="253" ht="22.5" customHeight="1">
      <c r="A253" s="3">
        <v>252.0</v>
      </c>
      <c r="B253" s="4" t="s">
        <v>8247</v>
      </c>
      <c r="C253" s="4" t="s">
        <v>8248</v>
      </c>
      <c r="D253" s="4" t="s">
        <v>8249</v>
      </c>
      <c r="F253" s="5" t="str">
        <f>IFERROR(__xludf.DUMMYFUNCTION("GOOGLETRANSLATE(A253, ""en"", ""hi"")"),"252")</f>
        <v>252</v>
      </c>
      <c r="G253" s="5" t="str">
        <f>IFERROR(__xludf.DUMMYFUNCTION("GOOGLETRANSLATE(B253, ""en"", ""hi"")"),"एशिया के बाहर आयोजित पहला कैरम विश्व कप किस देश द्वारा आयोजित किया गया था?")</f>
        <v>एशिया के बाहर आयोजित पहला कैरम विश्व कप किस देश द्वारा आयोजित किया गया था?</v>
      </c>
      <c r="H253" s="5" t="str">
        <f>IFERROR(__xludf.DUMMYFUNCTION("GOOGLETRANSLATE(C253, ""en"", ""hi"")"),"A) यूएसए, B) कनाडा, C) दक्षिण अफ्रीका, D) ऑस्ट्रेलिया")</f>
        <v>A) यूएसए, B) कनाडा, C) दक्षिण अफ्रीका, D) ऑस्ट्रेलिया</v>
      </c>
      <c r="I253" s="5" t="str">
        <f>IFERROR(__xludf.DUMMYFUNCTION("GOOGLETRANSLATE(D253, ""en"", ""hi"")"),"C) दक्षिण अफ्रीका")</f>
        <v>C) दक्षिण अफ्रीका</v>
      </c>
    </row>
    <row r="254" ht="22.5" customHeight="1">
      <c r="A254" s="3">
        <v>253.0</v>
      </c>
      <c r="B254" s="4" t="s">
        <v>8250</v>
      </c>
      <c r="C254" s="4" t="s">
        <v>8251</v>
      </c>
      <c r="D254" s="4" t="s">
        <v>8187</v>
      </c>
      <c r="F254" s="5" t="str">
        <f>IFERROR(__xludf.DUMMYFUNCTION("GOOGLETRANSLATE(A254, ""en"", ""hi"")"),"253")</f>
        <v>253</v>
      </c>
      <c r="G254" s="5" t="str">
        <f>IFERROR(__xludf.DUMMYFUNCTION("GOOGLETRANSLATE(B254, ""en"", ""hi"")"),"गेमप्ले के लिए एकीकृत ध्वनि प्रभाव वाले कैरम बोर्ड का निर्माण करने वाली पहली कंपनी कौन सी थी?")</f>
        <v>गेमप्ले के लिए एकीकृत ध्वनि प्रभाव वाले कैरम बोर्ड का निर्माण करने वाली पहली कंपनी कौन सी थी?</v>
      </c>
      <c r="H254" s="5" t="str">
        <f>IFERROR(__xludf.DUMMYFUNCTION("GOOGLETRANSLATE(C254, ""en"", ""hi"")"),"A) सुरको, B) घोष, C) स्टार, D) सिंको")</f>
        <v>A) सुरको, B) घोष, C) स्टार, D) सिंको</v>
      </c>
      <c r="I254" s="5" t="str">
        <f>IFERROR(__xludf.DUMMYFUNCTION("GOOGLETRANSLATE(D254, ""en"", ""hi"")"),"डी) सिंको")</f>
        <v>डी) सिंको</v>
      </c>
    </row>
    <row r="255" ht="22.5" customHeight="1">
      <c r="A255" s="3">
        <v>254.0</v>
      </c>
      <c r="B255" s="4" t="s">
        <v>8252</v>
      </c>
      <c r="C255" s="4" t="s">
        <v>8253</v>
      </c>
      <c r="D255" s="4" t="s">
        <v>8254</v>
      </c>
      <c r="F255" s="5" t="str">
        <f>IFERROR(__xludf.DUMMYFUNCTION("GOOGLETRANSLATE(A255, ""en"", ""hi"")"),"254")</f>
        <v>254</v>
      </c>
      <c r="G255" s="5" t="str">
        <f>IFERROR(__xludf.DUMMYFUNCTION("GOOGLETRANSLATE(B255, ""en"", ""hi"")"),"कनाडा में पहला कैरम टूर्नामेंट किस शहर में आयोजित किया गया था?")</f>
        <v>कनाडा में पहला कैरम टूर्नामेंट किस शहर में आयोजित किया गया था?</v>
      </c>
      <c r="H255" s="5" t="str">
        <f>IFERROR(__xludf.DUMMYFUNCTION("GOOGLETRANSLATE(C255, ""en"", ""hi"")"),"ए) टोरंटो, बी) वैंकूवर, सी) मॉन्ट्रियल, डी) कैलगरी")</f>
        <v>ए) टोरंटो, बी) वैंकूवर, सी) मॉन्ट्रियल, डी) कैलगरी</v>
      </c>
      <c r="I255" s="5" t="str">
        <f>IFERROR(__xludf.DUMMYFUNCTION("GOOGLETRANSLATE(D255, ""en"", ""hi"")"),"ए) टोरंटो")</f>
        <v>ए) टोरंटो</v>
      </c>
    </row>
    <row r="256" ht="22.5" customHeight="1">
      <c r="A256" s="3">
        <v>255.0</v>
      </c>
      <c r="B256" s="4" t="s">
        <v>8255</v>
      </c>
      <c r="C256" s="4" t="s">
        <v>8256</v>
      </c>
      <c r="D256" s="4" t="s">
        <v>2016</v>
      </c>
      <c r="F256" s="5" t="str">
        <f>IFERROR(__xludf.DUMMYFUNCTION("GOOGLETRANSLATE(A256, ""en"", ""hi"")"),"255")</f>
        <v>255</v>
      </c>
      <c r="G256" s="5" t="str">
        <f>IFERROR(__xludf.DUMMYFUNCTION("GOOGLETRANSLATE(B256, ""en"", ""hi"")"),"ऑस्ट्रेलिया में पहली अंतर्राष्ट्रीय कैरम चैंपियनशिप किस वर्ष आयोजित की गई थी?")</f>
        <v>ऑस्ट्रेलिया में पहली अंतर्राष्ट्रीय कैरम चैंपियनशिप किस वर्ष आयोजित की गई थी?</v>
      </c>
      <c r="H256" s="5" t="str">
        <f>IFERROR(__xludf.DUMMYFUNCTION("GOOGLETRANSLATE(C256, ""en"", ""hi"")"),"ए) 1995, बी) 1996, सी) 1997, डी) 1998")</f>
        <v>ए) 1995, बी) 1996, सी) 1997, डी) 1998</v>
      </c>
      <c r="I256" s="5" t="str">
        <f>IFERROR(__xludf.DUMMYFUNCTION("GOOGLETRANSLATE(D256, ""en"", ""hi"")"),"ए) 1995")</f>
        <v>ए) 1995</v>
      </c>
    </row>
    <row r="257" ht="22.5" customHeight="1">
      <c r="A257" s="3">
        <v>256.0</v>
      </c>
      <c r="B257" s="4" t="s">
        <v>8257</v>
      </c>
      <c r="C257" s="4" t="s">
        <v>8258</v>
      </c>
      <c r="D257" s="4" t="s">
        <v>8259</v>
      </c>
      <c r="F257" s="5" t="str">
        <f>IFERROR(__xludf.DUMMYFUNCTION("GOOGLETRANSLATE(A257, ""en"", ""hi"")"),"256")</f>
        <v>256</v>
      </c>
      <c r="G257" s="5" t="str">
        <f>IFERROR(__xludf.DUMMYFUNCTION("GOOGLETRANSLATE(B257, ""en"", ""hi"")"),"1980 के दशक में कैरम तकनीक के अग्रणी खिलाड़ी के रूप में किस भारतीय खिलाड़ी को जाना जाता है?")</f>
        <v>1980 के दशक में कैरम तकनीक के अग्रणी खिलाड़ी के रूप में किस भारतीय खिलाड़ी को जाना जाता है?</v>
      </c>
      <c r="H257" s="5" t="str">
        <f>IFERROR(__xludf.DUMMYFUNCTION("GOOGLETRANSLATE(C257, ""en"", ""hi"")"),"ए) योगेश परदेशी, बी) एंथोनी इरुदायम, सी) मारिया इरुदायम, डी) वी. के. गुप्ता")</f>
        <v>ए) योगेश परदेशी, बी) एंथोनी इरुदायम, सी) मारिया इरुदायम, डी) वी. के. गुप्ता</v>
      </c>
      <c r="I257" s="5" t="str">
        <f>IFERROR(__xludf.DUMMYFUNCTION("GOOGLETRANSLATE(D257, ""en"", ""hi"")"),"D) वी. के. गुप्ता")</f>
        <v>D) वी. के. गुप्ता</v>
      </c>
    </row>
    <row r="258" ht="22.5" customHeight="1">
      <c r="A258" s="3">
        <v>257.0</v>
      </c>
      <c r="B258" s="4" t="s">
        <v>8260</v>
      </c>
      <c r="C258" s="4" t="s">
        <v>8158</v>
      </c>
      <c r="D258" s="4" t="s">
        <v>8159</v>
      </c>
      <c r="F258" s="5" t="str">
        <f>IFERROR(__xludf.DUMMYFUNCTION("GOOGLETRANSLATE(A258, ""en"", ""hi"")"),"257")</f>
        <v>257</v>
      </c>
      <c r="G258" s="5" t="str">
        <f>IFERROR(__xludf.DUMMYFUNCTION("GOOGLETRANSLATE(B258, ""en"", ""hi"")"),"संयुक्त राज्य अमेरिका में पहली कैरम प्रशिक्षण अकादमी किस शहर में स्थापित की गई थी?")</f>
        <v>संयुक्त राज्य अमेरिका में पहली कैरम प्रशिक्षण अकादमी किस शहर में स्थापित की गई थी?</v>
      </c>
      <c r="H258" s="5" t="str">
        <f>IFERROR(__xludf.DUMMYFUNCTION("GOOGLETRANSLATE(C258, ""en"", ""hi"")"),"ए) न्यूयॉर्क, बी) सैन फ्रांसिस्को, सी) शिकागो, डी) लॉस एंजिल्स")</f>
        <v>ए) न्यूयॉर्क, बी) सैन फ्रांसिस्को, सी) शिकागो, डी) लॉस एंजिल्स</v>
      </c>
      <c r="I258" s="5" t="str">
        <f>IFERROR(__xludf.DUMMYFUNCTION("GOOGLETRANSLATE(D258, ""en"", ""hi"")"),"C) शिकागो")</f>
        <v>C) शिकागो</v>
      </c>
    </row>
    <row r="259" ht="22.5" customHeight="1">
      <c r="A259" s="3">
        <v>258.0</v>
      </c>
      <c r="B259" s="4" t="s">
        <v>8261</v>
      </c>
      <c r="C259" s="4" t="s">
        <v>8262</v>
      </c>
      <c r="D259" s="4" t="s">
        <v>2107</v>
      </c>
      <c r="F259" s="5" t="str">
        <f>IFERROR(__xludf.DUMMYFUNCTION("GOOGLETRANSLATE(A259, ""en"", ""hi"")"),"258")</f>
        <v>258</v>
      </c>
      <c r="G259" s="5" t="str">
        <f>IFERROR(__xludf.DUMMYFUNCTION("GOOGLETRANSLATE(B259, ""en"", ""hi"")"),"1995 में पहली कैरम एशियाई चैम्पियनशिप की मेजबानी किस भारतीय शहर ने की थी?")</f>
        <v>1995 में पहली कैरम एशियाई चैम्पियनशिप की मेजबानी किस भारतीय शहर ने की थी?</v>
      </c>
      <c r="H259" s="5" t="str">
        <f>IFERROR(__xludf.DUMMYFUNCTION("GOOGLETRANSLATE(C259, ""en"", ""hi"")"),"ए) दिल्ली, बी) बैंगलोर, सी) मुंबई, डी) कोलकाता")</f>
        <v>ए) दिल्ली, बी) बैंगलोर, सी) मुंबई, डी) कोलकाता</v>
      </c>
      <c r="I259" s="5" t="str">
        <f>IFERROR(__xludf.DUMMYFUNCTION("GOOGLETRANSLATE(D259, ""en"", ""hi"")"),"D) कोलकाता")</f>
        <v>D) कोलकाता</v>
      </c>
    </row>
    <row r="260" ht="22.5" customHeight="1">
      <c r="A260" s="3">
        <v>259.0</v>
      </c>
      <c r="B260" s="4" t="s">
        <v>8263</v>
      </c>
      <c r="C260" s="4" t="s">
        <v>8165</v>
      </c>
      <c r="D260" s="4" t="s">
        <v>7718</v>
      </c>
      <c r="F260" s="5" t="str">
        <f>IFERROR(__xludf.DUMMYFUNCTION("GOOGLETRANSLATE(A260, ""en"", ""hi"")"),"259")</f>
        <v>259</v>
      </c>
      <c r="G260" s="5" t="str">
        <f>IFERROR(__xludf.DUMMYFUNCTION("GOOGLETRANSLATE(B260, ""en"", ""hi"")"),"कैरम को पहली बार एशियाई खेलों में किस वर्ष शामिल किया गया था?")</f>
        <v>कैरम को पहली बार एशियाई खेलों में किस वर्ष शामिल किया गया था?</v>
      </c>
      <c r="H260" s="5" t="str">
        <f>IFERROR(__xludf.DUMMYFUNCTION("GOOGLETRANSLATE(C260, ""en"", ""hi"")"),"ए) 2000, बी) 2002, सी) 2004, डी) 2006")</f>
        <v>ए) 2000, बी) 2002, सी) 2004, डी) 2006</v>
      </c>
      <c r="I260" s="5" t="str">
        <f>IFERROR(__xludf.DUMMYFUNCTION("GOOGLETRANSLATE(D260, ""en"", ""hi"")"),"सी) 2004")</f>
        <v>सी) 2004</v>
      </c>
    </row>
    <row r="261" ht="22.5" customHeight="1">
      <c r="A261" s="3">
        <v>260.0</v>
      </c>
      <c r="B261" s="4" t="s">
        <v>8264</v>
      </c>
      <c r="C261" s="4" t="s">
        <v>1880</v>
      </c>
      <c r="D261" s="4" t="s">
        <v>6375</v>
      </c>
      <c r="F261" s="5" t="str">
        <f>IFERROR(__xludf.DUMMYFUNCTION("GOOGLETRANSLATE(A261, ""en"", ""hi"")"),"260")</f>
        <v>260</v>
      </c>
      <c r="G261" s="5" t="str">
        <f>IFERROR(__xludf.DUMMYFUNCTION("GOOGLETRANSLATE(B261, ""en"", ""hi"")"),"किस दक्षिण एशियाई देश ने 1987 में अपनी पहली राष्ट्रीय कैरम चैंपियनशिप आयोजित की?")</f>
        <v>किस दक्षिण एशियाई देश ने 1987 में अपनी पहली राष्ट्रीय कैरम चैंपियनशिप आयोजित की?</v>
      </c>
      <c r="H261" s="5" t="str">
        <f>IFERROR(__xludf.DUMMYFUNCTION("GOOGLETRANSLATE(C261, ""en"", ""hi"")"),"A) भारत, B) पाकिस्तान, C) श्रीलंका, D) बांग्लादेश")</f>
        <v>A) भारत, B) पाकिस्तान, C) श्रीलंका, D) बांग्लादेश</v>
      </c>
      <c r="I261" s="5" t="str">
        <f>IFERROR(__xludf.DUMMYFUNCTION("GOOGLETRANSLATE(D261, ""en"", ""hi"")"),"D) बांग्लादेश")</f>
        <v>D) बांग्लादेश</v>
      </c>
    </row>
    <row r="262" ht="22.5" customHeight="1">
      <c r="A262" s="3">
        <v>261.0</v>
      </c>
      <c r="B262" s="4" t="s">
        <v>8265</v>
      </c>
      <c r="C262" s="4" t="s">
        <v>8266</v>
      </c>
      <c r="D262" s="4" t="s">
        <v>8170</v>
      </c>
      <c r="F262" s="5" t="str">
        <f>IFERROR(__xludf.DUMMYFUNCTION("GOOGLETRANSLATE(A262, ""en"", ""hi"")"),"261")</f>
        <v>261</v>
      </c>
      <c r="G262" s="5" t="str">
        <f>IFERROR(__xludf.DUMMYFUNCTION("GOOGLETRANSLATE(B262, ""en"", ""hi"")"),"श्रीलंका के किस उल्लेखनीय कैरम खिलाड़ी ने 2002 में विश्व चैंपियनशिप जीती?")</f>
        <v>श्रीलंका के किस उल्लेखनीय कैरम खिलाड़ी ने 2002 में विश्व चैंपियनशिप जीती?</v>
      </c>
      <c r="H262" s="5" t="str">
        <f>IFERROR(__xludf.DUMMYFUNCTION("GOOGLETRANSLATE(C262, ""en"", ""hi"")"),"ए) चामिल कुरे, बी) निमल दिसानायके, सी) धर्मेंद्र राणावीरा, डी) शिरन फर्नांडो")</f>
        <v>ए) चामिल कुरे, बी) निमल दिसानायके, सी) धर्मेंद्र राणावीरा, डी) शिरन फर्नांडो</v>
      </c>
      <c r="I262" s="5" t="str">
        <f>IFERROR(__xludf.DUMMYFUNCTION("GOOGLETRANSLATE(D262, ""en"", ""hi"")"),"A) चमिल कूरे")</f>
        <v>A) चमिल कूरे</v>
      </c>
    </row>
    <row r="263" ht="22.5" customHeight="1">
      <c r="A263" s="3">
        <v>262.0</v>
      </c>
      <c r="B263" s="4" t="s">
        <v>8267</v>
      </c>
      <c r="C263" s="4" t="s">
        <v>8268</v>
      </c>
      <c r="D263" s="4" t="s">
        <v>7850</v>
      </c>
      <c r="F263" s="5" t="str">
        <f>IFERROR(__xludf.DUMMYFUNCTION("GOOGLETRANSLATE(A263, ""en"", ""hi"")"),"262")</f>
        <v>262</v>
      </c>
      <c r="G263" s="5" t="str">
        <f>IFERROR(__xludf.DUMMYFUNCTION("GOOGLETRANSLATE(B263, ""en"", ""hi"")"),"अंतर्निर्मित डिजिटल टाइमर वाला पहला कैरम बोर्ड किस वर्ष पेश किया गया था?")</f>
        <v>अंतर्निर्मित डिजिटल टाइमर वाला पहला कैरम बोर्ड किस वर्ष पेश किया गया था?</v>
      </c>
      <c r="H263" s="5" t="str">
        <f>IFERROR(__xludf.DUMMYFUNCTION("GOOGLETRANSLATE(C263, ""en"", ""hi"")"),"ए) 1987, बी) 1990, सी) 1992, डी) 1995")</f>
        <v>ए) 1987, बी) 1990, सी) 1992, डी) 1995</v>
      </c>
      <c r="I263" s="5" t="str">
        <f>IFERROR(__xludf.DUMMYFUNCTION("GOOGLETRANSLATE(D263, ""en"", ""hi"")"),"डी) 1995")</f>
        <v>डी) 1995</v>
      </c>
    </row>
    <row r="264" ht="22.5" customHeight="1">
      <c r="A264" s="3">
        <v>263.0</v>
      </c>
      <c r="B264" s="4" t="s">
        <v>8269</v>
      </c>
      <c r="C264" s="4" t="s">
        <v>8270</v>
      </c>
      <c r="D264" s="4" t="s">
        <v>8113</v>
      </c>
      <c r="F264" s="5" t="str">
        <f>IFERROR(__xludf.DUMMYFUNCTION("GOOGLETRANSLATE(A264, ""en"", ""hi"")"),"263")</f>
        <v>263</v>
      </c>
      <c r="G264" s="5" t="str">
        <f>IFERROR(__xludf.DUMMYFUNCTION("GOOGLETRANSLATE(B264, ""en"", ""hi"")"),"किस वर्ष कैरम पहली बार श्रीलंका में राष्ट्रीय स्कूल खेलों का हिस्सा बना?")</f>
        <v>किस वर्ष कैरम पहली बार श्रीलंका में राष्ट्रीय स्कूल खेलों का हिस्सा बना?</v>
      </c>
      <c r="H264" s="5" t="str">
        <f>IFERROR(__xludf.DUMMYFUNCTION("GOOGLETRANSLATE(C264, ""en"", ""hi"")"),"ए) 1985, बी) 1986, सी) 1987, डी) 1988")</f>
        <v>ए) 1985, बी) 1986, सी) 1987, डी) 1988</v>
      </c>
      <c r="I264" s="5" t="str">
        <f>IFERROR(__xludf.DUMMYFUNCTION("GOOGLETRANSLATE(D264, ""en"", ""hi"")"),"ए) 1985")</f>
        <v>ए) 1985</v>
      </c>
    </row>
    <row r="265" ht="22.5" customHeight="1">
      <c r="A265" s="3">
        <v>264.0</v>
      </c>
      <c r="B265" s="4" t="s">
        <v>8271</v>
      </c>
      <c r="C265" s="4" t="s">
        <v>8272</v>
      </c>
      <c r="D265" s="4" t="s">
        <v>8273</v>
      </c>
      <c r="F265" s="5" t="str">
        <f>IFERROR(__xludf.DUMMYFUNCTION("GOOGLETRANSLATE(A265, ""en"", ""hi"")"),"264")</f>
        <v>264</v>
      </c>
      <c r="G265" s="5" t="str">
        <f>IFERROR(__xludf.DUMMYFUNCTION("GOOGLETRANSLATE(B265, ""en"", ""hi"")"),"कैरिबियन में पहला कैरम टूर्नामेंट किस शहर में आयोजित किया गया था?")</f>
        <v>कैरिबियन में पहला कैरम टूर्नामेंट किस शहर में आयोजित किया गया था?</v>
      </c>
      <c r="H265" s="5" t="str">
        <f>IFERROR(__xludf.DUMMYFUNCTION("GOOGLETRANSLATE(C265, ""en"", ""hi"")"),"A) किंग्स्टन, B) पोर्ट ऑफ स्पेन, C) जॉर्जटाउन, D) नासाउ")</f>
        <v>A) किंग्स्टन, B) पोर्ट ऑफ स्पेन, C) जॉर्जटाउन, D) नासाउ</v>
      </c>
      <c r="I265" s="5" t="str">
        <f>IFERROR(__xludf.DUMMYFUNCTION("GOOGLETRANSLATE(D265, ""en"", ""hi"")"),"बी) पोर्ट ऑफ स्पेन")</f>
        <v>बी) पोर्ट ऑफ स्पेन</v>
      </c>
    </row>
    <row r="266" ht="22.5" customHeight="1">
      <c r="A266" s="3">
        <v>265.0</v>
      </c>
      <c r="B266" s="4" t="s">
        <v>8274</v>
      </c>
      <c r="C266" s="4" t="s">
        <v>8275</v>
      </c>
      <c r="D266" s="4" t="s">
        <v>8276</v>
      </c>
      <c r="F266" s="5" t="str">
        <f>IFERROR(__xludf.DUMMYFUNCTION("GOOGLETRANSLATE(A266, ""en"", ""hi"")"),"265")</f>
        <v>265</v>
      </c>
      <c r="G266" s="5" t="str">
        <f>IFERROR(__xludf.DUMMYFUNCTION("GOOGLETRANSLATE(B266, ""en"", ""hi"")"),"1990 में पहला कैरम विश्व कप किस भारतीय खिलाड़ी ने जीता था?")</f>
        <v>1990 में पहला कैरम विश्व कप किस भारतीय खिलाड़ी ने जीता था?</v>
      </c>
      <c r="H266" s="5" t="str">
        <f>IFERROR(__xludf.DUMMYFUNCTION("GOOGLETRANSLATE(C266, ""en"", ""hi"")"),"ए) एंथोनी इरुदायम, बी) मारिया इरुदायम, सी) योगेश परदेशी, डी) रश्मी कुमारी")</f>
        <v>ए) एंथोनी इरुदायम, बी) मारिया इरुदायम, सी) योगेश परदेशी, डी) रश्मी कुमारी</v>
      </c>
      <c r="I266" s="5" t="str">
        <f>IFERROR(__xludf.DUMMYFUNCTION("GOOGLETRANSLATE(D266, ""en"", ""hi"")"),"C) योगेश परदेशी")</f>
        <v>C) योगेश परदेशी</v>
      </c>
    </row>
    <row r="267" ht="22.5" customHeight="1">
      <c r="A267" s="3">
        <v>266.0</v>
      </c>
      <c r="B267" s="4" t="s">
        <v>8277</v>
      </c>
      <c r="C267" s="4" t="s">
        <v>1901</v>
      </c>
      <c r="D267" s="4" t="s">
        <v>814</v>
      </c>
      <c r="F267" s="5" t="str">
        <f>IFERROR(__xludf.DUMMYFUNCTION("GOOGLETRANSLATE(A267, ""en"", ""hi"")"),"266")</f>
        <v>266</v>
      </c>
      <c r="G267" s="5" t="str">
        <f>IFERROR(__xludf.DUMMYFUNCTION("GOOGLETRANSLATE(B267, ""en"", ""hi"")"),"किस वर्ष पहली बार उच्च गुणवत्ता वाली एमडीएफ सतहों के साथ कैरम बोर्ड का उत्पादन शुरू हुआ?")</f>
        <v>किस वर्ष पहली बार उच्च गुणवत्ता वाली एमडीएफ सतहों के साथ कैरम बोर्ड का उत्पादन शुरू हुआ?</v>
      </c>
      <c r="H267" s="5" t="str">
        <f>IFERROR(__xludf.DUMMYFUNCTION("GOOGLETRANSLATE(C267, ""en"", ""hi"")"),"ए) 1985, बी) 1990, सी) 1995, डी) 2000")</f>
        <v>ए) 1985, बी) 1990, सी) 1995, डी) 2000</v>
      </c>
      <c r="I267" s="5" t="str">
        <f>IFERROR(__xludf.DUMMYFUNCTION("GOOGLETRANSLATE(D267, ""en"", ""hi"")"),"बी) 1990")</f>
        <v>बी) 1990</v>
      </c>
    </row>
    <row r="268" ht="22.5" customHeight="1">
      <c r="A268" s="3">
        <v>267.0</v>
      </c>
      <c r="B268" s="4" t="s">
        <v>8278</v>
      </c>
      <c r="C268" s="4" t="s">
        <v>8151</v>
      </c>
      <c r="D268" s="4" t="s">
        <v>2107</v>
      </c>
      <c r="F268" s="5" t="str">
        <f>IFERROR(__xludf.DUMMYFUNCTION("GOOGLETRANSLATE(A268, ""en"", ""hi"")"),"267")</f>
        <v>267</v>
      </c>
      <c r="G268" s="5" t="str">
        <f>IFERROR(__xludf.DUMMYFUNCTION("GOOGLETRANSLATE(B268, ""en"", ""hi"")"),"1990 में पहली दक्षिण एशियाई कैरम चैम्पियनशिप की मेजबानी किस भारतीय शहर ने की थी?")</f>
        <v>1990 में पहली दक्षिण एशियाई कैरम चैम्पियनशिप की मेजबानी किस भारतीय शहर ने की थी?</v>
      </c>
      <c r="H268" s="5" t="str">
        <f>IFERROR(__xludf.DUMMYFUNCTION("GOOGLETRANSLATE(C268, ""en"", ""hi"")"),"A) चेन्नई, B) बैंगलोर, C) हैदराबाद, D) कोलकाता")</f>
        <v>A) चेन्नई, B) बैंगलोर, C) हैदराबाद, D) कोलकाता</v>
      </c>
      <c r="I268" s="5" t="str">
        <f>IFERROR(__xludf.DUMMYFUNCTION("GOOGLETRANSLATE(D268, ""en"", ""hi"")"),"D) कोलकाता")</f>
        <v>D) कोलकाता</v>
      </c>
    </row>
    <row r="269" ht="22.5" customHeight="1">
      <c r="A269" s="3">
        <v>268.0</v>
      </c>
      <c r="B269" s="4" t="s">
        <v>8279</v>
      </c>
      <c r="C269" s="4" t="s">
        <v>8165</v>
      </c>
      <c r="D269" s="4" t="s">
        <v>6725</v>
      </c>
      <c r="F269" s="5" t="str">
        <f>IFERROR(__xludf.DUMMYFUNCTION("GOOGLETRANSLATE(A269, ""en"", ""hi"")"),"268")</f>
        <v>268</v>
      </c>
      <c r="G269" s="5" t="str">
        <f>IFERROR(__xludf.DUMMYFUNCTION("GOOGLETRANSLATE(B269, ""en"", ""hi"")"),"कैरम को एशियाई खेल महासंघ द्वारा आधिकारिक तौर पर किस वर्ष मान्यता दी गई?")</f>
        <v>कैरम को एशियाई खेल महासंघ द्वारा आधिकारिक तौर पर किस वर्ष मान्यता दी गई?</v>
      </c>
      <c r="H269" s="5" t="str">
        <f>IFERROR(__xludf.DUMMYFUNCTION("GOOGLETRANSLATE(C269, ""en"", ""hi"")"),"ए) 2000, बी) 2002, सी) 2004, डी) 2006")</f>
        <v>ए) 2000, बी) 2002, सी) 2004, डी) 2006</v>
      </c>
      <c r="I269" s="5" t="str">
        <f>IFERROR(__xludf.DUMMYFUNCTION("GOOGLETRANSLATE(D269, ""en"", ""hi"")"),"बी) 2002")</f>
        <v>बी) 2002</v>
      </c>
    </row>
    <row r="270" ht="22.5" customHeight="1">
      <c r="A270" s="3">
        <v>269.0</v>
      </c>
      <c r="B270" s="4" t="s">
        <v>8280</v>
      </c>
      <c r="C270" s="4" t="s">
        <v>8024</v>
      </c>
      <c r="D270" s="4" t="s">
        <v>8196</v>
      </c>
      <c r="F270" s="5" t="str">
        <f>IFERROR(__xludf.DUMMYFUNCTION("GOOGLETRANSLATE(A270, ""en"", ""hi"")"),"269")</f>
        <v>269</v>
      </c>
      <c r="G270" s="5" t="str">
        <f>IFERROR(__xludf.DUMMYFUNCTION("GOOGLETRANSLATE(B270, ""en"", ""hi"")"),"1990 के दशक में कौन सा भारतीय राज्य अपने कैरम टूर्नामेंट के लिए जाना गया?")</f>
        <v>1990 के दशक में कौन सा भारतीय राज्य अपने कैरम टूर्नामेंट के लिए जाना गया?</v>
      </c>
      <c r="H270" s="5" t="str">
        <f>IFERROR(__xludf.DUMMYFUNCTION("GOOGLETRANSLATE(C270, ""en"", ""hi"")"),"ए) तमिलनाडु, बी) महाराष्ट्र, सी) केरल, डी) कर्नाटक")</f>
        <v>ए) तमिलनाडु, बी) महाराष्ट्र, सी) केरल, डी) कर्नाटक</v>
      </c>
      <c r="I270" s="5" t="str">
        <f>IFERROR(__xludf.DUMMYFUNCTION("GOOGLETRANSLATE(D270, ""en"", ""hi"")"),"C) केरल")</f>
        <v>C) केरल</v>
      </c>
    </row>
    <row r="271" ht="22.5" customHeight="1">
      <c r="A271" s="3">
        <v>270.0</v>
      </c>
      <c r="B271" s="4" t="s">
        <v>8281</v>
      </c>
      <c r="C271" s="4" t="s">
        <v>8282</v>
      </c>
      <c r="D271" s="4" t="s">
        <v>8283</v>
      </c>
      <c r="F271" s="5" t="str">
        <f>IFERROR(__xludf.DUMMYFUNCTION("GOOGLETRANSLATE(A271, ""en"", ""hi"")"),"270")</f>
        <v>270</v>
      </c>
      <c r="G271" s="5" t="str">
        <f>IFERROR(__xludf.DUMMYFUNCTION("GOOGLETRANSLATE(B271, ""en"", ""hi"")"),"यूरोप में पहला अंतर्राष्ट्रीय कैरम टूर्नामेंट किस शहर में आयोजित किया गया था?")</f>
        <v>यूरोप में पहला अंतर्राष्ट्रीय कैरम टूर्नामेंट किस शहर में आयोजित किया गया था?</v>
      </c>
      <c r="H271" s="5" t="str">
        <f>IFERROR(__xludf.DUMMYFUNCTION("GOOGLETRANSLATE(C271, ""en"", ""hi"")"),"A) बर्लिन, B) ज्यूरिख, C) पेरिस, D) लंदन")</f>
        <v>A) बर्लिन, B) ज्यूरिख, C) पेरिस, D) लंदन</v>
      </c>
      <c r="I271" s="5" t="str">
        <f>IFERROR(__xludf.DUMMYFUNCTION("GOOGLETRANSLATE(D271, ""en"", ""hi"")"),"बी) ज्यूरिख")</f>
        <v>बी) ज्यूरिख</v>
      </c>
    </row>
    <row r="272" ht="22.5" customHeight="1">
      <c r="A272" s="3">
        <v>271.0</v>
      </c>
      <c r="B272" s="4" t="s">
        <v>8284</v>
      </c>
      <c r="C272" s="4" t="s">
        <v>8285</v>
      </c>
      <c r="D272" s="4" t="s">
        <v>8286</v>
      </c>
      <c r="F272" s="5" t="str">
        <f>IFERROR(__xludf.DUMMYFUNCTION("GOOGLETRANSLATE(A272, ""en"", ""hi"")"),"271")</f>
        <v>271</v>
      </c>
      <c r="G272" s="5" t="str">
        <f>IFERROR(__xludf.DUMMYFUNCTION("GOOGLETRANSLATE(B272, ""en"", ""hi"")"),"1990 के दशक में कौन सा कैरम खिलाड़ी नई तकनीकें लाने के लिए जाना जाता था?")</f>
        <v>1990 के दशक में कौन सा कैरम खिलाड़ी नई तकनीकें लाने के लिए जाना जाता था?</v>
      </c>
      <c r="H272" s="5" t="str">
        <f>IFERROR(__xludf.DUMMYFUNCTION("GOOGLETRANSLATE(C272, ""en"", ""hi"")"),"ए) योगेश परदेशी, बी) एंथोनी इरुदायम, सी) वी.के. गुप्ता, डी) रश्मी कुमारी")</f>
        <v>ए) योगेश परदेशी, बी) एंथोनी इरुदायम, सी) वी.के. गुप्ता, डी) रश्मी कुमारी</v>
      </c>
      <c r="I272" s="5" t="str">
        <f>IFERROR(__xludf.DUMMYFUNCTION("GOOGLETRANSLATE(D272, ""en"", ""hi"")"),"बी) एंथनी इरुदयम")</f>
        <v>बी) एंथनी इरुदयम</v>
      </c>
    </row>
    <row r="273" ht="22.5" customHeight="1">
      <c r="A273" s="3">
        <v>272.0</v>
      </c>
      <c r="B273" s="4" t="s">
        <v>8287</v>
      </c>
      <c r="C273" s="4" t="s">
        <v>8288</v>
      </c>
      <c r="D273" s="4" t="s">
        <v>8289</v>
      </c>
      <c r="F273" s="5" t="str">
        <f>IFERROR(__xludf.DUMMYFUNCTION("GOOGLETRANSLATE(A273, ""en"", ""hi"")"),"272")</f>
        <v>272</v>
      </c>
      <c r="G273" s="5" t="str">
        <f>IFERROR(__xludf.DUMMYFUNCTION("GOOGLETRANSLATE(B273, ""en"", ""hi"")"),"जूनियर वर्ग के लिए पहला कैरम विश्व कप किस शहर में आयोजित किया गया था?")</f>
        <v>जूनियर वर्ग के लिए पहला कैरम विश्व कप किस शहर में आयोजित किया गया था?</v>
      </c>
      <c r="H273" s="5" t="str">
        <f>IFERROR(__xludf.DUMMYFUNCTION("GOOGLETRANSLATE(C273, ""en"", ""hi"")"),"ए) कोलंबो, बी) चेन्नई, सी) कराची, डी) ढाका")</f>
        <v>ए) कोलंबो, बी) चेन्नई, सी) कराची, डी) ढाका</v>
      </c>
      <c r="I273" s="5" t="str">
        <f>IFERROR(__xludf.DUMMYFUNCTION("GOOGLETRANSLATE(D273, ""en"", ""hi"")"),"ए) कोलंबो")</f>
        <v>ए) कोलंबो</v>
      </c>
    </row>
    <row r="274" ht="22.5" customHeight="1">
      <c r="A274" s="3">
        <v>273.0</v>
      </c>
      <c r="B274" s="4" t="s">
        <v>8290</v>
      </c>
      <c r="C274" s="4" t="s">
        <v>542</v>
      </c>
      <c r="D274" s="4" t="s">
        <v>77</v>
      </c>
      <c r="F274" s="5" t="str">
        <f>IFERROR(__xludf.DUMMYFUNCTION("GOOGLETRANSLATE(A274, ""en"", ""hi"")"),"273")</f>
        <v>273</v>
      </c>
      <c r="G274" s="5" t="str">
        <f>IFERROR(__xludf.DUMMYFUNCTION("GOOGLETRANSLATE(B274, ""en"", ""hi"")"),"1980 में पहली कैरम फेडरेशन ऑफ इंडिया राष्ट्रीय चैंपियनशिप का आयोजन किस भारतीय शहर में हुआ था?")</f>
        <v>1980 में पहली कैरम फेडरेशन ऑफ इंडिया राष्ट्रीय चैंपियनशिप का आयोजन किस भारतीय शहर में हुआ था?</v>
      </c>
      <c r="H274" s="5" t="str">
        <f>IFERROR(__xludf.DUMMYFUNCTION("GOOGLETRANSLATE(C274, ""en"", ""hi"")"),"A) दिल्ली, B) मुंबई, C) बैंगलोर, D) चेन्नई")</f>
        <v>A) दिल्ली, B) मुंबई, C) बैंगलोर, D) चेन्नई</v>
      </c>
      <c r="I274" s="5" t="str">
        <f>IFERROR(__xludf.DUMMYFUNCTION("GOOGLETRANSLATE(D274, ""en"", ""hi"")"),"बी) मुंबई")</f>
        <v>बी) मुंबई</v>
      </c>
    </row>
    <row r="275" ht="22.5" customHeight="1">
      <c r="A275" s="3">
        <v>274.0</v>
      </c>
      <c r="B275" s="4" t="s">
        <v>8291</v>
      </c>
      <c r="C275" s="4" t="s">
        <v>8238</v>
      </c>
      <c r="D275" s="4" t="s">
        <v>25</v>
      </c>
      <c r="F275" s="5" t="str">
        <f>IFERROR(__xludf.DUMMYFUNCTION("GOOGLETRANSLATE(A275, ""en"", ""hi"")"),"274")</f>
        <v>274</v>
      </c>
      <c r="G275" s="5" t="str">
        <f>IFERROR(__xludf.DUMMYFUNCTION("GOOGLETRANSLATE(B275, ""en"", ""hi"")"),"अंतर्निर्मित स्कोरबोर्ड वाला पहला कैरम बोर्ड किस वर्ष पेश किया गया था?")</f>
        <v>अंतर्निर्मित स्कोरबोर्ड वाला पहला कैरम बोर्ड किस वर्ष पेश किया गया था?</v>
      </c>
      <c r="H275" s="5" t="str">
        <f>IFERROR(__xludf.DUMMYFUNCTION("GOOGLETRANSLATE(C275, ""en"", ""hi"")"),"ए) 1982, बी) 1985, सी) 1988, डी) 1990")</f>
        <v>ए) 1982, बी) 1985, सी) 1988, डी) 1990</v>
      </c>
      <c r="I275" s="5" t="str">
        <f>IFERROR(__xludf.DUMMYFUNCTION("GOOGLETRANSLATE(D275, ""en"", ""hi"")"),"बी) 1985")</f>
        <v>बी) 1985</v>
      </c>
    </row>
    <row r="276" ht="22.5" customHeight="1">
      <c r="A276" s="3">
        <v>275.0</v>
      </c>
      <c r="B276" s="4" t="s">
        <v>8292</v>
      </c>
      <c r="C276" s="4" t="s">
        <v>8293</v>
      </c>
      <c r="D276" s="4" t="s">
        <v>8294</v>
      </c>
      <c r="F276" s="5" t="str">
        <f>IFERROR(__xludf.DUMMYFUNCTION("GOOGLETRANSLATE(A276, ""en"", ""hi"")"),"275")</f>
        <v>275</v>
      </c>
      <c r="G276" s="5" t="str">
        <f>IFERROR(__xludf.DUMMYFUNCTION("GOOGLETRANSLATE(B276, ""en"", ""hi"")"),"1980 के दशक में अंतर्राष्ट्रीय कैरम खिताब जीतने वाला पहला भारतीय खिलाड़ी कौन था?")</f>
        <v>1980 के दशक में अंतर्राष्ट्रीय कैरम खिताब जीतने वाला पहला भारतीय खिलाड़ी कौन था?</v>
      </c>
      <c r="H276" s="5" t="str">
        <f>IFERROR(__xludf.DUMMYFUNCTION("GOOGLETRANSLATE(C276, ""en"", ""hi"")"),"ए) वी. के. गुप्ता, बी) योगेश परदेशी, सी) एंथोनी इरुदायम, डी) रश्मी कुमारी")</f>
        <v>ए) वी. के. गुप्ता, बी) योगेश परदेशी, सी) एंथोनी इरुदायम, डी) रश्मी कुमारी</v>
      </c>
      <c r="I276" s="5" t="str">
        <f>IFERROR(__xludf.DUMMYFUNCTION("GOOGLETRANSLATE(D276, ""en"", ""hi"")"),"ए) वी. के. गुप्ता")</f>
        <v>ए) वी. के. गुप्ता</v>
      </c>
    </row>
    <row r="277" ht="22.5" customHeight="1">
      <c r="A277" s="3">
        <v>276.0</v>
      </c>
      <c r="B277" s="4" t="s">
        <v>8295</v>
      </c>
      <c r="C277" s="4" t="s">
        <v>7890</v>
      </c>
      <c r="D277" s="4" t="s">
        <v>8296</v>
      </c>
      <c r="F277" s="5" t="str">
        <f>IFERROR(__xludf.DUMMYFUNCTION("GOOGLETRANSLATE(A277, ""en"", ""hi"")"),"276")</f>
        <v>276</v>
      </c>
      <c r="G277" s="5" t="str">
        <f>IFERROR(__xludf.DUMMYFUNCTION("GOOGLETRANSLATE(B277, ""en"", ""hi"")"),"संयुक्त राज्य अमेरिका में पहला कैरम टूर्नामेंट किस वर्ष आयोजित किया गया था?")</f>
        <v>संयुक्त राज्य अमेरिका में पहला कैरम टूर्नामेंट किस वर्ष आयोजित किया गया था?</v>
      </c>
      <c r="H277" s="5" t="str">
        <f>IFERROR(__xludf.DUMMYFUNCTION("GOOGLETRANSLATE(C277, ""en"", ""hi"")"),"ए) 1988, बी) 1990, सी) 1992, डी) 1994")</f>
        <v>ए) 1988, बी) 1990, सी) 1992, डी) 1994</v>
      </c>
      <c r="I277" s="5" t="str">
        <f>IFERROR(__xludf.DUMMYFUNCTION("GOOGLETRANSLATE(D277, ""en"", ""hi"")"),"सी) 1992")</f>
        <v>सी) 1992</v>
      </c>
    </row>
    <row r="278" ht="22.5" customHeight="1">
      <c r="A278" s="3">
        <v>277.0</v>
      </c>
      <c r="B278" s="4" t="s">
        <v>8297</v>
      </c>
      <c r="C278" s="4" t="s">
        <v>8298</v>
      </c>
      <c r="D278" s="4" t="s">
        <v>8299</v>
      </c>
      <c r="F278" s="5" t="str">
        <f>IFERROR(__xludf.DUMMYFUNCTION("GOOGLETRANSLATE(A278, ""en"", ""hi"")"),"277")</f>
        <v>277</v>
      </c>
      <c r="G278" s="5" t="str">
        <f>IFERROR(__xludf.DUMMYFUNCTION("GOOGLETRANSLATE(B278, ""en"", ""hi"")"),"1993 में महिलाओं के लिए पहली कैरम विश्व चैम्पियनशिप किस शहर में आयोजित की गई थी?")</f>
        <v>1993 में महिलाओं के लिए पहली कैरम विश्व चैम्पियनशिप किस शहर में आयोजित की गई थी?</v>
      </c>
      <c r="H278" s="5" t="str">
        <f>IFERROR(__xludf.DUMMYFUNCTION("GOOGLETRANSLATE(C278, ""en"", ""hi"")"),"A) मुंबई, B) चेन्नई, C) कोलंबो, D) कराची")</f>
        <v>A) मुंबई, B) चेन्नई, C) कोलंबो, D) कराची</v>
      </c>
      <c r="I278" s="5" t="str">
        <f>IFERROR(__xludf.DUMMYFUNCTION("GOOGLETRANSLATE(D278, ""en"", ""hi"")"),"C) कोलंबो")</f>
        <v>C) कोलंबो</v>
      </c>
    </row>
    <row r="279" ht="22.5" customHeight="1">
      <c r="A279" s="3">
        <v>278.0</v>
      </c>
      <c r="B279" s="4" t="s">
        <v>8300</v>
      </c>
      <c r="C279" s="4" t="s">
        <v>8058</v>
      </c>
      <c r="D279" s="4" t="s">
        <v>8059</v>
      </c>
      <c r="F279" s="5" t="str">
        <f>IFERROR(__xludf.DUMMYFUNCTION("GOOGLETRANSLATE(A279, ""en"", ""hi"")"),"278")</f>
        <v>278</v>
      </c>
      <c r="G279" s="5" t="str">
        <f>IFERROR(__xludf.DUMMYFUNCTION("GOOGLETRANSLATE(B279, ""en"", ""hi"")"),"कैरम को पहली बार एशियाई कैरम चैम्पियनशिप में किस वर्ष शामिल किया गया था?")</f>
        <v>कैरम को पहली बार एशियाई कैरम चैम्पियनशिप में किस वर्ष शामिल किया गया था?</v>
      </c>
      <c r="H279" s="5" t="str">
        <f>IFERROR(__xludf.DUMMYFUNCTION("GOOGLETRANSLATE(C279, ""en"", ""hi"")"),"ए) 1991, बी) 1993, सी) 1995, डी) 1997")</f>
        <v>ए) 1991, बी) 1993, सी) 1995, डी) 1997</v>
      </c>
      <c r="I279" s="5" t="str">
        <f>IFERROR(__xludf.DUMMYFUNCTION("GOOGLETRANSLATE(D279, ""en"", ""hi"")"),"ए) 1991")</f>
        <v>ए) 1991</v>
      </c>
    </row>
    <row r="280" ht="22.5" customHeight="1">
      <c r="A280" s="3">
        <v>279.0</v>
      </c>
      <c r="B280" s="4" t="s">
        <v>8301</v>
      </c>
      <c r="C280" s="4" t="s">
        <v>8302</v>
      </c>
      <c r="D280" s="4" t="s">
        <v>8108</v>
      </c>
      <c r="F280" s="5" t="str">
        <f>IFERROR(__xludf.DUMMYFUNCTION("GOOGLETRANSLATE(A280, ""en"", ""hi"")"),"279")</f>
        <v>279</v>
      </c>
      <c r="G280" s="5" t="str">
        <f>IFERROR(__xludf.DUMMYFUNCTION("GOOGLETRANSLATE(B280, ""en"", ""hi"")"),"1990 के दशक में कौन सा कैरम खिलाड़ी कई खिताब जीतने के लिए जाना जाता था?")</f>
        <v>1990 के दशक में कौन सा कैरम खिलाड़ी कई खिताब जीतने के लिए जाना जाता था?</v>
      </c>
      <c r="H280" s="5" t="str">
        <f>IFERROR(__xludf.DUMMYFUNCTION("GOOGLETRANSLATE(C280, ""en"", ""hi"")"),"ए) एंथोनी इरुदयम, बी) योगेश परदेशी, सी) रश्मी कुमारी, डी) मारिया इरुदयम")</f>
        <v>ए) एंथोनी इरुदयम, बी) योगेश परदेशी, सी) रश्मी कुमारी, डी) मारिया इरुदयम</v>
      </c>
      <c r="I280" s="5" t="str">
        <f>IFERROR(__xludf.DUMMYFUNCTION("GOOGLETRANSLATE(D280, ""en"", ""hi"")"),"B) योगेश परदेशी")</f>
        <v>B) योगेश परदेशी</v>
      </c>
    </row>
    <row r="281" ht="22.5" customHeight="1">
      <c r="A281" s="3">
        <v>280.0</v>
      </c>
      <c r="B281" s="4" t="s">
        <v>8303</v>
      </c>
      <c r="C281" s="4" t="s">
        <v>8304</v>
      </c>
      <c r="D281" s="4" t="s">
        <v>8305</v>
      </c>
      <c r="F281" s="5" t="str">
        <f>IFERROR(__xludf.DUMMYFUNCTION("GOOGLETRANSLATE(A281, ""en"", ""hi"")"),"280")</f>
        <v>280</v>
      </c>
      <c r="G281" s="5" t="str">
        <f>IFERROR(__xludf.DUMMYFUNCTION("GOOGLETRANSLATE(B281, ""en"", ""hi"")"),"श्रीलंका में पहली कैरम प्रशिक्षण अकादमी किस वर्ष स्थापित की गई थी?")</f>
        <v>श्रीलंका में पहली कैरम प्रशिक्षण अकादमी किस वर्ष स्थापित की गई थी?</v>
      </c>
      <c r="H281" s="5" t="str">
        <f>IFERROR(__xludf.DUMMYFUNCTION("GOOGLETRANSLATE(C281, ""en"", ""hi"")"),"ए) 1985, बी) 1987, सी) 1989, डी) 1991")</f>
        <v>ए) 1985, बी) 1987, सी) 1989, डी) 1991</v>
      </c>
      <c r="I281" s="5" t="str">
        <f>IFERROR(__xludf.DUMMYFUNCTION("GOOGLETRANSLATE(D281, ""en"", ""hi"")"),"बी) 1987")</f>
        <v>बी) 1987</v>
      </c>
    </row>
    <row r="282" ht="22.5" customHeight="1">
      <c r="A282" s="3">
        <v>281.0</v>
      </c>
      <c r="B282" s="4" t="s">
        <v>8306</v>
      </c>
      <c r="C282" s="4" t="s">
        <v>8069</v>
      </c>
      <c r="D282" s="4" t="s">
        <v>8070</v>
      </c>
      <c r="F282" s="5" t="str">
        <f>IFERROR(__xludf.DUMMYFUNCTION("GOOGLETRANSLATE(A282, ""en"", ""hi"")"),"281")</f>
        <v>281</v>
      </c>
      <c r="G282" s="5" t="str">
        <f>IFERROR(__xludf.DUMMYFUNCTION("GOOGLETRANSLATE(B282, ""en"", ""hi"")"),"दक्षिण कोरिया में पहला अंतर्राष्ट्रीय कैरम टूर्नामेंट किस वर्ष आयोजित किया गया था?")</f>
        <v>दक्षिण कोरिया में पहला अंतर्राष्ट्रीय कैरम टूर्नामेंट किस वर्ष आयोजित किया गया था?</v>
      </c>
      <c r="H282" s="5" t="str">
        <f>IFERROR(__xludf.DUMMYFUNCTION("GOOGLETRANSLATE(C282, ""en"", ""hi"")"),"ए) 1996, बी) 1998, सी) 2000, डी) 2002")</f>
        <v>ए) 1996, बी) 1998, सी) 2000, डी) 2002</v>
      </c>
      <c r="I282" s="5" t="str">
        <f>IFERROR(__xludf.DUMMYFUNCTION("GOOGLETRANSLATE(D282, ""en"", ""hi"")"),"ए) 1996")</f>
        <v>ए) 1996</v>
      </c>
    </row>
    <row r="283" ht="22.5" customHeight="1">
      <c r="A283" s="3">
        <v>282.0</v>
      </c>
      <c r="B283" s="4" t="s">
        <v>8307</v>
      </c>
      <c r="C283" s="4" t="s">
        <v>2431</v>
      </c>
      <c r="D283" s="4" t="s">
        <v>2424</v>
      </c>
      <c r="F283" s="5" t="str">
        <f>IFERROR(__xludf.DUMMYFUNCTION("GOOGLETRANSLATE(A283, ""en"", ""hi"")"),"282")</f>
        <v>282</v>
      </c>
      <c r="G283" s="5" t="str">
        <f>IFERROR(__xludf.DUMMYFUNCTION("GOOGLETRANSLATE(B283, ""en"", ""hi"")"),"1990 में पहली कैरम विश्व चैम्पियनशिप का आयोजन किस भारतीय शहर में हुआ था?")</f>
        <v>1990 में पहली कैरम विश्व चैम्पियनशिप का आयोजन किस भारतीय शहर में हुआ था?</v>
      </c>
      <c r="H283" s="5" t="str">
        <f>IFERROR(__xludf.DUMMYFUNCTION("GOOGLETRANSLATE(C283, ""en"", ""hi"")"),"A) दिल्ली, B) चेन्नई, C) बैंगलोर, D) मुंबई")</f>
        <v>A) दिल्ली, B) चेन्नई, C) बैंगलोर, D) मुंबई</v>
      </c>
      <c r="I283" s="5" t="str">
        <f>IFERROR(__xludf.DUMMYFUNCTION("GOOGLETRANSLATE(D283, ""en"", ""hi"")"),"D) मुंबई")</f>
        <v>D) मुंबई</v>
      </c>
    </row>
    <row r="284" ht="22.5" customHeight="1">
      <c r="A284" s="3">
        <v>283.0</v>
      </c>
      <c r="B284" s="4" t="s">
        <v>8308</v>
      </c>
      <c r="C284" s="4" t="s">
        <v>8309</v>
      </c>
      <c r="D284" s="4" t="s">
        <v>8310</v>
      </c>
      <c r="F284" s="5" t="str">
        <f>IFERROR(__xludf.DUMMYFUNCTION("GOOGLETRANSLATE(A284, ""en"", ""hi"")"),"283")</f>
        <v>283</v>
      </c>
      <c r="G284" s="5" t="str">
        <f>IFERROR(__xludf.DUMMYFUNCTION("GOOGLETRANSLATE(B284, ""en"", ""hi"")"),"मिश्रित युगल के लिए पहला कैरम विश्व कप किस वर्ष आयोजित किया गया था?")</f>
        <v>मिश्रित युगल के लिए पहला कैरम विश्व कप किस वर्ष आयोजित किया गया था?</v>
      </c>
      <c r="H284" s="5" t="str">
        <f>IFERROR(__xludf.DUMMYFUNCTION("GOOGLETRANSLATE(C284, ""en"", ""hi"")"),"ए) 1994, बी) 1996, सी) 1998, डी) 2000")</f>
        <v>ए) 1994, बी) 1996, सी) 1998, डी) 2000</v>
      </c>
      <c r="I284" s="5" t="str">
        <f>IFERROR(__xludf.DUMMYFUNCTION("GOOGLETRANSLATE(D284, ""en"", ""hi"")"),"ए) 1994")</f>
        <v>ए) 1994</v>
      </c>
    </row>
    <row r="285" ht="22.5" customHeight="1">
      <c r="A285" s="3">
        <v>284.0</v>
      </c>
      <c r="B285" s="4" t="s">
        <v>8311</v>
      </c>
      <c r="C285" s="4" t="s">
        <v>8312</v>
      </c>
      <c r="D285" s="4" t="s">
        <v>8313</v>
      </c>
      <c r="F285" s="5" t="str">
        <f>IFERROR(__xludf.DUMMYFUNCTION("GOOGLETRANSLATE(A285, ""en"", ""hi"")"),"284")</f>
        <v>284</v>
      </c>
      <c r="G285" s="5" t="str">
        <f>IFERROR(__xludf.DUMMYFUNCTION("GOOGLETRANSLATE(B285, ""en"", ""hi"")"),"कौन सा भारतीय खिलाड़ी 1995 में सबसे कम उम्र का कैरम विश्व चैंपियन बना?")</f>
        <v>कौन सा भारतीय खिलाड़ी 1995 में सबसे कम उम्र का कैरम विश्व चैंपियन बना?</v>
      </c>
      <c r="H285" s="5" t="str">
        <f>IFERROR(__xludf.DUMMYFUNCTION("GOOGLETRANSLATE(C285, ""en"", ""hi"")"),"ए) वी.के. गुप्ता, बी) एंथोनी इरुदयम, सी) योगेश परदेशी, डी) रश्मी कुमारी")</f>
        <v>ए) वी.के. गुप्ता, बी) एंथोनी इरुदयम, सी) योगेश परदेशी, डी) रश्मी कुमारी</v>
      </c>
      <c r="I285" s="5" t="str">
        <f>IFERROR(__xludf.DUMMYFUNCTION("GOOGLETRANSLATE(D285, ""en"", ""hi"")"),"D) रश्मि कुमारी")</f>
        <v>D) रश्मि कुमारी</v>
      </c>
    </row>
    <row r="286" ht="22.5" customHeight="1">
      <c r="A286" s="3">
        <v>285.0</v>
      </c>
      <c r="B286" s="4" t="s">
        <v>8314</v>
      </c>
      <c r="C286" s="4" t="s">
        <v>8069</v>
      </c>
      <c r="D286" s="4" t="s">
        <v>7836</v>
      </c>
      <c r="F286" s="5" t="str">
        <f>IFERROR(__xludf.DUMMYFUNCTION("GOOGLETRANSLATE(A286, ""en"", ""hi"")"),"285")</f>
        <v>285</v>
      </c>
      <c r="G286" s="5" t="str">
        <f>IFERROR(__xludf.DUMMYFUNCTION("GOOGLETRANSLATE(B286, ""en"", ""hi"")"),"सीनियर्स के लिए पहली कैरम विश्व चैम्पियनशिप किस वर्ष आयोजित की गई थी?")</f>
        <v>सीनियर्स के लिए पहली कैरम विश्व चैम्पियनशिप किस वर्ष आयोजित की गई थी?</v>
      </c>
      <c r="H286" s="5" t="str">
        <f>IFERROR(__xludf.DUMMYFUNCTION("GOOGLETRANSLATE(C286, ""en"", ""hi"")"),"ए) 1996, बी) 1998, सी) 2000, डी) 2002")</f>
        <v>ए) 1996, बी) 1998, सी) 2000, डी) 2002</v>
      </c>
      <c r="I286" s="5" t="str">
        <f>IFERROR(__xludf.DUMMYFUNCTION("GOOGLETRANSLATE(D286, ""en"", ""hi"")"),"बी) 1998")</f>
        <v>बी) 1998</v>
      </c>
    </row>
    <row r="287" ht="22.5" customHeight="1">
      <c r="A287" s="3">
        <v>286.0</v>
      </c>
      <c r="B287" s="4" t="s">
        <v>8315</v>
      </c>
      <c r="C287" s="4" t="s">
        <v>8316</v>
      </c>
      <c r="D287" s="4" t="s">
        <v>561</v>
      </c>
      <c r="F287" s="5" t="str">
        <f>IFERROR(__xludf.DUMMYFUNCTION("GOOGLETRANSLATE(A287, ""en"", ""hi"")"),"286")</f>
        <v>286</v>
      </c>
      <c r="G287" s="5" t="str">
        <f>IFERROR(__xludf.DUMMYFUNCTION("GOOGLETRANSLATE(B287, ""en"", ""hi"")"),"कौन सा भारतीय शहर 1987 में प्रथम कैरम फेडरेशन ऑफ इंडिया कप की मेजबानी के लिए जाना जाता है?")</f>
        <v>कौन सा भारतीय शहर 1987 में प्रथम कैरम फेडरेशन ऑफ इंडिया कप की मेजबानी के लिए जाना जाता है?</v>
      </c>
      <c r="H287" s="5" t="str">
        <f>IFERROR(__xludf.DUMMYFUNCTION("GOOGLETRANSLATE(C287, ""en"", ""hi"")"),"ए) चेन्नई, बी) मुंबई, सी) कोलकाता, डी) दिल्ली")</f>
        <v>ए) चेन्नई, बी) मुंबई, सी) कोलकाता, डी) दिल्ली</v>
      </c>
      <c r="I287" s="5" t="str">
        <f>IFERROR(__xludf.DUMMYFUNCTION("GOOGLETRANSLATE(D287, ""en"", ""hi"")"),"ए) चेन्नई")</f>
        <v>ए) चेन्नई</v>
      </c>
    </row>
    <row r="288" ht="22.5" customHeight="1">
      <c r="A288" s="3">
        <v>287.0</v>
      </c>
      <c r="B288" s="4" t="s">
        <v>8317</v>
      </c>
      <c r="C288" s="4" t="s">
        <v>8270</v>
      </c>
      <c r="D288" s="4" t="s">
        <v>772</v>
      </c>
      <c r="F288" s="5" t="str">
        <f>IFERROR(__xludf.DUMMYFUNCTION("GOOGLETRANSLATE(A288, ""en"", ""hi"")"),"287")</f>
        <v>287</v>
      </c>
      <c r="G288" s="5" t="str">
        <f>IFERROR(__xludf.DUMMYFUNCTION("GOOGLETRANSLATE(B288, ""en"", ""hi"")"),"श्रीलंका का कैरम महासंघ किस वर्ष अंतर्राष्ट्रीय कैरम महासंघ का सदस्य बना?")</f>
        <v>श्रीलंका का कैरम महासंघ किस वर्ष अंतर्राष्ट्रीय कैरम महासंघ का सदस्य बना?</v>
      </c>
      <c r="H288" s="5" t="str">
        <f>IFERROR(__xludf.DUMMYFUNCTION("GOOGLETRANSLATE(C288, ""en"", ""hi"")"),"ए) 1985, बी) 1986, सी) 1987, डी) 1988")</f>
        <v>ए) 1985, बी) 1986, सी) 1987, डी) 1988</v>
      </c>
      <c r="I288" s="5" t="str">
        <f>IFERROR(__xludf.DUMMYFUNCTION("GOOGLETRANSLATE(D288, ""en"", ""hi"")"),"बी) 1986")</f>
        <v>बी) 1986</v>
      </c>
    </row>
    <row r="289" ht="22.5" customHeight="1">
      <c r="A289" s="3">
        <v>288.0</v>
      </c>
      <c r="B289" s="4" t="s">
        <v>8318</v>
      </c>
      <c r="C289" s="4" t="s">
        <v>8319</v>
      </c>
      <c r="D289" s="4" t="s">
        <v>4960</v>
      </c>
      <c r="F289" s="5" t="str">
        <f>IFERROR(__xludf.DUMMYFUNCTION("GOOGLETRANSLATE(A289, ""en"", ""hi"")"),"288")</f>
        <v>288</v>
      </c>
      <c r="G289" s="5" t="str">
        <f>IFERROR(__xludf.DUMMYFUNCTION("GOOGLETRANSLATE(B289, ""en"", ""hi"")"),"1993 में कैरम अंतर्राष्ट्रीय चैंपियनशिप की मेजबानी करने वाला पहला भारतीय राज्य कौन सा था?")</f>
        <v>1993 में कैरम अंतर्राष्ट्रीय चैंपियनशिप की मेजबानी करने वाला पहला भारतीय राज्य कौन सा था?</v>
      </c>
      <c r="H289" s="5" t="str">
        <f>IFERROR(__xludf.DUMMYFUNCTION("GOOGLETRANSLATE(C289, ""en"", ""hi"")"),"ए) तमिलनाडु, बी) केरल, सी) महाराष्ट्र, डी) कर्नाटक")</f>
        <v>ए) तमिलनाडु, बी) केरल, सी) महाराष्ट्र, डी) कर्नाटक</v>
      </c>
      <c r="I289" s="5" t="str">
        <f>IFERROR(__xludf.DUMMYFUNCTION("GOOGLETRANSLATE(D289, ""en"", ""hi"")"),"बी) केरल")</f>
        <v>बी) केरल</v>
      </c>
    </row>
    <row r="290" ht="22.5" customHeight="1">
      <c r="A290" s="3">
        <v>289.0</v>
      </c>
      <c r="B290" s="4" t="s">
        <v>8320</v>
      </c>
      <c r="C290" s="4" t="s">
        <v>8058</v>
      </c>
      <c r="D290" s="4" t="s">
        <v>1902</v>
      </c>
      <c r="F290" s="5" t="str">
        <f>IFERROR(__xludf.DUMMYFUNCTION("GOOGLETRANSLATE(A290, ""en"", ""hi"")"),"289")</f>
        <v>289</v>
      </c>
      <c r="G290" s="5" t="str">
        <f>IFERROR(__xludf.DUMMYFUNCTION("GOOGLETRANSLATE(B290, ""en"", ""hi"")"),"चुंबकीय स्ट्राइकर वाला पहला कैरम बोर्ड किस वर्ष पेश किया गया था?")</f>
        <v>चुंबकीय स्ट्राइकर वाला पहला कैरम बोर्ड किस वर्ष पेश किया गया था?</v>
      </c>
      <c r="H290" s="5" t="str">
        <f>IFERROR(__xludf.DUMMYFUNCTION("GOOGLETRANSLATE(C290, ""en"", ""hi"")"),"ए) 1991, बी) 1993, सी) 1995, डी) 1997")</f>
        <v>ए) 1991, बी) 1993, सी) 1995, डी) 1997</v>
      </c>
      <c r="I290" s="5" t="str">
        <f>IFERROR(__xludf.DUMMYFUNCTION("GOOGLETRANSLATE(D290, ""en"", ""hi"")"),"सी) 1995")</f>
        <v>सी) 1995</v>
      </c>
    </row>
    <row r="291" ht="22.5" customHeight="1">
      <c r="A291" s="3">
        <v>290.0</v>
      </c>
      <c r="B291" s="4" t="s">
        <v>8321</v>
      </c>
      <c r="C291" s="4" t="s">
        <v>2484</v>
      </c>
      <c r="D291" s="4" t="s">
        <v>2301</v>
      </c>
      <c r="F291" s="5" t="str">
        <f>IFERROR(__xludf.DUMMYFUNCTION("GOOGLETRANSLATE(A291, ""en"", ""hi"")"),"290")</f>
        <v>290</v>
      </c>
      <c r="G291" s="5" t="str">
        <f>IFERROR(__xludf.DUMMYFUNCTION("GOOGLETRANSLATE(B291, ""en"", ""hi"")"),"1982 में पहली कैरम राष्ट्रीय चैंपियनशिप की मेजबानी किस भारतीय शहर ने की थी?")</f>
        <v>1982 में पहली कैरम राष्ट्रीय चैंपियनशिप की मेजबानी किस भारतीय शहर ने की थी?</v>
      </c>
      <c r="H291" s="5" t="str">
        <f>IFERROR(__xludf.DUMMYFUNCTION("GOOGLETRANSLATE(C291, ""en"", ""hi"")"),"A) मुंबई, B) बैंगलोर, C) चेन्नई, D) दिल्ली")</f>
        <v>A) मुंबई, B) बैंगलोर, C) चेन्नई, D) दिल्ली</v>
      </c>
      <c r="I291" s="5" t="str">
        <f>IFERROR(__xludf.DUMMYFUNCTION("GOOGLETRANSLATE(D291, ""en"", ""hi"")"),"D) दिल्ली")</f>
        <v>D) दिल्ली</v>
      </c>
    </row>
    <row r="292" ht="22.5" customHeight="1">
      <c r="A292" s="3">
        <v>291.0</v>
      </c>
      <c r="B292" s="4" t="s">
        <v>8322</v>
      </c>
      <c r="C292" s="4" t="s">
        <v>8323</v>
      </c>
      <c r="D292" s="4" t="s">
        <v>814</v>
      </c>
      <c r="F292" s="5" t="str">
        <f>IFERROR(__xludf.DUMMYFUNCTION("GOOGLETRANSLATE(A292, ""en"", ""hi"")"),"291")</f>
        <v>291</v>
      </c>
      <c r="G292" s="5" t="str">
        <f>IFERROR(__xludf.DUMMYFUNCTION("GOOGLETRANSLATE(B292, ""en"", ""hi"")"),"किस वर्ष में बेहतर किनारे वाले कुशनिंग के साथ कैरम बोर्ड का उत्पादन शुरू हुआ?")</f>
        <v>किस वर्ष में बेहतर किनारे वाले कुशनिंग के साथ कैरम बोर्ड का उत्पादन शुरू हुआ?</v>
      </c>
      <c r="H292" s="5" t="str">
        <f>IFERROR(__xludf.DUMMYFUNCTION("GOOGLETRANSLATE(C292, ""en"", ""hi"")"),"ए) 1988, बी) 1990, सी) 1992, डी) 1995")</f>
        <v>ए) 1988, बी) 1990, सी) 1992, डी) 1995</v>
      </c>
      <c r="I292" s="5" t="str">
        <f>IFERROR(__xludf.DUMMYFUNCTION("GOOGLETRANSLATE(D292, ""en"", ""hi"")"),"बी) 1990")</f>
        <v>बी) 1990</v>
      </c>
    </row>
    <row r="293" ht="22.5" customHeight="1">
      <c r="A293" s="3">
        <v>292.0</v>
      </c>
      <c r="B293" s="4" t="s">
        <v>8324</v>
      </c>
      <c r="C293" s="4" t="s">
        <v>8325</v>
      </c>
      <c r="D293" s="4" t="s">
        <v>8108</v>
      </c>
      <c r="F293" s="5" t="str">
        <f>IFERROR(__xludf.DUMMYFUNCTION("GOOGLETRANSLATE(A293, ""en"", ""hi"")"),"292")</f>
        <v>292</v>
      </c>
      <c r="G293" s="5" t="str">
        <f>IFERROR(__xludf.DUMMYFUNCTION("GOOGLETRANSLATE(B293, ""en"", ""hi"")"),"1990 के दशक के दौरान किस भारतीय कैरम खिलाड़ी ने अंतर्राष्ट्रीय टूर्नामेंटों में लगातार सबसे अधिक जीत का रिकॉर्ड बनाया?")</f>
        <v>1990 के दशक के दौरान किस भारतीय कैरम खिलाड़ी ने अंतर्राष्ट्रीय टूर्नामेंटों में लगातार सबसे अधिक जीत का रिकॉर्ड बनाया?</v>
      </c>
      <c r="H293" s="5" t="str">
        <f>IFERROR(__xludf.DUMMYFUNCTION("GOOGLETRANSLATE(C293, ""en"", ""hi"")"),"ए) एंथोनी इरुदायम, बी) योगेश परदेशी, सी) रश्मी कुमारी, डी) वी. के. गुप्ता")</f>
        <v>ए) एंथोनी इरुदायम, बी) योगेश परदेशी, सी) रश्मी कुमारी, डी) वी. के. गुप्ता</v>
      </c>
      <c r="I293" s="5" t="str">
        <f>IFERROR(__xludf.DUMMYFUNCTION("GOOGLETRANSLATE(D293, ""en"", ""hi"")"),"B) योगेश परदेशी")</f>
        <v>B) योगेश परदेशी</v>
      </c>
    </row>
    <row r="294" ht="22.5" customHeight="1">
      <c r="A294" s="3">
        <v>293.0</v>
      </c>
      <c r="B294" s="4" t="s">
        <v>8326</v>
      </c>
      <c r="C294" s="4" t="s">
        <v>8256</v>
      </c>
      <c r="D294" s="4" t="s">
        <v>2016</v>
      </c>
      <c r="F294" s="5" t="str">
        <f>IFERROR(__xludf.DUMMYFUNCTION("GOOGLETRANSLATE(A294, ""en"", ""hi"")"),"293")</f>
        <v>293</v>
      </c>
      <c r="G294" s="5" t="str">
        <f>IFERROR(__xludf.DUMMYFUNCTION("GOOGLETRANSLATE(B294, ""en"", ""hi"")"),"कैरिबियन में पहली कैरम विश्व चैम्पियनशिप किस वर्ष आयोजित हुई थी?")</f>
        <v>कैरिबियन में पहली कैरम विश्व चैम्पियनशिप किस वर्ष आयोजित हुई थी?</v>
      </c>
      <c r="H294" s="5" t="str">
        <f>IFERROR(__xludf.DUMMYFUNCTION("GOOGLETRANSLATE(C294, ""en"", ""hi"")"),"ए) 1995, बी) 1996, सी) 1997, डी) 1998")</f>
        <v>ए) 1995, बी) 1996, सी) 1997, डी) 1998</v>
      </c>
      <c r="I294" s="5" t="str">
        <f>IFERROR(__xludf.DUMMYFUNCTION("GOOGLETRANSLATE(D294, ""en"", ""hi"")"),"ए) 1995")</f>
        <v>ए) 1995</v>
      </c>
    </row>
    <row r="295" ht="22.5" customHeight="1">
      <c r="A295" s="3">
        <v>294.0</v>
      </c>
      <c r="B295" s="4" t="s">
        <v>8292</v>
      </c>
      <c r="C295" s="4" t="s">
        <v>8327</v>
      </c>
      <c r="D295" s="4" t="s">
        <v>7724</v>
      </c>
      <c r="F295" s="5" t="str">
        <f>IFERROR(__xludf.DUMMYFUNCTION("GOOGLETRANSLATE(A295, ""en"", ""hi"")"),"294")</f>
        <v>294</v>
      </c>
      <c r="G295" s="5" t="str">
        <f>IFERROR(__xludf.DUMMYFUNCTION("GOOGLETRANSLATE(B295, ""en"", ""hi"")"),"1980 के दशक में अंतर्राष्ट्रीय कैरम खिताब जीतने वाला पहला भारतीय खिलाड़ी कौन था?")</f>
        <v>1980 के दशक में अंतर्राष्ट्रीय कैरम खिताब जीतने वाला पहला भारतीय खिलाड़ी कौन था?</v>
      </c>
      <c r="H295" s="5" t="str">
        <f>IFERROR(__xludf.DUMMYFUNCTION("GOOGLETRANSLATE(C295, ""en"", ""hi"")"),"ए) योगेश परदेशी, बी) वी.के. गुप्ता, सी) एंथोनी इरुदायम, डी) रश्मी कुमारी")</f>
        <v>ए) योगेश परदेशी, बी) वी.के. गुप्ता, सी) एंथोनी इरुदायम, डी) रश्मी कुमारी</v>
      </c>
      <c r="I295" s="5" t="str">
        <f>IFERROR(__xludf.DUMMYFUNCTION("GOOGLETRANSLATE(D295, ""en"", ""hi"")"),"A) योगेश परदेशी")</f>
        <v>A) योगेश परदेशी</v>
      </c>
    </row>
    <row r="296" ht="22.5" customHeight="1">
      <c r="A296" s="3">
        <v>295.0</v>
      </c>
      <c r="B296" s="4" t="s">
        <v>8328</v>
      </c>
      <c r="C296" s="4" t="s">
        <v>8329</v>
      </c>
      <c r="D296" s="4" t="s">
        <v>8330</v>
      </c>
      <c r="F296" s="5" t="str">
        <f>IFERROR(__xludf.DUMMYFUNCTION("GOOGLETRANSLATE(A296, ""en"", ""hi"")"),"295")</f>
        <v>295</v>
      </c>
      <c r="G296" s="5" t="str">
        <f>IFERROR(__xludf.DUMMYFUNCTION("GOOGLETRANSLATE(B296, ""en"", ""hi"")"),"महिलाओं के लिए पहली कैरम विश्व चैम्पियनशिप किस शहर में आयोजित की गई थी?")</f>
        <v>महिलाओं के लिए पहली कैरम विश्व चैम्पियनशिप किस शहर में आयोजित की गई थी?</v>
      </c>
      <c r="H296" s="5" t="str">
        <f>IFERROR(__xludf.DUMMYFUNCTION("GOOGLETRANSLATE(C296, ""en"", ""hi"")"),"A) चेन्नई, B) कोलंबो, C) मुंबई, D) कराची")</f>
        <v>A) चेन्नई, B) कोलंबो, C) मुंबई, D) कराची</v>
      </c>
      <c r="I296" s="5" t="str">
        <f>IFERROR(__xludf.DUMMYFUNCTION("GOOGLETRANSLATE(D296, ""en"", ""hi"")"),"बी) कोलंबो")</f>
        <v>बी) कोलंबो</v>
      </c>
    </row>
    <row r="297" ht="22.5" customHeight="1">
      <c r="A297" s="3">
        <v>296.0</v>
      </c>
      <c r="B297" s="4" t="s">
        <v>8331</v>
      </c>
      <c r="C297" s="4" t="s">
        <v>171</v>
      </c>
      <c r="D297" s="4" t="s">
        <v>172</v>
      </c>
      <c r="F297" s="5" t="str">
        <f>IFERROR(__xludf.DUMMYFUNCTION("GOOGLETRANSLATE(A297, ""en"", ""hi"")"),"296")</f>
        <v>296</v>
      </c>
      <c r="G297" s="5" t="str">
        <f>IFERROR(__xludf.DUMMYFUNCTION("GOOGLETRANSLATE(B297, ""en"", ""hi"")"),"1980 के दशक में सबसे पहले कैरम प्रशिक्षण कार्यक्रम शुरू करने का श्रेय किस भारतीय राज्य को दिया जाता है?")</f>
        <v>1980 के दशक में सबसे पहले कैरम प्रशिक्षण कार्यक्रम शुरू करने का श्रेय किस भारतीय राज्य को दिया जाता है?</v>
      </c>
      <c r="H297" s="5" t="str">
        <f>IFERROR(__xludf.DUMMYFUNCTION("GOOGLETRANSLATE(C297, ""en"", ""hi"")"),"A) केरल, B) तमिलनाडु, C) कर्नाटक, D) आंध्र प्रदेश")</f>
        <v>A) केरल, B) तमिलनाडु, C) कर्नाटक, D) आंध्र प्रदेश</v>
      </c>
      <c r="I297" s="5" t="str">
        <f>IFERROR(__xludf.DUMMYFUNCTION("GOOGLETRANSLATE(D297, ""en"", ""hi"")"),"A) केरल")</f>
        <v>A) केरल</v>
      </c>
    </row>
    <row r="298" ht="22.5" customHeight="1">
      <c r="A298" s="3">
        <v>297.0</v>
      </c>
      <c r="B298" s="4" t="s">
        <v>8332</v>
      </c>
      <c r="C298" s="4" t="s">
        <v>8333</v>
      </c>
      <c r="D298" s="4" t="s">
        <v>8334</v>
      </c>
      <c r="F298" s="5" t="str">
        <f>IFERROR(__xludf.DUMMYFUNCTION("GOOGLETRANSLATE(A298, ""en"", ""hi"")"),"297")</f>
        <v>297</v>
      </c>
      <c r="G298" s="5" t="str">
        <f>IFERROR(__xludf.DUMMYFUNCTION("GOOGLETRANSLATE(B298, ""en"", ""hi"")"),"यूरोप में आयोजित पहली कैरम विश्व चैम्पियनशिप की मेजबानी किस देश ने की थी?")</f>
        <v>यूरोप में आयोजित पहली कैरम विश्व चैम्पियनशिप की मेजबानी किस देश ने की थी?</v>
      </c>
      <c r="H298" s="5" t="str">
        <f>IFERROR(__xludf.DUMMYFUNCTION("GOOGLETRANSLATE(C298, ""en"", ""hi"")"),"A) जर्मनी, B) स्विट्जरलैंड, C) फ्रांस, D) इंग्लैंड")</f>
        <v>A) जर्मनी, B) स्विट्जरलैंड, C) फ्रांस, D) इंग्लैंड</v>
      </c>
      <c r="I298" s="5" t="str">
        <f>IFERROR(__xludf.DUMMYFUNCTION("GOOGLETRANSLATE(D298, ""en"", ""hi"")"),"बी) स्विट्जरलैंड")</f>
        <v>बी) स्विट्जरलैंड</v>
      </c>
    </row>
    <row r="299" ht="22.5" customHeight="1">
      <c r="A299" s="3">
        <v>298.0</v>
      </c>
      <c r="B299" s="4" t="s">
        <v>8335</v>
      </c>
      <c r="C299" s="4" t="s">
        <v>8266</v>
      </c>
      <c r="D299" s="4" t="s">
        <v>8170</v>
      </c>
      <c r="F299" s="5" t="str">
        <f>IFERROR(__xludf.DUMMYFUNCTION("GOOGLETRANSLATE(A299, ""en"", ""hi"")"),"298")</f>
        <v>298</v>
      </c>
      <c r="G299" s="5" t="str">
        <f>IFERROR(__xludf.DUMMYFUNCTION("GOOGLETRANSLATE(B299, ""en"", ""hi"")"),"श्रीलंका के किस कैरम खिलाड़ी ने 2004 में विश्व चैंपियनशिप जीती?")</f>
        <v>श्रीलंका के किस कैरम खिलाड़ी ने 2004 में विश्व चैंपियनशिप जीती?</v>
      </c>
      <c r="H299" s="5" t="str">
        <f>IFERROR(__xludf.DUMMYFUNCTION("GOOGLETRANSLATE(C299, ""en"", ""hi"")"),"ए) चामिल कुरे, बी) निमल दिसानायके, सी) धर्मेंद्र राणावीरा, डी) शिरन फर्नांडो")</f>
        <v>ए) चामिल कुरे, बी) निमल दिसानायके, सी) धर्मेंद्र राणावीरा, डी) शिरन फर्नांडो</v>
      </c>
      <c r="I299" s="5" t="str">
        <f>IFERROR(__xludf.DUMMYFUNCTION("GOOGLETRANSLATE(D299, ""en"", ""hi"")"),"A) चमिल कूरे")</f>
        <v>A) चमिल कूरे</v>
      </c>
    </row>
    <row r="300" ht="22.5" customHeight="1">
      <c r="A300" s="3">
        <v>299.0</v>
      </c>
      <c r="B300" s="4" t="s">
        <v>8336</v>
      </c>
      <c r="C300" s="4" t="s">
        <v>8337</v>
      </c>
      <c r="D300" s="4" t="s">
        <v>8338</v>
      </c>
      <c r="F300" s="5" t="str">
        <f>IFERROR(__xludf.DUMMYFUNCTION("GOOGLETRANSLATE(A300, ""en"", ""hi"")"),"299")</f>
        <v>299</v>
      </c>
      <c r="G300" s="5" t="str">
        <f>IFERROR(__xludf.DUMMYFUNCTION("GOOGLETRANSLATE(B300, ""en"", ""hi"")"),"डिजिटल स्कोरबोर्ड वाला पहला कैरम बोर्ड किस वर्ष शुरू किया गया था?")</f>
        <v>डिजिटल स्कोरबोर्ड वाला पहला कैरम बोर्ड किस वर्ष शुरू किया गया था?</v>
      </c>
      <c r="H300" s="5" t="str">
        <f>IFERROR(__xludf.DUMMYFUNCTION("GOOGLETRANSLATE(C300, ""en"", ""hi"")"),"ए) 1982, बी) 1985, सी) 1990, डी) 1992")</f>
        <v>ए) 1982, बी) 1985, सी) 1990, डी) 1992</v>
      </c>
      <c r="I300" s="5" t="str">
        <f>IFERROR(__xludf.DUMMYFUNCTION("GOOGLETRANSLATE(D300, ""en"", ""hi"")"),"डी) 1992")</f>
        <v>डी) 1992</v>
      </c>
    </row>
    <row r="301" ht="22.5" customHeight="1">
      <c r="A301" s="3">
        <v>300.0</v>
      </c>
      <c r="B301" s="4" t="s">
        <v>8339</v>
      </c>
      <c r="C301" s="4" t="s">
        <v>8340</v>
      </c>
      <c r="D301" s="4" t="s">
        <v>8259</v>
      </c>
      <c r="F301" s="5" t="str">
        <f>IFERROR(__xludf.DUMMYFUNCTION("GOOGLETRANSLATE(A301, ""en"", ""hi"")"),"300")</f>
        <v>300</v>
      </c>
      <c r="G301" s="5" t="str">
        <f>IFERROR(__xludf.DUMMYFUNCTION("GOOGLETRANSLATE(B301, ""en"", ""hi"")"),"1980 के दशक में भारत के किस कैरम खिलाड़ी ने सबसे अधिक खिताब जीते?")</f>
        <v>1980 के दशक में भारत के किस कैरम खिलाड़ी ने सबसे अधिक खिताब जीते?</v>
      </c>
      <c r="H301" s="5" t="str">
        <f>IFERROR(__xludf.DUMMYFUNCTION("GOOGLETRANSLATE(C301, ""en"", ""hi"")"),"ए) योगेश परदेशी, बी) एंथोनी इरुदायम, सी) रश्मी कुमारी, डी) वी. के. गुप्ता")</f>
        <v>ए) योगेश परदेशी, बी) एंथोनी इरुदायम, सी) रश्मी कुमारी, डी) वी. के. गुप्ता</v>
      </c>
      <c r="I301" s="5" t="str">
        <f>IFERROR(__xludf.DUMMYFUNCTION("GOOGLETRANSLATE(D301, ""en"", ""hi"")"),"D) वी. के. गुप्ता")</f>
        <v>D) वी. के. गुप्ता</v>
      </c>
    </row>
    <row r="302" ht="22.5" customHeight="1">
      <c r="A302" s="3">
        <v>301.0</v>
      </c>
      <c r="B302" s="4" t="s">
        <v>8341</v>
      </c>
      <c r="C302" s="4" t="s">
        <v>8309</v>
      </c>
      <c r="D302" s="4" t="s">
        <v>8310</v>
      </c>
      <c r="F302" s="5" t="str">
        <f>IFERROR(__xludf.DUMMYFUNCTION("GOOGLETRANSLATE(A302, ""en"", ""hi"")"),"301")</f>
        <v>301</v>
      </c>
      <c r="G302" s="5" t="str">
        <f>IFERROR(__xludf.DUMMYFUNCTION("GOOGLETRANSLATE(B302, ""en"", ""hi"")"),"मिश्रित टीमों के लिए पहला कैरम विश्व कप किस वर्ष आयोजित किया गया था?")</f>
        <v>मिश्रित टीमों के लिए पहला कैरम विश्व कप किस वर्ष आयोजित किया गया था?</v>
      </c>
      <c r="H302" s="5" t="str">
        <f>IFERROR(__xludf.DUMMYFUNCTION("GOOGLETRANSLATE(C302, ""en"", ""hi"")"),"ए) 1994, बी) 1996, सी) 1998, डी) 2000")</f>
        <v>ए) 1994, बी) 1996, सी) 1998, डी) 2000</v>
      </c>
      <c r="I302" s="5" t="str">
        <f>IFERROR(__xludf.DUMMYFUNCTION("GOOGLETRANSLATE(D302, ""en"", ""hi"")"),"ए) 1994")</f>
        <v>ए) 1994</v>
      </c>
    </row>
    <row r="303" ht="22.5" customHeight="1">
      <c r="A303" s="3">
        <v>302.0</v>
      </c>
      <c r="B303" s="4" t="s">
        <v>8307</v>
      </c>
      <c r="C303" s="4" t="s">
        <v>7745</v>
      </c>
      <c r="D303" s="4" t="s">
        <v>549</v>
      </c>
      <c r="F303" s="5" t="str">
        <f>IFERROR(__xludf.DUMMYFUNCTION("GOOGLETRANSLATE(A303, ""en"", ""hi"")"),"302")</f>
        <v>302</v>
      </c>
      <c r="G303" s="5" t="str">
        <f>IFERROR(__xludf.DUMMYFUNCTION("GOOGLETRANSLATE(B303, ""en"", ""hi"")"),"1990 में पहली कैरम विश्व चैम्पियनशिप का आयोजन किस भारतीय शहर में हुआ था?")</f>
        <v>1990 में पहली कैरम विश्व चैम्पियनशिप का आयोजन किस भारतीय शहर में हुआ था?</v>
      </c>
      <c r="H303" s="5" t="str">
        <f>IFERROR(__xludf.DUMMYFUNCTION("GOOGLETRANSLATE(C303, ""en"", ""hi"")"),"ए) मुंबई, बी) चेन्नई, सी) बैंगलोर, डी) कोलकाता")</f>
        <v>ए) मुंबई, बी) चेन्नई, सी) बैंगलोर, डी) कोलकाता</v>
      </c>
      <c r="I303" s="5" t="str">
        <f>IFERROR(__xludf.DUMMYFUNCTION("GOOGLETRANSLATE(D303, ""en"", ""hi"")"),"ए) मुंबई")</f>
        <v>ए) मुंबई</v>
      </c>
    </row>
    <row r="304" ht="22.5" customHeight="1">
      <c r="A304" s="3">
        <v>303.0</v>
      </c>
      <c r="B304" s="4" t="s">
        <v>8094</v>
      </c>
      <c r="C304" s="4" t="s">
        <v>8126</v>
      </c>
      <c r="D304" s="4" t="s">
        <v>6668</v>
      </c>
      <c r="F304" s="5" t="str">
        <f>IFERROR(__xludf.DUMMYFUNCTION("GOOGLETRANSLATE(A304, ""en"", ""hi"")"),"303")</f>
        <v>303</v>
      </c>
      <c r="G304" s="5" t="str">
        <f>IFERROR(__xludf.DUMMYFUNCTION("GOOGLETRANSLATE(B304, ""en"", ""hi"")"),"मध्य पूर्व में पहला अंतर्राष्ट्रीय कैरम टूर्नामेंट किस वर्ष आयोजित किया गया था?")</f>
        <v>मध्य पूर्व में पहला अंतर्राष्ट्रीय कैरम टूर्नामेंट किस वर्ष आयोजित किया गया था?</v>
      </c>
      <c r="H304" s="5" t="str">
        <f>IFERROR(__xludf.DUMMYFUNCTION("GOOGLETRANSLATE(C304, ""en"", ""hi"")"),"ए) 1990, बी) 1992, सी) 1994, डी) 1996")</f>
        <v>ए) 1990, बी) 1992, सी) 1994, डी) 1996</v>
      </c>
      <c r="I304" s="5" t="str">
        <f>IFERROR(__xludf.DUMMYFUNCTION("GOOGLETRANSLATE(D304, ""en"", ""hi"")"),"बी) 1992")</f>
        <v>बी) 1992</v>
      </c>
    </row>
    <row r="305" ht="22.5" customHeight="1">
      <c r="A305" s="3">
        <v>304.0</v>
      </c>
      <c r="B305" s="4" t="s">
        <v>8342</v>
      </c>
      <c r="C305" s="4" t="s">
        <v>8343</v>
      </c>
      <c r="D305" s="4" t="s">
        <v>4960</v>
      </c>
      <c r="F305" s="5" t="str">
        <f>IFERROR(__xludf.DUMMYFUNCTION("GOOGLETRANSLATE(A305, ""en"", ""hi"")"),"304")</f>
        <v>304</v>
      </c>
      <c r="G305" s="5" t="str">
        <f>IFERROR(__xludf.DUMMYFUNCTION("GOOGLETRANSLATE(B305, ""en"", ""hi"")"),"कौन सा भारतीय राज्य 2000 में पहली बार अंतर्राष्ट्रीय कैरम टूर्नामेंट का आयोजन करने वाला राज्य था?")</f>
        <v>कौन सा भारतीय राज्य 2000 में पहली बार अंतर्राष्ट्रीय कैरम टूर्नामेंट का आयोजन करने वाला राज्य था?</v>
      </c>
      <c r="H305" s="5" t="str">
        <f>IFERROR(__xludf.DUMMYFUNCTION("GOOGLETRANSLATE(C305, ""en"", ""hi"")"),"A) कर्नाटक, B) केरल, C) तमिलनाडु, D) आंध्र प्रदेश")</f>
        <v>A) कर्नाटक, B) केरल, C) तमिलनाडु, D) आंध्र प्रदेश</v>
      </c>
      <c r="I305" s="5" t="str">
        <f>IFERROR(__xludf.DUMMYFUNCTION("GOOGLETRANSLATE(D305, ""en"", ""hi"")"),"बी) केरल")</f>
        <v>बी) केरल</v>
      </c>
    </row>
    <row r="306" ht="22.5" customHeight="1">
      <c r="A306" s="3">
        <v>305.0</v>
      </c>
      <c r="B306" s="4" t="s">
        <v>8344</v>
      </c>
      <c r="C306" s="4" t="s">
        <v>8069</v>
      </c>
      <c r="D306" s="4" t="s">
        <v>7836</v>
      </c>
      <c r="F306" s="5" t="str">
        <f>IFERROR(__xludf.DUMMYFUNCTION("GOOGLETRANSLATE(A306, ""en"", ""hi"")"),"305")</f>
        <v>305</v>
      </c>
      <c r="G306" s="5" t="str">
        <f>IFERROR(__xludf.DUMMYFUNCTION("GOOGLETRANSLATE(B306, ""en"", ""hi"")"),"दक्षिण अफ्रीका में पहली कैरम विश्व चैम्पियनशिप किस वर्ष आयोजित हुई थी?")</f>
        <v>दक्षिण अफ्रीका में पहली कैरम विश्व चैम्पियनशिप किस वर्ष आयोजित हुई थी?</v>
      </c>
      <c r="H306" s="5" t="str">
        <f>IFERROR(__xludf.DUMMYFUNCTION("GOOGLETRANSLATE(C306, ""en"", ""hi"")"),"ए) 1996, बी) 1998, सी) 2000, डी) 2002")</f>
        <v>ए) 1996, बी) 1998, सी) 2000, डी) 2002</v>
      </c>
      <c r="I306" s="5" t="str">
        <f>IFERROR(__xludf.DUMMYFUNCTION("GOOGLETRANSLATE(D306, ""en"", ""hi"")"),"बी) 1998")</f>
        <v>बी) 1998</v>
      </c>
    </row>
    <row r="307" ht="22.5" customHeight="1">
      <c r="A307" s="3">
        <v>306.0</v>
      </c>
      <c r="B307" s="4" t="s">
        <v>8345</v>
      </c>
      <c r="C307" s="4" t="s">
        <v>8312</v>
      </c>
      <c r="D307" s="4" t="s">
        <v>8276</v>
      </c>
      <c r="F307" s="5" t="str">
        <f>IFERROR(__xludf.DUMMYFUNCTION("GOOGLETRANSLATE(A307, ""en"", ""hi"")"),"306")</f>
        <v>306</v>
      </c>
      <c r="G307" s="5" t="str">
        <f>IFERROR(__xludf.DUMMYFUNCTION("GOOGLETRANSLATE(B307, ""en"", ""hi"")"),"किस भारतीय कैरम खिलाड़ी ने 2004 में विश्व चैंपियनशिप का खिताब जीता?")</f>
        <v>किस भारतीय कैरम खिलाड़ी ने 2004 में विश्व चैंपियनशिप का खिताब जीता?</v>
      </c>
      <c r="H307" s="5" t="str">
        <f>IFERROR(__xludf.DUMMYFUNCTION("GOOGLETRANSLATE(C307, ""en"", ""hi"")"),"ए) वी.के. गुप्ता, बी) एंथोनी इरुदयम, सी) योगेश परदेशी, डी) रश्मी कुमारी")</f>
        <v>ए) वी.के. गुप्ता, बी) एंथोनी इरुदयम, सी) योगेश परदेशी, डी) रश्मी कुमारी</v>
      </c>
      <c r="I307" s="5" t="str">
        <f>IFERROR(__xludf.DUMMYFUNCTION("GOOGLETRANSLATE(D307, ""en"", ""hi"")"),"C) योगेश परदेशी")</f>
        <v>C) योगेश परदेशी</v>
      </c>
    </row>
    <row r="308" ht="22.5" customHeight="1">
      <c r="A308" s="3">
        <v>307.0</v>
      </c>
      <c r="B308" s="4" t="s">
        <v>8346</v>
      </c>
      <c r="C308" s="4" t="s">
        <v>8347</v>
      </c>
      <c r="D308" s="4" t="s">
        <v>8348</v>
      </c>
      <c r="F308" s="5" t="str">
        <f>IFERROR(__xludf.DUMMYFUNCTION("GOOGLETRANSLATE(A308, ""en"", ""hi"")"),"307")</f>
        <v>307</v>
      </c>
      <c r="G308" s="5" t="str">
        <f>IFERROR(__xludf.DUMMYFUNCTION("GOOGLETRANSLATE(B308, ""en"", ""hi"")"),"कैरम पहली बार एशियाई इंडोर खेलों में किस वर्ष शामिल हुआ?")</f>
        <v>कैरम पहली बार एशियाई इंडोर खेलों में किस वर्ष शामिल हुआ?</v>
      </c>
      <c r="H308" s="5" t="str">
        <f>IFERROR(__xludf.DUMMYFUNCTION("GOOGLETRANSLATE(C308, ""en"", ""hi"")"),"ए) 2007, बी) 2008, सी) 2009, डी) 2010")</f>
        <v>ए) 2007, बी) 2008, सी) 2009, डी) 2010</v>
      </c>
      <c r="I308" s="5" t="str">
        <f>IFERROR(__xludf.DUMMYFUNCTION("GOOGLETRANSLATE(D308, ""en"", ""hi"")"),"ए) 2007")</f>
        <v>ए) 2007</v>
      </c>
    </row>
    <row r="309" ht="22.5" customHeight="1">
      <c r="A309" s="3">
        <v>308.0</v>
      </c>
      <c r="B309" s="4" t="s">
        <v>8349</v>
      </c>
      <c r="C309" s="4" t="s">
        <v>8350</v>
      </c>
      <c r="D309" s="4" t="s">
        <v>8351</v>
      </c>
      <c r="F309" s="5" t="str">
        <f>IFERROR(__xludf.DUMMYFUNCTION("GOOGLETRANSLATE(A309, ""en"", ""hi"")"),"308")</f>
        <v>308</v>
      </c>
      <c r="G309" s="5" t="str">
        <f>IFERROR(__xludf.DUMMYFUNCTION("GOOGLETRANSLATE(B309, ""en"", ""hi"")"),"पाकिस्तान के किस कैरम खिलाड़ी ने 2000 में विश्व चैंपियनशिप जीती?")</f>
        <v>पाकिस्तान के किस कैरम खिलाड़ी ने 2000 में विश्व चैंपियनशिप जीती?</v>
      </c>
      <c r="H309" s="5" t="str">
        <f>IFERROR(__xludf.DUMMYFUNCTION("GOOGLETRANSLATE(C309, ""en"", ""hi"")"),"ए) तारिक महमूद, बी) जाहिद खान, सी) बिलाल अहमद, डी) सैयद अली")</f>
        <v>ए) तारिक महमूद, बी) जाहिद खान, सी) बिलाल अहमद, डी) सैयद अली</v>
      </c>
      <c r="I309" s="5" t="str">
        <f>IFERROR(__xludf.DUMMYFUNCTION("GOOGLETRANSLATE(D309, ""en"", ""hi"")"),"A) तारिक महमूद")</f>
        <v>A) तारिक महमूद</v>
      </c>
    </row>
    <row r="310" ht="22.5" customHeight="1">
      <c r="A310" s="3">
        <v>309.0</v>
      </c>
      <c r="B310" s="4" t="s">
        <v>8352</v>
      </c>
      <c r="C310" s="4" t="s">
        <v>8186</v>
      </c>
      <c r="D310" s="4" t="s">
        <v>8187</v>
      </c>
      <c r="F310" s="5" t="str">
        <f>IFERROR(__xludf.DUMMYFUNCTION("GOOGLETRANSLATE(A310, ""en"", ""hi"")"),"309")</f>
        <v>309</v>
      </c>
      <c r="G310" s="5" t="str">
        <f>IFERROR(__xludf.DUMMYFUNCTION("GOOGLETRANSLATE(B310, ""en"", ""hi"")"),"अंतर्निर्मित टाइमर और स्कोरबोर्ड वाला पहला कैरम बोर्ड किस कंपनी द्वारा पेश किया गया था?")</f>
        <v>अंतर्निर्मित टाइमर और स्कोरबोर्ड वाला पहला कैरम बोर्ड किस कंपनी द्वारा पेश किया गया था?</v>
      </c>
      <c r="H310" s="5" t="str">
        <f>IFERROR(__xludf.DUMMYFUNCTION("GOOGLETRANSLATE(C310, ""en"", ""hi"")"),"A) सुरको, B) स्टार, C) घोष, D) सिंको")</f>
        <v>A) सुरको, B) स्टार, C) घोष, D) सिंको</v>
      </c>
      <c r="I310" s="5" t="str">
        <f>IFERROR(__xludf.DUMMYFUNCTION("GOOGLETRANSLATE(D310, ""en"", ""hi"")"),"डी) सिंको")</f>
        <v>डी) सिंको</v>
      </c>
    </row>
    <row r="311" ht="22.5" customHeight="1">
      <c r="A311" s="3">
        <v>310.0</v>
      </c>
      <c r="B311" s="4" t="s">
        <v>8353</v>
      </c>
      <c r="C311" s="4" t="s">
        <v>542</v>
      </c>
      <c r="D311" s="4" t="s">
        <v>77</v>
      </c>
      <c r="F311" s="5" t="str">
        <f>IFERROR(__xludf.DUMMYFUNCTION("GOOGLETRANSLATE(A311, ""en"", ""hi"")"),"310")</f>
        <v>310</v>
      </c>
      <c r="G311" s="5" t="str">
        <f>IFERROR(__xludf.DUMMYFUNCTION("GOOGLETRANSLATE(B311, ""en"", ""hi"")"),"1983 में किस भारतीय शहर ने पहली कैरम फेडरेशन ऑफ इंडिया राष्ट्रीय चैंपियनशिप की मेजबानी की?")</f>
        <v>1983 में किस भारतीय शहर ने पहली कैरम फेडरेशन ऑफ इंडिया राष्ट्रीय चैंपियनशिप की मेजबानी की?</v>
      </c>
      <c r="H311" s="5" t="str">
        <f>IFERROR(__xludf.DUMMYFUNCTION("GOOGLETRANSLATE(C311, ""en"", ""hi"")"),"A) दिल्ली, B) मुंबई, C) बैंगलोर, D) चेन्नई")</f>
        <v>A) दिल्ली, B) मुंबई, C) बैंगलोर, D) चेन्नई</v>
      </c>
      <c r="I311" s="5" t="str">
        <f>IFERROR(__xludf.DUMMYFUNCTION("GOOGLETRANSLATE(D311, ""en"", ""hi"")"),"बी) मुंबई")</f>
        <v>बी) मुंबई</v>
      </c>
    </row>
    <row r="312" ht="22.5" customHeight="1">
      <c r="A312" s="3">
        <v>311.0</v>
      </c>
      <c r="B312" s="4" t="s">
        <v>8354</v>
      </c>
      <c r="C312" s="4" t="s">
        <v>8355</v>
      </c>
      <c r="D312" s="4" t="s">
        <v>8356</v>
      </c>
      <c r="F312" s="5" t="str">
        <f>IFERROR(__xludf.DUMMYFUNCTION("GOOGLETRANSLATE(A312, ""en"", ""hi"")"),"311")</f>
        <v>311</v>
      </c>
      <c r="G312" s="5" t="str">
        <f>IFERROR(__xludf.DUMMYFUNCTION("GOOGLETRANSLATE(B312, ""en"", ""hi"")"),"ब्रिटेन में पहला अंतर्राष्ट्रीय कैरम टूर्नामेंट किस शहर में आयोजित किया गया था?")</f>
        <v>ब्रिटेन में पहला अंतर्राष्ट्रीय कैरम टूर्नामेंट किस शहर में आयोजित किया गया था?</v>
      </c>
      <c r="H312" s="5" t="str">
        <f>IFERROR(__xludf.DUMMYFUNCTION("GOOGLETRANSLATE(C312, ""en"", ""hi"")"),"A) लंदन, B) बर्मिंघम, C) मैनचेस्टर, D) एडिनबर्ग")</f>
        <v>A) लंदन, B) बर्मिंघम, C) मैनचेस्टर, D) एडिनबर्ग</v>
      </c>
      <c r="I312" s="5" t="str">
        <f>IFERROR(__xludf.DUMMYFUNCTION("GOOGLETRANSLATE(D312, ""en"", ""hi"")"),"ए) लंदन")</f>
        <v>ए) लंदन</v>
      </c>
    </row>
    <row r="313" ht="22.5" customHeight="1">
      <c r="A313" s="3">
        <v>312.0</v>
      </c>
      <c r="B313" s="4" t="s">
        <v>8357</v>
      </c>
      <c r="C313" s="4" t="s">
        <v>8327</v>
      </c>
      <c r="D313" s="4" t="s">
        <v>8358</v>
      </c>
      <c r="F313" s="5" t="str">
        <f>IFERROR(__xludf.DUMMYFUNCTION("GOOGLETRANSLATE(A313, ""en"", ""hi"")"),"312")</f>
        <v>312</v>
      </c>
      <c r="G313" s="5" t="str">
        <f>IFERROR(__xludf.DUMMYFUNCTION("GOOGLETRANSLATE(B313, ""en"", ""hi"")"),"1990 के दशक में किस कैरम खिलाड़ी को नई रणनीतियों की शुरुआत करने के लिए जाना जाता था?")</f>
        <v>1990 के दशक में किस कैरम खिलाड़ी को नई रणनीतियों की शुरुआत करने के लिए जाना जाता था?</v>
      </c>
      <c r="H313" s="5" t="str">
        <f>IFERROR(__xludf.DUMMYFUNCTION("GOOGLETRANSLATE(C313, ""en"", ""hi"")"),"ए) योगेश परदेशी, बी) वी.के. गुप्ता, सी) एंथोनी इरुदायम, डी) रश्मी कुमारी")</f>
        <v>ए) योगेश परदेशी, बी) वी.के. गुप्ता, सी) एंथोनी इरुदायम, डी) रश्मी कुमारी</v>
      </c>
      <c r="I313" s="5" t="str">
        <f>IFERROR(__xludf.DUMMYFUNCTION("GOOGLETRANSLATE(D313, ""en"", ""hi"")"),"C) एंथनी इरुदयम")</f>
        <v>C) एंथनी इरुदयम</v>
      </c>
    </row>
    <row r="314" ht="22.5" customHeight="1">
      <c r="A314" s="3">
        <v>313.0</v>
      </c>
      <c r="B314" s="4" t="s">
        <v>8359</v>
      </c>
      <c r="C314" s="4" t="s">
        <v>8360</v>
      </c>
      <c r="D314" s="4" t="s">
        <v>8361</v>
      </c>
      <c r="F314" s="5" t="str">
        <f>IFERROR(__xludf.DUMMYFUNCTION("GOOGLETRANSLATE(A314, ""en"", ""hi"")"),"313")</f>
        <v>313</v>
      </c>
      <c r="G314" s="5" t="str">
        <f>IFERROR(__xludf.DUMMYFUNCTION("GOOGLETRANSLATE(B314, ""en"", ""hi"")"),"स्कोरिंग के लिए एलईडी लाइट के साथ पहला कैरम बोर्ड किस वर्ष पेश किया गया था?")</f>
        <v>स्कोरिंग के लिए एलईडी लाइट के साथ पहला कैरम बोर्ड किस वर्ष पेश किया गया था?</v>
      </c>
      <c r="H314" s="5" t="str">
        <f>IFERROR(__xludf.DUMMYFUNCTION("GOOGLETRANSLATE(C314, ""en"", ""hi"")"),"ए) 1990, बी) 1992, सी) 1995, डी) 1997")</f>
        <v>ए) 1990, बी) 1992, सी) 1995, डी) 1997</v>
      </c>
      <c r="I314" s="5" t="str">
        <f>IFERROR(__xludf.DUMMYFUNCTION("GOOGLETRANSLATE(D314, ""en"", ""hi"")"),"डी) 1997")</f>
        <v>डी) 1997</v>
      </c>
    </row>
    <row r="315" ht="22.5" customHeight="1">
      <c r="A315" s="3">
        <v>314.0</v>
      </c>
      <c r="B315" s="4" t="s">
        <v>8362</v>
      </c>
      <c r="C315" s="4" t="s">
        <v>171</v>
      </c>
      <c r="D315" s="4" t="s">
        <v>172</v>
      </c>
      <c r="F315" s="5" t="str">
        <f>IFERROR(__xludf.DUMMYFUNCTION("GOOGLETRANSLATE(A315, ""en"", ""hi"")"),"314")</f>
        <v>314</v>
      </c>
      <c r="G315" s="5" t="str">
        <f>IFERROR(__xludf.DUMMYFUNCTION("GOOGLETRANSLATE(B315, ""en"", ""hi"")"),"1985 में कैरम-विशिष्ट प्रशिक्षण अकादमी स्थापित करने वाला पहला भारतीय राज्य कौन सा था?")</f>
        <v>1985 में कैरम-विशिष्ट प्रशिक्षण अकादमी स्थापित करने वाला पहला भारतीय राज्य कौन सा था?</v>
      </c>
      <c r="H315" s="5" t="str">
        <f>IFERROR(__xludf.DUMMYFUNCTION("GOOGLETRANSLATE(C315, ""en"", ""hi"")"),"A) केरल, B) तमिलनाडु, C) कर्नाटक, D) आंध्र प्रदेश")</f>
        <v>A) केरल, B) तमिलनाडु, C) कर्नाटक, D) आंध्र प्रदेश</v>
      </c>
      <c r="I315" s="5" t="str">
        <f>IFERROR(__xludf.DUMMYFUNCTION("GOOGLETRANSLATE(D315, ""en"", ""hi"")"),"A) केरल")</f>
        <v>A) केरल</v>
      </c>
    </row>
    <row r="316" ht="22.5" customHeight="1">
      <c r="A316" s="3">
        <v>315.0</v>
      </c>
      <c r="B316" s="4" t="s">
        <v>8363</v>
      </c>
      <c r="C316" s="4" t="s">
        <v>8126</v>
      </c>
      <c r="D316" s="4" t="s">
        <v>8056</v>
      </c>
      <c r="F316" s="5" t="str">
        <f>IFERROR(__xludf.DUMMYFUNCTION("GOOGLETRANSLATE(A316, ""en"", ""hi"")"),"315")</f>
        <v>315</v>
      </c>
      <c r="G316" s="5" t="str">
        <f>IFERROR(__xludf.DUMMYFUNCTION("GOOGLETRANSLATE(B316, ""en"", ""hi"")"),"श्रीलंका के कैरम महासंघ ने पहली दक्षिण एशियाई कैरम चैम्पियनशिप की मेजबानी किस वर्ष की थी?")</f>
        <v>श्रीलंका के कैरम महासंघ ने पहली दक्षिण एशियाई कैरम चैम्पियनशिप की मेजबानी किस वर्ष की थी?</v>
      </c>
      <c r="H316" s="5" t="str">
        <f>IFERROR(__xludf.DUMMYFUNCTION("GOOGLETRANSLATE(C316, ""en"", ""hi"")"),"ए) 1990, बी) 1992, सी) 1994, डी) 1996")</f>
        <v>ए) 1990, बी) 1992, सी) 1994, डी) 1996</v>
      </c>
      <c r="I316" s="5" t="str">
        <f>IFERROR(__xludf.DUMMYFUNCTION("GOOGLETRANSLATE(D316, ""en"", ""hi"")"),"सी) 1994")</f>
        <v>सी) 1994</v>
      </c>
    </row>
    <row r="317" ht="22.5" customHeight="1">
      <c r="A317" s="3">
        <v>316.0</v>
      </c>
      <c r="B317" s="4" t="s">
        <v>8364</v>
      </c>
      <c r="C317" s="4" t="s">
        <v>8016</v>
      </c>
      <c r="D317" s="4" t="s">
        <v>5027</v>
      </c>
      <c r="F317" s="5" t="str">
        <f>IFERROR(__xludf.DUMMYFUNCTION("GOOGLETRANSLATE(A317, ""en"", ""hi"")"),"316")</f>
        <v>316</v>
      </c>
      <c r="G317" s="5" t="str">
        <f>IFERROR(__xludf.DUMMYFUNCTION("GOOGLETRANSLATE(B317, ""en"", ""hi"")"),"1991 में पहली एशियाई कैरम चैंपियनशिप का मेजबान कौन सा देश था?")</f>
        <v>1991 में पहली एशियाई कैरम चैंपियनशिप का मेजबान कौन सा देश था?</v>
      </c>
      <c r="H317" s="5" t="str">
        <f>IFERROR(__xludf.DUMMYFUNCTION("GOOGLETRANSLATE(C317, ""en"", ""hi"")"),"A) भारत, B) श्रीलंका, C) पाकिस्तान, D) बांग्लादेश")</f>
        <v>A) भारत, B) श्रीलंका, C) पाकिस्तान, D) बांग्लादेश</v>
      </c>
      <c r="I317" s="5" t="str">
        <f>IFERROR(__xludf.DUMMYFUNCTION("GOOGLETRANSLATE(D317, ""en"", ""hi"")"),"बी) श्रीलंका")</f>
        <v>बी) श्रीलंका</v>
      </c>
    </row>
    <row r="318" ht="22.5" customHeight="1">
      <c r="A318" s="3">
        <v>317.0</v>
      </c>
      <c r="B318" s="4" t="s">
        <v>8365</v>
      </c>
      <c r="C318" s="4" t="s">
        <v>6724</v>
      </c>
      <c r="D318" s="4" t="s">
        <v>6725</v>
      </c>
      <c r="F318" s="5" t="str">
        <f>IFERROR(__xludf.DUMMYFUNCTION("GOOGLETRANSLATE(A318, ""en"", ""hi"")"),"317")</f>
        <v>317</v>
      </c>
      <c r="G318" s="5" t="str">
        <f>IFERROR(__xludf.DUMMYFUNCTION("GOOGLETRANSLATE(B318, ""en"", ""hi"")"),"कैरम को राष्ट्रमंडल खेलों में किस वर्ष शामिल किया गया?")</f>
        <v>कैरम को राष्ट्रमंडल खेलों में किस वर्ष शामिल किया गया?</v>
      </c>
      <c r="H318" s="5" t="str">
        <f>IFERROR(__xludf.DUMMYFUNCTION("GOOGLETRANSLATE(C318, ""en"", ""hi"")"),"ए) 1998, बी) 2002, सी) 2006, डी) 2010")</f>
        <v>ए) 1998, बी) 2002, सी) 2006, डी) 2010</v>
      </c>
      <c r="I318" s="5" t="str">
        <f>IFERROR(__xludf.DUMMYFUNCTION("GOOGLETRANSLATE(D318, ""en"", ""hi"")"),"बी) 2002")</f>
        <v>बी) 2002</v>
      </c>
    </row>
    <row r="319" ht="22.5" customHeight="1">
      <c r="A319" s="3">
        <v>318.0</v>
      </c>
      <c r="B319" s="4" t="s">
        <v>8366</v>
      </c>
      <c r="C319" s="4" t="s">
        <v>8367</v>
      </c>
      <c r="D319" s="4" t="s">
        <v>8368</v>
      </c>
      <c r="F319" s="5" t="str">
        <f>IFERROR(__xludf.DUMMYFUNCTION("GOOGLETRANSLATE(A319, ""en"", ""hi"")"),"318")</f>
        <v>318</v>
      </c>
      <c r="G319" s="5" t="str">
        <f>IFERROR(__xludf.DUMMYFUNCTION("GOOGLETRANSLATE(B319, ""en"", ""hi"")"),"1980 के दशक में कौन सा भारतीय कैरम खिलाड़ी अपनी अनूठी स्ट्राइकिंग शैली के लिए जाना जाता था?")</f>
        <v>1980 के दशक में कौन सा भारतीय कैरम खिलाड़ी अपनी अनूठी स्ट्राइकिंग शैली के लिए जाना जाता था?</v>
      </c>
      <c r="H319" s="5" t="str">
        <f>IFERROR(__xludf.DUMMYFUNCTION("GOOGLETRANSLATE(C319, ""en"", ""hi"")"),"ए) वी.के. गुप्ता, बी) योगेश परदेशी, सी) एंथोनी इरुदयम, डी) राजेश मेहता")</f>
        <v>ए) वी.के. गुप्ता, बी) योगेश परदेशी, सी) एंथोनी इरुदयम, डी) राजेश मेहता</v>
      </c>
      <c r="I319" s="5" t="str">
        <f>IFERROR(__xludf.DUMMYFUNCTION("GOOGLETRANSLATE(D319, ""en"", ""hi"")"),"D) राजेश मेहता")</f>
        <v>D) राजेश मेहता</v>
      </c>
    </row>
    <row r="320" ht="22.5" customHeight="1">
      <c r="A320" s="3">
        <v>319.0</v>
      </c>
      <c r="B320" s="4" t="s">
        <v>8369</v>
      </c>
      <c r="C320" s="4" t="s">
        <v>7890</v>
      </c>
      <c r="D320" s="4" t="s">
        <v>8296</v>
      </c>
      <c r="F320" s="5" t="str">
        <f>IFERROR(__xludf.DUMMYFUNCTION("GOOGLETRANSLATE(A320, ""en"", ""hi"")"),"319")</f>
        <v>319</v>
      </c>
      <c r="G320" s="5" t="str">
        <f>IFERROR(__xludf.DUMMYFUNCTION("GOOGLETRANSLATE(B320, ""en"", ""hi"")"),"जूनियर वर्ग के लिए कैरम विश्व चैम्पियनशिप की शुरुआत किस वर्ष हुई?")</f>
        <v>जूनियर वर्ग के लिए कैरम विश्व चैम्पियनशिप की शुरुआत किस वर्ष हुई?</v>
      </c>
      <c r="H320" s="5" t="str">
        <f>IFERROR(__xludf.DUMMYFUNCTION("GOOGLETRANSLATE(C320, ""en"", ""hi"")"),"ए) 1988, बी) 1990, सी) 1992, डी) 1994")</f>
        <v>ए) 1988, बी) 1990, सी) 1992, डी) 1994</v>
      </c>
      <c r="I320" s="5" t="str">
        <f>IFERROR(__xludf.DUMMYFUNCTION("GOOGLETRANSLATE(D320, ""en"", ""hi"")"),"सी) 1992")</f>
        <v>सी) 1992</v>
      </c>
    </row>
    <row r="321" ht="22.5" customHeight="1">
      <c r="A321" s="3">
        <v>320.0</v>
      </c>
      <c r="B321" s="4" t="s">
        <v>8370</v>
      </c>
      <c r="C321" s="4" t="s">
        <v>8371</v>
      </c>
      <c r="D321" s="4" t="s">
        <v>2301</v>
      </c>
      <c r="F321" s="5" t="str">
        <f>IFERROR(__xludf.DUMMYFUNCTION("GOOGLETRANSLATE(A321, ""en"", ""hi"")"),"320")</f>
        <v>320</v>
      </c>
      <c r="G321" s="5" t="str">
        <f>IFERROR(__xludf.DUMMYFUNCTION("GOOGLETRANSLATE(B321, ""en"", ""hi"")"),"भारत में पहली कैरम प्रशिक्षण अकादमी किस शहर में स्थापित की गई थी?")</f>
        <v>भारत में पहली कैरम प्रशिक्षण अकादमी किस शहर में स्थापित की गई थी?</v>
      </c>
      <c r="H321" s="5" t="str">
        <f>IFERROR(__xludf.DUMMYFUNCTION("GOOGLETRANSLATE(C321, ""en"", ""hi"")"),"A) मुंबई, B) चेन्नई, C) बैंगलोर, D) दिल्ली")</f>
        <v>A) मुंबई, B) चेन्नई, C) बैंगलोर, D) दिल्ली</v>
      </c>
      <c r="I321" s="5" t="str">
        <f>IFERROR(__xludf.DUMMYFUNCTION("GOOGLETRANSLATE(D321, ""en"", ""hi"")"),"D) दिल्ली")</f>
        <v>D) दिल्ली</v>
      </c>
    </row>
    <row r="322" ht="22.5" customHeight="1">
      <c r="A322" s="3">
        <v>321.0</v>
      </c>
      <c r="B322" s="4" t="s">
        <v>8372</v>
      </c>
      <c r="C322" s="4" t="s">
        <v>8367</v>
      </c>
      <c r="D322" s="4" t="s">
        <v>8294</v>
      </c>
      <c r="F322" s="5" t="str">
        <f>IFERROR(__xludf.DUMMYFUNCTION("GOOGLETRANSLATE(A322, ""en"", ""hi"")"),"321")</f>
        <v>321</v>
      </c>
      <c r="G322" s="5" t="str">
        <f>IFERROR(__xludf.DUMMYFUNCTION("GOOGLETRANSLATE(B322, ""en"", ""hi"")"),"1990 के दशक में किस कैरम खिलाड़ी ने पहला अंतर्राष्ट्रीय खिताब जीता?")</f>
        <v>1990 के दशक में किस कैरम खिलाड़ी ने पहला अंतर्राष्ट्रीय खिताब जीता?</v>
      </c>
      <c r="H322" s="5" t="str">
        <f>IFERROR(__xludf.DUMMYFUNCTION("GOOGLETRANSLATE(C322, ""en"", ""hi"")"),"ए) वी.के. गुप्ता, बी) योगेश परदेशी, सी) एंथोनी इरुदयम, डी) राजेश मेहता")</f>
        <v>ए) वी.के. गुप्ता, बी) योगेश परदेशी, सी) एंथोनी इरुदयम, डी) राजेश मेहता</v>
      </c>
      <c r="I322" s="5" t="str">
        <f>IFERROR(__xludf.DUMMYFUNCTION("GOOGLETRANSLATE(D322, ""en"", ""hi"")"),"ए) वी. के. गुप्ता")</f>
        <v>ए) वी. के. गुप्ता</v>
      </c>
    </row>
    <row r="323" ht="22.5" customHeight="1">
      <c r="A323" s="3">
        <v>322.0</v>
      </c>
      <c r="B323" s="4" t="s">
        <v>8373</v>
      </c>
      <c r="C323" s="4" t="s">
        <v>8323</v>
      </c>
      <c r="D323" s="4" t="s">
        <v>814</v>
      </c>
      <c r="F323" s="5" t="str">
        <f>IFERROR(__xludf.DUMMYFUNCTION("GOOGLETRANSLATE(A323, ""en"", ""hi"")"),"322")</f>
        <v>322</v>
      </c>
      <c r="G323" s="5" t="str">
        <f>IFERROR(__xludf.DUMMYFUNCTION("GOOGLETRANSLATE(B323, ""en"", ""hi"")"),"उन्नत सतह चिकनाई वाला पहला कैरम बोर्ड किस वर्ष पेश किया गया था?")</f>
        <v>उन्नत सतह चिकनाई वाला पहला कैरम बोर्ड किस वर्ष पेश किया गया था?</v>
      </c>
      <c r="H323" s="5" t="str">
        <f>IFERROR(__xludf.DUMMYFUNCTION("GOOGLETRANSLATE(C323, ""en"", ""hi"")"),"ए) 1988, बी) 1990, सी) 1992, डी) 1995")</f>
        <v>ए) 1988, बी) 1990, सी) 1992, डी) 1995</v>
      </c>
      <c r="I323" s="5" t="str">
        <f>IFERROR(__xludf.DUMMYFUNCTION("GOOGLETRANSLATE(D323, ""en"", ""hi"")"),"बी) 1990")</f>
        <v>बी) 1990</v>
      </c>
    </row>
    <row r="324" ht="22.5" customHeight="1">
      <c r="A324" s="3">
        <v>323.0</v>
      </c>
      <c r="B324" s="4" t="s">
        <v>8374</v>
      </c>
      <c r="C324" s="4" t="s">
        <v>8298</v>
      </c>
      <c r="D324" s="4" t="s">
        <v>8299</v>
      </c>
      <c r="F324" s="5" t="str">
        <f>IFERROR(__xludf.DUMMYFUNCTION("GOOGLETRANSLATE(A324, ""en"", ""hi"")"),"323")</f>
        <v>323</v>
      </c>
      <c r="G324" s="5" t="str">
        <f>IFERROR(__xludf.DUMMYFUNCTION("GOOGLETRANSLATE(B324, ""en"", ""hi"")"),"1995 में महिलाओं के लिए पहली कैरम विश्व चैम्पियनशिप की मेजबानी किस शहर ने की थी?")</f>
        <v>1995 में महिलाओं के लिए पहली कैरम विश्व चैम्पियनशिप की मेजबानी किस शहर ने की थी?</v>
      </c>
      <c r="H324" s="5" t="str">
        <f>IFERROR(__xludf.DUMMYFUNCTION("GOOGLETRANSLATE(C324, ""en"", ""hi"")"),"A) मुंबई, B) चेन्नई, C) कोलंबो, D) कराची")</f>
        <v>A) मुंबई, B) चेन्नई, C) कोलंबो, D) कराची</v>
      </c>
      <c r="I324" s="5" t="str">
        <f>IFERROR(__xludf.DUMMYFUNCTION("GOOGLETRANSLATE(D324, ""en"", ""hi"")"),"C) कोलंबो")</f>
        <v>C) कोलंबो</v>
      </c>
    </row>
    <row r="325" ht="22.5" customHeight="1">
      <c r="A325" s="3">
        <v>324.0</v>
      </c>
      <c r="B325" s="4" t="s">
        <v>8263</v>
      </c>
      <c r="C325" s="4" t="s">
        <v>8309</v>
      </c>
      <c r="D325" s="4" t="s">
        <v>8375</v>
      </c>
      <c r="F325" s="5" t="str">
        <f>IFERROR(__xludf.DUMMYFUNCTION("GOOGLETRANSLATE(A325, ""en"", ""hi"")"),"324")</f>
        <v>324</v>
      </c>
      <c r="G325" s="5" t="str">
        <f>IFERROR(__xludf.DUMMYFUNCTION("GOOGLETRANSLATE(B325, ""en"", ""hi"")"),"कैरम को पहली बार एशियाई खेलों में किस वर्ष शामिल किया गया था?")</f>
        <v>कैरम को पहली बार एशियाई खेलों में किस वर्ष शामिल किया गया था?</v>
      </c>
      <c r="H325" s="5" t="str">
        <f>IFERROR(__xludf.DUMMYFUNCTION("GOOGLETRANSLATE(C325, ""en"", ""hi"")"),"ए) 1994, बी) 1996, सी) 1998, डी) 2000")</f>
        <v>ए) 1994, बी) 1996, सी) 1998, डी) 2000</v>
      </c>
      <c r="I325" s="5" t="str">
        <f>IFERROR(__xludf.DUMMYFUNCTION("GOOGLETRANSLATE(D325, ""en"", ""hi"")"),"सी) 1998")</f>
        <v>सी) 1998</v>
      </c>
    </row>
    <row r="326" ht="22.5" customHeight="1">
      <c r="A326" s="3">
        <v>325.0</v>
      </c>
      <c r="B326" s="4" t="s">
        <v>8376</v>
      </c>
      <c r="C326" s="4" t="s">
        <v>8016</v>
      </c>
      <c r="D326" s="4" t="s">
        <v>5027</v>
      </c>
      <c r="F326" s="5" t="str">
        <f>IFERROR(__xludf.DUMMYFUNCTION("GOOGLETRANSLATE(A326, ""en"", ""hi"")"),"325")</f>
        <v>325</v>
      </c>
      <c r="G326" s="5" t="str">
        <f>IFERROR(__xludf.DUMMYFUNCTION("GOOGLETRANSLATE(B326, ""en"", ""hi"")"),"वरिष्ठ नागरिकों के लिए पहली कैरम विश्व चैम्पियनशिप का मेजबान कौन सा देश था?")</f>
        <v>वरिष्ठ नागरिकों के लिए पहली कैरम विश्व चैम्पियनशिप का मेजबान कौन सा देश था?</v>
      </c>
      <c r="H326" s="5" t="str">
        <f>IFERROR(__xludf.DUMMYFUNCTION("GOOGLETRANSLATE(C326, ""en"", ""hi"")"),"A) भारत, B) श्रीलंका, C) पाकिस्तान, D) बांग्लादेश")</f>
        <v>A) भारत, B) श्रीलंका, C) पाकिस्तान, D) बांग्लादेश</v>
      </c>
      <c r="I326" s="5" t="str">
        <f>IFERROR(__xludf.DUMMYFUNCTION("GOOGLETRANSLATE(D326, ""en"", ""hi"")"),"बी) श्रीलंका")</f>
        <v>बी) श्रीलंका</v>
      </c>
    </row>
    <row r="327" ht="22.5" customHeight="1">
      <c r="A327" s="3">
        <v>326.0</v>
      </c>
      <c r="B327" s="4" t="s">
        <v>8377</v>
      </c>
      <c r="C327" s="4" t="s">
        <v>8378</v>
      </c>
      <c r="D327" s="4" t="s">
        <v>5227</v>
      </c>
      <c r="F327" s="5" t="str">
        <f>IFERROR(__xludf.DUMMYFUNCTION("GOOGLETRANSLATE(A327, ""en"", ""hi"")"),"326")</f>
        <v>326</v>
      </c>
      <c r="G327" s="5" t="str">
        <f>IFERROR(__xludf.DUMMYFUNCTION("GOOGLETRANSLATE(B327, ""en"", ""hi"")"),"चालों पर नज़र रखने के लिए अंतर्निर्मित जीपीएस प्रणाली वाला पहला कैरम बोर्ड किस वर्ष पेश किया गया था?")</f>
        <v>चालों पर नज़र रखने के लिए अंतर्निर्मित जीपीएस प्रणाली वाला पहला कैरम बोर्ड किस वर्ष पेश किया गया था?</v>
      </c>
      <c r="H327" s="5" t="str">
        <f>IFERROR(__xludf.DUMMYFUNCTION("GOOGLETRANSLATE(C327, ""en"", ""hi"")"),"ए) 1997, बी) 1999, सी) 2000, डी) 2002")</f>
        <v>ए) 1997, बी) 1999, सी) 2000, डी) 2002</v>
      </c>
      <c r="I327" s="5" t="str">
        <f>IFERROR(__xludf.DUMMYFUNCTION("GOOGLETRANSLATE(D327, ""en"", ""hi"")"),"सी) 2000")</f>
        <v>सी) 2000</v>
      </c>
    </row>
    <row r="328" ht="22.5" customHeight="1">
      <c r="A328" s="3">
        <v>327.0</v>
      </c>
      <c r="B328" s="4" t="s">
        <v>8379</v>
      </c>
      <c r="C328" s="4" t="s">
        <v>8350</v>
      </c>
      <c r="D328" s="4" t="s">
        <v>8380</v>
      </c>
      <c r="F328" s="5" t="str">
        <f>IFERROR(__xludf.DUMMYFUNCTION("GOOGLETRANSLATE(A328, ""en"", ""hi"")"),"327")</f>
        <v>327</v>
      </c>
      <c r="G328" s="5" t="str">
        <f>IFERROR(__xludf.DUMMYFUNCTION("GOOGLETRANSLATE(B328, ""en"", ""hi"")"),"पाकिस्तान के किस कैरम खिलाड़ी ने 1998 में विश्व चैंपियनशिप जीती?")</f>
        <v>पाकिस्तान के किस कैरम खिलाड़ी ने 1998 में विश्व चैंपियनशिप जीती?</v>
      </c>
      <c r="H328" s="5" t="str">
        <f>IFERROR(__xludf.DUMMYFUNCTION("GOOGLETRANSLATE(C328, ""en"", ""hi"")"),"ए) तारिक महमूद, बी) जाहिद खान, सी) बिलाल अहमद, डी) सैयद अली")</f>
        <v>ए) तारिक महमूद, बी) जाहिद खान, सी) बिलाल अहमद, डी) सैयद अली</v>
      </c>
      <c r="I328" s="5" t="str">
        <f>IFERROR(__xludf.DUMMYFUNCTION("GOOGLETRANSLATE(D328, ""en"", ""hi"")"),"B) जाहिद खान")</f>
        <v>B) जाहिद खान</v>
      </c>
    </row>
    <row r="329" ht="22.5" customHeight="1">
      <c r="A329" s="3">
        <v>328.0</v>
      </c>
      <c r="B329" s="4" t="s">
        <v>8381</v>
      </c>
      <c r="C329" s="4" t="s">
        <v>8360</v>
      </c>
      <c r="D329" s="4" t="s">
        <v>1993</v>
      </c>
      <c r="F329" s="5" t="str">
        <f>IFERROR(__xludf.DUMMYFUNCTION("GOOGLETRANSLATE(A329, ""en"", ""hi"")"),"328")</f>
        <v>328</v>
      </c>
      <c r="G329" s="5" t="str">
        <f>IFERROR(__xludf.DUMMYFUNCTION("GOOGLETRANSLATE(B329, ""en"", ""hi"")"),"विनिमेय खेल सतहों वाला पहला कैरम बोर्ड किस वर्ष पेश किया गया था?")</f>
        <v>विनिमेय खेल सतहों वाला पहला कैरम बोर्ड किस वर्ष पेश किया गया था?</v>
      </c>
      <c r="H329" s="5" t="str">
        <f>IFERROR(__xludf.DUMMYFUNCTION("GOOGLETRANSLATE(C329, ""en"", ""hi"")"),"ए) 1990, बी) 1992, सी) 1995, डी) 1997")</f>
        <v>ए) 1990, बी) 1992, सी) 1995, डी) 1997</v>
      </c>
      <c r="I329" s="5" t="str">
        <f>IFERROR(__xludf.DUMMYFUNCTION("GOOGLETRANSLATE(D329, ""en"", ""hi"")"),"ए) 1990")</f>
        <v>ए) 1990</v>
      </c>
    </row>
    <row r="330" ht="22.5" customHeight="1">
      <c r="A330" s="3">
        <v>329.0</v>
      </c>
      <c r="B330" s="4" t="s">
        <v>8382</v>
      </c>
      <c r="C330" s="4" t="s">
        <v>4071</v>
      </c>
      <c r="D330" s="4" t="s">
        <v>8196</v>
      </c>
      <c r="F330" s="5" t="str">
        <f>IFERROR(__xludf.DUMMYFUNCTION("GOOGLETRANSLATE(A330, ""en"", ""hi"")"),"329")</f>
        <v>329</v>
      </c>
      <c r="G330" s="5" t="str">
        <f>IFERROR(__xludf.DUMMYFUNCTION("GOOGLETRANSLATE(B330, ""en"", ""hi"")"),"कैरम को स्कूल खेल के रूप में शुरू करने वाला पहला भारतीय राज्य कौन सा था?")</f>
        <v>कैरम को स्कूल खेल के रूप में शुरू करने वाला पहला भारतीय राज्य कौन सा था?</v>
      </c>
      <c r="H330" s="5" t="str">
        <f>IFERROR(__xludf.DUMMYFUNCTION("GOOGLETRANSLATE(C330, ""en"", ""hi"")"),"A) तमिलनाडु, B) कर्नाटक, C) केरल, D) आंध्र प्रदेश")</f>
        <v>A) तमिलनाडु, B) कर्नाटक, C) केरल, D) आंध्र प्रदेश</v>
      </c>
      <c r="I330" s="5" t="str">
        <f>IFERROR(__xludf.DUMMYFUNCTION("GOOGLETRANSLATE(D330, ""en"", ""hi"")"),"C) केरल")</f>
        <v>C) केरल</v>
      </c>
    </row>
    <row r="331" ht="22.5" customHeight="1">
      <c r="A331" s="3">
        <v>330.0</v>
      </c>
      <c r="B331" s="4" t="s">
        <v>8308</v>
      </c>
      <c r="C331" s="4" t="s">
        <v>8309</v>
      </c>
      <c r="D331" s="4" t="s">
        <v>8310</v>
      </c>
      <c r="F331" s="5" t="str">
        <f>IFERROR(__xludf.DUMMYFUNCTION("GOOGLETRANSLATE(A331, ""en"", ""hi"")"),"330")</f>
        <v>330</v>
      </c>
      <c r="G331" s="5" t="str">
        <f>IFERROR(__xludf.DUMMYFUNCTION("GOOGLETRANSLATE(B331, ""en"", ""hi"")"),"मिश्रित युगल के लिए पहला कैरम विश्व कप किस वर्ष आयोजित किया गया था?")</f>
        <v>मिश्रित युगल के लिए पहला कैरम विश्व कप किस वर्ष आयोजित किया गया था?</v>
      </c>
      <c r="H331" s="5" t="str">
        <f>IFERROR(__xludf.DUMMYFUNCTION("GOOGLETRANSLATE(C331, ""en"", ""hi"")"),"ए) 1994, बी) 1996, सी) 1998, डी) 2000")</f>
        <v>ए) 1994, बी) 1996, सी) 1998, डी) 2000</v>
      </c>
      <c r="I331" s="5" t="str">
        <f>IFERROR(__xludf.DUMMYFUNCTION("GOOGLETRANSLATE(D331, ""en"", ""hi"")"),"ए) 1994")</f>
        <v>ए) 1994</v>
      </c>
    </row>
    <row r="332" ht="22.5" customHeight="1">
      <c r="A332" s="3">
        <v>331.0</v>
      </c>
      <c r="B332" s="4" t="s">
        <v>8383</v>
      </c>
      <c r="C332" s="4" t="s">
        <v>8384</v>
      </c>
      <c r="D332" s="4" t="s">
        <v>8358</v>
      </c>
      <c r="F332" s="5" t="str">
        <f>IFERROR(__xludf.DUMMYFUNCTION("GOOGLETRANSLATE(A332, ""en"", ""hi"")"),"331")</f>
        <v>331</v>
      </c>
      <c r="G332" s="5" t="str">
        <f>IFERROR(__xludf.DUMMYFUNCTION("GOOGLETRANSLATE(B332, ""en"", ""hi"")"),"1980 के दशक में कौन सा कैरम खिलाड़ी अपनी क्रांतिकारी रक्षात्मक रणनीतियों के लिए जाना जाता था?")</f>
        <v>1980 के दशक में कौन सा कैरम खिलाड़ी अपनी क्रांतिकारी रक्षात्मक रणनीतियों के लिए जाना जाता था?</v>
      </c>
      <c r="H332" s="5" t="str">
        <f>IFERROR(__xludf.DUMMYFUNCTION("GOOGLETRANSLATE(C332, ""en"", ""hi"")"),"ए) योगेश परदेशी, बी) वी.के. गुप्ता, सी) एंथोनी इरुदायम, डी) राजेश मेहता")</f>
        <v>ए) योगेश परदेशी, बी) वी.के. गुप्ता, सी) एंथोनी इरुदायम, डी) राजेश मेहता</v>
      </c>
      <c r="I332" s="5" t="str">
        <f>IFERROR(__xludf.DUMMYFUNCTION("GOOGLETRANSLATE(D332, ""en"", ""hi"")"),"C) एंथनी इरुदयम")</f>
        <v>C) एंथनी इरुदयम</v>
      </c>
    </row>
    <row r="333" ht="22.5" customHeight="1">
      <c r="A333" s="3">
        <v>332.0</v>
      </c>
      <c r="B333" s="4" t="s">
        <v>8385</v>
      </c>
      <c r="C333" s="4" t="s">
        <v>8386</v>
      </c>
      <c r="D333" s="4" t="s">
        <v>8387</v>
      </c>
      <c r="F333" s="5" t="str">
        <f>IFERROR(__xludf.DUMMYFUNCTION("GOOGLETRANSLATE(A333, ""en"", ""hi"")"),"332")</f>
        <v>332</v>
      </c>
      <c r="G333" s="5" t="str">
        <f>IFERROR(__xludf.DUMMYFUNCTION("GOOGLETRANSLATE(B333, ""en"", ""hi"")"),"सिंगापुर में पहली बार कैरम विश्व चैम्पियनशिप किस वर्ष आयोजित की गई थी?")</f>
        <v>सिंगापुर में पहली बार कैरम विश्व चैम्पियनशिप किस वर्ष आयोजित की गई थी?</v>
      </c>
      <c r="H333" s="5" t="str">
        <f>IFERROR(__xludf.DUMMYFUNCTION("GOOGLETRANSLATE(C333, ""en"", ""hi"")"),"ए) 1995, बी) 1996, सी) 1998, डी) 1999")</f>
        <v>ए) 1995, बी) 1996, सी) 1998, डी) 1999</v>
      </c>
      <c r="I333" s="5" t="str">
        <f>IFERROR(__xludf.DUMMYFUNCTION("GOOGLETRANSLATE(D333, ""en"", ""hi"")"),"बी) 1996")</f>
        <v>बी) 1996</v>
      </c>
    </row>
    <row r="334" ht="22.5" customHeight="1">
      <c r="A334" s="3">
        <v>333.0</v>
      </c>
      <c r="B334" s="4" t="s">
        <v>8388</v>
      </c>
      <c r="C334" s="4" t="s">
        <v>76</v>
      </c>
      <c r="D334" s="4" t="s">
        <v>77</v>
      </c>
      <c r="F334" s="5" t="str">
        <f>IFERROR(__xludf.DUMMYFUNCTION("GOOGLETRANSLATE(A334, ""en"", ""hi"")"),"333")</f>
        <v>333</v>
      </c>
      <c r="G334" s="5" t="str">
        <f>IFERROR(__xludf.DUMMYFUNCTION("GOOGLETRANSLATE(B334, ""en"", ""hi"")"),"1986 में कैरम फेडरेशन ऑफ इंडिया की राष्ट्रीय चैंपियनशिप की मेजबानी किस भारतीय शहर ने की थी?")</f>
        <v>1986 में कैरम फेडरेशन ऑफ इंडिया की राष्ट्रीय चैंपियनशिप की मेजबानी किस भारतीय शहर ने की थी?</v>
      </c>
      <c r="H334" s="5" t="str">
        <f>IFERROR(__xludf.DUMMYFUNCTION("GOOGLETRANSLATE(C334, ""en"", ""hi"")"),"ए) दिल्ली, बी) मुंबई, सी) चेन्नई, डी) कोलकाता")</f>
        <v>ए) दिल्ली, बी) मुंबई, सी) चेन्नई, डी) कोलकाता</v>
      </c>
      <c r="I334" s="5" t="str">
        <f>IFERROR(__xludf.DUMMYFUNCTION("GOOGLETRANSLATE(D334, ""en"", ""hi"")"),"बी) मुंबई")</f>
        <v>बी) मुंबई</v>
      </c>
    </row>
    <row r="335" ht="22.5" customHeight="1">
      <c r="A335" s="3">
        <v>334.0</v>
      </c>
      <c r="B335" s="4" t="s">
        <v>8389</v>
      </c>
      <c r="C335" s="4" t="s">
        <v>8390</v>
      </c>
      <c r="D335" s="4" t="s">
        <v>8361</v>
      </c>
      <c r="F335" s="5" t="str">
        <f>IFERROR(__xludf.DUMMYFUNCTION("GOOGLETRANSLATE(A335, ""en"", ""hi"")"),"334")</f>
        <v>334</v>
      </c>
      <c r="G335" s="5" t="str">
        <f>IFERROR(__xludf.DUMMYFUNCTION("GOOGLETRANSLATE(B335, ""en"", ""hi"")"),"रिट्रेक्टेबल नेट सिस्टम वाला पहला कैरम बोर्ड किस वर्ष पेश किया गया था?")</f>
        <v>रिट्रेक्टेबल नेट सिस्टम वाला पहला कैरम बोर्ड किस वर्ष पेश किया गया था?</v>
      </c>
      <c r="H335" s="5" t="str">
        <f>IFERROR(__xludf.DUMMYFUNCTION("GOOGLETRANSLATE(C335, ""en"", ""hi"")"),"ए) 1991, बी) 1992, सी) 1995, डी) 1997")</f>
        <v>ए) 1991, बी) 1992, सी) 1995, डी) 1997</v>
      </c>
      <c r="I335" s="5" t="str">
        <f>IFERROR(__xludf.DUMMYFUNCTION("GOOGLETRANSLATE(D335, ""en"", ""hi"")"),"डी) 1997")</f>
        <v>डी) 1997</v>
      </c>
    </row>
    <row r="336" ht="22.5" customHeight="1">
      <c r="A336" s="3">
        <v>335.0</v>
      </c>
      <c r="B336" s="4" t="s">
        <v>8391</v>
      </c>
      <c r="C336" s="4" t="s">
        <v>8016</v>
      </c>
      <c r="D336" s="4" t="s">
        <v>5027</v>
      </c>
      <c r="F336" s="5" t="str">
        <f>IFERROR(__xludf.DUMMYFUNCTION("GOOGLETRANSLATE(A336, ""en"", ""hi"")"),"335")</f>
        <v>335</v>
      </c>
      <c r="G336" s="5" t="str">
        <f>IFERROR(__xludf.DUMMYFUNCTION("GOOGLETRANSLATE(B336, ""en"", ""hi"")"),"1993 में जूनियर वर्ग के लिए पहला कैरम विश्व कप किस देश ने आयोजित किया था?")</f>
        <v>1993 में जूनियर वर्ग के लिए पहला कैरम विश्व कप किस देश ने आयोजित किया था?</v>
      </c>
      <c r="H336" s="5" t="str">
        <f>IFERROR(__xludf.DUMMYFUNCTION("GOOGLETRANSLATE(C336, ""en"", ""hi"")"),"A) भारत, B) श्रीलंका, C) पाकिस्तान, D) बांग्लादेश")</f>
        <v>A) भारत, B) श्रीलंका, C) पाकिस्तान, D) बांग्लादेश</v>
      </c>
      <c r="I336" s="5" t="str">
        <f>IFERROR(__xludf.DUMMYFUNCTION("GOOGLETRANSLATE(D336, ""en"", ""hi"")"),"बी) श्रीलंका")</f>
        <v>बी) श्रीलंका</v>
      </c>
    </row>
    <row r="337" ht="22.5" customHeight="1">
      <c r="A337" s="3">
        <v>336.0</v>
      </c>
      <c r="B337" s="4" t="s">
        <v>8392</v>
      </c>
      <c r="C337" s="4" t="s">
        <v>8393</v>
      </c>
      <c r="D337" s="4" t="s">
        <v>8286</v>
      </c>
      <c r="F337" s="5" t="str">
        <f>IFERROR(__xludf.DUMMYFUNCTION("GOOGLETRANSLATE(A337, ""en"", ""hi"")"),"336")</f>
        <v>336</v>
      </c>
      <c r="G337" s="5" t="str">
        <f>IFERROR(__xludf.DUMMYFUNCTION("GOOGLETRANSLATE(B337, ""en"", ""hi"")"),"1990 के दशक में कौन सा भारतीय खिलाड़ी कैरम में अपने रणनीतिक नवाचारों के लिए जाना जाता था?")</f>
        <v>1990 के दशक में कौन सा भारतीय खिलाड़ी कैरम में अपने रणनीतिक नवाचारों के लिए जाना जाता था?</v>
      </c>
      <c r="H337" s="5" t="str">
        <f>IFERROR(__xludf.DUMMYFUNCTION("GOOGLETRANSLATE(C337, ""en"", ""hi"")"),"ए) योगेश परदेशी, बी) एंथोनी इरुदायम, सी) वी.के. गुप्ता, डी) राजेश मेहता")</f>
        <v>ए) योगेश परदेशी, बी) एंथोनी इरुदायम, सी) वी.के. गुप्ता, डी) राजेश मेहता</v>
      </c>
      <c r="I337" s="5" t="str">
        <f>IFERROR(__xludf.DUMMYFUNCTION("GOOGLETRANSLATE(D337, ""en"", ""hi"")"),"बी) एंथनी इरुदयम")</f>
        <v>बी) एंथनी इरुदयम</v>
      </c>
    </row>
    <row r="338" ht="22.5" customHeight="1">
      <c r="A338" s="3">
        <v>337.0</v>
      </c>
      <c r="B338" s="4" t="s">
        <v>8346</v>
      </c>
      <c r="C338" s="4" t="s">
        <v>8347</v>
      </c>
      <c r="D338" s="4" t="s">
        <v>8348</v>
      </c>
      <c r="F338" s="5" t="str">
        <f>IFERROR(__xludf.DUMMYFUNCTION("GOOGLETRANSLATE(A338, ""en"", ""hi"")"),"337")</f>
        <v>337</v>
      </c>
      <c r="G338" s="5" t="str">
        <f>IFERROR(__xludf.DUMMYFUNCTION("GOOGLETRANSLATE(B338, ""en"", ""hi"")"),"कैरम पहली बार एशियाई इंडोर खेलों में किस वर्ष शामिल हुआ?")</f>
        <v>कैरम पहली बार एशियाई इंडोर खेलों में किस वर्ष शामिल हुआ?</v>
      </c>
      <c r="H338" s="5" t="str">
        <f>IFERROR(__xludf.DUMMYFUNCTION("GOOGLETRANSLATE(C338, ""en"", ""hi"")"),"ए) 2007, बी) 2008, सी) 2009, डी) 2010")</f>
        <v>ए) 2007, बी) 2008, सी) 2009, डी) 2010</v>
      </c>
      <c r="I338" s="5" t="str">
        <f>IFERROR(__xludf.DUMMYFUNCTION("GOOGLETRANSLATE(D338, ""en"", ""hi"")"),"ए) 2007")</f>
        <v>ए) 2007</v>
      </c>
    </row>
    <row r="339" ht="22.5" customHeight="1">
      <c r="A339" s="3">
        <v>338.0</v>
      </c>
      <c r="B339" s="4" t="s">
        <v>8394</v>
      </c>
      <c r="C339" s="4" t="s">
        <v>8285</v>
      </c>
      <c r="D339" s="4" t="s">
        <v>8313</v>
      </c>
      <c r="F339" s="5" t="str">
        <f>IFERROR(__xludf.DUMMYFUNCTION("GOOGLETRANSLATE(A339, ""en"", ""hi"")"),"338")</f>
        <v>338</v>
      </c>
      <c r="G339" s="5" t="str">
        <f>IFERROR(__xludf.DUMMYFUNCTION("GOOGLETRANSLATE(B339, ""en"", ""hi"")"),"भारत के किस कैरम खिलाड़ी ने 2002 में विश्व चैंपियनशिप जीती?")</f>
        <v>भारत के किस कैरम खिलाड़ी ने 2002 में विश्व चैंपियनशिप जीती?</v>
      </c>
      <c r="H339" s="5" t="str">
        <f>IFERROR(__xludf.DUMMYFUNCTION("GOOGLETRANSLATE(C339, ""en"", ""hi"")"),"ए) योगेश परदेशी, बी) एंथोनी इरुदायम, सी) वी.के. गुप्ता, डी) रश्मी कुमारी")</f>
        <v>ए) योगेश परदेशी, बी) एंथोनी इरुदायम, सी) वी.के. गुप्ता, डी) रश्मी कुमारी</v>
      </c>
      <c r="I339" s="5" t="str">
        <f>IFERROR(__xludf.DUMMYFUNCTION("GOOGLETRANSLATE(D339, ""en"", ""hi"")"),"D) रश्मि कुमारी")</f>
        <v>D) रश्मि कुमारी</v>
      </c>
    </row>
    <row r="340" ht="22.5" customHeight="1">
      <c r="A340" s="3">
        <v>339.0</v>
      </c>
      <c r="B340" s="4" t="s">
        <v>8395</v>
      </c>
      <c r="C340" s="4" t="s">
        <v>8396</v>
      </c>
      <c r="D340" s="4" t="s">
        <v>8254</v>
      </c>
      <c r="F340" s="5" t="str">
        <f>IFERROR(__xludf.DUMMYFUNCTION("GOOGLETRANSLATE(A340, ""en"", ""hi"")"),"339")</f>
        <v>339</v>
      </c>
      <c r="G340" s="5" t="str">
        <f>IFERROR(__xludf.DUMMYFUNCTION("GOOGLETRANSLATE(B340, ""en"", ""hi"")"),"उत्तरी अमेरिका में पहली कैरम विश्व चैम्पियनशिप किस शहर में आयोजित हुई थी?")</f>
        <v>उत्तरी अमेरिका में पहली कैरम विश्व चैम्पियनशिप किस शहर में आयोजित हुई थी?</v>
      </c>
      <c r="H340" s="5" t="str">
        <f>IFERROR(__xludf.DUMMYFUNCTION("GOOGLETRANSLATE(C340, ""en"", ""hi"")"),"A) टोरंटो, B) न्यूयॉर्क, C) लॉस एंजिल्स, D) शिकागो")</f>
        <v>A) टोरंटो, B) न्यूयॉर्क, C) लॉस एंजिल्स, D) शिकागो</v>
      </c>
      <c r="I340" s="5" t="str">
        <f>IFERROR(__xludf.DUMMYFUNCTION("GOOGLETRANSLATE(D340, ""en"", ""hi"")"),"ए) टोरंटो")</f>
        <v>ए) टोरंटो</v>
      </c>
    </row>
    <row r="341" ht="22.5" customHeight="1">
      <c r="A341" s="3">
        <v>340.0</v>
      </c>
      <c r="B341" s="4" t="s">
        <v>8397</v>
      </c>
      <c r="C341" s="4" t="s">
        <v>8398</v>
      </c>
      <c r="D341" s="4" t="s">
        <v>8399</v>
      </c>
      <c r="F341" s="5" t="str">
        <f>IFERROR(__xludf.DUMMYFUNCTION("GOOGLETRANSLATE(A341, ""en"", ""hi"")"),"340")</f>
        <v>340</v>
      </c>
      <c r="G341" s="5" t="str">
        <f>IFERROR(__xludf.DUMMYFUNCTION("GOOGLETRANSLATE(B341, ""en"", ""hi"")"),"बांग्लादेश की ओर से विश्व चैम्पियनशिप का खिताब जीतने वाला पहला कैरम खिलाड़ी कौन था?")</f>
        <v>बांग्लादेश की ओर से विश्व चैम्पियनशिप का खिताब जीतने वाला पहला कैरम खिलाड़ी कौन था?</v>
      </c>
      <c r="H341" s="5" t="str">
        <f>IFERROR(__xludf.DUMMYFUNCTION("GOOGLETRANSLATE(C341, ""en"", ""hi"")"),"ए) शाकिब अल हसन, बी) अकरम हुसैन, सी) मोहम्मद मोहसिन, डी) अबुल काशेम")</f>
        <v>ए) शाकिब अल हसन, बी) अकरम हुसैन, सी) मोहम्मद मोहसिन, डी) अबुल काशेम</v>
      </c>
      <c r="I341" s="5" t="str">
        <f>IFERROR(__xludf.DUMMYFUNCTION("GOOGLETRANSLATE(D341, ""en"", ""hi"")"),"बी) अकरम हुसैन")</f>
        <v>बी) अकरम हुसैन</v>
      </c>
    </row>
    <row r="342" ht="22.5" customHeight="1">
      <c r="A342" s="3">
        <v>341.0</v>
      </c>
      <c r="B342" s="4" t="s">
        <v>8400</v>
      </c>
      <c r="C342" s="4" t="s">
        <v>8401</v>
      </c>
      <c r="D342" s="4" t="s">
        <v>8402</v>
      </c>
      <c r="F342" s="5" t="str">
        <f>IFERROR(__xludf.DUMMYFUNCTION("GOOGLETRANSLATE(A342, ""en"", ""hi"")"),"341")</f>
        <v>341</v>
      </c>
      <c r="G342" s="5" t="str">
        <f>IFERROR(__xludf.DUMMYFUNCTION("GOOGLETRANSLATE(B342, ""en"", ""hi"")"),"समायोज्य रिबाउंड रेल के साथ पहला कैरम बोर्ड किस वर्ष पेश किया गया था?")</f>
        <v>समायोज्य रिबाउंड रेल के साथ पहला कैरम बोर्ड किस वर्ष पेश किया गया था?</v>
      </c>
      <c r="H342" s="5" t="str">
        <f>IFERROR(__xludf.DUMMYFUNCTION("GOOGLETRANSLATE(C342, ""en"", ""hi"")"),"ए) 1995, बी) 1997, सी) 1999, डी) 2000")</f>
        <v>ए) 1995, बी) 1997, सी) 1999, डी) 2000</v>
      </c>
      <c r="I342" s="5" t="str">
        <f>IFERROR(__xludf.DUMMYFUNCTION("GOOGLETRANSLATE(D342, ""en"", ""hi"")"),"बी) 1997")</f>
        <v>बी) 1997</v>
      </c>
    </row>
    <row r="343" ht="22.5" customHeight="1">
      <c r="A343" s="3">
        <v>342.0</v>
      </c>
      <c r="B343" s="4" t="s">
        <v>8403</v>
      </c>
      <c r="C343" s="4" t="s">
        <v>8404</v>
      </c>
      <c r="D343" s="4" t="s">
        <v>561</v>
      </c>
      <c r="F343" s="5" t="str">
        <f>IFERROR(__xludf.DUMMYFUNCTION("GOOGLETRANSLATE(A343, ""en"", ""hi"")"),"342")</f>
        <v>342</v>
      </c>
      <c r="G343" s="5" t="str">
        <f>IFERROR(__xludf.DUMMYFUNCTION("GOOGLETRANSLATE(B343, ""en"", ""hi"")"),"1985 में पहला कैरम फेडरेशन ऑफ इंडिया कप किस भारतीय शहर में आयोजित किया गया था?")</f>
        <v>1985 में पहला कैरम फेडरेशन ऑफ इंडिया कप किस भारतीय शहर में आयोजित किया गया था?</v>
      </c>
      <c r="H343" s="5" t="str">
        <f>IFERROR(__xludf.DUMMYFUNCTION("GOOGLETRANSLATE(C343, ""en"", ""hi"")"),"A) चेन्नई, B) बैंगलोर, C) दिल्ली, D) मुंबई")</f>
        <v>A) चेन्नई, B) बैंगलोर, C) दिल्ली, D) मुंबई</v>
      </c>
      <c r="I343" s="5" t="str">
        <f>IFERROR(__xludf.DUMMYFUNCTION("GOOGLETRANSLATE(D343, ""en"", ""hi"")"),"ए) चेन्नई")</f>
        <v>ए) चेन्नई</v>
      </c>
    </row>
    <row r="344" ht="22.5" customHeight="1">
      <c r="A344" s="3">
        <v>343.0</v>
      </c>
      <c r="B344" s="4" t="s">
        <v>8405</v>
      </c>
      <c r="C344" s="4" t="s">
        <v>8406</v>
      </c>
      <c r="D344" s="4" t="s">
        <v>8330</v>
      </c>
      <c r="F344" s="5" t="str">
        <f>IFERROR(__xludf.DUMMYFUNCTION("GOOGLETRANSLATE(A344, ""en"", ""hi"")"),"343")</f>
        <v>343</v>
      </c>
      <c r="G344" s="5" t="str">
        <f>IFERROR(__xludf.DUMMYFUNCTION("GOOGLETRANSLATE(B344, ""en"", ""hi"")"),"वरिष्ठों के लिए पहली कैरम विश्व चैम्पियनशिप किस शहर में आयोजित की गई थी?")</f>
        <v>वरिष्ठों के लिए पहली कैरम विश्व चैम्पियनशिप किस शहर में आयोजित की गई थी?</v>
      </c>
      <c r="H344" s="5" t="str">
        <f>IFERROR(__xludf.DUMMYFUNCTION("GOOGLETRANSLATE(C344, ""en"", ""hi"")"),"A) चेन्नई, B) कोलंबो, C) कराची, D) मुंबई")</f>
        <v>A) चेन्नई, B) कोलंबो, C) कराची, D) मुंबई</v>
      </c>
      <c r="I344" s="5" t="str">
        <f>IFERROR(__xludf.DUMMYFUNCTION("GOOGLETRANSLATE(D344, ""en"", ""hi"")"),"बी) कोलंबो")</f>
        <v>बी) कोलंबो</v>
      </c>
    </row>
    <row r="345" ht="22.5" customHeight="1">
      <c r="A345" s="3">
        <v>344.0</v>
      </c>
      <c r="B345" s="4" t="s">
        <v>8407</v>
      </c>
      <c r="C345" s="4" t="s">
        <v>8408</v>
      </c>
      <c r="D345" s="4" t="s">
        <v>8409</v>
      </c>
      <c r="F345" s="5" t="str">
        <f>IFERROR(__xludf.DUMMYFUNCTION("GOOGLETRANSLATE(A345, ""en"", ""hi"")"),"344")</f>
        <v>344</v>
      </c>
      <c r="G345" s="5" t="str">
        <f>IFERROR(__xludf.DUMMYFUNCTION("GOOGLETRANSLATE(B345, ""en"", ""hi"")"),"श्रीलंका के किस कैरम खिलाड़ी ने 2006 में विश्व चैंपियनशिप जीती?")</f>
        <v>श्रीलंका के किस कैरम खिलाड़ी ने 2006 में विश्व चैंपियनशिप जीती?</v>
      </c>
      <c r="H345" s="5" t="str">
        <f>IFERROR(__xludf.DUMMYFUNCTION("GOOGLETRANSLATE(C345, ""en"", ""hi"")"),"ए) चामिल कुरे, बी) निमल दिसानायके, सी) शिरन फर्नांडो, डी) धर्मेंद्र राणावीरा")</f>
        <v>ए) चामिल कुरे, बी) निमल दिसानायके, सी) शिरन फर्नांडो, डी) धर्मेंद्र राणावीरा</v>
      </c>
      <c r="I345" s="5" t="str">
        <f>IFERROR(__xludf.DUMMYFUNCTION("GOOGLETRANSLATE(D345, ""en"", ""hi"")"),"D) धर्मेंद्र रणवीरा")</f>
        <v>D) धर्मेंद्र रणवीरा</v>
      </c>
    </row>
    <row r="346" ht="22.5" customHeight="1">
      <c r="A346" s="3">
        <v>345.0</v>
      </c>
      <c r="B346" s="4" t="s">
        <v>8410</v>
      </c>
      <c r="C346" s="4" t="s">
        <v>8144</v>
      </c>
      <c r="D346" s="4" t="s">
        <v>8411</v>
      </c>
      <c r="F346" s="5" t="str">
        <f>IFERROR(__xludf.DUMMYFUNCTION("GOOGLETRANSLATE(A346, ""en"", ""hi"")"),"345")</f>
        <v>345</v>
      </c>
      <c r="G346" s="5" t="str">
        <f>IFERROR(__xludf.DUMMYFUNCTION("GOOGLETRANSLATE(B346, ""en"", ""hi"")"),"कैरम को पहली बार एशियाई खेलों में किस वर्ष शामिल किया गया था?")</f>
        <v>कैरम को पहली बार एशियाई खेलों में किस वर्ष शामिल किया गया था?</v>
      </c>
      <c r="H346" s="5" t="str">
        <f>IFERROR(__xludf.DUMMYFUNCTION("GOOGLETRANSLATE(C346, ""en"", ""hi"")"),"ए) 1998, बी) 2000, सी) 2002, डी) 2004")</f>
        <v>ए) 1998, बी) 2000, सी) 2002, डी) 2004</v>
      </c>
      <c r="I346" s="5" t="str">
        <f>IFERROR(__xludf.DUMMYFUNCTION("GOOGLETRANSLATE(D346, ""en"", ""hi"")"),"ए) 1998")</f>
        <v>ए) 1998</v>
      </c>
    </row>
    <row r="347" ht="22.5" customHeight="1">
      <c r="A347" s="3">
        <v>346.0</v>
      </c>
      <c r="B347" s="4" t="s">
        <v>8412</v>
      </c>
      <c r="C347" s="4" t="s">
        <v>8413</v>
      </c>
      <c r="D347" s="4" t="s">
        <v>8414</v>
      </c>
      <c r="F347" s="5" t="str">
        <f>IFERROR(__xludf.DUMMYFUNCTION("GOOGLETRANSLATE(A347, ""en"", ""hi"")"),"346")</f>
        <v>346</v>
      </c>
      <c r="G347" s="5" t="str">
        <f>IFERROR(__xludf.DUMMYFUNCTION("GOOGLETRANSLATE(B347, ""en"", ""hi"")"),"कौन सा कैरम खिलाड़ी 1990 के दशक में नई स्ट्राइकिंग तकनीकों को पेश करने के लिए जाना जाता था?")</f>
        <v>कौन सा कैरम खिलाड़ी 1990 के दशक में नई स्ट्राइकिंग तकनीकों को पेश करने के लिए जाना जाता था?</v>
      </c>
      <c r="H347" s="5" t="str">
        <f>IFERROR(__xludf.DUMMYFUNCTION("GOOGLETRANSLATE(C347, ""en"", ""hi"")"),"ए) एंथोनी इरुदयम, बी) योगेश परदेशी, सी) वी.के. गुप्ता, डी) राजेश मेहता")</f>
        <v>ए) एंथोनी इरुदयम, बी) योगेश परदेशी, सी) वी.के. गुप्ता, डी) राजेश मेहता</v>
      </c>
      <c r="I347" s="5" t="str">
        <f>IFERROR(__xludf.DUMMYFUNCTION("GOOGLETRANSLATE(D347, ""en"", ""hi"")"),"A) एंथनी इरुदयम")</f>
        <v>A) एंथनी इरुदयम</v>
      </c>
    </row>
    <row r="348" ht="22.5" customHeight="1">
      <c r="A348" s="3">
        <v>347.0</v>
      </c>
      <c r="B348" s="4" t="s">
        <v>8415</v>
      </c>
      <c r="C348" s="4" t="s">
        <v>8416</v>
      </c>
      <c r="D348" s="4" t="s">
        <v>8065</v>
      </c>
      <c r="F348" s="5" t="str">
        <f>IFERROR(__xludf.DUMMYFUNCTION("GOOGLETRANSLATE(A348, ""en"", ""hi"")"),"347")</f>
        <v>347</v>
      </c>
      <c r="G348" s="5" t="str">
        <f>IFERROR(__xludf.DUMMYFUNCTION("GOOGLETRANSLATE(B348, ""en"", ""hi"")"),"पुरुषों और महिलाओं के लिए पहला कैरम विश्व कप किस वर्ष आयोजित किया गया था?")</f>
        <v>पुरुषों और महिलाओं के लिए पहला कैरम विश्व कप किस वर्ष आयोजित किया गया था?</v>
      </c>
      <c r="H348" s="5" t="str">
        <f>IFERROR(__xludf.DUMMYFUNCTION("GOOGLETRANSLATE(C348, ""en"", ""hi"")"),"ए) 1992, बी) 1994, सी) 1996, डी) 1998")</f>
        <v>ए) 1992, बी) 1994, सी) 1996, डी) 1998</v>
      </c>
      <c r="I348" s="5" t="str">
        <f>IFERROR(__xludf.DUMMYFUNCTION("GOOGLETRANSLATE(D348, ""en"", ""hi"")"),"बी) 1994")</f>
        <v>बी) 1994</v>
      </c>
    </row>
    <row r="349" ht="22.5" customHeight="1">
      <c r="A349" s="3">
        <v>348.0</v>
      </c>
      <c r="B349" s="4" t="s">
        <v>8417</v>
      </c>
      <c r="C349" s="4" t="s">
        <v>171</v>
      </c>
      <c r="D349" s="4" t="s">
        <v>172</v>
      </c>
      <c r="F349" s="5" t="str">
        <f>IFERROR(__xludf.DUMMYFUNCTION("GOOGLETRANSLATE(A349, ""en"", ""hi"")"),"348")</f>
        <v>348</v>
      </c>
      <c r="G349" s="5" t="str">
        <f>IFERROR(__xludf.DUMMYFUNCTION("GOOGLETRANSLATE(B349, ""en"", ""hi"")"),"कौन सा भारतीय राज्य स्कूलों में प्रतिस्पर्धी खेल के रूप में कैरम को लागू करने वाला पहला राज्य था?")</f>
        <v>कौन सा भारतीय राज्य स्कूलों में प्रतिस्पर्धी खेल के रूप में कैरम को लागू करने वाला पहला राज्य था?</v>
      </c>
      <c r="H349" s="5" t="str">
        <f>IFERROR(__xludf.DUMMYFUNCTION("GOOGLETRANSLATE(C349, ""en"", ""hi"")"),"A) केरल, B) तमिलनाडु, C) कर्नाटक, D) आंध्र प्रदेश")</f>
        <v>A) केरल, B) तमिलनाडु, C) कर्नाटक, D) आंध्र प्रदेश</v>
      </c>
      <c r="I349" s="5" t="str">
        <f>IFERROR(__xludf.DUMMYFUNCTION("GOOGLETRANSLATE(D349, ""en"", ""hi"")"),"A) केरल")</f>
        <v>A) केरल</v>
      </c>
    </row>
    <row r="350" ht="22.5" customHeight="1">
      <c r="A350" s="3">
        <v>349.0</v>
      </c>
      <c r="B350" s="4" t="s">
        <v>8418</v>
      </c>
      <c r="C350" s="4" t="s">
        <v>8144</v>
      </c>
      <c r="D350" s="4" t="s">
        <v>829</v>
      </c>
      <c r="F350" s="5" t="str">
        <f>IFERROR(__xludf.DUMMYFUNCTION("GOOGLETRANSLATE(A350, ""en"", ""hi"")"),"349")</f>
        <v>349</v>
      </c>
      <c r="G350" s="5" t="str">
        <f>IFERROR(__xludf.DUMMYFUNCTION("GOOGLETRANSLATE(B350, ""en"", ""hi"")"),"डिजिटल स्कोरकीपिंग प्रणाली वाला पहला कैरम बोर्ड किस वर्ष पेश किया गया था?")</f>
        <v>डिजिटल स्कोरकीपिंग प्रणाली वाला पहला कैरम बोर्ड किस वर्ष पेश किया गया था?</v>
      </c>
      <c r="H350" s="5" t="str">
        <f>IFERROR(__xludf.DUMMYFUNCTION("GOOGLETRANSLATE(C350, ""en"", ""hi"")"),"ए) 1998, बी) 2000, सी) 2002, डी) 2004")</f>
        <v>ए) 1998, बी) 2000, सी) 2002, डी) 2004</v>
      </c>
      <c r="I350" s="5" t="str">
        <f>IFERROR(__xludf.DUMMYFUNCTION("GOOGLETRANSLATE(D350, ""en"", ""hi"")"),"बी) 2000")</f>
        <v>बी) 2000</v>
      </c>
    </row>
    <row r="351" ht="22.5" customHeight="1">
      <c r="A351" s="3">
        <v>350.0</v>
      </c>
      <c r="B351" s="4" t="s">
        <v>8419</v>
      </c>
      <c r="C351" s="4" t="s">
        <v>8367</v>
      </c>
      <c r="D351" s="4" t="s">
        <v>8108</v>
      </c>
      <c r="F351" s="5" t="str">
        <f>IFERROR(__xludf.DUMMYFUNCTION("GOOGLETRANSLATE(A351, ""en"", ""hi"")"),"350")</f>
        <v>350</v>
      </c>
      <c r="G351" s="5" t="str">
        <f>IFERROR(__xludf.DUMMYFUNCTION("GOOGLETRANSLATE(B351, ""en"", ""hi"")"),"भारत का कौन सा कैरम खिलाड़ी 1990 के दशक में अपने सफल अंतरराष्ट्रीय करियर के लिए प्रसिद्ध था?")</f>
        <v>भारत का कौन सा कैरम खिलाड़ी 1990 के दशक में अपने सफल अंतरराष्ट्रीय करियर के लिए प्रसिद्ध था?</v>
      </c>
      <c r="H351" s="5" t="str">
        <f>IFERROR(__xludf.DUMMYFUNCTION("GOOGLETRANSLATE(C351, ""en"", ""hi"")"),"ए) वी.के. गुप्ता, बी) योगेश परदेशी, सी) एंथोनी इरुदयम, डी) राजेश मेहता")</f>
        <v>ए) वी.के. गुप्ता, बी) योगेश परदेशी, सी) एंथोनी इरुदयम, डी) राजेश मेहता</v>
      </c>
      <c r="I351" s="5" t="str">
        <f>IFERROR(__xludf.DUMMYFUNCTION("GOOGLETRANSLATE(D351, ""en"", ""hi"")"),"B) योगेश परदेशी")</f>
        <v>B) योगेश परदेशी</v>
      </c>
    </row>
    <row r="352" ht="22.5" customHeight="1">
      <c r="A352" s="3">
        <v>351.0</v>
      </c>
      <c r="B352" s="4" t="s">
        <v>8420</v>
      </c>
      <c r="C352" s="4" t="s">
        <v>8421</v>
      </c>
      <c r="D352" s="4" t="s">
        <v>8422</v>
      </c>
      <c r="F352" s="5" t="str">
        <f>IFERROR(__xludf.DUMMYFUNCTION("GOOGLETRANSLATE(A352, ""en"", ""hi"")"),"351")</f>
        <v>351</v>
      </c>
      <c r="G352" s="5" t="str">
        <f>IFERROR(__xludf.DUMMYFUNCTION("GOOGLETRANSLATE(B352, ""en"", ""hi"")"),"ऑस्ट्रेलिया में पहली कैरम विश्व चैंपियनशिप किस शहर में आयोजित हुई थी?")</f>
        <v>ऑस्ट्रेलिया में पहली कैरम विश्व चैंपियनशिप किस शहर में आयोजित हुई थी?</v>
      </c>
      <c r="H352" s="5" t="str">
        <f>IFERROR(__xludf.DUMMYFUNCTION("GOOGLETRANSLATE(C352, ""en"", ""hi"")"),"A) सिडनी, B) मेलबर्न, C) ब्रिस्बेन, D) एडिलेड")</f>
        <v>A) सिडनी, B) मेलबर्न, C) ब्रिस्बेन, D) एडिलेड</v>
      </c>
      <c r="I352" s="5" t="str">
        <f>IFERROR(__xludf.DUMMYFUNCTION("GOOGLETRANSLATE(D352, ""en"", ""hi"")"),"बी) मेलबर्न")</f>
        <v>बी) मेलबर्न</v>
      </c>
    </row>
    <row r="353" ht="22.5" customHeight="1">
      <c r="A353" s="3">
        <v>352.0</v>
      </c>
      <c r="B353" s="4" t="s">
        <v>8423</v>
      </c>
      <c r="C353" s="4" t="s">
        <v>8424</v>
      </c>
      <c r="D353" s="4" t="s">
        <v>8425</v>
      </c>
      <c r="F353" s="5" t="str">
        <f>IFERROR(__xludf.DUMMYFUNCTION("GOOGLETRANSLATE(A353, ""en"", ""hi"")"),"352")</f>
        <v>352</v>
      </c>
      <c r="G353" s="5" t="str">
        <f>IFERROR(__xludf.DUMMYFUNCTION("GOOGLETRANSLATE(B353, ""en"", ""hi"")"),"1980 के दशक में किस कैरम खिलाड़ी को नई तकनीकों के अग्रणी के लिए पहचाना गया था?")</f>
        <v>1980 के दशक में किस कैरम खिलाड़ी को नई तकनीकों के अग्रणी के लिए पहचाना गया था?</v>
      </c>
      <c r="H353" s="5" t="str">
        <f>IFERROR(__xludf.DUMMYFUNCTION("GOOGLETRANSLATE(C353, ""en"", ""hi"")"),"ए) राजेश मेहता, बी) योगेश परदेशी, सी) वी.के. गुप्ता, डी) एंथोनी इरुदायम")</f>
        <v>ए) राजेश मेहता, बी) योगेश परदेशी, सी) वी.के. गुप्ता, डी) एंथोनी इरुदायम</v>
      </c>
      <c r="I353" s="5" t="str">
        <f>IFERROR(__xludf.DUMMYFUNCTION("GOOGLETRANSLATE(D353, ""en"", ""hi"")"),"D) एंथनी इरुदयम")</f>
        <v>D) एंथनी इरुदयम</v>
      </c>
    </row>
    <row r="354" ht="22.5" customHeight="1">
      <c r="A354" s="3">
        <v>353.0</v>
      </c>
      <c r="B354" s="4" t="s">
        <v>8346</v>
      </c>
      <c r="C354" s="4" t="s">
        <v>8347</v>
      </c>
      <c r="D354" s="4" t="s">
        <v>8348</v>
      </c>
      <c r="F354" s="5" t="str">
        <f>IFERROR(__xludf.DUMMYFUNCTION("GOOGLETRANSLATE(A354, ""en"", ""hi"")"),"353")</f>
        <v>353</v>
      </c>
      <c r="G354" s="5" t="str">
        <f>IFERROR(__xludf.DUMMYFUNCTION("GOOGLETRANSLATE(B354, ""en"", ""hi"")"),"कैरम पहली बार एशियाई इंडोर खेलों में किस वर्ष शामिल हुआ?")</f>
        <v>कैरम पहली बार एशियाई इंडोर खेलों में किस वर्ष शामिल हुआ?</v>
      </c>
      <c r="H354" s="5" t="str">
        <f>IFERROR(__xludf.DUMMYFUNCTION("GOOGLETRANSLATE(C354, ""en"", ""hi"")"),"ए) 2007, बी) 2008, सी) 2009, डी) 2010")</f>
        <v>ए) 2007, बी) 2008, सी) 2009, डी) 2010</v>
      </c>
      <c r="I354" s="5" t="str">
        <f>IFERROR(__xludf.DUMMYFUNCTION("GOOGLETRANSLATE(D354, ""en"", ""hi"")"),"ए) 2007")</f>
        <v>ए) 2007</v>
      </c>
    </row>
    <row r="355" ht="22.5" customHeight="1">
      <c r="A355" s="3">
        <v>354.0</v>
      </c>
      <c r="B355" s="4" t="s">
        <v>8426</v>
      </c>
      <c r="C355" s="4" t="s">
        <v>560</v>
      </c>
      <c r="D355" s="4" t="s">
        <v>2424</v>
      </c>
      <c r="F355" s="5" t="str">
        <f>IFERROR(__xludf.DUMMYFUNCTION("GOOGLETRANSLATE(A355, ""en"", ""hi"")"),"354")</f>
        <v>354</v>
      </c>
      <c r="G355" s="5" t="str">
        <f>IFERROR(__xludf.DUMMYFUNCTION("GOOGLETRANSLATE(B355, ""en"", ""hi"")"),"1990 में पहली कैरम फेडरेशन ऑफ इंडिया राष्ट्रीय चैंपियनशिप का आयोजन किस भारतीय शहर में हुआ था?")</f>
        <v>1990 में पहली कैरम फेडरेशन ऑफ इंडिया राष्ट्रीय चैंपियनशिप का आयोजन किस भारतीय शहर में हुआ था?</v>
      </c>
      <c r="H355" s="5" t="str">
        <f>IFERROR(__xludf.DUMMYFUNCTION("GOOGLETRANSLATE(C355, ""en"", ""hi"")"),"A) चेन्नई, B) दिल्ली, C) बैंगलोर, D) मुंबई")</f>
        <v>A) चेन्नई, B) दिल्ली, C) बैंगलोर, D) मुंबई</v>
      </c>
      <c r="I355" s="5" t="str">
        <f>IFERROR(__xludf.DUMMYFUNCTION("GOOGLETRANSLATE(D355, ""en"", ""hi"")"),"D) मुंबई")</f>
        <v>D) मुंबई</v>
      </c>
    </row>
    <row r="356" ht="22.5" customHeight="1">
      <c r="A356" s="3">
        <v>355.0</v>
      </c>
      <c r="B356" s="4" t="s">
        <v>8427</v>
      </c>
      <c r="C356" s="4" t="s">
        <v>8378</v>
      </c>
      <c r="D356" s="4" t="s">
        <v>5227</v>
      </c>
      <c r="F356" s="5" t="str">
        <f>IFERROR(__xludf.DUMMYFUNCTION("GOOGLETRANSLATE(A356, ""en"", ""hi"")"),"355")</f>
        <v>355</v>
      </c>
      <c r="G356" s="5" t="str">
        <f>IFERROR(__xludf.DUMMYFUNCTION("GOOGLETRANSLATE(B356, ""en"", ""hi"")"),"इलेक्ट्रॉनिक मूव ट्रैकिंग वाला पहला कैरम बोर्ड किस वर्ष पेश किया गया था?")</f>
        <v>इलेक्ट्रॉनिक मूव ट्रैकिंग वाला पहला कैरम बोर्ड किस वर्ष पेश किया गया था?</v>
      </c>
      <c r="H356" s="5" t="str">
        <f>IFERROR(__xludf.DUMMYFUNCTION("GOOGLETRANSLATE(C356, ""en"", ""hi"")"),"ए) 1997, बी) 1999, सी) 2000, डी) 2002")</f>
        <v>ए) 1997, बी) 1999, सी) 2000, डी) 2002</v>
      </c>
      <c r="I356" s="5" t="str">
        <f>IFERROR(__xludf.DUMMYFUNCTION("GOOGLETRANSLATE(D356, ""en"", ""hi"")"),"सी) 2000")</f>
        <v>सी) 2000</v>
      </c>
    </row>
    <row r="357" ht="22.5" customHeight="1">
      <c r="A357" s="3">
        <v>356.0</v>
      </c>
      <c r="B357" s="4" t="s">
        <v>8428</v>
      </c>
      <c r="C357" s="4" t="s">
        <v>8350</v>
      </c>
      <c r="D357" s="4" t="s">
        <v>8351</v>
      </c>
      <c r="F357" s="5" t="str">
        <f>IFERROR(__xludf.DUMMYFUNCTION("GOOGLETRANSLATE(A357, ""en"", ""hi"")"),"356")</f>
        <v>356</v>
      </c>
      <c r="G357" s="5" t="str">
        <f>IFERROR(__xludf.DUMMYFUNCTION("GOOGLETRANSLATE(B357, ""en"", ""hi"")"),"1990 के दशक में पाकिस्तान का कौन सा कैरम खिलाड़ी अपने असाधारण कौशल के लिए जाना जाता था?")</f>
        <v>1990 के दशक में पाकिस्तान का कौन सा कैरम खिलाड़ी अपने असाधारण कौशल के लिए जाना जाता था?</v>
      </c>
      <c r="H357" s="5" t="str">
        <f>IFERROR(__xludf.DUMMYFUNCTION("GOOGLETRANSLATE(C357, ""en"", ""hi"")"),"ए) तारिक महमूद, बी) जाहिद खान, सी) बिलाल अहमद, डी) सैयद अली")</f>
        <v>ए) तारिक महमूद, बी) जाहिद खान, सी) बिलाल अहमद, डी) सैयद अली</v>
      </c>
      <c r="I357" s="5" t="str">
        <f>IFERROR(__xludf.DUMMYFUNCTION("GOOGLETRANSLATE(D357, ""en"", ""hi"")"),"A) तारिक महमूद")</f>
        <v>A) तारिक महमूद</v>
      </c>
    </row>
    <row r="358" ht="22.5" customHeight="1">
      <c r="A358" s="3">
        <v>357.0</v>
      </c>
      <c r="B358" s="4" t="s">
        <v>8429</v>
      </c>
      <c r="C358" s="4" t="s">
        <v>8165</v>
      </c>
      <c r="D358" s="4" t="s">
        <v>6725</v>
      </c>
      <c r="F358" s="5" t="str">
        <f>IFERROR(__xludf.DUMMYFUNCTION("GOOGLETRANSLATE(A358, ""en"", ""hi"")"),"357")</f>
        <v>357</v>
      </c>
      <c r="G358" s="5" t="str">
        <f>IFERROR(__xludf.DUMMYFUNCTION("GOOGLETRANSLATE(B358, ""en"", ""hi"")"),"अवैध चालों का पता लगाने के लिए अंतर्निर्मित सेंसर वाला पहला कैरम बोर्ड किस वर्ष पेश किया गया था?")</f>
        <v>अवैध चालों का पता लगाने के लिए अंतर्निर्मित सेंसर वाला पहला कैरम बोर्ड किस वर्ष पेश किया गया था?</v>
      </c>
      <c r="H358" s="5" t="str">
        <f>IFERROR(__xludf.DUMMYFUNCTION("GOOGLETRANSLATE(C358, ""en"", ""hi"")"),"ए) 2000, बी) 2002, सी) 2004, डी) 2006")</f>
        <v>ए) 2000, बी) 2002, सी) 2004, डी) 2006</v>
      </c>
      <c r="I358" s="5" t="str">
        <f>IFERROR(__xludf.DUMMYFUNCTION("GOOGLETRANSLATE(D358, ""en"", ""hi"")"),"बी) 2002")</f>
        <v>बी) 2002</v>
      </c>
    </row>
    <row r="359" ht="22.5" customHeight="1">
      <c r="A359" s="3">
        <v>358.0</v>
      </c>
      <c r="B359" s="4" t="s">
        <v>8430</v>
      </c>
      <c r="C359" s="4" t="s">
        <v>8431</v>
      </c>
      <c r="D359" s="4" t="s">
        <v>8432</v>
      </c>
      <c r="F359" s="5" t="str">
        <f>IFERROR(__xludf.DUMMYFUNCTION("GOOGLETRANSLATE(A359, ""en"", ""hi"")"),"358")</f>
        <v>358</v>
      </c>
      <c r="G359" s="5" t="str">
        <f>IFERROR(__xludf.DUMMYFUNCTION("GOOGLETRANSLATE(B359, ""en"", ""hi"")"),"2008 में किस कैरम खिलाड़ी ने विश्व चैम्पियनशिप जीती?")</f>
        <v>2008 में किस कैरम खिलाड़ी ने विश्व चैम्पियनशिप जीती?</v>
      </c>
      <c r="H359" s="5" t="str">
        <f>IFERROR(__xludf.DUMMYFUNCTION("GOOGLETRANSLATE(C359, ""en"", ""hi"")"),"ए) योगेश परदेशी, बी) रश्मी कुमारी, सी) एंथोनी इरुदायम, डी) तारिक महमूद")</f>
        <v>ए) योगेश परदेशी, बी) रश्मी कुमारी, सी) एंथोनी इरुदायम, डी) तारिक महमूद</v>
      </c>
      <c r="I359" s="5" t="str">
        <f>IFERROR(__xludf.DUMMYFUNCTION("GOOGLETRANSLATE(D359, ""en"", ""hi"")"),"बी) रश्मि कुमारी")</f>
        <v>बी) रश्मि कुमारी</v>
      </c>
    </row>
    <row r="360" ht="22.5" customHeight="1">
      <c r="A360" s="3">
        <v>359.0</v>
      </c>
      <c r="B360" s="4" t="s">
        <v>8433</v>
      </c>
      <c r="C360" s="4" t="s">
        <v>8416</v>
      </c>
      <c r="D360" s="4" t="s">
        <v>8008</v>
      </c>
      <c r="F360" s="5" t="str">
        <f>IFERROR(__xludf.DUMMYFUNCTION("GOOGLETRANSLATE(A360, ""en"", ""hi"")"),"359")</f>
        <v>359</v>
      </c>
      <c r="G360" s="5" t="str">
        <f>IFERROR(__xludf.DUMMYFUNCTION("GOOGLETRANSLATE(B360, ""en"", ""hi"")"),"यूरोप में पहला अंतर्राष्ट्रीय कैरम टूर्नामेंट किस वर्ष आयोजित किया गया था?")</f>
        <v>यूरोप में पहला अंतर्राष्ट्रीय कैरम टूर्नामेंट किस वर्ष आयोजित किया गया था?</v>
      </c>
      <c r="H360" s="5" t="str">
        <f>IFERROR(__xludf.DUMMYFUNCTION("GOOGLETRANSLATE(C360, ""en"", ""hi"")"),"ए) 1992, बी) 1994, सी) 1996, डी) 1998")</f>
        <v>ए) 1992, बी) 1994, सी) 1996, डी) 1998</v>
      </c>
      <c r="I360" s="5" t="str">
        <f>IFERROR(__xludf.DUMMYFUNCTION("GOOGLETRANSLATE(D360, ""en"", ""hi"")"),"सी) 1996")</f>
        <v>सी) 1996</v>
      </c>
    </row>
    <row r="361" ht="22.5" customHeight="1">
      <c r="A361" s="3">
        <v>360.0</v>
      </c>
      <c r="B361" s="4" t="s">
        <v>8434</v>
      </c>
      <c r="C361" s="4" t="s">
        <v>8343</v>
      </c>
      <c r="D361" s="4" t="s">
        <v>4960</v>
      </c>
      <c r="F361" s="5" t="str">
        <f>IFERROR(__xludf.DUMMYFUNCTION("GOOGLETRANSLATE(A361, ""en"", ""hi"")"),"360")</f>
        <v>360</v>
      </c>
      <c r="G361" s="5" t="str">
        <f>IFERROR(__xludf.DUMMYFUNCTION("GOOGLETRANSLATE(B361, ""en"", ""hi"")"),"कौन सा भारतीय राज्य कैरम को अपने अंतर-विद्यालय खेल प्रतियोगिता के एक भाग के रूप में शामिल करने वाला पहला राज्य था?")</f>
        <v>कौन सा भारतीय राज्य कैरम को अपने अंतर-विद्यालय खेल प्रतियोगिता के एक भाग के रूप में शामिल करने वाला पहला राज्य था?</v>
      </c>
      <c r="H361" s="5" t="str">
        <f>IFERROR(__xludf.DUMMYFUNCTION("GOOGLETRANSLATE(C361, ""en"", ""hi"")"),"A) कर्नाटक, B) केरल, C) तमिलनाडु, D) आंध्र प्रदेश")</f>
        <v>A) कर्नाटक, B) केरल, C) तमिलनाडु, D) आंध्र प्रदेश</v>
      </c>
      <c r="I361" s="5" t="str">
        <f>IFERROR(__xludf.DUMMYFUNCTION("GOOGLETRANSLATE(D361, ""en"", ""hi"")"),"बी) केरल")</f>
        <v>बी) केरल</v>
      </c>
    </row>
    <row r="362" ht="22.5" customHeight="1">
      <c r="A362" s="3">
        <v>361.0</v>
      </c>
      <c r="B362" s="4" t="s">
        <v>8435</v>
      </c>
      <c r="C362" s="4" t="s">
        <v>8298</v>
      </c>
      <c r="D362" s="4" t="s">
        <v>8299</v>
      </c>
      <c r="F362" s="5" t="str">
        <f>IFERROR(__xludf.DUMMYFUNCTION("GOOGLETRANSLATE(A362, ""en"", ""hi"")"),"361")</f>
        <v>361</v>
      </c>
      <c r="G362" s="5" t="str">
        <f>IFERROR(__xludf.DUMMYFUNCTION("GOOGLETRANSLATE(B362, ""en"", ""hi"")"),"जूनियर वर्ग के लिए पहली कैरम विश्व चैम्पियनशिप किस शहर में आयोजित की गई थी?")</f>
        <v>जूनियर वर्ग के लिए पहली कैरम विश्व चैम्पियनशिप किस शहर में आयोजित की गई थी?</v>
      </c>
      <c r="H362" s="5" t="str">
        <f>IFERROR(__xludf.DUMMYFUNCTION("GOOGLETRANSLATE(C362, ""en"", ""hi"")"),"A) मुंबई, B) चेन्नई, C) कोलंबो, D) कराची")</f>
        <v>A) मुंबई, B) चेन्नई, C) कोलंबो, D) कराची</v>
      </c>
      <c r="I362" s="5" t="str">
        <f>IFERROR(__xludf.DUMMYFUNCTION("GOOGLETRANSLATE(D362, ""en"", ""hi"")"),"C) कोलंबो")</f>
        <v>C) कोलंबो</v>
      </c>
    </row>
    <row r="363" ht="22.5" customHeight="1">
      <c r="A363" s="3">
        <v>362.0</v>
      </c>
      <c r="B363" s="4" t="s">
        <v>8436</v>
      </c>
      <c r="C363" s="4" t="s">
        <v>8437</v>
      </c>
      <c r="D363" s="4" t="s">
        <v>8438</v>
      </c>
      <c r="F363" s="5" t="str">
        <f>IFERROR(__xludf.DUMMYFUNCTION("GOOGLETRANSLATE(A363, ""en"", ""hi"")"),"362")</f>
        <v>362</v>
      </c>
      <c r="G363" s="5" t="str">
        <f>IFERROR(__xludf.DUMMYFUNCTION("GOOGLETRANSLATE(B363, ""en"", ""hi"")"),"1999 में विश्व चैंपियनशिप जीतने वाला पहला कैरम खिलाड़ी कौन था?")</f>
        <v>1999 में विश्व चैंपियनशिप जीतने वाला पहला कैरम खिलाड़ी कौन था?</v>
      </c>
      <c r="H363" s="5" t="str">
        <f>IFERROR(__xludf.DUMMYFUNCTION("GOOGLETRANSLATE(C363, ""en"", ""hi"")"),"ए) योगेश परदेशी, बी) एंथोनी इरुदायम, सी) रश्मी कुमारी, डी) तारिक महमूद")</f>
        <v>ए) योगेश परदेशी, बी) एंथोनी इरुदायम, सी) रश्मी कुमारी, डी) तारिक महमूद</v>
      </c>
      <c r="I363" s="5" t="str">
        <f>IFERROR(__xludf.DUMMYFUNCTION("GOOGLETRANSLATE(D363, ""en"", ""hi"")"),"D) तारिक महमूद")</f>
        <v>D) तारिक महमूद</v>
      </c>
    </row>
    <row r="364" ht="22.5" customHeight="1">
      <c r="A364" s="3">
        <v>363.0</v>
      </c>
      <c r="B364" s="4" t="s">
        <v>8439</v>
      </c>
      <c r="C364" s="4" t="s">
        <v>8309</v>
      </c>
      <c r="D364" s="4" t="s">
        <v>8310</v>
      </c>
      <c r="F364" s="5" t="str">
        <f>IFERROR(__xludf.DUMMYFUNCTION("GOOGLETRANSLATE(A364, ""en"", ""hi"")"),"363")</f>
        <v>363</v>
      </c>
      <c r="G364" s="5" t="str">
        <f>IFERROR(__xludf.DUMMYFUNCTION("GOOGLETRANSLATE(B364, ""en"", ""hi"")"),"मिश्रित युगल वर्ग का पहला कैरम विश्व कप किस वर्ष आयोजित किया गया था?")</f>
        <v>मिश्रित युगल वर्ग का पहला कैरम विश्व कप किस वर्ष आयोजित किया गया था?</v>
      </c>
      <c r="H364" s="5" t="str">
        <f>IFERROR(__xludf.DUMMYFUNCTION("GOOGLETRANSLATE(C364, ""en"", ""hi"")"),"ए) 1994, बी) 1996, सी) 1998, डी) 2000")</f>
        <v>ए) 1994, बी) 1996, सी) 1998, डी) 2000</v>
      </c>
      <c r="I364" s="5" t="str">
        <f>IFERROR(__xludf.DUMMYFUNCTION("GOOGLETRANSLATE(D364, ""en"", ""hi"")"),"ए) 1994")</f>
        <v>ए) 1994</v>
      </c>
    </row>
    <row r="365" ht="22.5" customHeight="1">
      <c r="A365" s="3">
        <v>364.0</v>
      </c>
      <c r="B365" s="4" t="s">
        <v>8440</v>
      </c>
      <c r="C365" s="4" t="s">
        <v>2518</v>
      </c>
      <c r="D365" s="4" t="s">
        <v>766</v>
      </c>
      <c r="F365" s="5" t="str">
        <f>IFERROR(__xludf.DUMMYFUNCTION("GOOGLETRANSLATE(A365, ""en"", ""hi"")"),"364")</f>
        <v>364</v>
      </c>
      <c r="G365" s="5" t="str">
        <f>IFERROR(__xludf.DUMMYFUNCTION("GOOGLETRANSLATE(B365, ""en"", ""hi"")"),"किस भारतीय शहर ने 2006 में पहली बार कैरम विश्व चैम्पियनशिप की मेजबानी की?")</f>
        <v>किस भारतीय शहर ने 2006 में पहली बार कैरम विश्व चैम्पियनशिप की मेजबानी की?</v>
      </c>
      <c r="H365" s="5" t="str">
        <f>IFERROR(__xludf.DUMMYFUNCTION("GOOGLETRANSLATE(C365, ""en"", ""hi"")"),"A) चेन्नई, B) मुंबई, C) दिल्ली, D) बैंगलोर")</f>
        <v>A) चेन्नई, B) मुंबई, C) दिल्ली, D) बैंगलोर</v>
      </c>
      <c r="I365" s="5" t="str">
        <f>IFERROR(__xludf.DUMMYFUNCTION("GOOGLETRANSLATE(D365, ""en"", ""hi"")"),"C) दिल्ली")</f>
        <v>C) दिल्ली</v>
      </c>
    </row>
    <row r="366" ht="22.5" customHeight="1">
      <c r="A366" s="3">
        <v>365.0</v>
      </c>
      <c r="B366" s="4" t="s">
        <v>8441</v>
      </c>
      <c r="C366" s="4" t="s">
        <v>8378</v>
      </c>
      <c r="D366" s="4" t="s">
        <v>5227</v>
      </c>
      <c r="F366" s="5" t="str">
        <f>IFERROR(__xludf.DUMMYFUNCTION("GOOGLETRANSLATE(A366, ""en"", ""hi"")"),"365")</f>
        <v>365</v>
      </c>
      <c r="G366" s="5" t="str">
        <f>IFERROR(__xludf.DUMMYFUNCTION("GOOGLETRANSLATE(B366, ""en"", ""hi"")"),"स्वचालित स्कोरकीपर वाला पहला कैरम बोर्ड किस वर्ष शुरू किया गया था?")</f>
        <v>स्वचालित स्कोरकीपर वाला पहला कैरम बोर्ड किस वर्ष शुरू किया गया था?</v>
      </c>
      <c r="H366" s="5" t="str">
        <f>IFERROR(__xludf.DUMMYFUNCTION("GOOGLETRANSLATE(C366, ""en"", ""hi"")"),"ए) 1997, बी) 1999, सी) 2000, डी) 2002")</f>
        <v>ए) 1997, बी) 1999, सी) 2000, डी) 2002</v>
      </c>
      <c r="I366" s="5" t="str">
        <f>IFERROR(__xludf.DUMMYFUNCTION("GOOGLETRANSLATE(D366, ""en"", ""hi"")"),"सी) 2000")</f>
        <v>सी) 2000</v>
      </c>
    </row>
    <row r="367" ht="22.5" customHeight="1">
      <c r="A367" s="3">
        <v>366.0</v>
      </c>
      <c r="B367" s="4" t="s">
        <v>8442</v>
      </c>
      <c r="C367" s="4" t="s">
        <v>8443</v>
      </c>
      <c r="D367" s="4" t="s">
        <v>8432</v>
      </c>
      <c r="F367" s="5" t="str">
        <f>IFERROR(__xludf.DUMMYFUNCTION("GOOGLETRANSLATE(A367, ""en"", ""hi"")"),"366")</f>
        <v>366</v>
      </c>
      <c r="G367" s="5" t="str">
        <f>IFERROR(__xludf.DUMMYFUNCTION("GOOGLETRANSLATE(B367, ""en"", ""hi"")"),"भारत का कौन सा कैरम खिलाड़ी 2000 के दशक में विश्व चैम्पियनशिप का खिताब जीतने वाला पहला खिलाड़ी था?")</f>
        <v>भारत का कौन सा कैरम खिलाड़ी 2000 के दशक में विश्व चैम्पियनशिप का खिताब जीतने वाला पहला खिलाड़ी था?</v>
      </c>
      <c r="H367" s="5" t="str">
        <f>IFERROR(__xludf.DUMMYFUNCTION("GOOGLETRANSLATE(C367, ""en"", ""hi"")"),"ए) योगेश परदेशी, बी) रश्मी कुमारी, सी) एंथोनी इरुदायम, डी) वी. के. गुप्ता")</f>
        <v>ए) योगेश परदेशी, बी) रश्मी कुमारी, सी) एंथोनी इरुदायम, डी) वी. के. गुप्ता</v>
      </c>
      <c r="I367" s="5" t="str">
        <f>IFERROR(__xludf.DUMMYFUNCTION("GOOGLETRANSLATE(D367, ""en"", ""hi"")"),"बी) रश्मि कुमारी")</f>
        <v>बी) रश्मि कुमारी</v>
      </c>
    </row>
    <row r="368" ht="22.5" customHeight="1">
      <c r="A368" s="3">
        <v>367.0</v>
      </c>
      <c r="B368" s="4" t="s">
        <v>8223</v>
      </c>
      <c r="C368" s="4" t="s">
        <v>8444</v>
      </c>
      <c r="D368" s="4" t="s">
        <v>8375</v>
      </c>
      <c r="F368" s="5" t="str">
        <f>IFERROR(__xludf.DUMMYFUNCTION("GOOGLETRANSLATE(A368, ""en"", ""hi"")"),"367")</f>
        <v>367</v>
      </c>
      <c r="G368" s="5" t="str">
        <f>IFERROR(__xludf.DUMMYFUNCTION("GOOGLETRANSLATE(B368, ""en"", ""hi"")"),"कैरम पहली बार दक्षिण एशियाई खेलों में किस वर्ष शामिल हुआ?")</f>
        <v>कैरम पहली बार दक्षिण एशियाई खेलों में किस वर्ष शामिल हुआ?</v>
      </c>
      <c r="H368" s="5" t="str">
        <f>IFERROR(__xludf.DUMMYFUNCTION("GOOGLETRANSLATE(C368, ""en"", ""hi"")"),"ए) 1995, बी) 1997, सी) 1998, डी) 2000")</f>
        <v>ए) 1995, बी) 1997, सी) 1998, डी) 2000</v>
      </c>
      <c r="I368" s="5" t="str">
        <f>IFERROR(__xludf.DUMMYFUNCTION("GOOGLETRANSLATE(D368, ""en"", ""hi"")"),"सी) 1998")</f>
        <v>सी) 1998</v>
      </c>
    </row>
    <row r="369" ht="22.5" customHeight="1">
      <c r="A369" s="3">
        <v>368.0</v>
      </c>
      <c r="B369" s="4" t="s">
        <v>8445</v>
      </c>
      <c r="C369" s="4" t="s">
        <v>8446</v>
      </c>
      <c r="D369" s="4" t="s">
        <v>8414</v>
      </c>
      <c r="F369" s="5" t="str">
        <f>IFERROR(__xludf.DUMMYFUNCTION("GOOGLETRANSLATE(A369, ""en"", ""hi"")"),"368")</f>
        <v>368</v>
      </c>
      <c r="G369" s="5" t="str">
        <f>IFERROR(__xludf.DUMMYFUNCTION("GOOGLETRANSLATE(B369, ""en"", ""hi"")"),"1980 के दशक के अंत में किस कैरम खिलाड़ी को स्ट्राइकिंग की एक नई शैली शुरू करने के लिए जाना जाता था?")</f>
        <v>1980 के दशक के अंत में किस कैरम खिलाड़ी को स्ट्राइकिंग की एक नई शैली शुरू करने के लिए जाना जाता था?</v>
      </c>
      <c r="H369" s="5" t="str">
        <f>IFERROR(__xludf.DUMMYFUNCTION("GOOGLETRANSLATE(C369, ""en"", ""hi"")"),"ए) एंथनी इरुदायम, बी) राजेश मेहता, सी) वी.के. गुप्ता, डी) योगेश परदेशी")</f>
        <v>ए) एंथनी इरुदायम, बी) राजेश मेहता, सी) वी.के. गुप्ता, डी) योगेश परदेशी</v>
      </c>
      <c r="I369" s="5" t="str">
        <f>IFERROR(__xludf.DUMMYFUNCTION("GOOGLETRANSLATE(D369, ""en"", ""hi"")"),"A) एंथनी इरुदयम")</f>
        <v>A) एंथनी इरुदयम</v>
      </c>
    </row>
    <row r="370" ht="22.5" customHeight="1">
      <c r="A370" s="3">
        <v>369.0</v>
      </c>
      <c r="B370" s="4" t="s">
        <v>8447</v>
      </c>
      <c r="C370" s="4" t="s">
        <v>8401</v>
      </c>
      <c r="D370" s="4" t="s">
        <v>8402</v>
      </c>
      <c r="F370" s="5" t="str">
        <f>IFERROR(__xludf.DUMMYFUNCTION("GOOGLETRANSLATE(A370, ""en"", ""hi"")"),"369")</f>
        <v>369</v>
      </c>
      <c r="G370" s="5" t="str">
        <f>IFERROR(__xludf.DUMMYFUNCTION("GOOGLETRANSLATE(B370, ""en"", ""hi"")"),"सीनियर्स के लिए पहला कैरम विश्व कप किस वर्ष आयोजित किया गया था?")</f>
        <v>सीनियर्स के लिए पहला कैरम विश्व कप किस वर्ष आयोजित किया गया था?</v>
      </c>
      <c r="H370" s="5" t="str">
        <f>IFERROR(__xludf.DUMMYFUNCTION("GOOGLETRANSLATE(C370, ""en"", ""hi"")"),"ए) 1995, बी) 1997, सी) 1999, डी) 2000")</f>
        <v>ए) 1995, बी) 1997, सी) 1999, डी) 2000</v>
      </c>
      <c r="I370" s="5" t="str">
        <f>IFERROR(__xludf.DUMMYFUNCTION("GOOGLETRANSLATE(D370, ""en"", ""hi"")"),"बी) 1997")</f>
        <v>बी) 1997</v>
      </c>
    </row>
    <row r="371" ht="22.5" customHeight="1">
      <c r="A371" s="3">
        <v>370.0</v>
      </c>
      <c r="B371" s="4" t="s">
        <v>8448</v>
      </c>
      <c r="C371" s="4" t="s">
        <v>2452</v>
      </c>
      <c r="D371" s="4" t="s">
        <v>766</v>
      </c>
      <c r="F371" s="5" t="str">
        <f>IFERROR(__xludf.DUMMYFUNCTION("GOOGLETRANSLATE(A371, ""en"", ""hi"")"),"370")</f>
        <v>370</v>
      </c>
      <c r="G371" s="5" t="str">
        <f>IFERROR(__xludf.DUMMYFUNCTION("GOOGLETRANSLATE(B371, ""en"", ""hi"")"),"किस भारतीय राज्य ने 1988 में प्रथम कैरम फेडरेशन ऑफ इंडिया कप की मेजबानी की थी?")</f>
        <v>किस भारतीय राज्य ने 1988 में प्रथम कैरम फेडरेशन ऑफ इंडिया कप की मेजबानी की थी?</v>
      </c>
      <c r="H371" s="5" t="str">
        <f>IFERROR(__xludf.DUMMYFUNCTION("GOOGLETRANSLATE(C371, ""en"", ""hi"")"),"A) मुंबई, B) चेन्नई, C) दिल्ली, D) बैंगलोर")</f>
        <v>A) मुंबई, B) चेन्नई, C) दिल्ली, D) बैंगलोर</v>
      </c>
      <c r="I371" s="5" t="str">
        <f>IFERROR(__xludf.DUMMYFUNCTION("GOOGLETRANSLATE(D371, ""en"", ""hi"")"),"C) दिल्ली")</f>
        <v>C) दिल्ली</v>
      </c>
    </row>
    <row r="372" ht="22.5" customHeight="1">
      <c r="A372" s="3">
        <v>371.0</v>
      </c>
      <c r="B372" s="4" t="s">
        <v>8449</v>
      </c>
      <c r="C372" s="4" t="s">
        <v>8144</v>
      </c>
      <c r="D372" s="4" t="s">
        <v>829</v>
      </c>
      <c r="F372" s="5" t="str">
        <f>IFERROR(__xludf.DUMMYFUNCTION("GOOGLETRANSLATE(A372, ""en"", ""hi"")"),"371")</f>
        <v>371</v>
      </c>
      <c r="G372" s="5" t="str">
        <f>IFERROR(__xludf.DUMMYFUNCTION("GOOGLETRANSLATE(B372, ""en"", ""hi"")"),"डिजिटल स्कोरबोर्ड वाला पहला कैरम बोर्ड किस वर्ष पेश किया गया था?")</f>
        <v>डिजिटल स्कोरबोर्ड वाला पहला कैरम बोर्ड किस वर्ष पेश किया गया था?</v>
      </c>
      <c r="H372" s="5" t="str">
        <f>IFERROR(__xludf.DUMMYFUNCTION("GOOGLETRANSLATE(C372, ""en"", ""hi"")"),"ए) 1998, बी) 2000, सी) 2002, डी) 2004")</f>
        <v>ए) 1998, बी) 2000, सी) 2002, डी) 2004</v>
      </c>
      <c r="I372" s="5" t="str">
        <f>IFERROR(__xludf.DUMMYFUNCTION("GOOGLETRANSLATE(D372, ""en"", ""hi"")"),"बी) 2000")</f>
        <v>बी) 2000</v>
      </c>
    </row>
    <row r="373" ht="22.5" customHeight="1">
      <c r="A373" s="3">
        <v>372.0</v>
      </c>
      <c r="B373" s="4" t="s">
        <v>8450</v>
      </c>
      <c r="C373" s="4" t="s">
        <v>8408</v>
      </c>
      <c r="D373" s="4" t="s">
        <v>8409</v>
      </c>
      <c r="F373" s="5" t="str">
        <f>IFERROR(__xludf.DUMMYFUNCTION("GOOGLETRANSLATE(A373, ""en"", ""hi"")"),"372")</f>
        <v>372</v>
      </c>
      <c r="G373" s="5" t="str">
        <f>IFERROR(__xludf.DUMMYFUNCTION("GOOGLETRANSLATE(B373, ""en"", ""hi"")"),"श्रीलंका की ओर से विश्व चैम्पियनशिप का खिताब जीतने वाला पहला कैरम खिलाड़ी कौन था?")</f>
        <v>श्रीलंका की ओर से विश्व चैम्पियनशिप का खिताब जीतने वाला पहला कैरम खिलाड़ी कौन था?</v>
      </c>
      <c r="H373" s="5" t="str">
        <f>IFERROR(__xludf.DUMMYFUNCTION("GOOGLETRANSLATE(C373, ""en"", ""hi"")"),"ए) चामिल कुरे, बी) निमल दिसानायके, सी) शिरन फर्नांडो, डी) धर्मेंद्र राणावीरा")</f>
        <v>ए) चामिल कुरे, बी) निमल दिसानायके, सी) शिरन फर्नांडो, डी) धर्मेंद्र राणावीरा</v>
      </c>
      <c r="I373" s="5" t="str">
        <f>IFERROR(__xludf.DUMMYFUNCTION("GOOGLETRANSLATE(D373, ""en"", ""hi"")"),"D) धर्मेंद्र रणवीरा")</f>
        <v>D) धर्मेंद्र रणवीरा</v>
      </c>
    </row>
    <row r="374" ht="22.5" customHeight="1">
      <c r="A374" s="3">
        <v>373.0</v>
      </c>
      <c r="B374" s="4" t="s">
        <v>8451</v>
      </c>
      <c r="C374" s="4" t="s">
        <v>8452</v>
      </c>
      <c r="D374" s="4" t="s">
        <v>8453</v>
      </c>
      <c r="F374" s="5" t="str">
        <f>IFERROR(__xludf.DUMMYFUNCTION("GOOGLETRANSLATE(A374, ""en"", ""hi"")"),"373")</f>
        <v>373</v>
      </c>
      <c r="G374" s="5" t="str">
        <f>IFERROR(__xludf.DUMMYFUNCTION("GOOGLETRANSLATE(B374, ""en"", ""hi"")"),"अफ्रीका में पहली कैरम विश्व चैंपियनशिप किस शहर में आयोजित हुई थी?")</f>
        <v>अफ्रीका में पहली कैरम विश्व चैंपियनशिप किस शहर में आयोजित हुई थी?</v>
      </c>
      <c r="H374" s="5" t="str">
        <f>IFERROR(__xludf.DUMMYFUNCTION("GOOGLETRANSLATE(C374, ""en"", ""hi"")"),"A) जोहान्सबर्ग, B) केप टाउन, C) नैरोबी, D) काहिरा")</f>
        <v>A) जोहान्सबर्ग, B) केप टाउन, C) नैरोबी, D) काहिरा</v>
      </c>
      <c r="I374" s="5" t="str">
        <f>IFERROR(__xludf.DUMMYFUNCTION("GOOGLETRANSLATE(D374, ""en"", ""hi"")"),"A) जोहान्सबर्ग")</f>
        <v>A) जोहान्सबर्ग</v>
      </c>
    </row>
    <row r="375" ht="22.5" customHeight="1">
      <c r="A375" s="3">
        <v>374.0</v>
      </c>
      <c r="B375" s="4" t="s">
        <v>8454</v>
      </c>
      <c r="C375" s="4" t="s">
        <v>8424</v>
      </c>
      <c r="D375" s="4" t="s">
        <v>8425</v>
      </c>
      <c r="F375" s="5" t="str">
        <f>IFERROR(__xludf.DUMMYFUNCTION("GOOGLETRANSLATE(A375, ""en"", ""hi"")"),"374")</f>
        <v>374</v>
      </c>
      <c r="G375" s="5" t="str">
        <f>IFERROR(__xludf.DUMMYFUNCTION("GOOGLETRANSLATE(B375, ""en"", ""hi"")"),"1980 के दशक में किस कैरम खिलाड़ी को उसकी नवीन रणनीतियों के लिए पहचाना गया?")</f>
        <v>1980 के दशक में किस कैरम खिलाड़ी को उसकी नवीन रणनीतियों के लिए पहचाना गया?</v>
      </c>
      <c r="H375" s="5" t="str">
        <f>IFERROR(__xludf.DUMMYFUNCTION("GOOGLETRANSLATE(C375, ""en"", ""hi"")"),"ए) राजेश मेहता, बी) योगेश परदेशी, सी) वी.के. गुप्ता, डी) एंथोनी इरुदायम")</f>
        <v>ए) राजेश मेहता, बी) योगेश परदेशी, सी) वी.के. गुप्ता, डी) एंथोनी इरुदायम</v>
      </c>
      <c r="I375" s="5" t="str">
        <f>IFERROR(__xludf.DUMMYFUNCTION("GOOGLETRANSLATE(D375, ""en"", ""hi"")"),"D) एंथनी इरुदयम")</f>
        <v>D) एंथनी इरुदयम</v>
      </c>
    </row>
    <row r="376" ht="22.5" customHeight="1">
      <c r="A376" s="3">
        <v>375.0</v>
      </c>
      <c r="B376" s="4" t="s">
        <v>8068</v>
      </c>
      <c r="C376" s="4" t="s">
        <v>8455</v>
      </c>
      <c r="D376" s="4" t="s">
        <v>4934</v>
      </c>
      <c r="F376" s="5" t="str">
        <f>IFERROR(__xludf.DUMMYFUNCTION("GOOGLETRANSLATE(A376, ""en"", ""hi"")"),"375")</f>
        <v>375</v>
      </c>
      <c r="G376" s="5" t="str">
        <f>IFERROR(__xludf.DUMMYFUNCTION("GOOGLETRANSLATE(B376, ""en"", ""hi"")"),"महिलाओं के लिए पहली कैरम विश्व चैम्पियनशिप किस वर्ष आयोजित की गई थी?")</f>
        <v>महिलाओं के लिए पहली कैरम विश्व चैम्पियनशिप किस वर्ष आयोजित की गई थी?</v>
      </c>
      <c r="H376" s="5" t="str">
        <f>IFERROR(__xludf.DUMMYFUNCTION("GOOGLETRANSLATE(C376, ""en"", ""hi"")"),"ए) 1993, बी) 1995, सी) 1996, डी) 1998")</f>
        <v>ए) 1993, बी) 1995, सी) 1996, डी) 1998</v>
      </c>
      <c r="I376" s="5" t="str">
        <f>IFERROR(__xludf.DUMMYFUNCTION("GOOGLETRANSLATE(D376, ""en"", ""hi"")"),"बी) 1995")</f>
        <v>बी) 1995</v>
      </c>
    </row>
    <row r="377" ht="22.5" customHeight="1">
      <c r="A377" s="3">
        <v>376.0</v>
      </c>
      <c r="B377" s="4" t="s">
        <v>8456</v>
      </c>
      <c r="C377" s="4" t="s">
        <v>8443</v>
      </c>
      <c r="D377" s="4" t="s">
        <v>7724</v>
      </c>
      <c r="F377" s="5" t="str">
        <f>IFERROR(__xludf.DUMMYFUNCTION("GOOGLETRANSLATE(A377, ""en"", ""hi"")"),"376")</f>
        <v>376</v>
      </c>
      <c r="G377" s="5" t="str">
        <f>IFERROR(__xludf.DUMMYFUNCTION("GOOGLETRANSLATE(B377, ""en"", ""hi"")"),"भारत का कौन सा कैरम खिलाड़ी 2000 में विश्व चैंपियनशिप जीतने वाला पहला खिलाड़ी था?")</f>
        <v>भारत का कौन सा कैरम खिलाड़ी 2000 में विश्व चैंपियनशिप जीतने वाला पहला खिलाड़ी था?</v>
      </c>
      <c r="H377" s="5" t="str">
        <f>IFERROR(__xludf.DUMMYFUNCTION("GOOGLETRANSLATE(C377, ""en"", ""hi"")"),"ए) योगेश परदेशी, बी) रश्मी कुमारी, सी) एंथोनी इरुदायम, डी) वी. के. गुप्ता")</f>
        <v>ए) योगेश परदेशी, बी) रश्मी कुमारी, सी) एंथोनी इरुदायम, डी) वी. के. गुप्ता</v>
      </c>
      <c r="I377" s="5" t="str">
        <f>IFERROR(__xludf.DUMMYFUNCTION("GOOGLETRANSLATE(D377, ""en"", ""hi"")"),"A) योगेश परदेशी")</f>
        <v>A) योगेश परदेशी</v>
      </c>
    </row>
    <row r="378" ht="22.5" customHeight="1">
      <c r="A378" s="3">
        <v>377.0</v>
      </c>
      <c r="B378" s="4" t="s">
        <v>8457</v>
      </c>
      <c r="C378" s="4" t="s">
        <v>8378</v>
      </c>
      <c r="D378" s="4" t="s">
        <v>8458</v>
      </c>
      <c r="F378" s="5" t="str">
        <f>IFERROR(__xludf.DUMMYFUNCTION("GOOGLETRANSLATE(A378, ""en"", ""hi"")"),"377")</f>
        <v>377</v>
      </c>
      <c r="G378" s="5" t="str">
        <f>IFERROR(__xludf.DUMMYFUNCTION("GOOGLETRANSLATE(B378, ""en"", ""hi"")"),"उन्नत घर्षण प्रतिरोधी सतह वाला पहला कैरम बोर्ड किस वर्ष पेश किया गया था?")</f>
        <v>उन्नत घर्षण प्रतिरोधी सतह वाला पहला कैरम बोर्ड किस वर्ष पेश किया गया था?</v>
      </c>
      <c r="H378" s="5" t="str">
        <f>IFERROR(__xludf.DUMMYFUNCTION("GOOGLETRANSLATE(C378, ""en"", ""hi"")"),"ए) 1997, बी) 1999, सी) 2000, डी) 2002")</f>
        <v>ए) 1997, बी) 1999, सी) 2000, डी) 2002</v>
      </c>
      <c r="I378" s="5" t="str">
        <f>IFERROR(__xludf.DUMMYFUNCTION("GOOGLETRANSLATE(D378, ""en"", ""hi"")"),"डी) 2002")</f>
        <v>डी) 2002</v>
      </c>
    </row>
    <row r="379" ht="22.5" customHeight="1">
      <c r="A379" s="3">
        <v>378.0</v>
      </c>
      <c r="B379" s="4" t="s">
        <v>8459</v>
      </c>
      <c r="C379" s="4" t="s">
        <v>8371</v>
      </c>
      <c r="D379" s="4" t="s">
        <v>549</v>
      </c>
      <c r="F379" s="5" t="str">
        <f>IFERROR(__xludf.DUMMYFUNCTION("GOOGLETRANSLATE(A379, ""en"", ""hi"")"),"378")</f>
        <v>378</v>
      </c>
      <c r="G379" s="5" t="str">
        <f>IFERROR(__xludf.DUMMYFUNCTION("GOOGLETRANSLATE(B379, ""en"", ""hi"")"),"किस भारतीय शहर ने 2008 में वरिष्ठ नागरिकों के लिए पहली कैरम विश्व चैम्पियनशिप की मेजबानी की थी?")</f>
        <v>किस भारतीय शहर ने 2008 में वरिष्ठ नागरिकों के लिए पहली कैरम विश्व चैम्पियनशिप की मेजबानी की थी?</v>
      </c>
      <c r="H379" s="5" t="str">
        <f>IFERROR(__xludf.DUMMYFUNCTION("GOOGLETRANSLATE(C379, ""en"", ""hi"")"),"A) मुंबई, B) चेन्नई, C) बैंगलोर, D) दिल्ली")</f>
        <v>A) मुंबई, B) चेन्नई, C) बैंगलोर, D) दिल्ली</v>
      </c>
      <c r="I379" s="5" t="str">
        <f>IFERROR(__xludf.DUMMYFUNCTION("GOOGLETRANSLATE(D379, ""en"", ""hi"")"),"ए) मुंबई")</f>
        <v>ए) मुंबई</v>
      </c>
    </row>
    <row r="380" ht="22.5" customHeight="1">
      <c r="A380" s="3">
        <v>379.0</v>
      </c>
      <c r="B380" s="4" t="s">
        <v>8435</v>
      </c>
      <c r="C380" s="4" t="s">
        <v>8460</v>
      </c>
      <c r="D380" s="4" t="s">
        <v>8289</v>
      </c>
      <c r="F380" s="5" t="str">
        <f>IFERROR(__xludf.DUMMYFUNCTION("GOOGLETRANSLATE(A380, ""en"", ""hi"")"),"379")</f>
        <v>379</v>
      </c>
      <c r="G380" s="5" t="str">
        <f>IFERROR(__xludf.DUMMYFUNCTION("GOOGLETRANSLATE(B380, ""en"", ""hi"")"),"जूनियर वर्ग के लिए पहली कैरम विश्व चैम्पियनशिप किस शहर में आयोजित की गई थी?")</f>
        <v>जूनियर वर्ग के लिए पहली कैरम विश्व चैम्पियनशिप किस शहर में आयोजित की गई थी?</v>
      </c>
      <c r="H380" s="5" t="str">
        <f>IFERROR(__xludf.DUMMYFUNCTION("GOOGLETRANSLATE(C380, ""en"", ""hi"")"),"A) कोलंबो, B) चेन्नई, C) कराची, D) मुंबई")</f>
        <v>A) कोलंबो, B) चेन्नई, C) कराची, D) मुंबई</v>
      </c>
      <c r="I380" s="5" t="str">
        <f>IFERROR(__xludf.DUMMYFUNCTION("GOOGLETRANSLATE(D380, ""en"", ""hi"")"),"ए) कोलंबो")</f>
        <v>ए) कोलंबो</v>
      </c>
    </row>
    <row r="381" ht="22.5" customHeight="1">
      <c r="A381" s="3">
        <v>380.0</v>
      </c>
      <c r="B381" s="4" t="s">
        <v>8461</v>
      </c>
      <c r="C381" s="4" t="s">
        <v>8462</v>
      </c>
      <c r="D381" s="4" t="s">
        <v>8399</v>
      </c>
      <c r="F381" s="5" t="str">
        <f>IFERROR(__xludf.DUMMYFUNCTION("GOOGLETRANSLATE(A381, ""en"", ""hi"")"),"380")</f>
        <v>380</v>
      </c>
      <c r="G381" s="5" t="str">
        <f>IFERROR(__xludf.DUMMYFUNCTION("GOOGLETRANSLATE(B381, ""en"", ""hi"")"),"बांग्लादेश के किस कैरम खिलाड़ी ने 2002 में विश्व चैंपियनशिप जीती?")</f>
        <v>बांग्लादेश के किस कैरम खिलाड़ी ने 2002 में विश्व चैंपियनशिप जीती?</v>
      </c>
      <c r="H381" s="5" t="str">
        <f>IFERROR(__xludf.DUMMYFUNCTION("GOOGLETRANSLATE(C381, ""en"", ""hi"")"),"A) मोहम्मद मोहसिन, B) अकरम हुसैन, C) बिलाल अहमद, D) सैयद अली")</f>
        <v>A) मोहम्मद मोहसिन, B) अकरम हुसैन, C) बिलाल अहमद, D) सैयद अली</v>
      </c>
      <c r="I381" s="5" t="str">
        <f>IFERROR(__xludf.DUMMYFUNCTION("GOOGLETRANSLATE(D381, ""en"", ""hi"")"),"बी) अकरम हुसैन")</f>
        <v>बी) अकरम हुसैन</v>
      </c>
    </row>
    <row r="382" ht="22.5" customHeight="1">
      <c r="A382" s="3">
        <v>381.0</v>
      </c>
      <c r="B382" s="4" t="s">
        <v>8463</v>
      </c>
      <c r="C382" s="4" t="s">
        <v>8464</v>
      </c>
      <c r="D382" s="4" t="s">
        <v>8465</v>
      </c>
      <c r="F382" s="5" t="str">
        <f>IFERROR(__xludf.DUMMYFUNCTION("GOOGLETRANSLATE(A382, ""en"", ""hi"")"),"381")</f>
        <v>381</v>
      </c>
      <c r="G382" s="5" t="str">
        <f>IFERROR(__xludf.DUMMYFUNCTION("GOOGLETRANSLATE(B382, ""en"", ""hi"")"),"एकीकृत एलईडी प्रकाश व्यवस्था वाला पहला कैरम बोर्ड किस वर्ष पेश किया गया था?")</f>
        <v>एकीकृत एलईडी प्रकाश व्यवस्था वाला पहला कैरम बोर्ड किस वर्ष पेश किया गया था?</v>
      </c>
      <c r="H382" s="5" t="str">
        <f>IFERROR(__xludf.DUMMYFUNCTION("GOOGLETRANSLATE(C382, ""en"", ""hi"")"),"ए) 1999, बी) 2000, सी) 2002, डी) 2004")</f>
        <v>ए) 1999, बी) 2000, सी) 2002, डी) 2004</v>
      </c>
      <c r="I382" s="5" t="str">
        <f>IFERROR(__xludf.DUMMYFUNCTION("GOOGLETRANSLATE(D382, ""en"", ""hi"")"),"सी) 2002")</f>
        <v>सी) 2002</v>
      </c>
    </row>
    <row r="383" ht="22.5" customHeight="1">
      <c r="A383" s="3">
        <v>382.0</v>
      </c>
      <c r="B383" s="4" t="s">
        <v>8466</v>
      </c>
      <c r="C383" s="4" t="s">
        <v>8350</v>
      </c>
      <c r="D383" s="4" t="s">
        <v>8380</v>
      </c>
      <c r="F383" s="5" t="str">
        <f>IFERROR(__xludf.DUMMYFUNCTION("GOOGLETRANSLATE(A383, ""en"", ""hi"")"),"382")</f>
        <v>382</v>
      </c>
      <c r="G383" s="5" t="str">
        <f>IFERROR(__xludf.DUMMYFUNCTION("GOOGLETRANSLATE(B383, ""en"", ""hi"")"),"1998 में पाकिस्तान की ओर से विश्व चैंपियनशिप जीतने वाला पहला कैरम खिलाड़ी कौन था?")</f>
        <v>1998 में पाकिस्तान की ओर से विश्व चैंपियनशिप जीतने वाला पहला कैरम खिलाड़ी कौन था?</v>
      </c>
      <c r="H383" s="5" t="str">
        <f>IFERROR(__xludf.DUMMYFUNCTION("GOOGLETRANSLATE(C383, ""en"", ""hi"")"),"ए) तारिक महमूद, बी) जाहिद खान, सी) बिलाल अहमद, डी) सैयद अली")</f>
        <v>ए) तारिक महमूद, बी) जाहिद खान, सी) बिलाल अहमद, डी) सैयद अली</v>
      </c>
      <c r="I383" s="5" t="str">
        <f>IFERROR(__xludf.DUMMYFUNCTION("GOOGLETRANSLATE(D383, ""en"", ""hi"")"),"B) जाहिद खान")</f>
        <v>B) जाहिद खान</v>
      </c>
    </row>
    <row r="384" ht="22.5" customHeight="1">
      <c r="A384" s="3">
        <v>383.0</v>
      </c>
      <c r="B384" s="4" t="s">
        <v>8223</v>
      </c>
      <c r="C384" s="4" t="s">
        <v>8144</v>
      </c>
      <c r="D384" s="4" t="s">
        <v>8411</v>
      </c>
      <c r="F384" s="5" t="str">
        <f>IFERROR(__xludf.DUMMYFUNCTION("GOOGLETRANSLATE(A384, ""en"", ""hi"")"),"383")</f>
        <v>383</v>
      </c>
      <c r="G384" s="5" t="str">
        <f>IFERROR(__xludf.DUMMYFUNCTION("GOOGLETRANSLATE(B384, ""en"", ""hi"")"),"कैरम पहली बार दक्षिण एशियाई खेलों में किस वर्ष शामिल हुआ?")</f>
        <v>कैरम पहली बार दक्षिण एशियाई खेलों में किस वर्ष शामिल हुआ?</v>
      </c>
      <c r="H384" s="5" t="str">
        <f>IFERROR(__xludf.DUMMYFUNCTION("GOOGLETRANSLATE(C384, ""en"", ""hi"")"),"ए) 1998, बी) 2000, सी) 2002, डी) 2004")</f>
        <v>ए) 1998, बी) 2000, सी) 2002, डी) 2004</v>
      </c>
      <c r="I384" s="5" t="str">
        <f>IFERROR(__xludf.DUMMYFUNCTION("GOOGLETRANSLATE(D384, ""en"", ""hi"")"),"ए) 1998")</f>
        <v>ए) 1998</v>
      </c>
    </row>
    <row r="385" ht="22.5" customHeight="1">
      <c r="A385" s="3">
        <v>384.0</v>
      </c>
      <c r="B385" s="4" t="s">
        <v>8467</v>
      </c>
      <c r="C385" s="4" t="s">
        <v>8424</v>
      </c>
      <c r="D385" s="4" t="s">
        <v>8108</v>
      </c>
      <c r="F385" s="5" t="str">
        <f>IFERROR(__xludf.DUMMYFUNCTION("GOOGLETRANSLATE(A385, ""en"", ""hi"")"),"384")</f>
        <v>384</v>
      </c>
      <c r="G385" s="5" t="str">
        <f>IFERROR(__xludf.DUMMYFUNCTION("GOOGLETRANSLATE(B385, ""en"", ""hi"")"),"1990 के दशक में कौन सा कैरम खिलाड़ी अपनी अनोखी आक्रामक तकनीकों के लिए जाना जाता था?")</f>
        <v>1990 के दशक में कौन सा कैरम खिलाड़ी अपनी अनोखी आक्रामक तकनीकों के लिए जाना जाता था?</v>
      </c>
      <c r="H385" s="5" t="str">
        <f>IFERROR(__xludf.DUMMYFUNCTION("GOOGLETRANSLATE(C385, ""en"", ""hi"")"),"ए) राजेश मेहता, बी) योगेश परदेशी, सी) वी.के. गुप्ता, डी) एंथोनी इरुदायम")</f>
        <v>ए) राजेश मेहता, बी) योगेश परदेशी, सी) वी.के. गुप्ता, डी) एंथोनी इरुदायम</v>
      </c>
      <c r="I385" s="5" t="str">
        <f>IFERROR(__xludf.DUMMYFUNCTION("GOOGLETRANSLATE(D385, ""en"", ""hi"")"),"B) योगेश परदेशी")</f>
        <v>B) योगेश परदेशी</v>
      </c>
    </row>
    <row r="386" ht="22.5" customHeight="1">
      <c r="A386" s="3">
        <v>385.0</v>
      </c>
      <c r="B386" s="4" t="s">
        <v>8468</v>
      </c>
      <c r="C386" s="4" t="s">
        <v>8309</v>
      </c>
      <c r="D386" s="4" t="s">
        <v>8310</v>
      </c>
      <c r="F386" s="5" t="str">
        <f>IFERROR(__xludf.DUMMYFUNCTION("GOOGLETRANSLATE(A386, ""en"", ""hi"")"),"385")</f>
        <v>385</v>
      </c>
      <c r="G386" s="5" t="str">
        <f>IFERROR(__xludf.DUMMYFUNCTION("GOOGLETRANSLATE(B386, ""en"", ""hi"")"),"मिश्रित युगल के लिए पहली कैरम विश्व चैम्पियनशिप किस वर्ष आयोजित की गई थी?")</f>
        <v>मिश्रित युगल के लिए पहली कैरम विश्व चैम्पियनशिप किस वर्ष आयोजित की गई थी?</v>
      </c>
      <c r="H386" s="5" t="str">
        <f>IFERROR(__xludf.DUMMYFUNCTION("GOOGLETRANSLATE(C386, ""en"", ""hi"")"),"ए) 1994, बी) 1996, सी) 1998, डी) 2000")</f>
        <v>ए) 1994, बी) 1996, सी) 1998, डी) 2000</v>
      </c>
      <c r="I386" s="5" t="str">
        <f>IFERROR(__xludf.DUMMYFUNCTION("GOOGLETRANSLATE(D386, ""en"", ""hi"")"),"ए) 1994")</f>
        <v>ए) 1994</v>
      </c>
    </row>
    <row r="387" ht="22.5" customHeight="1">
      <c r="A387" s="3">
        <v>386.0</v>
      </c>
      <c r="B387" s="4" t="s">
        <v>8469</v>
      </c>
      <c r="C387" s="4" t="s">
        <v>171</v>
      </c>
      <c r="D387" s="4" t="s">
        <v>172</v>
      </c>
      <c r="F387" s="5" t="str">
        <f>IFERROR(__xludf.DUMMYFUNCTION("GOOGLETRANSLATE(A387, ""en"", ""hi"")"),"386")</f>
        <v>386</v>
      </c>
      <c r="G387" s="5" t="str">
        <f>IFERROR(__xludf.DUMMYFUNCTION("GOOGLETRANSLATE(B387, ""en"", ""hi"")"),"कौन सा भारतीय राज्य कैरम को अपनी राज्य स्तरीय खेल प्रतियोगिताओं में शामिल करने वाला पहला राज्य था?")</f>
        <v>कौन सा भारतीय राज्य कैरम को अपनी राज्य स्तरीय खेल प्रतियोगिताओं में शामिल करने वाला पहला राज्य था?</v>
      </c>
      <c r="H387" s="5" t="str">
        <f>IFERROR(__xludf.DUMMYFUNCTION("GOOGLETRANSLATE(C387, ""en"", ""hi"")"),"A) केरल, B) तमिलनाडु, C) कर्नाटक, D) आंध्र प्रदेश")</f>
        <v>A) केरल, B) तमिलनाडु, C) कर्नाटक, D) आंध्र प्रदेश</v>
      </c>
      <c r="I387" s="5" t="str">
        <f>IFERROR(__xludf.DUMMYFUNCTION("GOOGLETRANSLATE(D387, ""en"", ""hi"")"),"A) केरल")</f>
        <v>A) केरल</v>
      </c>
    </row>
    <row r="388" ht="22.5" customHeight="1">
      <c r="A388" s="3">
        <v>387.0</v>
      </c>
      <c r="B388" s="4" t="s">
        <v>8457</v>
      </c>
      <c r="C388" s="4" t="s">
        <v>8378</v>
      </c>
      <c r="D388" s="4" t="s">
        <v>8458</v>
      </c>
      <c r="F388" s="5" t="str">
        <f>IFERROR(__xludf.DUMMYFUNCTION("GOOGLETRANSLATE(A388, ""en"", ""hi"")"),"387")</f>
        <v>387</v>
      </c>
      <c r="G388" s="5" t="str">
        <f>IFERROR(__xludf.DUMMYFUNCTION("GOOGLETRANSLATE(B388, ""en"", ""hi"")"),"उन्नत घर्षण प्रतिरोधी सतह वाला पहला कैरम बोर्ड किस वर्ष पेश किया गया था?")</f>
        <v>उन्नत घर्षण प्रतिरोधी सतह वाला पहला कैरम बोर्ड किस वर्ष पेश किया गया था?</v>
      </c>
      <c r="H388" s="5" t="str">
        <f>IFERROR(__xludf.DUMMYFUNCTION("GOOGLETRANSLATE(C388, ""en"", ""hi"")"),"ए) 1997, बी) 1999, सी) 2000, डी) 2002")</f>
        <v>ए) 1997, बी) 1999, सी) 2000, डी) 2002</v>
      </c>
      <c r="I388" s="5" t="str">
        <f>IFERROR(__xludf.DUMMYFUNCTION("GOOGLETRANSLATE(D388, ""en"", ""hi"")"),"डी) 2002")</f>
        <v>डी) 2002</v>
      </c>
    </row>
    <row r="389" ht="22.5" customHeight="1">
      <c r="A389" s="3">
        <v>388.0</v>
      </c>
      <c r="B389" s="4" t="s">
        <v>8470</v>
      </c>
      <c r="C389" s="4" t="s">
        <v>8408</v>
      </c>
      <c r="D389" s="4" t="s">
        <v>8409</v>
      </c>
      <c r="F389" s="5" t="str">
        <f>IFERROR(__xludf.DUMMYFUNCTION("GOOGLETRANSLATE(A389, ""en"", ""hi"")"),"388")</f>
        <v>388</v>
      </c>
      <c r="G389" s="5" t="str">
        <f>IFERROR(__xludf.DUMMYFUNCTION("GOOGLETRANSLATE(B389, ""en"", ""hi"")"),"1995 में श्रीलंका की ओर से विश्व चैंपियनशिप जीतने वाला पहला कैरम खिलाड़ी कौन था?")</f>
        <v>1995 में श्रीलंका की ओर से विश्व चैंपियनशिप जीतने वाला पहला कैरम खिलाड़ी कौन था?</v>
      </c>
      <c r="H389" s="5" t="str">
        <f>IFERROR(__xludf.DUMMYFUNCTION("GOOGLETRANSLATE(C389, ""en"", ""hi"")"),"ए) चामिल कुरे, बी) निमल दिसानायके, सी) शिरन फर्नांडो, डी) धर्मेंद्र राणावीरा")</f>
        <v>ए) चामिल कुरे, बी) निमल दिसानायके, सी) शिरन फर्नांडो, डी) धर्मेंद्र राणावीरा</v>
      </c>
      <c r="I389" s="5" t="str">
        <f>IFERROR(__xludf.DUMMYFUNCTION("GOOGLETRANSLATE(D389, ""en"", ""hi"")"),"D) धर्मेंद्र रणवीरा")</f>
        <v>D) धर्मेंद्र रणवीरा</v>
      </c>
    </row>
    <row r="390" ht="22.5" customHeight="1">
      <c r="A390" s="3">
        <v>389.0</v>
      </c>
      <c r="B390" s="4" t="s">
        <v>8471</v>
      </c>
      <c r="C390" s="4" t="s">
        <v>8165</v>
      </c>
      <c r="D390" s="4" t="s">
        <v>6132</v>
      </c>
      <c r="F390" s="5" t="str">
        <f>IFERROR(__xludf.DUMMYFUNCTION("GOOGLETRANSLATE(A390, ""en"", ""hi"")"),"389")</f>
        <v>389</v>
      </c>
      <c r="G390" s="5" t="str">
        <f>IFERROR(__xludf.DUMMYFUNCTION("GOOGLETRANSLATE(B390, ""en"", ""hi"")"),"कैरम विश्व चैम्पियनशिप पहली बार उत्तरी अमेरिका में किस वर्ष आयोजित की गई थी?")</f>
        <v>कैरम विश्व चैम्पियनशिप पहली बार उत्तरी अमेरिका में किस वर्ष आयोजित की गई थी?</v>
      </c>
      <c r="H390" s="5" t="str">
        <f>IFERROR(__xludf.DUMMYFUNCTION("GOOGLETRANSLATE(C390, ""en"", ""hi"")"),"ए) 2000, बी) 2002, सी) 2004, डी) 2006")</f>
        <v>ए) 2000, बी) 2002, सी) 2004, डी) 2006</v>
      </c>
      <c r="I390" s="5" t="str">
        <f>IFERROR(__xludf.DUMMYFUNCTION("GOOGLETRANSLATE(D390, ""en"", ""hi"")"),"ए) 2000")</f>
        <v>ए) 2000</v>
      </c>
    </row>
    <row r="391" ht="22.5" customHeight="1">
      <c r="A391" s="3">
        <v>390.0</v>
      </c>
      <c r="B391" s="4" t="s">
        <v>8472</v>
      </c>
      <c r="C391" s="4" t="s">
        <v>8298</v>
      </c>
      <c r="D391" s="4" t="s">
        <v>8299</v>
      </c>
      <c r="F391" s="5" t="str">
        <f>IFERROR(__xludf.DUMMYFUNCTION("GOOGLETRANSLATE(A391, ""en"", ""hi"")"),"390")</f>
        <v>390</v>
      </c>
      <c r="G391" s="5" t="str">
        <f>IFERROR(__xludf.DUMMYFUNCTION("GOOGLETRANSLATE(B391, ""en"", ""hi"")"),"पुरुषों के लिए पहली कैरम विश्व चैम्पियनशिप किस शहर में आयोजित की गई थी?")</f>
        <v>पुरुषों के लिए पहली कैरम विश्व चैम्पियनशिप किस शहर में आयोजित की गई थी?</v>
      </c>
      <c r="H391" s="5" t="str">
        <f>IFERROR(__xludf.DUMMYFUNCTION("GOOGLETRANSLATE(C391, ""en"", ""hi"")"),"A) मुंबई, B) चेन्नई, C) कोलंबो, D) कराची")</f>
        <v>A) मुंबई, B) चेन्नई, C) कोलंबो, D) कराची</v>
      </c>
      <c r="I391" s="5" t="str">
        <f>IFERROR(__xludf.DUMMYFUNCTION("GOOGLETRANSLATE(D391, ""en"", ""hi"")"),"C) कोलंबो")</f>
        <v>C) कोलंबो</v>
      </c>
    </row>
    <row r="392" ht="22.5" customHeight="1">
      <c r="A392" s="3">
        <v>391.0</v>
      </c>
      <c r="B392" s="4" t="s">
        <v>8473</v>
      </c>
      <c r="C392" s="4" t="s">
        <v>24</v>
      </c>
      <c r="D392" s="4" t="s">
        <v>25</v>
      </c>
      <c r="F392" s="5" t="str">
        <f>IFERROR(__xludf.DUMMYFUNCTION("GOOGLETRANSLATE(A392, ""en"", ""hi"")"),"391")</f>
        <v>391</v>
      </c>
      <c r="G392" s="5" t="str">
        <f>IFERROR(__xludf.DUMMYFUNCTION("GOOGLETRANSLATE(B392, ""en"", ""hi"")"),"अंतर्राष्ट्रीय कैरम महासंघ (ICF) की स्थापना किस वर्ष हुई थी?")</f>
        <v>अंतर्राष्ट्रीय कैरम महासंघ (ICF) की स्थापना किस वर्ष हुई थी?</v>
      </c>
      <c r="H392" s="5" t="str">
        <f>IFERROR(__xludf.DUMMYFUNCTION("GOOGLETRANSLATE(C392, ""en"", ""hi"")"),"ए) 1980, बी) 1985, सी) 1990, डी) 1995")</f>
        <v>ए) 1980, बी) 1985, सी) 1990, डी) 1995</v>
      </c>
      <c r="I392" s="5" t="str">
        <f>IFERROR(__xludf.DUMMYFUNCTION("GOOGLETRANSLATE(D392, ""en"", ""hi"")"),"बी) 1985")</f>
        <v>बी) 1985</v>
      </c>
    </row>
    <row r="393" ht="22.5" customHeight="1">
      <c r="A393" s="3">
        <v>392.0</v>
      </c>
      <c r="B393" s="4" t="s">
        <v>8474</v>
      </c>
      <c r="C393" s="4" t="s">
        <v>8475</v>
      </c>
      <c r="D393" s="4" t="s">
        <v>8330</v>
      </c>
      <c r="F393" s="5" t="str">
        <f>IFERROR(__xludf.DUMMYFUNCTION("GOOGLETRANSLATE(A393, ""en"", ""hi"")"),"392")</f>
        <v>392</v>
      </c>
      <c r="G393" s="5" t="str">
        <f>IFERROR(__xludf.DUMMYFUNCTION("GOOGLETRANSLATE(B393, ""en"", ""hi"")"),"1989 में पहली कैरम विश्व चैम्पियनशिप किस शहर में आयोजित की गई थी?")</f>
        <v>1989 में पहली कैरम विश्व चैम्पियनशिप किस शहर में आयोजित की गई थी?</v>
      </c>
      <c r="H393" s="5" t="str">
        <f>IFERROR(__xludf.DUMMYFUNCTION("GOOGLETRANSLATE(C393, ""en"", ""hi"")"),"A) मुंबई, B) कोलंबो, C) चेन्नई, D) कराची")</f>
        <v>A) मुंबई, B) कोलंबो, C) चेन्नई, D) कराची</v>
      </c>
      <c r="I393" s="5" t="str">
        <f>IFERROR(__xludf.DUMMYFUNCTION("GOOGLETRANSLATE(D393, ""en"", ""hi"")"),"बी) कोलंबो")</f>
        <v>बी) कोलंबो</v>
      </c>
    </row>
    <row r="394" ht="22.5" customHeight="1">
      <c r="A394" s="3">
        <v>393.0</v>
      </c>
      <c r="B394" s="4" t="s">
        <v>8476</v>
      </c>
      <c r="C394" s="4" t="s">
        <v>8477</v>
      </c>
      <c r="D394" s="4" t="s">
        <v>8478</v>
      </c>
      <c r="F394" s="5" t="str">
        <f>IFERROR(__xludf.DUMMYFUNCTION("GOOGLETRANSLATE(A394, ""en"", ""hi"")"),"393")</f>
        <v>393</v>
      </c>
      <c r="G394" s="5" t="str">
        <f>IFERROR(__xludf.DUMMYFUNCTION("GOOGLETRANSLATE(B394, ""en"", ""hi"")"),"कैरम फेडरेशन ऑफ इंडिया की स्थापना किस वर्ष हुई थी?")</f>
        <v>कैरम फेडरेशन ऑफ इंडिया की स्थापना किस वर्ष हुई थी?</v>
      </c>
      <c r="H394" s="5" t="str">
        <f>IFERROR(__xludf.DUMMYFUNCTION("GOOGLETRANSLATE(C394, ""en"", ""hi"")"),"ए) 1980, बी) 1985, सी) 1988, डी) 1990")</f>
        <v>ए) 1980, बी) 1985, सी) 1988, डी) 1990</v>
      </c>
      <c r="I394" s="5" t="str">
        <f>IFERROR(__xludf.DUMMYFUNCTION("GOOGLETRANSLATE(D394, ""en"", ""hi"")"),"सी) 1988")</f>
        <v>सी) 1988</v>
      </c>
    </row>
    <row r="395" ht="22.5" customHeight="1">
      <c r="A395" s="3">
        <v>394.0</v>
      </c>
      <c r="B395" s="4" t="s">
        <v>8479</v>
      </c>
      <c r="C395" s="4" t="s">
        <v>2431</v>
      </c>
      <c r="D395" s="4" t="s">
        <v>2424</v>
      </c>
      <c r="F395" s="5" t="str">
        <f>IFERROR(__xludf.DUMMYFUNCTION("GOOGLETRANSLATE(A395, ""en"", ""hi"")"),"394")</f>
        <v>394</v>
      </c>
      <c r="G395" s="5" t="str">
        <f>IFERROR(__xludf.DUMMYFUNCTION("GOOGLETRANSLATE(B395, ""en"", ""hi"")"),"1992 में पहली कैरम विश्व चैम्पियनशिप किस भारतीय राज्य में आयोजित की गई थी?")</f>
        <v>1992 में पहली कैरम विश्व चैम्पियनशिप किस भारतीय राज्य में आयोजित की गई थी?</v>
      </c>
      <c r="H395" s="5" t="str">
        <f>IFERROR(__xludf.DUMMYFUNCTION("GOOGLETRANSLATE(C395, ""en"", ""hi"")"),"A) दिल्ली, B) चेन्नई, C) बैंगलोर, D) मुंबई")</f>
        <v>A) दिल्ली, B) चेन्नई, C) बैंगलोर, D) मुंबई</v>
      </c>
      <c r="I395" s="5" t="str">
        <f>IFERROR(__xludf.DUMMYFUNCTION("GOOGLETRANSLATE(D395, ""en"", ""hi"")"),"D) मुंबई")</f>
        <v>D) मुंबई</v>
      </c>
    </row>
    <row r="396" ht="22.5" customHeight="1">
      <c r="A396" s="3">
        <v>395.0</v>
      </c>
      <c r="B396" s="4" t="s">
        <v>8480</v>
      </c>
      <c r="C396" s="4" t="s">
        <v>8481</v>
      </c>
      <c r="D396" s="4" t="s">
        <v>7836</v>
      </c>
      <c r="F396" s="5" t="str">
        <f>IFERROR(__xludf.DUMMYFUNCTION("GOOGLETRANSLATE(A396, ""en"", ""hi"")"),"395")</f>
        <v>395</v>
      </c>
      <c r="G396" s="5" t="str">
        <f>IFERROR(__xludf.DUMMYFUNCTION("GOOGLETRANSLATE(B396, ""en"", ""hi"")"),"कैरम पहली बार एशियाई खेलों में किस वर्ष शामिल हुआ?")</f>
        <v>कैरम पहली बार एशियाई खेलों में किस वर्ष शामिल हुआ?</v>
      </c>
      <c r="H396" s="5" t="str">
        <f>IFERROR(__xludf.DUMMYFUNCTION("GOOGLETRANSLATE(C396, ""en"", ""hi"")"),"ए) 1994, बी) 1998, सी) 2002, डी) 2006")</f>
        <v>ए) 1994, बी) 1998, सी) 2002, डी) 2006</v>
      </c>
      <c r="I396" s="5" t="str">
        <f>IFERROR(__xludf.DUMMYFUNCTION("GOOGLETRANSLATE(D396, ""en"", ""hi"")"),"बी) 1998")</f>
        <v>बी) 1998</v>
      </c>
    </row>
    <row r="397" ht="22.5" customHeight="1">
      <c r="A397" s="3">
        <v>396.0</v>
      </c>
      <c r="B397" s="4" t="s">
        <v>8482</v>
      </c>
      <c r="C397" s="4" t="s">
        <v>8483</v>
      </c>
      <c r="D397" s="4" t="s">
        <v>8484</v>
      </c>
      <c r="F397" s="5" t="str">
        <f>IFERROR(__xludf.DUMMYFUNCTION("GOOGLETRANSLATE(A397, ""en"", ""hi"")"),"396")</f>
        <v>396</v>
      </c>
      <c r="G397" s="5" t="str">
        <f>IFERROR(__xludf.DUMMYFUNCTION("GOOGLETRANSLATE(B397, ""en"", ""hi"")"),"अंतर्निर्मित स्वचालित स्कोरर वाला पहला कैरम बोर्ड किस वर्ष पेश किया गया था?")</f>
        <v>अंतर्निर्मित स्वचालित स्कोरर वाला पहला कैरम बोर्ड किस वर्ष पेश किया गया था?</v>
      </c>
      <c r="H397" s="5" t="str">
        <f>IFERROR(__xludf.DUMMYFUNCTION("GOOGLETRANSLATE(C397, ""en"", ""hi"")"),"ए) 1995, बी) 1997, सी) 1999, डी) 2001")</f>
        <v>ए) 1995, बी) 1997, सी) 1999, डी) 2001</v>
      </c>
      <c r="I397" s="5" t="str">
        <f>IFERROR(__xludf.DUMMYFUNCTION("GOOGLETRANSLATE(D397, ""en"", ""hi"")"),"सी) 1999")</f>
        <v>सी) 1999</v>
      </c>
    </row>
    <row r="398" ht="22.5" customHeight="1">
      <c r="A398" s="3">
        <v>397.0</v>
      </c>
      <c r="B398" s="4" t="s">
        <v>8485</v>
      </c>
      <c r="C398" s="4" t="s">
        <v>8486</v>
      </c>
      <c r="D398" s="4" t="s">
        <v>8313</v>
      </c>
      <c r="F398" s="5" t="str">
        <f>IFERROR(__xludf.DUMMYFUNCTION("GOOGLETRANSLATE(A398, ""en"", ""hi"")"),"397")</f>
        <v>397</v>
      </c>
      <c r="G398" s="5" t="str">
        <f>IFERROR(__xludf.DUMMYFUNCTION("GOOGLETRANSLATE(B398, ""en"", ""hi"")"),"1993 में विश्व चैम्पियनशिप का खिताब जीतने वाला पहला कैरम खिलाड़ी कौन था?")</f>
        <v>1993 में विश्व चैम्पियनशिप का खिताब जीतने वाला पहला कैरम खिलाड़ी कौन था?</v>
      </c>
      <c r="H398" s="5" t="str">
        <f>IFERROR(__xludf.DUMMYFUNCTION("GOOGLETRANSLATE(C398, ""en"", ""hi"")"),"ए) तारिक महमूद, बी) वी.के. गुप्ता, सी) योगेश परदेशी, डी) रश्मी कुमारी")</f>
        <v>ए) तारिक महमूद, बी) वी.के. गुप्ता, सी) योगेश परदेशी, डी) रश्मी कुमारी</v>
      </c>
      <c r="I398" s="5" t="str">
        <f>IFERROR(__xludf.DUMMYFUNCTION("GOOGLETRANSLATE(D398, ""en"", ""hi"")"),"D) रश्मि कुमारी")</f>
        <v>D) रश्मि कुमारी</v>
      </c>
    </row>
    <row r="399" ht="22.5" customHeight="1">
      <c r="A399" s="3">
        <v>398.0</v>
      </c>
      <c r="B399" s="4" t="s">
        <v>8487</v>
      </c>
      <c r="C399" s="4" t="s">
        <v>6724</v>
      </c>
      <c r="D399" s="4" t="s">
        <v>6725</v>
      </c>
      <c r="F399" s="5" t="str">
        <f>IFERROR(__xludf.DUMMYFUNCTION("GOOGLETRANSLATE(A399, ""en"", ""hi"")"),"398")</f>
        <v>398</v>
      </c>
      <c r="G399" s="5" t="str">
        <f>IFERROR(__xludf.DUMMYFUNCTION("GOOGLETRANSLATE(B399, ""en"", ""hi"")"),"कैरम को पहली बार राष्ट्रमंडल खेलों में किस वर्ष शामिल किया गया था?")</f>
        <v>कैरम को पहली बार राष्ट्रमंडल खेलों में किस वर्ष शामिल किया गया था?</v>
      </c>
      <c r="H399" s="5" t="str">
        <f>IFERROR(__xludf.DUMMYFUNCTION("GOOGLETRANSLATE(C399, ""en"", ""hi"")"),"ए) 1998, बी) 2002, सी) 2006, डी) 2010")</f>
        <v>ए) 1998, बी) 2002, सी) 2006, डी) 2010</v>
      </c>
      <c r="I399" s="5" t="str">
        <f>IFERROR(__xludf.DUMMYFUNCTION("GOOGLETRANSLATE(D399, ""en"", ""hi"")"),"बी) 2002")</f>
        <v>बी) 2002</v>
      </c>
    </row>
    <row r="400" ht="22.5" customHeight="1">
      <c r="A400" s="3">
        <v>399.0</v>
      </c>
      <c r="B400" s="4" t="s">
        <v>8488</v>
      </c>
      <c r="C400" s="4" t="s">
        <v>2518</v>
      </c>
      <c r="D400" s="4" t="s">
        <v>766</v>
      </c>
      <c r="F400" s="5" t="str">
        <f>IFERROR(__xludf.DUMMYFUNCTION("GOOGLETRANSLATE(A400, ""en"", ""hi"")"),"399")</f>
        <v>399</v>
      </c>
      <c r="G400" s="5" t="str">
        <f>IFERROR(__xludf.DUMMYFUNCTION("GOOGLETRANSLATE(B400, ""en"", ""hi"")"),"1996 में पहला कैरम विश्व कप किस भारतीय शहर में आयोजित किया गया था?")</f>
        <v>1996 में पहला कैरम विश्व कप किस भारतीय शहर में आयोजित किया गया था?</v>
      </c>
      <c r="H400" s="5" t="str">
        <f>IFERROR(__xludf.DUMMYFUNCTION("GOOGLETRANSLATE(C400, ""en"", ""hi"")"),"A) चेन्नई, B) मुंबई, C) दिल्ली, D) बैंगलोर")</f>
        <v>A) चेन्नई, B) मुंबई, C) दिल्ली, D) बैंगलोर</v>
      </c>
      <c r="I400" s="5" t="str">
        <f>IFERROR(__xludf.DUMMYFUNCTION("GOOGLETRANSLATE(D400, ""en"", ""hi"")"),"C) दिल्ली")</f>
        <v>C) दिल्ली</v>
      </c>
    </row>
    <row r="401" ht="22.5" customHeight="1">
      <c r="A401" s="3">
        <v>400.0</v>
      </c>
      <c r="B401" s="4" t="s">
        <v>8489</v>
      </c>
      <c r="C401" s="4" t="s">
        <v>8490</v>
      </c>
      <c r="D401" s="4" t="s">
        <v>8453</v>
      </c>
      <c r="F401" s="5" t="str">
        <f>IFERROR(__xludf.DUMMYFUNCTION("GOOGLETRANSLATE(A401, ""en"", ""hi"")"),"400")</f>
        <v>400</v>
      </c>
      <c r="G401" s="5" t="str">
        <f>IFERROR(__xludf.DUMMYFUNCTION("GOOGLETRANSLATE(B401, ""en"", ""hi"")"),"एशिया के बाहर आयोजित पहली कैरम विश्व चैंपियनशिप किस शहर में हुई?")</f>
        <v>एशिया के बाहर आयोजित पहली कैरम विश्व चैंपियनशिप किस शहर में हुई?</v>
      </c>
      <c r="H401" s="5" t="str">
        <f>IFERROR(__xludf.DUMMYFUNCTION("GOOGLETRANSLATE(C401, ""en"", ""hi"")"),"A) जोहान्सबर्ग, B) सिडनी, C) लंदन, D) न्यूयॉर्क")</f>
        <v>A) जोहान्सबर्ग, B) सिडनी, C) लंदन, D) न्यूयॉर्क</v>
      </c>
      <c r="I401" s="5" t="str">
        <f>IFERROR(__xludf.DUMMYFUNCTION("GOOGLETRANSLATE(D401, ""en"", ""hi"")"),"A) जोहान्सबर्ग")</f>
        <v>A) जोहान्सबर्ग</v>
      </c>
    </row>
    <row r="402" ht="22.5" customHeight="1">
      <c r="A402" s="3">
        <v>401.0</v>
      </c>
      <c r="B402" s="4" t="s">
        <v>8491</v>
      </c>
      <c r="C402" s="4" t="s">
        <v>8492</v>
      </c>
      <c r="D402" s="4" t="s">
        <v>8414</v>
      </c>
      <c r="F402" s="5" t="str">
        <f>IFERROR(__xludf.DUMMYFUNCTION("GOOGLETRANSLATE(A402, ""en"", ""hi"")"),"401")</f>
        <v>401</v>
      </c>
      <c r="G402" s="5" t="str">
        <f>IFERROR(__xludf.DUMMYFUNCTION("GOOGLETRANSLATE(B402, ""en"", ""hi"")"),"1980 के दशक में कौन सा कैरम खिलाड़ी अपने रणनीतिक खेल के लिए जाना जाता था?")</f>
        <v>1980 के दशक में कौन सा कैरम खिलाड़ी अपने रणनीतिक खेल के लिए जाना जाता था?</v>
      </c>
      <c r="H402" s="5" t="str">
        <f>IFERROR(__xludf.DUMMYFUNCTION("GOOGLETRANSLATE(C402, ""en"", ""hi"")"),"ए) एंथोनी इरुदायम, बी) राजेश मेहता, सी) योगेश परदेशी, डी) वी. के. गुप्ता")</f>
        <v>ए) एंथोनी इरुदायम, बी) राजेश मेहता, सी) योगेश परदेशी, डी) वी. के. गुप्ता</v>
      </c>
      <c r="I402" s="5" t="str">
        <f>IFERROR(__xludf.DUMMYFUNCTION("GOOGLETRANSLATE(D402, ""en"", ""hi"")"),"A) एंथनी इरुदयम")</f>
        <v>A) एंथनी इरुदयम</v>
      </c>
    </row>
    <row r="403" ht="22.5" customHeight="1">
      <c r="A403" s="3">
        <v>402.0</v>
      </c>
      <c r="B403" s="4" t="s">
        <v>8493</v>
      </c>
      <c r="C403" s="4" t="s">
        <v>8069</v>
      </c>
      <c r="D403" s="4" t="s">
        <v>8070</v>
      </c>
      <c r="F403" s="5" t="str">
        <f>IFERROR(__xludf.DUMMYFUNCTION("GOOGLETRANSLATE(A403, ""en"", ""hi"")"),"402")</f>
        <v>402</v>
      </c>
      <c r="G403" s="5" t="str">
        <f>IFERROR(__xludf.DUMMYFUNCTION("GOOGLETRANSLATE(B403, ""en"", ""hi"")"),"यूरोप में कैरम विश्व चैम्पियनशिप पहली बार किस वर्ष आयोजित की गई थी?")</f>
        <v>यूरोप में कैरम विश्व चैम्पियनशिप पहली बार किस वर्ष आयोजित की गई थी?</v>
      </c>
      <c r="H403" s="5" t="str">
        <f>IFERROR(__xludf.DUMMYFUNCTION("GOOGLETRANSLATE(C403, ""en"", ""hi"")"),"ए) 1996, बी) 1998, सी) 2000, डी) 2002")</f>
        <v>ए) 1996, बी) 1998, सी) 2000, डी) 2002</v>
      </c>
      <c r="I403" s="5" t="str">
        <f>IFERROR(__xludf.DUMMYFUNCTION("GOOGLETRANSLATE(D403, ""en"", ""hi"")"),"ए) 1996")</f>
        <v>ए) 1996</v>
      </c>
    </row>
    <row r="404" ht="22.5" customHeight="1">
      <c r="A404" s="3">
        <v>403.0</v>
      </c>
      <c r="B404" s="4" t="s">
        <v>8449</v>
      </c>
      <c r="C404" s="4" t="s">
        <v>8144</v>
      </c>
      <c r="D404" s="4" t="s">
        <v>829</v>
      </c>
      <c r="F404" s="5" t="str">
        <f>IFERROR(__xludf.DUMMYFUNCTION("GOOGLETRANSLATE(A404, ""en"", ""hi"")"),"403")</f>
        <v>403</v>
      </c>
      <c r="G404" s="5" t="str">
        <f>IFERROR(__xludf.DUMMYFUNCTION("GOOGLETRANSLATE(B404, ""en"", ""hi"")"),"डिजिटल स्कोरबोर्ड वाला पहला कैरम बोर्ड किस वर्ष पेश किया गया था?")</f>
        <v>डिजिटल स्कोरबोर्ड वाला पहला कैरम बोर्ड किस वर्ष पेश किया गया था?</v>
      </c>
      <c r="H404" s="5" t="str">
        <f>IFERROR(__xludf.DUMMYFUNCTION("GOOGLETRANSLATE(C404, ""en"", ""hi"")"),"ए) 1998, बी) 2000, सी) 2002, डी) 2004")</f>
        <v>ए) 1998, बी) 2000, सी) 2002, डी) 2004</v>
      </c>
      <c r="I404" s="5" t="str">
        <f>IFERROR(__xludf.DUMMYFUNCTION("GOOGLETRANSLATE(D404, ""en"", ""hi"")"),"बी) 2000")</f>
        <v>बी) 2000</v>
      </c>
    </row>
    <row r="405" ht="22.5" customHeight="1">
      <c r="A405" s="3">
        <v>404.0</v>
      </c>
      <c r="B405" s="4" t="s">
        <v>8494</v>
      </c>
      <c r="C405" s="4" t="s">
        <v>171</v>
      </c>
      <c r="D405" s="4" t="s">
        <v>172</v>
      </c>
      <c r="F405" s="5" t="str">
        <f>IFERROR(__xludf.DUMMYFUNCTION("GOOGLETRANSLATE(A405, ""en"", ""hi"")"),"404")</f>
        <v>404</v>
      </c>
      <c r="G405" s="5" t="str">
        <f>IFERROR(__xludf.DUMMYFUNCTION("GOOGLETRANSLATE(B405, ""en"", ""hi"")"),"1990 के दशक में किस भारतीय राज्य ने पहली बार स्कूलों में कैरम को एक प्रतिस्पर्धी खेल के रूप में पेश किया था?")</f>
        <v>1990 के दशक में किस भारतीय राज्य ने पहली बार स्कूलों में कैरम को एक प्रतिस्पर्धी खेल के रूप में पेश किया था?</v>
      </c>
      <c r="H405" s="5" t="str">
        <f>IFERROR(__xludf.DUMMYFUNCTION("GOOGLETRANSLATE(C405, ""en"", ""hi"")"),"A) केरल, B) तमिलनाडु, C) कर्नाटक, D) आंध्र प्रदेश")</f>
        <v>A) केरल, B) तमिलनाडु, C) कर्नाटक, D) आंध्र प्रदेश</v>
      </c>
      <c r="I405" s="5" t="str">
        <f>IFERROR(__xludf.DUMMYFUNCTION("GOOGLETRANSLATE(D405, ""en"", ""hi"")"),"A) केरल")</f>
        <v>A) केरल</v>
      </c>
    </row>
    <row r="406" ht="22.5" customHeight="1">
      <c r="A406" s="3">
        <v>405.0</v>
      </c>
      <c r="B406" s="4" t="s">
        <v>8223</v>
      </c>
      <c r="C406" s="4" t="s">
        <v>8144</v>
      </c>
      <c r="D406" s="4" t="s">
        <v>8411</v>
      </c>
      <c r="F406" s="5" t="str">
        <f>IFERROR(__xludf.DUMMYFUNCTION("GOOGLETRANSLATE(A406, ""en"", ""hi"")"),"405")</f>
        <v>405</v>
      </c>
      <c r="G406" s="5" t="str">
        <f>IFERROR(__xludf.DUMMYFUNCTION("GOOGLETRANSLATE(B406, ""en"", ""hi"")"),"कैरम पहली बार दक्षिण एशियाई खेलों में किस वर्ष शामिल हुआ?")</f>
        <v>कैरम पहली बार दक्षिण एशियाई खेलों में किस वर्ष शामिल हुआ?</v>
      </c>
      <c r="H406" s="5" t="str">
        <f>IFERROR(__xludf.DUMMYFUNCTION("GOOGLETRANSLATE(C406, ""en"", ""hi"")"),"ए) 1998, बी) 2000, सी) 2002, डी) 2004")</f>
        <v>ए) 1998, बी) 2000, सी) 2002, डी) 2004</v>
      </c>
      <c r="I406" s="5" t="str">
        <f>IFERROR(__xludf.DUMMYFUNCTION("GOOGLETRANSLATE(D406, ""en"", ""hi"")"),"ए) 1998")</f>
        <v>ए) 1998</v>
      </c>
    </row>
    <row r="407" ht="22.5" customHeight="1">
      <c r="A407" s="3">
        <v>406.0</v>
      </c>
      <c r="B407" s="4" t="s">
        <v>8495</v>
      </c>
      <c r="C407" s="4" t="s">
        <v>8431</v>
      </c>
      <c r="D407" s="4" t="s">
        <v>8432</v>
      </c>
      <c r="F407" s="5" t="str">
        <f>IFERROR(__xludf.DUMMYFUNCTION("GOOGLETRANSLATE(A407, ""en"", ""hi"")"),"406")</f>
        <v>406</v>
      </c>
      <c r="G407" s="5" t="str">
        <f>IFERROR(__xludf.DUMMYFUNCTION("GOOGLETRANSLATE(B407, ""en"", ""hi"")"),"2000 के दशक में विश्व चैम्पियनशिप का खिताब जीतने वाला पहला कैरम खिलाड़ी कौन था?")</f>
        <v>2000 के दशक में विश्व चैम्पियनशिप का खिताब जीतने वाला पहला कैरम खिलाड़ी कौन था?</v>
      </c>
      <c r="H407" s="5" t="str">
        <f>IFERROR(__xludf.DUMMYFUNCTION("GOOGLETRANSLATE(C407, ""en"", ""hi"")"),"ए) योगेश परदेशी, बी) रश्मी कुमारी, सी) एंथोनी इरुदायम, डी) तारिक महमूद")</f>
        <v>ए) योगेश परदेशी, बी) रश्मी कुमारी, सी) एंथोनी इरुदायम, डी) तारिक महमूद</v>
      </c>
      <c r="I407" s="5" t="str">
        <f>IFERROR(__xludf.DUMMYFUNCTION("GOOGLETRANSLATE(D407, ""en"", ""hi"")"),"बी) रश्मि कुमारी")</f>
        <v>बी) रश्मि कुमारी</v>
      </c>
    </row>
    <row r="408" ht="22.5" customHeight="1">
      <c r="A408" s="3">
        <v>407.0</v>
      </c>
      <c r="B408" s="4" t="s">
        <v>8496</v>
      </c>
      <c r="C408" s="4" t="s">
        <v>8464</v>
      </c>
      <c r="D408" s="4" t="s">
        <v>8465</v>
      </c>
      <c r="F408" s="5" t="str">
        <f>IFERROR(__xludf.DUMMYFUNCTION("GOOGLETRANSLATE(A408, ""en"", ""hi"")"),"407")</f>
        <v>407</v>
      </c>
      <c r="G408" s="5" t="str">
        <f>IFERROR(__xludf.DUMMYFUNCTION("GOOGLETRANSLATE(B408, ""en"", ""hi"")"),"स्वचालित शॉट डिटेक्शन सिस्टम वाला पहला कैरम बोर्ड किस वर्ष पेश किया गया था?")</f>
        <v>स्वचालित शॉट डिटेक्शन सिस्टम वाला पहला कैरम बोर्ड किस वर्ष पेश किया गया था?</v>
      </c>
      <c r="H408" s="5" t="str">
        <f>IFERROR(__xludf.DUMMYFUNCTION("GOOGLETRANSLATE(C408, ""en"", ""hi"")"),"ए) 1999, बी) 2000, सी) 2002, डी) 2004")</f>
        <v>ए) 1999, बी) 2000, सी) 2002, डी) 2004</v>
      </c>
      <c r="I408" s="5" t="str">
        <f>IFERROR(__xludf.DUMMYFUNCTION("GOOGLETRANSLATE(D408, ""en"", ""hi"")"),"सी) 2002")</f>
        <v>सी) 2002</v>
      </c>
    </row>
    <row r="409" ht="22.5" customHeight="1">
      <c r="A409" s="3">
        <v>408.0</v>
      </c>
      <c r="B409" s="4" t="s">
        <v>8497</v>
      </c>
      <c r="C409" s="4" t="s">
        <v>8498</v>
      </c>
      <c r="D409" s="4" t="s">
        <v>8499</v>
      </c>
      <c r="F409" s="5" t="str">
        <f>IFERROR(__xludf.DUMMYFUNCTION("GOOGLETRANSLATE(A409, ""en"", ""hi"")"),"408")</f>
        <v>408</v>
      </c>
      <c r="G409" s="5" t="str">
        <f>IFERROR(__xludf.DUMMYFUNCTION("GOOGLETRANSLATE(B409, ""en"", ""hi"")"),"श्रीलंका के किस कैरम खिलाड़ी ने 2001 में विश्व चैंपियनशिप जीती?")</f>
        <v>श्रीलंका के किस कैरम खिलाड़ी ने 2001 में विश्व चैंपियनशिप जीती?</v>
      </c>
      <c r="H409" s="5" t="str">
        <f>IFERROR(__xludf.DUMMYFUNCTION("GOOGLETRANSLATE(C409, ""en"", ""hi"")"),"ए) धर्मेंद्र राणावीरा, बी) शिरन फर्नांडो, सी) निमल दिसानायके, डी) चामिल कुरे")</f>
        <v>ए) धर्मेंद्र राणावीरा, बी) शिरन फर्नांडो, सी) निमल दिसानायके, डी) चामिल कुरे</v>
      </c>
      <c r="I409" s="5" t="str">
        <f>IFERROR(__xludf.DUMMYFUNCTION("GOOGLETRANSLATE(D409, ""en"", ""hi"")"),"D) चमिल कूरे")</f>
        <v>D) चमिल कूरे</v>
      </c>
    </row>
    <row r="410" ht="22.5" customHeight="1">
      <c r="A410" s="3">
        <v>409.0</v>
      </c>
      <c r="B410" s="4" t="s">
        <v>8143</v>
      </c>
      <c r="C410" s="4" t="s">
        <v>8483</v>
      </c>
      <c r="D410" s="4" t="s">
        <v>8402</v>
      </c>
      <c r="F410" s="5" t="str">
        <f>IFERROR(__xludf.DUMMYFUNCTION("GOOGLETRANSLATE(A410, ""en"", ""hi"")"),"409")</f>
        <v>409</v>
      </c>
      <c r="G410" s="5" t="str">
        <f>IFERROR(__xludf.DUMMYFUNCTION("GOOGLETRANSLATE(B410, ""en"", ""hi"")"),"जूनियर वर्ग के लिए पहली कैरम विश्व चैम्पियनशिप किस वर्ष आयोजित की गई थी?")</f>
        <v>जूनियर वर्ग के लिए पहली कैरम विश्व चैम्पियनशिप किस वर्ष आयोजित की गई थी?</v>
      </c>
      <c r="H410" s="5" t="str">
        <f>IFERROR(__xludf.DUMMYFUNCTION("GOOGLETRANSLATE(C410, ""en"", ""hi"")"),"ए) 1995, बी) 1997, सी) 1999, डी) 2001")</f>
        <v>ए) 1995, बी) 1997, सी) 1999, डी) 2001</v>
      </c>
      <c r="I410" s="5" t="str">
        <f>IFERROR(__xludf.DUMMYFUNCTION("GOOGLETRANSLATE(D410, ""en"", ""hi"")"),"बी) 1997")</f>
        <v>बी) 1997</v>
      </c>
    </row>
    <row r="411" ht="22.5" customHeight="1">
      <c r="A411" s="3">
        <v>410.0</v>
      </c>
      <c r="B411" s="4" t="s">
        <v>8500</v>
      </c>
      <c r="C411" s="4" t="s">
        <v>8371</v>
      </c>
      <c r="D411" s="4" t="s">
        <v>2301</v>
      </c>
      <c r="F411" s="5" t="str">
        <f>IFERROR(__xludf.DUMMYFUNCTION("GOOGLETRANSLATE(A411, ""en"", ""hi"")"),"410")</f>
        <v>410</v>
      </c>
      <c r="G411" s="5" t="str">
        <f>IFERROR(__xludf.DUMMYFUNCTION("GOOGLETRANSLATE(B411, ""en"", ""hi"")"),"किस भारतीय शहर ने 2006 में वरिष्ठ नागरिकों के लिए पहली कैरम विश्व चैम्पियनशिप की मेजबानी की थी?")</f>
        <v>किस भारतीय शहर ने 2006 में वरिष्ठ नागरिकों के लिए पहली कैरम विश्व चैम्पियनशिप की मेजबानी की थी?</v>
      </c>
      <c r="H411" s="5" t="str">
        <f>IFERROR(__xludf.DUMMYFUNCTION("GOOGLETRANSLATE(C411, ""en"", ""hi"")"),"A) मुंबई, B) चेन्नई, C) बैंगलोर, D) दिल्ली")</f>
        <v>A) मुंबई, B) चेन्नई, C) बैंगलोर, D) दिल्ली</v>
      </c>
      <c r="I411" s="5" t="str">
        <f>IFERROR(__xludf.DUMMYFUNCTION("GOOGLETRANSLATE(D411, ""en"", ""hi"")"),"D) दिल्ली")</f>
        <v>D) दिल्ली</v>
      </c>
    </row>
    <row r="412" ht="22.5" customHeight="1">
      <c r="A412" s="3">
        <v>411.0</v>
      </c>
      <c r="B412" s="4" t="s">
        <v>8463</v>
      </c>
      <c r="C412" s="4" t="s">
        <v>8165</v>
      </c>
      <c r="D412" s="4" t="s">
        <v>6725</v>
      </c>
      <c r="F412" s="5" t="str">
        <f>IFERROR(__xludf.DUMMYFUNCTION("GOOGLETRANSLATE(A412, ""en"", ""hi"")"),"411")</f>
        <v>411</v>
      </c>
      <c r="G412" s="5" t="str">
        <f>IFERROR(__xludf.DUMMYFUNCTION("GOOGLETRANSLATE(B412, ""en"", ""hi"")"),"एकीकृत एलईडी प्रकाश व्यवस्था वाला पहला कैरम बोर्ड किस वर्ष पेश किया गया था?")</f>
        <v>एकीकृत एलईडी प्रकाश व्यवस्था वाला पहला कैरम बोर्ड किस वर्ष पेश किया गया था?</v>
      </c>
      <c r="H412" s="5" t="str">
        <f>IFERROR(__xludf.DUMMYFUNCTION("GOOGLETRANSLATE(C412, ""en"", ""hi"")"),"ए) 2000, बी) 2002, सी) 2004, डी) 2006")</f>
        <v>ए) 2000, बी) 2002, सी) 2004, डी) 2006</v>
      </c>
      <c r="I412" s="5" t="str">
        <f>IFERROR(__xludf.DUMMYFUNCTION("GOOGLETRANSLATE(D412, ""en"", ""hi"")"),"बी) 2002")</f>
        <v>बी) 2002</v>
      </c>
    </row>
    <row r="413" ht="22.5" customHeight="1">
      <c r="A413" s="3">
        <v>412.0</v>
      </c>
      <c r="B413" s="4" t="s">
        <v>8501</v>
      </c>
      <c r="C413" s="4" t="s">
        <v>8350</v>
      </c>
      <c r="D413" s="4" t="s">
        <v>8351</v>
      </c>
      <c r="F413" s="5" t="str">
        <f>IFERROR(__xludf.DUMMYFUNCTION("GOOGLETRANSLATE(A413, ""en"", ""hi"")"),"412")</f>
        <v>412</v>
      </c>
      <c r="G413" s="5" t="str">
        <f>IFERROR(__xludf.DUMMYFUNCTION("GOOGLETRANSLATE(B413, ""en"", ""hi"")"),"पाकिस्तान की ओर से विश्व चैम्पियनशिप का खिताब जीतने वाला पहला कैरम खिलाड़ी कौन था?")</f>
        <v>पाकिस्तान की ओर से विश्व चैम्पियनशिप का खिताब जीतने वाला पहला कैरम खिलाड़ी कौन था?</v>
      </c>
      <c r="H413" s="5" t="str">
        <f>IFERROR(__xludf.DUMMYFUNCTION("GOOGLETRANSLATE(C413, ""en"", ""hi"")"),"ए) तारिक महमूद, बी) जाहिद खान, सी) बिलाल अहमद, डी) सैयद अली")</f>
        <v>ए) तारिक महमूद, बी) जाहिद खान, सी) बिलाल अहमद, डी) सैयद अली</v>
      </c>
      <c r="I413" s="5" t="str">
        <f>IFERROR(__xludf.DUMMYFUNCTION("GOOGLETRANSLATE(D413, ""en"", ""hi"")"),"A) तारिक महमूद")</f>
        <v>A) तारिक महमूद</v>
      </c>
    </row>
    <row r="414" ht="22.5" customHeight="1">
      <c r="A414" s="3">
        <v>413.0</v>
      </c>
      <c r="B414" s="4" t="s">
        <v>8429</v>
      </c>
      <c r="C414" s="4" t="s">
        <v>8165</v>
      </c>
      <c r="D414" s="4" t="s">
        <v>6725</v>
      </c>
      <c r="F414" s="5" t="str">
        <f>IFERROR(__xludf.DUMMYFUNCTION("GOOGLETRANSLATE(A414, ""en"", ""hi"")"),"413")</f>
        <v>413</v>
      </c>
      <c r="G414" s="5" t="str">
        <f>IFERROR(__xludf.DUMMYFUNCTION("GOOGLETRANSLATE(B414, ""en"", ""hi"")"),"अवैध चालों का पता लगाने के लिए अंतर्निर्मित सेंसर वाला पहला कैरम बोर्ड किस वर्ष पेश किया गया था?")</f>
        <v>अवैध चालों का पता लगाने के लिए अंतर्निर्मित सेंसर वाला पहला कैरम बोर्ड किस वर्ष पेश किया गया था?</v>
      </c>
      <c r="H414" s="5" t="str">
        <f>IFERROR(__xludf.DUMMYFUNCTION("GOOGLETRANSLATE(C414, ""en"", ""hi"")"),"ए) 2000, बी) 2002, सी) 2004, डी) 2006")</f>
        <v>ए) 2000, बी) 2002, सी) 2004, डी) 2006</v>
      </c>
      <c r="I414" s="5" t="str">
        <f>IFERROR(__xludf.DUMMYFUNCTION("GOOGLETRANSLATE(D414, ""en"", ""hi"")"),"बी) 2002")</f>
        <v>बी) 2002</v>
      </c>
    </row>
    <row r="415" ht="22.5" customHeight="1">
      <c r="A415" s="3">
        <v>414.0</v>
      </c>
      <c r="B415" s="4" t="s">
        <v>8502</v>
      </c>
      <c r="C415" s="4" t="s">
        <v>8309</v>
      </c>
      <c r="D415" s="4" t="s">
        <v>8310</v>
      </c>
      <c r="F415" s="5" t="str">
        <f>IFERROR(__xludf.DUMMYFUNCTION("GOOGLETRANSLATE(A415, ""en"", ""hi"")"),"414")</f>
        <v>414</v>
      </c>
      <c r="G415" s="5" t="str">
        <f>IFERROR(__xludf.DUMMYFUNCTION("GOOGLETRANSLATE(B415, ""en"", ""hi"")"),"कैरम विश्व चैम्पियनशिप में पहली बार मिश्रित युगल स्पर्धा किस वर्ष आयोजित की गई?")</f>
        <v>कैरम विश्व चैम्पियनशिप में पहली बार मिश्रित युगल स्पर्धा किस वर्ष आयोजित की गई?</v>
      </c>
      <c r="H415" s="5" t="str">
        <f>IFERROR(__xludf.DUMMYFUNCTION("GOOGLETRANSLATE(C415, ""en"", ""hi"")"),"ए) 1994, बी) 1996, सी) 1998, डी) 2000")</f>
        <v>ए) 1994, बी) 1996, सी) 1998, डी) 2000</v>
      </c>
      <c r="I415" s="5" t="str">
        <f>IFERROR(__xludf.DUMMYFUNCTION("GOOGLETRANSLATE(D415, ""en"", ""hi"")"),"ए) 1994")</f>
        <v>ए) 1994</v>
      </c>
    </row>
    <row r="416" ht="22.5" customHeight="1">
      <c r="A416" s="3">
        <v>415.0</v>
      </c>
      <c r="B416" s="4" t="s">
        <v>8503</v>
      </c>
      <c r="C416" s="4" t="s">
        <v>8504</v>
      </c>
      <c r="D416" s="4" t="s">
        <v>8330</v>
      </c>
      <c r="F416" s="5" t="str">
        <f>IFERROR(__xludf.DUMMYFUNCTION("GOOGLETRANSLATE(A416, ""en"", ""hi"")"),"415")</f>
        <v>415</v>
      </c>
      <c r="G416" s="5" t="str">
        <f>IFERROR(__xludf.DUMMYFUNCTION("GOOGLETRANSLATE(B416, ""en"", ""hi"")"),"सीनियर्स के लिए पहला कैरम विश्व कप किस शहर में आयोजित किया गया था?")</f>
        <v>सीनियर्स के लिए पहला कैरम विश्व कप किस शहर में आयोजित किया गया था?</v>
      </c>
      <c r="H416" s="5" t="str">
        <f>IFERROR(__xludf.DUMMYFUNCTION("GOOGLETRANSLATE(C416, ""en"", ""hi"")"),"A) मुंबई, B) कोलंबो, C) कराची, D) दिल्ली")</f>
        <v>A) मुंबई, B) कोलंबो, C) कराची, D) दिल्ली</v>
      </c>
      <c r="I416" s="5" t="str">
        <f>IFERROR(__xludf.DUMMYFUNCTION("GOOGLETRANSLATE(D416, ""en"", ""hi"")"),"बी) कोलंबो")</f>
        <v>बी) कोलंबो</v>
      </c>
    </row>
    <row r="417" ht="22.5" customHeight="1">
      <c r="A417" s="3">
        <v>416.0</v>
      </c>
      <c r="B417" s="4" t="s">
        <v>8505</v>
      </c>
      <c r="C417" s="4" t="s">
        <v>171</v>
      </c>
      <c r="D417" s="4" t="s">
        <v>172</v>
      </c>
      <c r="F417" s="5" t="str">
        <f>IFERROR(__xludf.DUMMYFUNCTION("GOOGLETRANSLATE(A417, ""en"", ""hi"")"),"416")</f>
        <v>416</v>
      </c>
      <c r="G417" s="5" t="str">
        <f>IFERROR(__xludf.DUMMYFUNCTION("GOOGLETRANSLATE(B417, ""en"", ""hi"")"),"कौन सा भारतीय राज्य अपने विश्वविद्यालय टूर्नामेंटों में कैरम को एक खेल के रूप में पेश करने वाला पहला राज्य था?")</f>
        <v>कौन सा भारतीय राज्य अपने विश्वविद्यालय टूर्नामेंटों में कैरम को एक खेल के रूप में पेश करने वाला पहला राज्य था?</v>
      </c>
      <c r="H417" s="5" t="str">
        <f>IFERROR(__xludf.DUMMYFUNCTION("GOOGLETRANSLATE(C417, ""en"", ""hi"")"),"A) केरल, B) तमिलनाडु, C) कर्नाटक, D) आंध्र प्रदेश")</f>
        <v>A) केरल, B) तमिलनाडु, C) कर्नाटक, D) आंध्र प्रदेश</v>
      </c>
      <c r="I417" s="5" t="str">
        <f>IFERROR(__xludf.DUMMYFUNCTION("GOOGLETRANSLATE(D417, ""en"", ""hi"")"),"A) केरल")</f>
        <v>A) केरल</v>
      </c>
    </row>
    <row r="418" ht="22.5" customHeight="1">
      <c r="A418" s="3">
        <v>417.0</v>
      </c>
      <c r="B418" s="4" t="s">
        <v>8506</v>
      </c>
      <c r="C418" s="4" t="s">
        <v>8234</v>
      </c>
      <c r="D418" s="4" t="s">
        <v>8235</v>
      </c>
      <c r="F418" s="5" t="str">
        <f>IFERROR(__xludf.DUMMYFUNCTION("GOOGLETRANSLATE(A418, ""en"", ""hi"")"),"417")</f>
        <v>417</v>
      </c>
      <c r="G418" s="5" t="str">
        <f>IFERROR(__xludf.DUMMYFUNCTION("GOOGLETRANSLATE(B418, ""en"", ""hi"")"),"पुरुषों के लिए पहली कैरम विश्व चैम्पियनशिप किस वर्ष आयोजित की गई थी?")</f>
        <v>पुरुषों के लिए पहली कैरम विश्व चैम्पियनशिप किस वर्ष आयोजित की गई थी?</v>
      </c>
      <c r="H418" s="5" t="str">
        <f>IFERROR(__xludf.DUMMYFUNCTION("GOOGLETRANSLATE(C418, ""en"", ""hi"")"),"ए) 1989, बी) 1990, सी) 1991, डी) 1992")</f>
        <v>ए) 1989, बी) 1990, सी) 1991, डी) 1992</v>
      </c>
      <c r="I418" s="5" t="str">
        <f>IFERROR(__xludf.DUMMYFUNCTION("GOOGLETRANSLATE(D418, ""en"", ""hi"")"),"ए) 1989")</f>
        <v>ए) 1989</v>
      </c>
    </row>
    <row r="419" ht="22.5" customHeight="1">
      <c r="A419" s="3">
        <v>418.0</v>
      </c>
      <c r="B419" s="4" t="s">
        <v>8507</v>
      </c>
      <c r="C419" s="4" t="s">
        <v>8508</v>
      </c>
      <c r="D419" s="4" t="s">
        <v>7743</v>
      </c>
      <c r="F419" s="5" t="str">
        <f>IFERROR(__xludf.DUMMYFUNCTION("GOOGLETRANSLATE(A419, ""en"", ""hi"")"),"418")</f>
        <v>418</v>
      </c>
      <c r="G419" s="5" t="str">
        <f>IFERROR(__xludf.DUMMYFUNCTION("GOOGLETRANSLATE(B419, ""en"", ""hi"")"),"2004 में विश्व चैम्पियनशिप का खिताब जीतने वाला पहला कैरम खिलाड़ी कौन था?")</f>
        <v>2004 में विश्व चैम्पियनशिप का खिताब जीतने वाला पहला कैरम खिलाड़ी कौन था?</v>
      </c>
      <c r="H419" s="5" t="str">
        <f>IFERROR(__xludf.DUMMYFUNCTION("GOOGLETRANSLATE(C419, ""en"", ""hi"")"),"ए) रश्मी कुमारी, बी) योगेश परदेशी, सी) तारिक महमूद, डी) धर्मेंद्र राणावीरा")</f>
        <v>ए) रश्मी कुमारी, बी) योगेश परदेशी, सी) तारिक महमूद, डी) धर्मेंद्र राणावीरा</v>
      </c>
      <c r="I419" s="5" t="str">
        <f>IFERROR(__xludf.DUMMYFUNCTION("GOOGLETRANSLATE(D419, ""en"", ""hi"")"),"A) रश्मि कुमारी")</f>
        <v>A) रश्मि कुमारी</v>
      </c>
    </row>
    <row r="420" ht="22.5" customHeight="1">
      <c r="A420" s="3">
        <v>419.0</v>
      </c>
      <c r="B420" s="4" t="s">
        <v>8509</v>
      </c>
      <c r="C420" s="4" t="s">
        <v>8483</v>
      </c>
      <c r="D420" s="4" t="s">
        <v>8402</v>
      </c>
      <c r="F420" s="5" t="str">
        <f>IFERROR(__xludf.DUMMYFUNCTION("GOOGLETRANSLATE(A420, ""en"", ""hi"")"),"419")</f>
        <v>419</v>
      </c>
      <c r="G420" s="5" t="str">
        <f>IFERROR(__xludf.DUMMYFUNCTION("GOOGLETRANSLATE(B420, ""en"", ""hi"")"),"घर्षण प्रतिरोधी सतह वाला पहला कैरम बोर्ड किस वर्ष पेश किया गया था?")</f>
        <v>घर्षण प्रतिरोधी सतह वाला पहला कैरम बोर्ड किस वर्ष पेश किया गया था?</v>
      </c>
      <c r="H420" s="5" t="str">
        <f>IFERROR(__xludf.DUMMYFUNCTION("GOOGLETRANSLATE(C420, ""en"", ""hi"")"),"ए) 1995, बी) 1997, सी) 1999, डी) 2001")</f>
        <v>ए) 1995, बी) 1997, सी) 1999, डी) 2001</v>
      </c>
      <c r="I420" s="5" t="str">
        <f>IFERROR(__xludf.DUMMYFUNCTION("GOOGLETRANSLATE(D420, ""en"", ""hi"")"),"बी) 1997")</f>
        <v>बी) 1997</v>
      </c>
    </row>
    <row r="421" ht="22.5" customHeight="1">
      <c r="A421" s="3">
        <v>420.0</v>
      </c>
      <c r="B421" s="4" t="s">
        <v>8297</v>
      </c>
      <c r="C421" s="4" t="s">
        <v>8406</v>
      </c>
      <c r="D421" s="4" t="s">
        <v>8330</v>
      </c>
      <c r="F421" s="5" t="str">
        <f>IFERROR(__xludf.DUMMYFUNCTION("GOOGLETRANSLATE(A421, ""en"", ""hi"")"),"420")</f>
        <v>420</v>
      </c>
      <c r="G421" s="5" t="str">
        <f>IFERROR(__xludf.DUMMYFUNCTION("GOOGLETRANSLATE(B421, ""en"", ""hi"")"),"1993 में महिलाओं के लिए पहली कैरम विश्व चैम्पियनशिप किस शहर में आयोजित की गई थी?")</f>
        <v>1993 में महिलाओं के लिए पहली कैरम विश्व चैम्पियनशिप किस शहर में आयोजित की गई थी?</v>
      </c>
      <c r="H421" s="5" t="str">
        <f>IFERROR(__xludf.DUMMYFUNCTION("GOOGLETRANSLATE(C421, ""en"", ""hi"")"),"A) चेन्नई, B) कोलंबो, C) कराची, D) मुंबई")</f>
        <v>A) चेन्नई, B) कोलंबो, C) कराची, D) मुंबई</v>
      </c>
      <c r="I421" s="5" t="str">
        <f>IFERROR(__xludf.DUMMYFUNCTION("GOOGLETRANSLATE(D421, ""en"", ""hi"")"),"बी) कोलंबो")</f>
        <v>बी) कोलंबो</v>
      </c>
    </row>
    <row r="422" ht="22.5" customHeight="1">
      <c r="A422" s="3">
        <v>421.0</v>
      </c>
      <c r="B422" s="4" t="s">
        <v>8510</v>
      </c>
      <c r="C422" s="4" t="s">
        <v>8144</v>
      </c>
      <c r="D422" s="4" t="s">
        <v>8411</v>
      </c>
      <c r="F422" s="5" t="str">
        <f>IFERROR(__xludf.DUMMYFUNCTION("GOOGLETRANSLATE(A422, ""en"", ""hi"")"),"421")</f>
        <v>421</v>
      </c>
      <c r="G422" s="5" t="str">
        <f>IFERROR(__xludf.DUMMYFUNCTION("GOOGLETRANSLATE(B422, ""en"", ""hi"")"),"कैरम को पहली बार दक्षिण एशियाई खेलों में किस वर्ष शामिल किया गया था?")</f>
        <v>कैरम को पहली बार दक्षिण एशियाई खेलों में किस वर्ष शामिल किया गया था?</v>
      </c>
      <c r="H422" s="5" t="str">
        <f>IFERROR(__xludf.DUMMYFUNCTION("GOOGLETRANSLATE(C422, ""en"", ""hi"")"),"ए) 1998, बी) 2000, सी) 2002, डी) 2004")</f>
        <v>ए) 1998, बी) 2000, सी) 2002, डी) 2004</v>
      </c>
      <c r="I422" s="5" t="str">
        <f>IFERROR(__xludf.DUMMYFUNCTION("GOOGLETRANSLATE(D422, ""en"", ""hi"")"),"ए) 1998")</f>
        <v>ए) 1998</v>
      </c>
    </row>
    <row r="423" ht="22.5" customHeight="1">
      <c r="A423" s="3">
        <v>422.0</v>
      </c>
      <c r="B423" s="4" t="s">
        <v>8511</v>
      </c>
      <c r="C423" s="4" t="s">
        <v>8492</v>
      </c>
      <c r="D423" s="4" t="s">
        <v>8414</v>
      </c>
      <c r="F423" s="5" t="str">
        <f>IFERROR(__xludf.DUMMYFUNCTION("GOOGLETRANSLATE(A423, ""en"", ""hi"")"),"422")</f>
        <v>422</v>
      </c>
      <c r="G423" s="5" t="str">
        <f>IFERROR(__xludf.DUMMYFUNCTION("GOOGLETRANSLATE(B423, ""en"", ""hi"")"),"1990 के दशक में कौन सा कैरम खिलाड़ी नई तकनीकों के अग्रणी के लिए जाना जाता था?")</f>
        <v>1990 के दशक में कौन सा कैरम खिलाड़ी नई तकनीकों के अग्रणी के लिए जाना जाता था?</v>
      </c>
      <c r="H423" s="5" t="str">
        <f>IFERROR(__xludf.DUMMYFUNCTION("GOOGLETRANSLATE(C423, ""en"", ""hi"")"),"ए) एंथोनी इरुदायम, बी) राजेश मेहता, सी) योगेश परदेशी, डी) वी. के. गुप्ता")</f>
        <v>ए) एंथोनी इरुदायम, बी) राजेश मेहता, सी) योगेश परदेशी, डी) वी. के. गुप्ता</v>
      </c>
      <c r="I423" s="5" t="str">
        <f>IFERROR(__xludf.DUMMYFUNCTION("GOOGLETRANSLATE(D423, ""en"", ""hi"")"),"A) एंथनी इरुदयम")</f>
        <v>A) एंथनी इरुदयम</v>
      </c>
    </row>
    <row r="424" ht="22.5" customHeight="1">
      <c r="A424" s="3">
        <v>423.0</v>
      </c>
      <c r="B424" s="4" t="s">
        <v>7855</v>
      </c>
      <c r="C424" s="4" t="s">
        <v>8069</v>
      </c>
      <c r="D424" s="4" t="s">
        <v>8070</v>
      </c>
      <c r="F424" s="5" t="str">
        <f>IFERROR(__xludf.DUMMYFUNCTION("GOOGLETRANSLATE(A424, ""en"", ""hi"")"),"423")</f>
        <v>423</v>
      </c>
      <c r="G424" s="5" t="str">
        <f>IFERROR(__xludf.DUMMYFUNCTION("GOOGLETRANSLATE(B424, ""en"", ""hi"")"),"एशिया के बाहर पहली कैरम विश्व चैम्पियनशिप किस वर्ष आयोजित हुई थी?")</f>
        <v>एशिया के बाहर पहली कैरम विश्व चैम्पियनशिप किस वर्ष आयोजित हुई थी?</v>
      </c>
      <c r="H424" s="5" t="str">
        <f>IFERROR(__xludf.DUMMYFUNCTION("GOOGLETRANSLATE(C424, ""en"", ""hi"")"),"ए) 1996, बी) 1998, सी) 2000, डी) 2002")</f>
        <v>ए) 1996, बी) 1998, सी) 2000, डी) 2002</v>
      </c>
      <c r="I424" s="5" t="str">
        <f>IFERROR(__xludf.DUMMYFUNCTION("GOOGLETRANSLATE(D424, ""en"", ""hi"")"),"ए) 1996")</f>
        <v>ए) 1996</v>
      </c>
    </row>
    <row r="425" ht="22.5" customHeight="1">
      <c r="A425" s="3">
        <v>424.0</v>
      </c>
      <c r="B425" s="4" t="s">
        <v>8512</v>
      </c>
      <c r="C425" s="4" t="s">
        <v>8462</v>
      </c>
      <c r="D425" s="4" t="s">
        <v>8399</v>
      </c>
      <c r="F425" s="5" t="str">
        <f>IFERROR(__xludf.DUMMYFUNCTION("GOOGLETRANSLATE(A425, ""en"", ""hi"")"),"424")</f>
        <v>424</v>
      </c>
      <c r="G425" s="5" t="str">
        <f>IFERROR(__xludf.DUMMYFUNCTION("GOOGLETRANSLATE(B425, ""en"", ""hi"")"),"बांग्लादेश की ओर से विश्व चैम्पियनशिप जीतने वाला पहला कैरम खिलाड़ी कौन था?")</f>
        <v>बांग्लादेश की ओर से विश्व चैम्पियनशिप जीतने वाला पहला कैरम खिलाड़ी कौन था?</v>
      </c>
      <c r="H425" s="5" t="str">
        <f>IFERROR(__xludf.DUMMYFUNCTION("GOOGLETRANSLATE(C425, ""en"", ""hi"")"),"A) मोहम्मद मोहसिन, B) अकरम हुसैन, C) बिलाल अहमद, D) सैयद अली")</f>
        <v>A) मोहम्मद मोहसिन, B) अकरम हुसैन, C) बिलाल अहमद, D) सैयद अली</v>
      </c>
      <c r="I425" s="5" t="str">
        <f>IFERROR(__xludf.DUMMYFUNCTION("GOOGLETRANSLATE(D425, ""en"", ""hi"")"),"बी) अकरम हुसैन")</f>
        <v>बी) अकरम हुसैन</v>
      </c>
    </row>
    <row r="426" ht="22.5" customHeight="1">
      <c r="A426" s="3">
        <v>425.0</v>
      </c>
      <c r="B426" s="4" t="s">
        <v>8513</v>
      </c>
      <c r="C426" s="4" t="s">
        <v>8144</v>
      </c>
      <c r="D426" s="4" t="s">
        <v>8465</v>
      </c>
      <c r="F426" s="5" t="str">
        <f>IFERROR(__xludf.DUMMYFUNCTION("GOOGLETRANSLATE(A426, ""en"", ""hi"")"),"425")</f>
        <v>425</v>
      </c>
      <c r="G426" s="5" t="str">
        <f>IFERROR(__xludf.DUMMYFUNCTION("GOOGLETRANSLATE(B426, ""en"", ""hi"")"),"अंतर्निर्मित टाइमर वाला पहला कैरम बोर्ड किस वर्ष पेश किया गया था?")</f>
        <v>अंतर्निर्मित टाइमर वाला पहला कैरम बोर्ड किस वर्ष पेश किया गया था?</v>
      </c>
      <c r="H426" s="5" t="str">
        <f>IFERROR(__xludf.DUMMYFUNCTION("GOOGLETRANSLATE(C426, ""en"", ""hi"")"),"ए) 1998, बी) 2000, सी) 2002, डी) 2004")</f>
        <v>ए) 1998, बी) 2000, सी) 2002, डी) 2004</v>
      </c>
      <c r="I426" s="5" t="str">
        <f>IFERROR(__xludf.DUMMYFUNCTION("GOOGLETRANSLATE(D426, ""en"", ""hi"")"),"सी) 2002")</f>
        <v>सी) 2002</v>
      </c>
    </row>
    <row r="427" ht="22.5" customHeight="1">
      <c r="A427" s="3">
        <v>426.0</v>
      </c>
      <c r="B427" s="4" t="s">
        <v>8514</v>
      </c>
      <c r="C427" s="4" t="s">
        <v>2518</v>
      </c>
      <c r="D427" s="4" t="s">
        <v>766</v>
      </c>
      <c r="F427" s="5" t="str">
        <f>IFERROR(__xludf.DUMMYFUNCTION("GOOGLETRANSLATE(A427, ""en"", ""hi"")"),"426")</f>
        <v>426</v>
      </c>
      <c r="G427" s="5" t="str">
        <f>IFERROR(__xludf.DUMMYFUNCTION("GOOGLETRANSLATE(B427, ""en"", ""hi"")"),"1997 में जूनियर वर्ग के लिए पहली कैरम विश्व चैम्पियनशिप की मेजबानी किस भारतीय शहर ने की थी?")</f>
        <v>1997 में जूनियर वर्ग के लिए पहली कैरम विश्व चैम्पियनशिप की मेजबानी किस भारतीय शहर ने की थी?</v>
      </c>
      <c r="H427" s="5" t="str">
        <f>IFERROR(__xludf.DUMMYFUNCTION("GOOGLETRANSLATE(C427, ""en"", ""hi"")"),"A) चेन्नई, B) मुंबई, C) दिल्ली, D) बैंगलोर")</f>
        <v>A) चेन्नई, B) मुंबई, C) दिल्ली, D) बैंगलोर</v>
      </c>
      <c r="I427" s="5" t="str">
        <f>IFERROR(__xludf.DUMMYFUNCTION("GOOGLETRANSLATE(D427, ""en"", ""hi"")"),"C) दिल्ली")</f>
        <v>C) दिल्ली</v>
      </c>
    </row>
    <row r="428" ht="22.5" customHeight="1">
      <c r="A428" s="3">
        <v>427.0</v>
      </c>
      <c r="B428" s="4" t="s">
        <v>8068</v>
      </c>
      <c r="C428" s="4" t="s">
        <v>8515</v>
      </c>
      <c r="D428" s="4" t="s">
        <v>7831</v>
      </c>
      <c r="F428" s="5" t="str">
        <f>IFERROR(__xludf.DUMMYFUNCTION("GOOGLETRANSLATE(A428, ""en"", ""hi"")"),"427")</f>
        <v>427</v>
      </c>
      <c r="G428" s="5" t="str">
        <f>IFERROR(__xludf.DUMMYFUNCTION("GOOGLETRANSLATE(B428, ""en"", ""hi"")"),"महिलाओं के लिए पहली कैरम विश्व चैम्पियनशिप किस वर्ष आयोजित की गई थी?")</f>
        <v>महिलाओं के लिए पहली कैरम विश्व चैम्पियनशिप किस वर्ष आयोजित की गई थी?</v>
      </c>
      <c r="H428" s="5" t="str">
        <f>IFERROR(__xludf.DUMMYFUNCTION("GOOGLETRANSLATE(C428, ""en"", ""hi"")"),"ए) 1993, बी) 1995, सी) 1997, डी) 1999")</f>
        <v>ए) 1993, बी) 1995, सी) 1997, डी) 1999</v>
      </c>
      <c r="I428" s="5" t="str">
        <f>IFERROR(__xludf.DUMMYFUNCTION("GOOGLETRANSLATE(D428, ""en"", ""hi"")"),"ए) 1993")</f>
        <v>ए) 1993</v>
      </c>
    </row>
    <row r="429" ht="22.5" customHeight="1">
      <c r="A429" s="3">
        <v>428.0</v>
      </c>
      <c r="B429" s="4" t="s">
        <v>8516</v>
      </c>
      <c r="C429" s="4" t="s">
        <v>8517</v>
      </c>
      <c r="D429" s="4" t="s">
        <v>8294</v>
      </c>
      <c r="F429" s="5" t="str">
        <f>IFERROR(__xludf.DUMMYFUNCTION("GOOGLETRANSLATE(A429, ""en"", ""hi"")"),"428")</f>
        <v>428</v>
      </c>
      <c r="G429" s="5" t="str">
        <f>IFERROR(__xludf.DUMMYFUNCTION("GOOGLETRANSLATE(B429, ""en"", ""hi"")"),"1990 के दशक के प्रारंभ में कौन सा कैरम खिलाड़ी अपने रक्षात्मक खेल के लिए जाना जाता था?")</f>
        <v>1990 के दशक के प्रारंभ में कौन सा कैरम खिलाड़ी अपने रक्षात्मक खेल के लिए जाना जाता था?</v>
      </c>
      <c r="H429" s="5" t="str">
        <f>IFERROR(__xludf.DUMMYFUNCTION("GOOGLETRANSLATE(C429, ""en"", ""hi"")"),"ए) वी.के. गुप्ता, बी) योगेश परदेशी, सी) राजेश मेहता, डी) एंथोनी इरुदायम")</f>
        <v>ए) वी.के. गुप्ता, बी) योगेश परदेशी, सी) राजेश मेहता, डी) एंथोनी इरुदायम</v>
      </c>
      <c r="I429" s="5" t="str">
        <f>IFERROR(__xludf.DUMMYFUNCTION("GOOGLETRANSLATE(D429, ""en"", ""hi"")"),"ए) वी. के. गुप्ता")</f>
        <v>ए) वी. के. गुप्ता</v>
      </c>
    </row>
    <row r="430" ht="22.5" customHeight="1">
      <c r="A430" s="3">
        <v>429.0</v>
      </c>
      <c r="B430" s="4" t="s">
        <v>8518</v>
      </c>
      <c r="C430" s="4" t="s">
        <v>8483</v>
      </c>
      <c r="D430" s="4" t="s">
        <v>2016</v>
      </c>
      <c r="F430" s="5" t="str">
        <f>IFERROR(__xludf.DUMMYFUNCTION("GOOGLETRANSLATE(A430, ""en"", ""hi"")"),"429")</f>
        <v>429</v>
      </c>
      <c r="G430" s="5" t="str">
        <f>IFERROR(__xludf.DUMMYFUNCTION("GOOGLETRANSLATE(B430, ""en"", ""hi"")"),"कैरम विश्व चैम्पियनशिप पहली बार श्रीलंका में किस वर्ष आयोजित की गई थी?")</f>
        <v>कैरम विश्व चैम्पियनशिप पहली बार श्रीलंका में किस वर्ष आयोजित की गई थी?</v>
      </c>
      <c r="H430" s="5" t="str">
        <f>IFERROR(__xludf.DUMMYFUNCTION("GOOGLETRANSLATE(C430, ""en"", ""hi"")"),"ए) 1995, बी) 1997, सी) 1999, डी) 2001")</f>
        <v>ए) 1995, बी) 1997, सी) 1999, डी) 2001</v>
      </c>
      <c r="I430" s="5" t="str">
        <f>IFERROR(__xludf.DUMMYFUNCTION("GOOGLETRANSLATE(D430, ""en"", ""hi"")"),"ए) 1995")</f>
        <v>ए) 1995</v>
      </c>
    </row>
    <row r="431" ht="22.5" customHeight="1">
      <c r="A431" s="3">
        <v>430.0</v>
      </c>
      <c r="B431" s="4" t="s">
        <v>8519</v>
      </c>
      <c r="C431" s="4" t="s">
        <v>8520</v>
      </c>
      <c r="D431" s="4" t="s">
        <v>8432</v>
      </c>
      <c r="F431" s="5" t="str">
        <f>IFERROR(__xludf.DUMMYFUNCTION("GOOGLETRANSLATE(A431, ""en"", ""hi"")"),"430")</f>
        <v>430</v>
      </c>
      <c r="G431" s="5" t="str">
        <f>IFERROR(__xludf.DUMMYFUNCTION("GOOGLETRANSLATE(B431, ""en"", ""hi"")"),"1996 में भारत की ओर से विश्व चैम्पियनशिप का खिताब जीतने वाला पहला कैरम खिलाड़ी कौन था?")</f>
        <v>1996 में भारत की ओर से विश्व चैम्पियनशिप का खिताब जीतने वाला पहला कैरम खिलाड़ी कौन था?</v>
      </c>
      <c r="H431" s="5" t="str">
        <f>IFERROR(__xludf.DUMMYFUNCTION("GOOGLETRANSLATE(C431, ""en"", ""hi"")"),"ए) योगेश परदेशी, बी) रश्मी कुमारी, सी) राजेश मेहता, डी) एंथोनी इरुदायम")</f>
        <v>ए) योगेश परदेशी, बी) रश्मी कुमारी, सी) राजेश मेहता, डी) एंथोनी इरुदायम</v>
      </c>
      <c r="I431" s="5" t="str">
        <f>IFERROR(__xludf.DUMMYFUNCTION("GOOGLETRANSLATE(D431, ""en"", ""hi"")"),"बी) रश्मि कुमारी")</f>
        <v>बी) रश्मि कुमारी</v>
      </c>
    </row>
    <row r="432" ht="22.5" customHeight="1">
      <c r="A432" s="3">
        <v>431.0</v>
      </c>
      <c r="B432" s="4" t="s">
        <v>8521</v>
      </c>
      <c r="C432" s="4" t="s">
        <v>8464</v>
      </c>
      <c r="D432" s="4" t="s">
        <v>8522</v>
      </c>
      <c r="F432" s="5" t="str">
        <f>IFERROR(__xludf.DUMMYFUNCTION("GOOGLETRANSLATE(A432, ""en"", ""hi"")"),"431")</f>
        <v>431</v>
      </c>
      <c r="G432" s="5" t="str">
        <f>IFERROR(__xludf.DUMMYFUNCTION("GOOGLETRANSLATE(B432, ""en"", ""hi"")"),"उन्नत स्कोरिंग प्रणाली वाला पहला कैरम बोर्ड किस वर्ष शुरू किया गया था?")</f>
        <v>उन्नत स्कोरिंग प्रणाली वाला पहला कैरम बोर्ड किस वर्ष शुरू किया गया था?</v>
      </c>
      <c r="H432" s="5" t="str">
        <f>IFERROR(__xludf.DUMMYFUNCTION("GOOGLETRANSLATE(C432, ""en"", ""hi"")"),"ए) 1999, बी) 2000, सी) 2002, डी) 2004")</f>
        <v>ए) 1999, बी) 2000, सी) 2002, डी) 2004</v>
      </c>
      <c r="I432" s="5" t="str">
        <f>IFERROR(__xludf.DUMMYFUNCTION("GOOGLETRANSLATE(D432, ""en"", ""hi"")"),"ए) 1999")</f>
        <v>ए) 1999</v>
      </c>
    </row>
    <row r="433" ht="22.5" customHeight="1">
      <c r="A433" s="3">
        <v>432.0</v>
      </c>
      <c r="B433" s="4" t="s">
        <v>8523</v>
      </c>
      <c r="C433" s="4" t="s">
        <v>171</v>
      </c>
      <c r="D433" s="4" t="s">
        <v>172</v>
      </c>
      <c r="F433" s="5" t="str">
        <f>IFERROR(__xludf.DUMMYFUNCTION("GOOGLETRANSLATE(A433, ""en"", ""hi"")"),"432")</f>
        <v>432</v>
      </c>
      <c r="G433" s="5" t="str">
        <f>IFERROR(__xludf.DUMMYFUNCTION("GOOGLETRANSLATE(B433, ""en"", ""hi"")"),"1990 के दशक में कैरम को राज्य स्तरीय खेल प्रतियोगिताओं में शामिल करने वाला पहला भारतीय राज्य कौन सा था?")</f>
        <v>1990 के दशक में कैरम को राज्य स्तरीय खेल प्रतियोगिताओं में शामिल करने वाला पहला भारतीय राज्य कौन सा था?</v>
      </c>
      <c r="H433" s="5" t="str">
        <f>IFERROR(__xludf.DUMMYFUNCTION("GOOGLETRANSLATE(C433, ""en"", ""hi"")"),"A) केरल, B) तमिलनाडु, C) कर्नाटक, D) आंध्र प्रदेश")</f>
        <v>A) केरल, B) तमिलनाडु, C) कर्नाटक, D) आंध्र प्रदेश</v>
      </c>
      <c r="I433" s="5" t="str">
        <f>IFERROR(__xludf.DUMMYFUNCTION("GOOGLETRANSLATE(D433, ""en"", ""hi"")"),"A) केरल")</f>
        <v>A) केरल</v>
      </c>
    </row>
    <row r="434" ht="22.5" customHeight="1">
      <c r="A434" s="3">
        <v>433.0</v>
      </c>
      <c r="B434" s="4" t="s">
        <v>8468</v>
      </c>
      <c r="C434" s="4" t="s">
        <v>8309</v>
      </c>
      <c r="D434" s="4" t="s">
        <v>8310</v>
      </c>
      <c r="F434" s="5" t="str">
        <f>IFERROR(__xludf.DUMMYFUNCTION("GOOGLETRANSLATE(A434, ""en"", ""hi"")"),"433")</f>
        <v>433</v>
      </c>
      <c r="G434" s="5" t="str">
        <f>IFERROR(__xludf.DUMMYFUNCTION("GOOGLETRANSLATE(B434, ""en"", ""hi"")"),"मिश्रित युगल के लिए पहली कैरम विश्व चैम्पियनशिप किस वर्ष आयोजित की गई थी?")</f>
        <v>मिश्रित युगल के लिए पहली कैरम विश्व चैम्पियनशिप किस वर्ष आयोजित की गई थी?</v>
      </c>
      <c r="H434" s="5" t="str">
        <f>IFERROR(__xludf.DUMMYFUNCTION("GOOGLETRANSLATE(C434, ""en"", ""hi"")"),"ए) 1994, बी) 1996, सी) 1998, डी) 2000")</f>
        <v>ए) 1994, बी) 1996, सी) 1998, डी) 2000</v>
      </c>
      <c r="I434" s="5" t="str">
        <f>IFERROR(__xludf.DUMMYFUNCTION("GOOGLETRANSLATE(D434, ""en"", ""hi"")"),"ए) 1994")</f>
        <v>ए) 1994</v>
      </c>
    </row>
    <row r="435" ht="22.5" customHeight="1">
      <c r="A435" s="3">
        <v>434.0</v>
      </c>
      <c r="B435" s="4" t="s">
        <v>8524</v>
      </c>
      <c r="C435" s="4" t="s">
        <v>6724</v>
      </c>
      <c r="D435" s="4" t="s">
        <v>6725</v>
      </c>
      <c r="F435" s="5" t="str">
        <f>IFERROR(__xludf.DUMMYFUNCTION("GOOGLETRANSLATE(A435, ""en"", ""hi"")"),"434")</f>
        <v>434</v>
      </c>
      <c r="G435" s="5" t="str">
        <f>IFERROR(__xludf.DUMMYFUNCTION("GOOGLETRANSLATE(B435, ""en"", ""hi"")"),"कैरम को पहली बार राष्ट्रमंडल खेलों में किस वर्ष शामिल किया गया था?")</f>
        <v>कैरम को पहली बार राष्ट्रमंडल खेलों में किस वर्ष शामिल किया गया था?</v>
      </c>
      <c r="H435" s="5" t="str">
        <f>IFERROR(__xludf.DUMMYFUNCTION("GOOGLETRANSLATE(C435, ""en"", ""hi"")"),"ए) 1998, बी) 2002, सी) 2006, डी) 2010")</f>
        <v>ए) 1998, बी) 2002, सी) 2006, डी) 2010</v>
      </c>
      <c r="I435" s="5" t="str">
        <f>IFERROR(__xludf.DUMMYFUNCTION("GOOGLETRANSLATE(D435, ""en"", ""hi"")"),"बी) 2002")</f>
        <v>बी) 2002</v>
      </c>
    </row>
    <row r="436" ht="22.5" customHeight="1">
      <c r="A436" s="3">
        <v>435.0</v>
      </c>
      <c r="B436" s="4" t="s">
        <v>8501</v>
      </c>
      <c r="C436" s="4" t="s">
        <v>8350</v>
      </c>
      <c r="D436" s="4" t="s">
        <v>8351</v>
      </c>
      <c r="F436" s="5" t="str">
        <f>IFERROR(__xludf.DUMMYFUNCTION("GOOGLETRANSLATE(A436, ""en"", ""hi"")"),"435")</f>
        <v>435</v>
      </c>
      <c r="G436" s="5" t="str">
        <f>IFERROR(__xludf.DUMMYFUNCTION("GOOGLETRANSLATE(B436, ""en"", ""hi"")"),"पाकिस्तान की ओर से विश्व चैम्पियनशिप का खिताब जीतने वाला पहला कैरम खिलाड़ी कौन था?")</f>
        <v>पाकिस्तान की ओर से विश्व चैम्पियनशिप का खिताब जीतने वाला पहला कैरम खिलाड़ी कौन था?</v>
      </c>
      <c r="H436" s="5" t="str">
        <f>IFERROR(__xludf.DUMMYFUNCTION("GOOGLETRANSLATE(C436, ""en"", ""hi"")"),"ए) तारिक महमूद, बी) जाहिद खान, सी) बिलाल अहमद, डी) सैयद अली")</f>
        <v>ए) तारिक महमूद, बी) जाहिद खान, सी) बिलाल अहमद, डी) सैयद अली</v>
      </c>
      <c r="I436" s="5" t="str">
        <f>IFERROR(__xludf.DUMMYFUNCTION("GOOGLETRANSLATE(D436, ""en"", ""hi"")"),"A) तारिक महमूद")</f>
        <v>A) तारिक महमूद</v>
      </c>
    </row>
    <row r="437" ht="22.5" customHeight="1">
      <c r="A437" s="3">
        <v>436.0</v>
      </c>
      <c r="B437" s="4" t="s">
        <v>8525</v>
      </c>
      <c r="C437" s="4" t="s">
        <v>8165</v>
      </c>
      <c r="D437" s="4" t="s">
        <v>6725</v>
      </c>
      <c r="F437" s="5" t="str">
        <f>IFERROR(__xludf.DUMMYFUNCTION("GOOGLETRANSLATE(A437, ""en"", ""hi"")"),"436")</f>
        <v>436</v>
      </c>
      <c r="G437" s="5" t="str">
        <f>IFERROR(__xludf.DUMMYFUNCTION("GOOGLETRANSLATE(B437, ""en"", ""hi"")"),"डिजिटल टाइमर वाला पहला कैरम बोर्ड किस वर्ष पेश किया गया था?")</f>
        <v>डिजिटल टाइमर वाला पहला कैरम बोर्ड किस वर्ष पेश किया गया था?</v>
      </c>
      <c r="H437" s="5" t="str">
        <f>IFERROR(__xludf.DUMMYFUNCTION("GOOGLETRANSLATE(C437, ""en"", ""hi"")"),"ए) 2000, बी) 2002, सी) 2004, डी) 2006")</f>
        <v>ए) 2000, बी) 2002, सी) 2004, डी) 2006</v>
      </c>
      <c r="I437" s="5" t="str">
        <f>IFERROR(__xludf.DUMMYFUNCTION("GOOGLETRANSLATE(D437, ""en"", ""hi"")"),"बी) 2002")</f>
        <v>बी) 2002</v>
      </c>
    </row>
    <row r="438" ht="22.5" customHeight="1">
      <c r="A438" s="3">
        <v>437.0</v>
      </c>
      <c r="B438" s="4" t="s">
        <v>8526</v>
      </c>
      <c r="C438" s="4" t="s">
        <v>8527</v>
      </c>
      <c r="D438" s="4" t="s">
        <v>7743</v>
      </c>
      <c r="F438" s="5" t="str">
        <f>IFERROR(__xludf.DUMMYFUNCTION("GOOGLETRANSLATE(A438, ""en"", ""hi"")"),"437")</f>
        <v>437</v>
      </c>
      <c r="G438" s="5" t="str">
        <f>IFERROR(__xludf.DUMMYFUNCTION("GOOGLETRANSLATE(B438, ""en"", ""hi"")"),"2000 के दशक में कौन सा कैरम खिलाड़ी अपने सटीक निशाना लगाने के कौशल के लिए जाना जाता था?")</f>
        <v>2000 के दशक में कौन सा कैरम खिलाड़ी अपने सटीक निशाना लगाने के कौशल के लिए जाना जाता था?</v>
      </c>
      <c r="H438" s="5" t="str">
        <f>IFERROR(__xludf.DUMMYFUNCTION("GOOGLETRANSLATE(C438, ""en"", ""hi"")"),"ए) रश्मी कुमारी, बी) योगेश परदेशी, सी) एंथोनी इरुदायम, डी) तारिक महमूद")</f>
        <v>ए) रश्मी कुमारी, बी) योगेश परदेशी, सी) एंथोनी इरुदायम, डी) तारिक महमूद</v>
      </c>
      <c r="I438" s="5" t="str">
        <f>IFERROR(__xludf.DUMMYFUNCTION("GOOGLETRANSLATE(D438, ""en"", ""hi"")"),"A) रश्मि कुमारी")</f>
        <v>A) रश्मि कुमारी</v>
      </c>
    </row>
    <row r="439" ht="22.5" customHeight="1">
      <c r="A439" s="3">
        <v>438.0</v>
      </c>
      <c r="B439" s="4" t="s">
        <v>8223</v>
      </c>
      <c r="C439" s="4" t="s">
        <v>8144</v>
      </c>
      <c r="D439" s="4" t="s">
        <v>8411</v>
      </c>
      <c r="F439" s="5" t="str">
        <f>IFERROR(__xludf.DUMMYFUNCTION("GOOGLETRANSLATE(A439, ""en"", ""hi"")"),"438")</f>
        <v>438</v>
      </c>
      <c r="G439" s="5" t="str">
        <f>IFERROR(__xludf.DUMMYFUNCTION("GOOGLETRANSLATE(B439, ""en"", ""hi"")"),"कैरम पहली बार दक्षिण एशियाई खेलों में किस वर्ष शामिल हुआ?")</f>
        <v>कैरम पहली बार दक्षिण एशियाई खेलों में किस वर्ष शामिल हुआ?</v>
      </c>
      <c r="H439" s="5" t="str">
        <f>IFERROR(__xludf.DUMMYFUNCTION("GOOGLETRANSLATE(C439, ""en"", ""hi"")"),"ए) 1998, बी) 2000, सी) 2002, डी) 2004")</f>
        <v>ए) 1998, बी) 2000, सी) 2002, डी) 2004</v>
      </c>
      <c r="I439" s="5" t="str">
        <f>IFERROR(__xludf.DUMMYFUNCTION("GOOGLETRANSLATE(D439, ""en"", ""hi"")"),"ए) 1998")</f>
        <v>ए) 1998</v>
      </c>
    </row>
    <row r="440" ht="22.5" customHeight="1">
      <c r="A440" s="3">
        <v>439.0</v>
      </c>
      <c r="B440" s="4" t="s">
        <v>8528</v>
      </c>
      <c r="C440" s="4" t="s">
        <v>2452</v>
      </c>
      <c r="D440" s="4" t="s">
        <v>766</v>
      </c>
      <c r="F440" s="5" t="str">
        <f>IFERROR(__xludf.DUMMYFUNCTION("GOOGLETRANSLATE(A440, ""en"", ""hi"")"),"439")</f>
        <v>439</v>
      </c>
      <c r="G440" s="5" t="str">
        <f>IFERROR(__xludf.DUMMYFUNCTION("GOOGLETRANSLATE(B440, ""en"", ""hi"")"),"1997 में जूनियर वर्ग के लिए पहली कैरम विश्व चैम्पियनशिप की मेजबानी किस शहर ने की थी?")</f>
        <v>1997 में जूनियर वर्ग के लिए पहली कैरम विश्व चैम्पियनशिप की मेजबानी किस शहर ने की थी?</v>
      </c>
      <c r="H440" s="5" t="str">
        <f>IFERROR(__xludf.DUMMYFUNCTION("GOOGLETRANSLATE(C440, ""en"", ""hi"")"),"A) मुंबई, B) चेन्नई, C) दिल्ली, D) बैंगलोर")</f>
        <v>A) मुंबई, B) चेन्नई, C) दिल्ली, D) बैंगलोर</v>
      </c>
      <c r="I440" s="5" t="str">
        <f>IFERROR(__xludf.DUMMYFUNCTION("GOOGLETRANSLATE(D440, ""en"", ""hi"")"),"C) दिल्ली")</f>
        <v>C) दिल्ली</v>
      </c>
    </row>
    <row r="441" ht="22.5" customHeight="1">
      <c r="A441" s="3">
        <v>440.0</v>
      </c>
      <c r="B441" s="4" t="s">
        <v>8529</v>
      </c>
      <c r="C441" s="4" t="s">
        <v>8464</v>
      </c>
      <c r="D441" s="4" t="s">
        <v>8465</v>
      </c>
      <c r="F441" s="5" t="str">
        <f>IFERROR(__xludf.DUMMYFUNCTION("GOOGLETRANSLATE(A441, ""en"", ""hi"")"),"440")</f>
        <v>440</v>
      </c>
      <c r="G441" s="5" t="str">
        <f>IFERROR(__xludf.DUMMYFUNCTION("GOOGLETRANSLATE(B441, ""en"", ""hi"")"),"स्वचालित स्कोरिंग प्रणाली वाला पहला कैरम बोर्ड किस वर्ष शुरू किया गया था?")</f>
        <v>स्वचालित स्कोरिंग प्रणाली वाला पहला कैरम बोर्ड किस वर्ष शुरू किया गया था?</v>
      </c>
      <c r="H441" s="5" t="str">
        <f>IFERROR(__xludf.DUMMYFUNCTION("GOOGLETRANSLATE(C441, ""en"", ""hi"")"),"ए) 1999, बी) 2000, सी) 2002, डी) 2004")</f>
        <v>ए) 1999, बी) 2000, सी) 2002, डी) 2004</v>
      </c>
      <c r="I441" s="5" t="str">
        <f>IFERROR(__xludf.DUMMYFUNCTION("GOOGLETRANSLATE(D441, ""en"", ""hi"")"),"सी) 2002")</f>
        <v>सी) 2002</v>
      </c>
    </row>
    <row r="442" ht="22.5" customHeight="1">
      <c r="A442" s="3">
        <v>441.0</v>
      </c>
      <c r="B442" s="4" t="s">
        <v>8530</v>
      </c>
      <c r="C442" s="4" t="s">
        <v>171</v>
      </c>
      <c r="D442" s="4" t="s">
        <v>172</v>
      </c>
      <c r="F442" s="5" t="str">
        <f>IFERROR(__xludf.DUMMYFUNCTION("GOOGLETRANSLATE(A442, ""en"", ""hi"")"),"441")</f>
        <v>441</v>
      </c>
      <c r="G442" s="5" t="str">
        <f>IFERROR(__xludf.DUMMYFUNCTION("GOOGLETRANSLATE(B442, ""en"", ""hi"")"),"1990 के दशक में किस भारतीय राज्य ने पहली बार अपने स्कूल टूर्नामेंट में कैरम की शुरुआत की?")</f>
        <v>1990 के दशक में किस भारतीय राज्य ने पहली बार अपने स्कूल टूर्नामेंट में कैरम की शुरुआत की?</v>
      </c>
      <c r="H442" s="5" t="str">
        <f>IFERROR(__xludf.DUMMYFUNCTION("GOOGLETRANSLATE(C442, ""en"", ""hi"")"),"A) केरल, B) तमिलनाडु, C) कर्नाटक, D) आंध्र प्रदेश")</f>
        <v>A) केरल, B) तमिलनाडु, C) कर्नाटक, D) आंध्र प्रदेश</v>
      </c>
      <c r="I442" s="5" t="str">
        <f>IFERROR(__xludf.DUMMYFUNCTION("GOOGLETRANSLATE(D442, ""en"", ""hi"")"),"A) केरल")</f>
        <v>A) केरल</v>
      </c>
    </row>
    <row r="443" ht="22.5" customHeight="1">
      <c r="A443" s="3">
        <v>442.0</v>
      </c>
      <c r="B443" s="4" t="s">
        <v>8472</v>
      </c>
      <c r="C443" s="4" t="s">
        <v>8531</v>
      </c>
      <c r="D443" s="4" t="s">
        <v>8299</v>
      </c>
      <c r="F443" s="5" t="str">
        <f>IFERROR(__xludf.DUMMYFUNCTION("GOOGLETRANSLATE(A443, ""en"", ""hi"")"),"442")</f>
        <v>442</v>
      </c>
      <c r="G443" s="5" t="str">
        <f>IFERROR(__xludf.DUMMYFUNCTION("GOOGLETRANSLATE(B443, ""en"", ""hi"")"),"पुरुषों के लिए पहली कैरम विश्व चैम्पियनशिप किस शहर में आयोजित की गई थी?")</f>
        <v>पुरुषों के लिए पहली कैरम विश्व चैम्पियनशिप किस शहर में आयोजित की गई थी?</v>
      </c>
      <c r="H443" s="5" t="str">
        <f>IFERROR(__xludf.DUMMYFUNCTION("GOOGLETRANSLATE(C443, ""en"", ""hi"")"),"A) चेन्नई, B) मुंबई, C) कोलंबो, D) कराची")</f>
        <v>A) चेन्नई, B) मुंबई, C) कोलंबो, D) कराची</v>
      </c>
      <c r="I443" s="5" t="str">
        <f>IFERROR(__xludf.DUMMYFUNCTION("GOOGLETRANSLATE(D443, ""en"", ""hi"")"),"C) कोलंबो")</f>
        <v>C) कोलंबो</v>
      </c>
    </row>
    <row r="444" ht="22.5" customHeight="1">
      <c r="A444" s="3">
        <v>443.0</v>
      </c>
      <c r="B444" s="4" t="s">
        <v>8450</v>
      </c>
      <c r="C444" s="4" t="s">
        <v>8408</v>
      </c>
      <c r="D444" s="4" t="s">
        <v>8409</v>
      </c>
      <c r="F444" s="5" t="str">
        <f>IFERROR(__xludf.DUMMYFUNCTION("GOOGLETRANSLATE(A444, ""en"", ""hi"")"),"443")</f>
        <v>443</v>
      </c>
      <c r="G444" s="5" t="str">
        <f>IFERROR(__xludf.DUMMYFUNCTION("GOOGLETRANSLATE(B444, ""en"", ""hi"")"),"श्रीलंका की ओर से विश्व चैम्पियनशिप का खिताब जीतने वाला पहला कैरम खिलाड़ी कौन था?")</f>
        <v>श्रीलंका की ओर से विश्व चैम्पियनशिप का खिताब जीतने वाला पहला कैरम खिलाड़ी कौन था?</v>
      </c>
      <c r="H444" s="5" t="str">
        <f>IFERROR(__xludf.DUMMYFUNCTION("GOOGLETRANSLATE(C444, ""en"", ""hi"")"),"ए) चामिल कुरे, बी) निमल दिसानायके, सी) शिरन फर्नांडो, डी) धर्मेंद्र राणावीरा")</f>
        <v>ए) चामिल कुरे, बी) निमल दिसानायके, सी) शिरन फर्नांडो, डी) धर्मेंद्र राणावीरा</v>
      </c>
      <c r="I444" s="5" t="str">
        <f>IFERROR(__xludf.DUMMYFUNCTION("GOOGLETRANSLATE(D444, ""en"", ""hi"")"),"D) धर्मेंद्र रणवीरा")</f>
        <v>D) धर्मेंद्र रणवीरा</v>
      </c>
    </row>
    <row r="445" ht="22.5" customHeight="1">
      <c r="A445" s="3">
        <v>444.0</v>
      </c>
      <c r="B445" s="4" t="s">
        <v>7855</v>
      </c>
      <c r="C445" s="4" t="s">
        <v>8069</v>
      </c>
      <c r="D445" s="4" t="s">
        <v>8070</v>
      </c>
      <c r="F445" s="5" t="str">
        <f>IFERROR(__xludf.DUMMYFUNCTION("GOOGLETRANSLATE(A445, ""en"", ""hi"")"),"444")</f>
        <v>444</v>
      </c>
      <c r="G445" s="5" t="str">
        <f>IFERROR(__xludf.DUMMYFUNCTION("GOOGLETRANSLATE(B445, ""en"", ""hi"")"),"एशिया के बाहर पहली कैरम विश्व चैम्पियनशिप किस वर्ष आयोजित हुई थी?")</f>
        <v>एशिया के बाहर पहली कैरम विश्व चैम्पियनशिप किस वर्ष आयोजित हुई थी?</v>
      </c>
      <c r="H445" s="5" t="str">
        <f>IFERROR(__xludf.DUMMYFUNCTION("GOOGLETRANSLATE(C445, ""en"", ""hi"")"),"ए) 1996, बी) 1998, सी) 2000, डी) 2002")</f>
        <v>ए) 1996, बी) 1998, सी) 2000, डी) 2002</v>
      </c>
      <c r="I445" s="5" t="str">
        <f>IFERROR(__xludf.DUMMYFUNCTION("GOOGLETRANSLATE(D445, ""en"", ""hi"")"),"ए) 1996")</f>
        <v>ए) 1996</v>
      </c>
    </row>
    <row r="446" ht="22.5" customHeight="1">
      <c r="A446" s="3">
        <v>445.0</v>
      </c>
      <c r="B446" s="4" t="s">
        <v>8532</v>
      </c>
      <c r="C446" s="4" t="s">
        <v>2518</v>
      </c>
      <c r="D446" s="4" t="s">
        <v>766</v>
      </c>
      <c r="F446" s="5" t="str">
        <f>IFERROR(__xludf.DUMMYFUNCTION("GOOGLETRANSLATE(A446, ""en"", ""hi"")"),"445")</f>
        <v>445</v>
      </c>
      <c r="G446" s="5" t="str">
        <f>IFERROR(__xludf.DUMMYFUNCTION("GOOGLETRANSLATE(B446, ""en"", ""hi"")"),"किस भारतीय शहर ने 2002 में पहली बार कैरम विश्व चैम्पियनशिप की मेजबानी की थी?")</f>
        <v>किस भारतीय शहर ने 2002 में पहली बार कैरम विश्व चैम्पियनशिप की मेजबानी की थी?</v>
      </c>
      <c r="H446" s="5" t="str">
        <f>IFERROR(__xludf.DUMMYFUNCTION("GOOGLETRANSLATE(C446, ""en"", ""hi"")"),"A) चेन्नई, B) मुंबई, C) दिल्ली, D) बैंगलोर")</f>
        <v>A) चेन्नई, B) मुंबई, C) दिल्ली, D) बैंगलोर</v>
      </c>
      <c r="I446" s="5" t="str">
        <f>IFERROR(__xludf.DUMMYFUNCTION("GOOGLETRANSLATE(D446, ""en"", ""hi"")"),"C) दिल्ली")</f>
        <v>C) दिल्ली</v>
      </c>
    </row>
    <row r="447" ht="22.5" customHeight="1">
      <c r="A447" s="3">
        <v>446.0</v>
      </c>
      <c r="B447" s="4" t="s">
        <v>8509</v>
      </c>
      <c r="C447" s="4" t="s">
        <v>8378</v>
      </c>
      <c r="D447" s="4" t="s">
        <v>8533</v>
      </c>
      <c r="F447" s="5" t="str">
        <f>IFERROR(__xludf.DUMMYFUNCTION("GOOGLETRANSLATE(A447, ""en"", ""hi"")"),"446")</f>
        <v>446</v>
      </c>
      <c r="G447" s="5" t="str">
        <f>IFERROR(__xludf.DUMMYFUNCTION("GOOGLETRANSLATE(B447, ""en"", ""hi"")"),"घर्षण प्रतिरोधी सतह वाला पहला कैरम बोर्ड किस वर्ष पेश किया गया था?")</f>
        <v>घर्षण प्रतिरोधी सतह वाला पहला कैरम बोर्ड किस वर्ष पेश किया गया था?</v>
      </c>
      <c r="H447" s="5" t="str">
        <f>IFERROR(__xludf.DUMMYFUNCTION("GOOGLETRANSLATE(C447, ""en"", ""hi"")"),"ए) 1997, बी) 1999, सी) 2000, डी) 2002")</f>
        <v>ए) 1997, बी) 1999, सी) 2000, डी) 2002</v>
      </c>
      <c r="I447" s="5" t="str">
        <f>IFERROR(__xludf.DUMMYFUNCTION("GOOGLETRANSLATE(D447, ""en"", ""hi"")"),"ए) 1997")</f>
        <v>ए) 1997</v>
      </c>
    </row>
    <row r="448" ht="22.5" customHeight="1">
      <c r="A448" s="3">
        <v>447.0</v>
      </c>
      <c r="B448" s="4" t="s">
        <v>8461</v>
      </c>
      <c r="C448" s="4" t="s">
        <v>8462</v>
      </c>
      <c r="D448" s="4" t="s">
        <v>8399</v>
      </c>
      <c r="F448" s="5" t="str">
        <f>IFERROR(__xludf.DUMMYFUNCTION("GOOGLETRANSLATE(A448, ""en"", ""hi"")"),"447")</f>
        <v>447</v>
      </c>
      <c r="G448" s="5" t="str">
        <f>IFERROR(__xludf.DUMMYFUNCTION("GOOGLETRANSLATE(B448, ""en"", ""hi"")"),"बांग्लादेश के किस कैरम खिलाड़ी ने 2002 में विश्व चैंपियनशिप जीती?")</f>
        <v>बांग्लादेश के किस कैरम खिलाड़ी ने 2002 में विश्व चैंपियनशिप जीती?</v>
      </c>
      <c r="H448" s="5" t="str">
        <f>IFERROR(__xludf.DUMMYFUNCTION("GOOGLETRANSLATE(C448, ""en"", ""hi"")"),"A) मोहम्मद मोहसिन, B) अकरम हुसैन, C) बिलाल अहमद, D) सैयद अली")</f>
        <v>A) मोहम्मद मोहसिन, B) अकरम हुसैन, C) बिलाल अहमद, D) सैयद अली</v>
      </c>
      <c r="I448" s="5" t="str">
        <f>IFERROR(__xludf.DUMMYFUNCTION("GOOGLETRANSLATE(D448, ""en"", ""hi"")"),"बी) अकरम हुसैन")</f>
        <v>बी) अकरम हुसैन</v>
      </c>
    </row>
    <row r="449" ht="22.5" customHeight="1">
      <c r="A449" s="3">
        <v>448.0</v>
      </c>
      <c r="B449" s="4" t="s">
        <v>8405</v>
      </c>
      <c r="C449" s="4" t="s">
        <v>8504</v>
      </c>
      <c r="D449" s="4" t="s">
        <v>8330</v>
      </c>
      <c r="F449" s="5" t="str">
        <f>IFERROR(__xludf.DUMMYFUNCTION("GOOGLETRANSLATE(A449, ""en"", ""hi"")"),"448")</f>
        <v>448</v>
      </c>
      <c r="G449" s="5" t="str">
        <f>IFERROR(__xludf.DUMMYFUNCTION("GOOGLETRANSLATE(B449, ""en"", ""hi"")"),"वरिष्ठों के लिए पहली कैरम विश्व चैम्पियनशिप किस शहर में आयोजित की गई थी?")</f>
        <v>वरिष्ठों के लिए पहली कैरम विश्व चैम्पियनशिप किस शहर में आयोजित की गई थी?</v>
      </c>
      <c r="H449" s="5" t="str">
        <f>IFERROR(__xludf.DUMMYFUNCTION("GOOGLETRANSLATE(C449, ""en"", ""hi"")"),"A) मुंबई, B) कोलंबो, C) कराची, D) दिल्ली")</f>
        <v>A) मुंबई, B) कोलंबो, C) कराची, D) दिल्ली</v>
      </c>
      <c r="I449" s="5" t="str">
        <f>IFERROR(__xludf.DUMMYFUNCTION("GOOGLETRANSLATE(D449, ""en"", ""hi"")"),"बी) कोलंबो")</f>
        <v>बी) कोलंबो</v>
      </c>
    </row>
    <row r="450" ht="22.5" customHeight="1">
      <c r="A450" s="3">
        <v>449.0</v>
      </c>
      <c r="B450" s="4" t="s">
        <v>8534</v>
      </c>
      <c r="C450" s="4" t="s">
        <v>171</v>
      </c>
      <c r="D450" s="4" t="s">
        <v>172</v>
      </c>
      <c r="F450" s="5" t="str">
        <f>IFERROR(__xludf.DUMMYFUNCTION("GOOGLETRANSLATE(A450, ""en"", ""hi"")"),"449")</f>
        <v>449</v>
      </c>
      <c r="G450" s="5" t="str">
        <f>IFERROR(__xludf.DUMMYFUNCTION("GOOGLETRANSLATE(B450, ""en"", ""hi"")"),"किस भारतीय राज्य ने पहली बार कैरम को अपने स्कूल खेल पाठ्यक्रम में शामिल किया?")</f>
        <v>किस भारतीय राज्य ने पहली बार कैरम को अपने स्कूल खेल पाठ्यक्रम में शामिल किया?</v>
      </c>
      <c r="H450" s="5" t="str">
        <f>IFERROR(__xludf.DUMMYFUNCTION("GOOGLETRANSLATE(C450, ""en"", ""hi"")"),"A) केरल, B) तमिलनाडु, C) कर्नाटक, D) आंध्र प्रदेश")</f>
        <v>A) केरल, B) तमिलनाडु, C) कर्नाटक, D) आंध्र प्रदेश</v>
      </c>
      <c r="I450" s="5" t="str">
        <f>IFERROR(__xludf.DUMMYFUNCTION("GOOGLETRANSLATE(D450, ""en"", ""hi"")"),"A) केरल")</f>
        <v>A) केरल</v>
      </c>
    </row>
    <row r="451" ht="22.5" customHeight="1">
      <c r="A451" s="3">
        <v>450.0</v>
      </c>
      <c r="B451" s="4" t="s">
        <v>8463</v>
      </c>
      <c r="C451" s="4" t="s">
        <v>8165</v>
      </c>
      <c r="D451" s="4" t="s">
        <v>6725</v>
      </c>
      <c r="F451" s="5" t="str">
        <f>IFERROR(__xludf.DUMMYFUNCTION("GOOGLETRANSLATE(A451, ""en"", ""hi"")"),"450")</f>
        <v>450</v>
      </c>
      <c r="G451" s="5" t="str">
        <f>IFERROR(__xludf.DUMMYFUNCTION("GOOGLETRANSLATE(B451, ""en"", ""hi"")"),"एकीकृत एलईडी प्रकाश व्यवस्था वाला पहला कैरम बोर्ड किस वर्ष पेश किया गया था?")</f>
        <v>एकीकृत एलईडी प्रकाश व्यवस्था वाला पहला कैरम बोर्ड किस वर्ष पेश किया गया था?</v>
      </c>
      <c r="H451" s="5" t="str">
        <f>IFERROR(__xludf.DUMMYFUNCTION("GOOGLETRANSLATE(C451, ""en"", ""hi"")"),"ए) 2000, बी) 2002, सी) 2004, डी) 2006")</f>
        <v>ए) 2000, बी) 2002, सी) 2004, डी) 2006</v>
      </c>
      <c r="I451" s="5" t="str">
        <f>IFERROR(__xludf.DUMMYFUNCTION("GOOGLETRANSLATE(D451, ""en"", ""hi"")"),"बी) 2002")</f>
        <v>बी) 2002</v>
      </c>
    </row>
    <row r="452" ht="22.5" customHeight="1">
      <c r="A452" s="3">
        <v>451.0</v>
      </c>
      <c r="B452" s="4" t="s">
        <v>8519</v>
      </c>
      <c r="C452" s="4" t="s">
        <v>8535</v>
      </c>
      <c r="D452" s="4" t="s">
        <v>7743</v>
      </c>
      <c r="F452" s="5" t="str">
        <f>IFERROR(__xludf.DUMMYFUNCTION("GOOGLETRANSLATE(A452, ""en"", ""hi"")"),"451")</f>
        <v>451</v>
      </c>
      <c r="G452" s="5" t="str">
        <f>IFERROR(__xludf.DUMMYFUNCTION("GOOGLETRANSLATE(B452, ""en"", ""hi"")"),"1996 में भारत की ओर से विश्व चैम्पियनशिप का खिताब जीतने वाला पहला कैरम खिलाड़ी कौन था?")</f>
        <v>1996 में भारत की ओर से विश्व चैम्पियनशिप का खिताब जीतने वाला पहला कैरम खिलाड़ी कौन था?</v>
      </c>
      <c r="H452" s="5" t="str">
        <f>IFERROR(__xludf.DUMMYFUNCTION("GOOGLETRANSLATE(C452, ""en"", ""hi"")"),"ए) रश्मी कुमारी, बी) योगेश परदेशी, सी) राजेश मेहता, डी) एंथोनी इरुदायम")</f>
        <v>ए) रश्मी कुमारी, बी) योगेश परदेशी, सी) राजेश मेहता, डी) एंथोनी इरुदायम</v>
      </c>
      <c r="I452" s="5" t="str">
        <f>IFERROR(__xludf.DUMMYFUNCTION("GOOGLETRANSLATE(D452, ""en"", ""hi"")"),"A) रश्मि कुमारी")</f>
        <v>A) रश्मि कुमारी</v>
      </c>
    </row>
    <row r="453" ht="22.5" customHeight="1">
      <c r="A453" s="3">
        <v>452.0</v>
      </c>
      <c r="B453" s="4" t="s">
        <v>8435</v>
      </c>
      <c r="C453" s="4" t="s">
        <v>8536</v>
      </c>
      <c r="D453" s="4" t="s">
        <v>543</v>
      </c>
      <c r="F453" s="5" t="str">
        <f>IFERROR(__xludf.DUMMYFUNCTION("GOOGLETRANSLATE(A453, ""en"", ""hi"")"),"452")</f>
        <v>452</v>
      </c>
      <c r="G453" s="5" t="str">
        <f>IFERROR(__xludf.DUMMYFUNCTION("GOOGLETRANSLATE(B453, ""en"", ""hi"")"),"जूनियर वर्ग के लिए पहली कैरम विश्व चैम्पियनशिप किस शहर में आयोजित की गई थी?")</f>
        <v>जूनियर वर्ग के लिए पहली कैरम विश्व चैम्पियनशिप किस शहर में आयोजित की गई थी?</v>
      </c>
      <c r="H453" s="5" t="str">
        <f>IFERROR(__xludf.DUMMYFUNCTION("GOOGLETRANSLATE(C453, ""en"", ""hi"")"),"A) दिल्ली, B) चेन्नई, C) मुंबई, D) बैंगलोर")</f>
        <v>A) दिल्ली, B) चेन्नई, C) मुंबई, D) बैंगलोर</v>
      </c>
      <c r="I453" s="5" t="str">
        <f>IFERROR(__xludf.DUMMYFUNCTION("GOOGLETRANSLATE(D453, ""en"", ""hi"")"),"ए) दिल्ली")</f>
        <v>ए) दिल्ली</v>
      </c>
    </row>
    <row r="454" ht="22.5" customHeight="1">
      <c r="A454" s="3">
        <v>453.0</v>
      </c>
      <c r="B454" s="4" t="s">
        <v>8537</v>
      </c>
      <c r="C454" s="4" t="s">
        <v>8371</v>
      </c>
      <c r="D454" s="4" t="s">
        <v>2301</v>
      </c>
      <c r="F454" s="5" t="str">
        <f>IFERROR(__xludf.DUMMYFUNCTION("GOOGLETRANSLATE(A454, ""en"", ""hi"")"),"453")</f>
        <v>453</v>
      </c>
      <c r="G454" s="5" t="str">
        <f>IFERROR(__xludf.DUMMYFUNCTION("GOOGLETRANSLATE(B454, ""en"", ""hi"")"),"किस भारतीय राज्य ने पहली बार 2006 में कैरम विश्व चैम्पियनशिप की मेजबानी की थी?")</f>
        <v>किस भारतीय राज्य ने पहली बार 2006 में कैरम विश्व चैम्पियनशिप की मेजबानी की थी?</v>
      </c>
      <c r="H454" s="5" t="str">
        <f>IFERROR(__xludf.DUMMYFUNCTION("GOOGLETRANSLATE(C454, ""en"", ""hi"")"),"A) मुंबई, B) चेन्नई, C) बैंगलोर, D) दिल्ली")</f>
        <v>A) मुंबई, B) चेन्नई, C) बैंगलोर, D) दिल्ली</v>
      </c>
      <c r="I454" s="5" t="str">
        <f>IFERROR(__xludf.DUMMYFUNCTION("GOOGLETRANSLATE(D454, ""en"", ""hi"")"),"D) दिल्ली")</f>
        <v>D) दिल्ली</v>
      </c>
    </row>
    <row r="455" ht="22.5" customHeight="1">
      <c r="A455" s="3">
        <v>454.0</v>
      </c>
      <c r="B455" s="4" t="s">
        <v>8457</v>
      </c>
      <c r="C455" s="4" t="s">
        <v>8538</v>
      </c>
      <c r="D455" s="4" t="s">
        <v>8458</v>
      </c>
      <c r="F455" s="5" t="str">
        <f>IFERROR(__xludf.DUMMYFUNCTION("GOOGLETRANSLATE(A455, ""en"", ""hi"")"),"454")</f>
        <v>454</v>
      </c>
      <c r="G455" s="5" t="str">
        <f>IFERROR(__xludf.DUMMYFUNCTION("GOOGLETRANSLATE(B455, ""en"", ""hi"")"),"उन्नत घर्षण प्रतिरोधी सतह वाला पहला कैरम बोर्ड किस वर्ष पेश किया गया था?")</f>
        <v>उन्नत घर्षण प्रतिरोधी सतह वाला पहला कैरम बोर्ड किस वर्ष पेश किया गया था?</v>
      </c>
      <c r="H455" s="5" t="str">
        <f>IFERROR(__xludf.DUMMYFUNCTION("GOOGLETRANSLATE(C455, ""en"", ""hi"")"),"ए) 1997, बी) 1999, सी) 2001, डी) 2002")</f>
        <v>ए) 1997, बी) 1999, सी) 2001, डी) 2002</v>
      </c>
      <c r="I455" s="5" t="str">
        <f>IFERROR(__xludf.DUMMYFUNCTION("GOOGLETRANSLATE(D455, ""en"", ""hi"")"),"डी) 2002")</f>
        <v>डी) 2002</v>
      </c>
    </row>
    <row r="456" ht="22.5" customHeight="1">
      <c r="A456" s="3">
        <v>455.0</v>
      </c>
      <c r="B456" s="4" t="s">
        <v>8526</v>
      </c>
      <c r="C456" s="4" t="s">
        <v>8527</v>
      </c>
      <c r="D456" s="4" t="s">
        <v>7743</v>
      </c>
      <c r="F456" s="5" t="str">
        <f>IFERROR(__xludf.DUMMYFUNCTION("GOOGLETRANSLATE(A456, ""en"", ""hi"")"),"455")</f>
        <v>455</v>
      </c>
      <c r="G456" s="5" t="str">
        <f>IFERROR(__xludf.DUMMYFUNCTION("GOOGLETRANSLATE(B456, ""en"", ""hi"")"),"2000 के दशक में कौन सा कैरम खिलाड़ी अपने सटीक निशाना लगाने के कौशल के लिए जाना जाता था?")</f>
        <v>2000 के दशक में कौन सा कैरम खिलाड़ी अपने सटीक निशाना लगाने के कौशल के लिए जाना जाता था?</v>
      </c>
      <c r="H456" s="5" t="str">
        <f>IFERROR(__xludf.DUMMYFUNCTION("GOOGLETRANSLATE(C456, ""en"", ""hi"")"),"ए) रश्मी कुमारी, बी) योगेश परदेशी, सी) एंथोनी इरुदायम, डी) तारिक महमूद")</f>
        <v>ए) रश्मी कुमारी, बी) योगेश परदेशी, सी) एंथोनी इरुदायम, डी) तारिक महमूद</v>
      </c>
      <c r="I456" s="5" t="str">
        <f>IFERROR(__xludf.DUMMYFUNCTION("GOOGLETRANSLATE(D456, ""en"", ""hi"")"),"A) रश्मि कुमारी")</f>
        <v>A) रश्मि कुमारी</v>
      </c>
    </row>
    <row r="457" ht="22.5" customHeight="1">
      <c r="A457" s="3">
        <v>456.0</v>
      </c>
      <c r="B457" s="4" t="s">
        <v>8513</v>
      </c>
      <c r="C457" s="4" t="s">
        <v>8144</v>
      </c>
      <c r="D457" s="4" t="s">
        <v>829</v>
      </c>
      <c r="F457" s="5" t="str">
        <f>IFERROR(__xludf.DUMMYFUNCTION("GOOGLETRANSLATE(A457, ""en"", ""hi"")"),"456")</f>
        <v>456</v>
      </c>
      <c r="G457" s="5" t="str">
        <f>IFERROR(__xludf.DUMMYFUNCTION("GOOGLETRANSLATE(B457, ""en"", ""hi"")"),"अंतर्निर्मित टाइमर वाला पहला कैरम बोर्ड किस वर्ष पेश किया गया था?")</f>
        <v>अंतर्निर्मित टाइमर वाला पहला कैरम बोर्ड किस वर्ष पेश किया गया था?</v>
      </c>
      <c r="H457" s="5" t="str">
        <f>IFERROR(__xludf.DUMMYFUNCTION("GOOGLETRANSLATE(C457, ""en"", ""hi"")"),"ए) 1998, बी) 2000, सी) 2002, डी) 2004")</f>
        <v>ए) 1998, बी) 2000, सी) 2002, डी) 2004</v>
      </c>
      <c r="I457" s="5" t="str">
        <f>IFERROR(__xludf.DUMMYFUNCTION("GOOGLETRANSLATE(D457, ""en"", ""hi"")"),"बी) 2000")</f>
        <v>बी) 2000</v>
      </c>
    </row>
    <row r="458" ht="22.5" customHeight="1">
      <c r="A458" s="3">
        <v>457.0</v>
      </c>
      <c r="B458" s="4" t="s">
        <v>8539</v>
      </c>
      <c r="C458" s="4" t="s">
        <v>2518</v>
      </c>
      <c r="D458" s="4" t="s">
        <v>766</v>
      </c>
      <c r="F458" s="5" t="str">
        <f>IFERROR(__xludf.DUMMYFUNCTION("GOOGLETRANSLATE(A458, ""en"", ""hi"")"),"457")</f>
        <v>457</v>
      </c>
      <c r="G458" s="5" t="str">
        <f>IFERROR(__xludf.DUMMYFUNCTION("GOOGLETRANSLATE(B458, ""en"", ""hi"")"),"कौन सा भारतीय शहर जूनियर वर्ग के लिए कैरम विश्व चैम्पियनशिप की मेजबानी करने वाला पहला शहर था?")</f>
        <v>कौन सा भारतीय शहर जूनियर वर्ग के लिए कैरम विश्व चैम्पियनशिप की मेजबानी करने वाला पहला शहर था?</v>
      </c>
      <c r="H458" s="5" t="str">
        <f>IFERROR(__xludf.DUMMYFUNCTION("GOOGLETRANSLATE(C458, ""en"", ""hi"")"),"A) चेन्नई, B) मुंबई, C) दिल्ली, D) बैंगलोर")</f>
        <v>A) चेन्नई, B) मुंबई, C) दिल्ली, D) बैंगलोर</v>
      </c>
      <c r="I458" s="5" t="str">
        <f>IFERROR(__xludf.DUMMYFUNCTION("GOOGLETRANSLATE(D458, ""en"", ""hi"")"),"C) दिल्ली")</f>
        <v>C) दिल्ली</v>
      </c>
    </row>
    <row r="459" ht="22.5" customHeight="1">
      <c r="A459" s="3">
        <v>458.0</v>
      </c>
      <c r="B459" s="4" t="s">
        <v>8501</v>
      </c>
      <c r="C459" s="4" t="s">
        <v>8350</v>
      </c>
      <c r="D459" s="4" t="s">
        <v>8351</v>
      </c>
      <c r="F459" s="5" t="str">
        <f>IFERROR(__xludf.DUMMYFUNCTION("GOOGLETRANSLATE(A459, ""en"", ""hi"")"),"458")</f>
        <v>458</v>
      </c>
      <c r="G459" s="5" t="str">
        <f>IFERROR(__xludf.DUMMYFUNCTION("GOOGLETRANSLATE(B459, ""en"", ""hi"")"),"पाकिस्तान की ओर से विश्व चैम्पियनशिप का खिताब जीतने वाला पहला कैरम खिलाड़ी कौन था?")</f>
        <v>पाकिस्तान की ओर से विश्व चैम्पियनशिप का खिताब जीतने वाला पहला कैरम खिलाड़ी कौन था?</v>
      </c>
      <c r="H459" s="5" t="str">
        <f>IFERROR(__xludf.DUMMYFUNCTION("GOOGLETRANSLATE(C459, ""en"", ""hi"")"),"ए) तारिक महमूद, बी) जाहिद खान, सी) बिलाल अहमद, डी) सैयद अली")</f>
        <v>ए) तारिक महमूद, बी) जाहिद खान, सी) बिलाल अहमद, डी) सैयद अली</v>
      </c>
      <c r="I459" s="5" t="str">
        <f>IFERROR(__xludf.DUMMYFUNCTION("GOOGLETRANSLATE(D459, ""en"", ""hi"")"),"A) तारिक महमूद")</f>
        <v>A) तारिक महमूद</v>
      </c>
    </row>
    <row r="460" ht="22.5" customHeight="1">
      <c r="A460" s="3">
        <v>459.0</v>
      </c>
      <c r="B460" s="4" t="s">
        <v>8328</v>
      </c>
      <c r="C460" s="4" t="s">
        <v>8406</v>
      </c>
      <c r="D460" s="4" t="s">
        <v>8330</v>
      </c>
      <c r="F460" s="5" t="str">
        <f>IFERROR(__xludf.DUMMYFUNCTION("GOOGLETRANSLATE(A460, ""en"", ""hi"")"),"459")</f>
        <v>459</v>
      </c>
      <c r="G460" s="5" t="str">
        <f>IFERROR(__xludf.DUMMYFUNCTION("GOOGLETRANSLATE(B460, ""en"", ""hi"")"),"महिलाओं के लिए पहली कैरम विश्व चैम्पियनशिप किस शहर में आयोजित की गई थी?")</f>
        <v>महिलाओं के लिए पहली कैरम विश्व चैम्पियनशिप किस शहर में आयोजित की गई थी?</v>
      </c>
      <c r="H460" s="5" t="str">
        <f>IFERROR(__xludf.DUMMYFUNCTION("GOOGLETRANSLATE(C460, ""en"", ""hi"")"),"A) चेन्नई, B) कोलंबो, C) कराची, D) मुंबई")</f>
        <v>A) चेन्नई, B) कोलंबो, C) कराची, D) मुंबई</v>
      </c>
      <c r="I460" s="5" t="str">
        <f>IFERROR(__xludf.DUMMYFUNCTION("GOOGLETRANSLATE(D460, ""en"", ""hi"")"),"बी) कोलंबो")</f>
        <v>बी) कोलंबो</v>
      </c>
    </row>
    <row r="461" ht="22.5" customHeight="1">
      <c r="A461" s="3">
        <v>460.0</v>
      </c>
      <c r="B461" s="4" t="s">
        <v>8505</v>
      </c>
      <c r="C461" s="4" t="s">
        <v>171</v>
      </c>
      <c r="D461" s="4" t="s">
        <v>172</v>
      </c>
      <c r="F461" s="5" t="str">
        <f>IFERROR(__xludf.DUMMYFUNCTION("GOOGLETRANSLATE(A461, ""en"", ""hi"")"),"460")</f>
        <v>460</v>
      </c>
      <c r="G461" s="5" t="str">
        <f>IFERROR(__xludf.DUMMYFUNCTION("GOOGLETRANSLATE(B461, ""en"", ""hi"")"),"कौन सा भारतीय राज्य अपने विश्वविद्यालय टूर्नामेंटों में कैरम को एक खेल के रूप में पेश करने वाला पहला राज्य था?")</f>
        <v>कौन सा भारतीय राज्य अपने विश्वविद्यालय टूर्नामेंटों में कैरम को एक खेल के रूप में पेश करने वाला पहला राज्य था?</v>
      </c>
      <c r="H461" s="5" t="str">
        <f>IFERROR(__xludf.DUMMYFUNCTION("GOOGLETRANSLATE(C461, ""en"", ""hi"")"),"A) केरल, B) तमिलनाडु, C) कर्नाटक, D) आंध्र प्रदेश")</f>
        <v>A) केरल, B) तमिलनाडु, C) कर्नाटक, D) आंध्र प्रदेश</v>
      </c>
      <c r="I461" s="5" t="str">
        <f>IFERROR(__xludf.DUMMYFUNCTION("GOOGLETRANSLATE(D461, ""en"", ""hi"")"),"A) केरल")</f>
        <v>A) केरल</v>
      </c>
    </row>
    <row r="462" ht="22.5" customHeight="1">
      <c r="A462" s="3">
        <v>461.0</v>
      </c>
      <c r="B462" s="4" t="s">
        <v>8502</v>
      </c>
      <c r="C462" s="4" t="s">
        <v>8309</v>
      </c>
      <c r="D462" s="4" t="s">
        <v>8310</v>
      </c>
      <c r="F462" s="5" t="str">
        <f>IFERROR(__xludf.DUMMYFUNCTION("GOOGLETRANSLATE(A462, ""en"", ""hi"")"),"461")</f>
        <v>461</v>
      </c>
      <c r="G462" s="5" t="str">
        <f>IFERROR(__xludf.DUMMYFUNCTION("GOOGLETRANSLATE(B462, ""en"", ""hi"")"),"कैरम विश्व चैम्पियनशिप में पहली बार मिश्रित युगल स्पर्धा किस वर्ष आयोजित की गई?")</f>
        <v>कैरम विश्व चैम्पियनशिप में पहली बार मिश्रित युगल स्पर्धा किस वर्ष आयोजित की गई?</v>
      </c>
      <c r="H462" s="5" t="str">
        <f>IFERROR(__xludf.DUMMYFUNCTION("GOOGLETRANSLATE(C462, ""en"", ""hi"")"),"ए) 1994, बी) 1996, सी) 1998, डी) 2000")</f>
        <v>ए) 1994, बी) 1996, सी) 1998, डी) 2000</v>
      </c>
      <c r="I462" s="5" t="str">
        <f>IFERROR(__xludf.DUMMYFUNCTION("GOOGLETRANSLATE(D462, ""en"", ""hi"")"),"ए) 1994")</f>
        <v>ए) 1994</v>
      </c>
    </row>
    <row r="463" ht="22.5" customHeight="1">
      <c r="A463" s="3">
        <v>462.0</v>
      </c>
      <c r="B463" s="4" t="s">
        <v>8497</v>
      </c>
      <c r="C463" s="4" t="s">
        <v>8498</v>
      </c>
      <c r="D463" s="4" t="s">
        <v>8499</v>
      </c>
      <c r="F463" s="5" t="str">
        <f>IFERROR(__xludf.DUMMYFUNCTION("GOOGLETRANSLATE(A463, ""en"", ""hi"")"),"462")</f>
        <v>462</v>
      </c>
      <c r="G463" s="5" t="str">
        <f>IFERROR(__xludf.DUMMYFUNCTION("GOOGLETRANSLATE(B463, ""en"", ""hi"")"),"श्रीलंका के किस कैरम खिलाड़ी ने 2001 में विश्व चैंपियनशिप जीती?")</f>
        <v>श्रीलंका के किस कैरम खिलाड़ी ने 2001 में विश्व चैंपियनशिप जीती?</v>
      </c>
      <c r="H463" s="5" t="str">
        <f>IFERROR(__xludf.DUMMYFUNCTION("GOOGLETRANSLATE(C463, ""en"", ""hi"")"),"ए) धर्मेंद्र राणावीरा, बी) शिरन फर्नांडो, सी) निमल दिसानायके, डी) चामिल कुरे")</f>
        <v>ए) धर्मेंद्र राणावीरा, बी) शिरन फर्नांडो, सी) निमल दिसानायके, डी) चामिल कुरे</v>
      </c>
      <c r="I463" s="5" t="str">
        <f>IFERROR(__xludf.DUMMYFUNCTION("GOOGLETRANSLATE(D463, ""en"", ""hi"")"),"D) चमिल कूरे")</f>
        <v>D) चमिल कूरे</v>
      </c>
    </row>
    <row r="464" ht="22.5" customHeight="1">
      <c r="A464" s="3">
        <v>463.0</v>
      </c>
      <c r="B464" s="4" t="s">
        <v>8482</v>
      </c>
      <c r="C464" s="4" t="s">
        <v>8483</v>
      </c>
      <c r="D464" s="4" t="s">
        <v>8484</v>
      </c>
      <c r="F464" s="5" t="str">
        <f>IFERROR(__xludf.DUMMYFUNCTION("GOOGLETRANSLATE(A464, ""en"", ""hi"")"),"463")</f>
        <v>463</v>
      </c>
      <c r="G464" s="5" t="str">
        <f>IFERROR(__xludf.DUMMYFUNCTION("GOOGLETRANSLATE(B464, ""en"", ""hi"")"),"अंतर्निर्मित स्वचालित स्कोरर वाला पहला कैरम बोर्ड किस वर्ष पेश किया गया था?")</f>
        <v>अंतर्निर्मित स्वचालित स्कोरर वाला पहला कैरम बोर्ड किस वर्ष पेश किया गया था?</v>
      </c>
      <c r="H464" s="5" t="str">
        <f>IFERROR(__xludf.DUMMYFUNCTION("GOOGLETRANSLATE(C464, ""en"", ""hi"")"),"ए) 1995, बी) 1997, सी) 1999, डी) 2001")</f>
        <v>ए) 1995, बी) 1997, सी) 1999, डी) 2001</v>
      </c>
      <c r="I464" s="5" t="str">
        <f>IFERROR(__xludf.DUMMYFUNCTION("GOOGLETRANSLATE(D464, ""en"", ""hi"")"),"सी) 1999")</f>
        <v>सी) 1999</v>
      </c>
    </row>
    <row r="465" ht="22.5" customHeight="1">
      <c r="A465" s="3">
        <v>464.0</v>
      </c>
      <c r="B465" s="4" t="s">
        <v>8511</v>
      </c>
      <c r="C465" s="4" t="s">
        <v>8492</v>
      </c>
      <c r="D465" s="4" t="s">
        <v>8414</v>
      </c>
      <c r="F465" s="5" t="str">
        <f>IFERROR(__xludf.DUMMYFUNCTION("GOOGLETRANSLATE(A465, ""en"", ""hi"")"),"464")</f>
        <v>464</v>
      </c>
      <c r="G465" s="5" t="str">
        <f>IFERROR(__xludf.DUMMYFUNCTION("GOOGLETRANSLATE(B465, ""en"", ""hi"")"),"1990 के दशक में कौन सा कैरम खिलाड़ी नई तकनीकों के अग्रणी के लिए जाना जाता था?")</f>
        <v>1990 के दशक में कौन सा कैरम खिलाड़ी नई तकनीकों के अग्रणी के लिए जाना जाता था?</v>
      </c>
      <c r="H465" s="5" t="str">
        <f>IFERROR(__xludf.DUMMYFUNCTION("GOOGLETRANSLATE(C465, ""en"", ""hi"")"),"ए) एंथोनी इरुदायम, बी) राजेश मेहता, सी) योगेश परदेशी, डी) वी. के. गुप्ता")</f>
        <v>ए) एंथोनी इरुदायम, बी) राजेश मेहता, सी) योगेश परदेशी, डी) वी. के. गुप्ता</v>
      </c>
      <c r="I465" s="5" t="str">
        <f>IFERROR(__xludf.DUMMYFUNCTION("GOOGLETRANSLATE(D465, ""en"", ""hi"")"),"A) एंथनी इरुदयम")</f>
        <v>A) एंथनी इरुदयम</v>
      </c>
    </row>
    <row r="466" ht="22.5" customHeight="1">
      <c r="A466" s="3">
        <v>465.0</v>
      </c>
      <c r="B466" s="4" t="s">
        <v>7855</v>
      </c>
      <c r="C466" s="4" t="s">
        <v>8069</v>
      </c>
      <c r="D466" s="4" t="s">
        <v>8070</v>
      </c>
      <c r="F466" s="5" t="str">
        <f>IFERROR(__xludf.DUMMYFUNCTION("GOOGLETRANSLATE(A466, ""en"", ""hi"")"),"465")</f>
        <v>465</v>
      </c>
      <c r="G466" s="5" t="str">
        <f>IFERROR(__xludf.DUMMYFUNCTION("GOOGLETRANSLATE(B466, ""en"", ""hi"")"),"एशिया के बाहर पहली कैरम विश्व चैम्पियनशिप किस वर्ष आयोजित हुई थी?")</f>
        <v>एशिया के बाहर पहली कैरम विश्व चैम्पियनशिप किस वर्ष आयोजित हुई थी?</v>
      </c>
      <c r="H466" s="5" t="str">
        <f>IFERROR(__xludf.DUMMYFUNCTION("GOOGLETRANSLATE(C466, ""en"", ""hi"")"),"ए) 1996, बी) 1998, सी) 2000, डी) 2002")</f>
        <v>ए) 1996, बी) 1998, सी) 2000, डी) 2002</v>
      </c>
      <c r="I466" s="5" t="str">
        <f>IFERROR(__xludf.DUMMYFUNCTION("GOOGLETRANSLATE(D466, ""en"", ""hi"")"),"ए) 1996")</f>
        <v>ए) 1996</v>
      </c>
    </row>
    <row r="467" ht="22.5" customHeight="1">
      <c r="A467" s="3">
        <v>466.0</v>
      </c>
      <c r="B467" s="4" t="s">
        <v>8540</v>
      </c>
      <c r="C467" s="4" t="s">
        <v>8541</v>
      </c>
      <c r="D467" s="4" t="s">
        <v>8542</v>
      </c>
      <c r="F467" s="5" t="str">
        <f>IFERROR(__xludf.DUMMYFUNCTION("GOOGLETRANSLATE(A467, ""en"", ""hi"")"),"466")</f>
        <v>466</v>
      </c>
      <c r="G467" s="5" t="str">
        <f>IFERROR(__xludf.DUMMYFUNCTION("GOOGLETRANSLATE(B467, ""en"", ""hi"")"),"वर्ष 2000 में श्रीलंका की ओर से विश्व चैम्पियनशिप का खिताब जीतने वाला पहला कैरम खिलाड़ी कौन था?")</f>
        <v>वर्ष 2000 में श्रीलंका की ओर से विश्व चैम्पियनशिप का खिताब जीतने वाला पहला कैरम खिलाड़ी कौन था?</v>
      </c>
      <c r="H467" s="5" t="str">
        <f>IFERROR(__xludf.DUMMYFUNCTION("GOOGLETRANSLATE(C467, ""en"", ""hi"")"),"ए) निमल दिसानायके, बी) धर्मेंद्र राणावीरा, सी) चामिल कुरे, डी) शिरन फर्नांडो")</f>
        <v>ए) निमल दिसानायके, बी) धर्मेंद्र राणावीरा, सी) चामिल कुरे, डी) शिरन फर्नांडो</v>
      </c>
      <c r="I467" s="5" t="str">
        <f>IFERROR(__xludf.DUMMYFUNCTION("GOOGLETRANSLATE(D467, ""en"", ""hi"")"),"B) धर्मेंद्र रणवीरा")</f>
        <v>B) धर्मेंद्र रणवीरा</v>
      </c>
    </row>
    <row r="468" ht="22.5" customHeight="1">
      <c r="A468" s="3">
        <v>467.0</v>
      </c>
      <c r="B468" s="4" t="s">
        <v>8543</v>
      </c>
      <c r="C468" s="4" t="s">
        <v>6724</v>
      </c>
      <c r="D468" s="4" t="s">
        <v>6725</v>
      </c>
      <c r="F468" s="5" t="str">
        <f>IFERROR(__xludf.DUMMYFUNCTION("GOOGLETRANSLATE(A468, ""en"", ""hi"")"),"467")</f>
        <v>467</v>
      </c>
      <c r="G468" s="5" t="str">
        <f>IFERROR(__xludf.DUMMYFUNCTION("GOOGLETRANSLATE(B468, ""en"", ""hi"")"),"कैरम को पहली बार एशियाई खेलों में किस वर्ष शामिल किया गया था?")</f>
        <v>कैरम को पहली बार एशियाई खेलों में किस वर्ष शामिल किया गया था?</v>
      </c>
      <c r="H468" s="5" t="str">
        <f>IFERROR(__xludf.DUMMYFUNCTION("GOOGLETRANSLATE(C468, ""en"", ""hi"")"),"ए) 1998, बी) 2002, सी) 2006, डी) 2010")</f>
        <v>ए) 1998, बी) 2002, सी) 2006, डी) 2010</v>
      </c>
      <c r="I468" s="5" t="str">
        <f>IFERROR(__xludf.DUMMYFUNCTION("GOOGLETRANSLATE(D468, ""en"", ""hi"")"),"बी) 2002")</f>
        <v>बी) 2002</v>
      </c>
    </row>
    <row r="469" ht="22.5" customHeight="1">
      <c r="A469" s="3">
        <v>468.0</v>
      </c>
      <c r="B469" s="4" t="s">
        <v>8544</v>
      </c>
      <c r="C469" s="4" t="s">
        <v>8545</v>
      </c>
      <c r="D469" s="4" t="s">
        <v>8546</v>
      </c>
      <c r="F469" s="5" t="str">
        <f>IFERROR(__xludf.DUMMYFUNCTION("GOOGLETRANSLATE(A469, ""en"", ""hi"")"),"468")</f>
        <v>468</v>
      </c>
      <c r="G469" s="5" t="str">
        <f>IFERROR(__xludf.DUMMYFUNCTION("GOOGLETRANSLATE(B469, ""en"", ""hi"")"),"समायोज्य सतह वाला पहला कैरम बोर्ड किस वर्ष पेश किया गया था?")</f>
        <v>समायोज्य सतह वाला पहला कैरम बोर्ड किस वर्ष पेश किया गया था?</v>
      </c>
      <c r="H469" s="5" t="str">
        <f>IFERROR(__xludf.DUMMYFUNCTION("GOOGLETRANSLATE(C469, ""en"", ""hi"")"),"ए) 1997, बी) 1999, सी) 2001, डी) 2003")</f>
        <v>ए) 1997, बी) 1999, सी) 2001, डी) 2003</v>
      </c>
      <c r="I469" s="5" t="str">
        <f>IFERROR(__xludf.DUMMYFUNCTION("GOOGLETRANSLATE(D469, ""en"", ""hi"")"),"डी) 2003")</f>
        <v>डी) 2003</v>
      </c>
    </row>
    <row r="470" ht="22.5" customHeight="1">
      <c r="A470" s="3">
        <v>469.0</v>
      </c>
      <c r="B470" s="4" t="s">
        <v>8547</v>
      </c>
      <c r="C470" s="4" t="s">
        <v>2452</v>
      </c>
      <c r="D470" s="4" t="s">
        <v>766</v>
      </c>
      <c r="F470" s="5" t="str">
        <f>IFERROR(__xludf.DUMMYFUNCTION("GOOGLETRANSLATE(A470, ""en"", ""hi"")"),"469")</f>
        <v>469</v>
      </c>
      <c r="G470" s="5" t="str">
        <f>IFERROR(__xludf.DUMMYFUNCTION("GOOGLETRANSLATE(B470, ""en"", ""hi"")"),"किस भारतीय शहर ने विकलांगों के लिए पहली कैरम विश्व चैम्पियनशिप की मेजबानी की?")</f>
        <v>किस भारतीय शहर ने विकलांगों के लिए पहली कैरम विश्व चैम्पियनशिप की मेजबानी की?</v>
      </c>
      <c r="H470" s="5" t="str">
        <f>IFERROR(__xludf.DUMMYFUNCTION("GOOGLETRANSLATE(C470, ""en"", ""hi"")"),"A) मुंबई, B) चेन्नई, C) दिल्ली, D) बैंगलोर")</f>
        <v>A) मुंबई, B) चेन्नई, C) दिल्ली, D) बैंगलोर</v>
      </c>
      <c r="I470" s="5" t="str">
        <f>IFERROR(__xludf.DUMMYFUNCTION("GOOGLETRANSLATE(D470, ""en"", ""hi"")"),"C) दिल्ली")</f>
        <v>C) दिल्ली</v>
      </c>
    </row>
    <row r="471" ht="22.5" customHeight="1">
      <c r="A471" s="3">
        <v>470.0</v>
      </c>
      <c r="B471" s="4" t="s">
        <v>8548</v>
      </c>
      <c r="C471" s="4" t="s">
        <v>8549</v>
      </c>
      <c r="D471" s="4" t="s">
        <v>8425</v>
      </c>
      <c r="F471" s="5" t="str">
        <f>IFERROR(__xludf.DUMMYFUNCTION("GOOGLETRANSLATE(A471, ""en"", ""hi"")"),"470")</f>
        <v>470</v>
      </c>
      <c r="G471" s="5" t="str">
        <f>IFERROR(__xludf.DUMMYFUNCTION("GOOGLETRANSLATE(B471, ""en"", ""hi"")"),"1990 के दशक के अंत में कौन सा कैरम खिलाड़ी अपने अभिनव शॉट्स के लिए जाना जाता था?")</f>
        <v>1990 के दशक के अंत में कौन सा कैरम खिलाड़ी अपने अभिनव शॉट्स के लिए जाना जाता था?</v>
      </c>
      <c r="H471" s="5" t="str">
        <f>IFERROR(__xludf.DUMMYFUNCTION("GOOGLETRANSLATE(C471, ""en"", ""hi"")"),"ए) योगेश परदेशी, बी) राजेश मेहता, सी) वी.के. गुप्ता, डी) एंथोनी इरुदायम")</f>
        <v>ए) योगेश परदेशी, बी) राजेश मेहता, सी) वी.के. गुप्ता, डी) एंथोनी इरुदायम</v>
      </c>
      <c r="I471" s="5" t="str">
        <f>IFERROR(__xludf.DUMMYFUNCTION("GOOGLETRANSLATE(D471, ""en"", ""hi"")"),"D) एंथनी इरुदयम")</f>
        <v>D) एंथनी इरुदयम</v>
      </c>
    </row>
    <row r="472" ht="22.5" customHeight="1">
      <c r="A472" s="3">
        <v>471.0</v>
      </c>
      <c r="B472" s="4" t="s">
        <v>8550</v>
      </c>
      <c r="C472" s="4" t="s">
        <v>8144</v>
      </c>
      <c r="D472" s="4" t="s">
        <v>829</v>
      </c>
      <c r="F472" s="5" t="str">
        <f>IFERROR(__xludf.DUMMYFUNCTION("GOOGLETRANSLATE(A472, ""en"", ""hi"")"),"471")</f>
        <v>471</v>
      </c>
      <c r="G472" s="5" t="str">
        <f>IFERROR(__xludf.DUMMYFUNCTION("GOOGLETRANSLATE(B472, ""en"", ""hi"")"),"दिग्गजों के लिए पहली कैरम विश्व चैम्पियनशिप किस वर्ष आयोजित की गई थी?")</f>
        <v>दिग्गजों के लिए पहली कैरम विश्व चैम्पियनशिप किस वर्ष आयोजित की गई थी?</v>
      </c>
      <c r="H472" s="5" t="str">
        <f>IFERROR(__xludf.DUMMYFUNCTION("GOOGLETRANSLATE(C472, ""en"", ""hi"")"),"ए) 1998, बी) 2000, सी) 2002, डी) 2004")</f>
        <v>ए) 1998, बी) 2000, सी) 2002, डी) 2004</v>
      </c>
      <c r="I472" s="5" t="str">
        <f>IFERROR(__xludf.DUMMYFUNCTION("GOOGLETRANSLATE(D472, ""en"", ""hi"")"),"बी) 2000")</f>
        <v>बी) 2000</v>
      </c>
    </row>
    <row r="473" ht="22.5" customHeight="1">
      <c r="A473" s="3">
        <v>472.0</v>
      </c>
      <c r="B473" s="4" t="s">
        <v>8551</v>
      </c>
      <c r="C473" s="4" t="s">
        <v>8552</v>
      </c>
      <c r="D473" s="4" t="s">
        <v>8553</v>
      </c>
      <c r="F473" s="5" t="str">
        <f>IFERROR(__xludf.DUMMYFUNCTION("GOOGLETRANSLATE(A473, ""en"", ""hi"")"),"472")</f>
        <v>472</v>
      </c>
      <c r="G473" s="5" t="str">
        <f>IFERROR(__xludf.DUMMYFUNCTION("GOOGLETRANSLATE(B473, ""en"", ""hi"")"),"नेपाल की ओर से विश्व चैम्पियनशिप का खिताब जीतने वाला पहला कैरम खिलाड़ी कौन था?")</f>
        <v>नेपाल की ओर से विश्व चैम्पियनशिप का खिताब जीतने वाला पहला कैरम खिलाड़ी कौन था?</v>
      </c>
      <c r="H473" s="5" t="str">
        <f>IFERROR(__xludf.DUMMYFUNCTION("GOOGLETRANSLATE(C473, ""en"", ""hi"")"),"ए) राजेश कुमार, बी) महेश कुमार, सी) संजय शर्मा, डी) रमेश राय")</f>
        <v>ए) राजेश कुमार, बी) महेश कुमार, सी) संजय शर्मा, डी) रमेश राय</v>
      </c>
      <c r="I473" s="5" t="str">
        <f>IFERROR(__xludf.DUMMYFUNCTION("GOOGLETRANSLATE(D473, ""en"", ""hi"")"),"D) रमेश राय")</f>
        <v>D) रमेश राय</v>
      </c>
    </row>
    <row r="474" ht="22.5" customHeight="1">
      <c r="A474" s="3">
        <v>473.0</v>
      </c>
      <c r="B474" s="4" t="s">
        <v>8554</v>
      </c>
      <c r="C474" s="4" t="s">
        <v>8483</v>
      </c>
      <c r="D474" s="4" t="s">
        <v>8402</v>
      </c>
      <c r="F474" s="5" t="str">
        <f>IFERROR(__xludf.DUMMYFUNCTION("GOOGLETRANSLATE(A474, ""en"", ""hi"")"),"473")</f>
        <v>473</v>
      </c>
      <c r="G474" s="5" t="str">
        <f>IFERROR(__xludf.DUMMYFUNCTION("GOOGLETRANSLATE(B474, ""en"", ""hi"")"),"प्रबलित फ्रेम वाला पहला कैरम बोर्ड किस वर्ष पेश किया गया था?")</f>
        <v>प्रबलित फ्रेम वाला पहला कैरम बोर्ड किस वर्ष पेश किया गया था?</v>
      </c>
      <c r="H474" s="5" t="str">
        <f>IFERROR(__xludf.DUMMYFUNCTION("GOOGLETRANSLATE(C474, ""en"", ""hi"")"),"ए) 1995, बी) 1997, सी) 1999, डी) 2001")</f>
        <v>ए) 1995, बी) 1997, सी) 1999, डी) 2001</v>
      </c>
      <c r="I474" s="5" t="str">
        <f>IFERROR(__xludf.DUMMYFUNCTION("GOOGLETRANSLATE(D474, ""en"", ""hi"")"),"बी) 1997")</f>
        <v>बी) 1997</v>
      </c>
    </row>
    <row r="475" ht="22.5" customHeight="1">
      <c r="A475" s="3">
        <v>474.0</v>
      </c>
      <c r="B475" s="4" t="s">
        <v>8555</v>
      </c>
      <c r="C475" s="4" t="s">
        <v>171</v>
      </c>
      <c r="D475" s="4" t="s">
        <v>172</v>
      </c>
      <c r="F475" s="5" t="str">
        <f>IFERROR(__xludf.DUMMYFUNCTION("GOOGLETRANSLATE(A475, ""en"", ""hi"")"),"474")</f>
        <v>474</v>
      </c>
      <c r="G475" s="5" t="str">
        <f>IFERROR(__xludf.DUMMYFUNCTION("GOOGLETRANSLATE(B475, ""en"", ""hi"")"),"कैरम राष्ट्रीय चैम्पियनशिप की मेजबानी करने वाला पहला भारतीय राज्य कौन सा था?")</f>
        <v>कैरम राष्ट्रीय चैम्पियनशिप की मेजबानी करने वाला पहला भारतीय राज्य कौन सा था?</v>
      </c>
      <c r="H475" s="5" t="str">
        <f>IFERROR(__xludf.DUMMYFUNCTION("GOOGLETRANSLATE(C475, ""en"", ""hi"")"),"A) केरल, B) तमिलनाडु, C) कर्नाटक, D) आंध्र प्रदेश")</f>
        <v>A) केरल, B) तमिलनाडु, C) कर्नाटक, D) आंध्र प्रदेश</v>
      </c>
      <c r="I475" s="5" t="str">
        <f>IFERROR(__xludf.DUMMYFUNCTION("GOOGLETRANSLATE(D475, ""en"", ""hi"")"),"A) केरल")</f>
        <v>A) केरल</v>
      </c>
    </row>
    <row r="476" ht="22.5" customHeight="1">
      <c r="A476" s="3">
        <v>475.0</v>
      </c>
      <c r="B476" s="4" t="s">
        <v>8556</v>
      </c>
      <c r="C476" s="4" t="s">
        <v>8069</v>
      </c>
      <c r="D476" s="4" t="s">
        <v>8070</v>
      </c>
      <c r="F476" s="5" t="str">
        <f>IFERROR(__xludf.DUMMYFUNCTION("GOOGLETRANSLATE(A476, ""en"", ""hi"")"),"475")</f>
        <v>475</v>
      </c>
      <c r="G476" s="5" t="str">
        <f>IFERROR(__xludf.DUMMYFUNCTION("GOOGLETRANSLATE(B476, ""en"", ""hi"")"),"टीमों के लिए पहली कैरम विश्व चैम्पियनशिप किस वर्ष आयोजित की गई थी?")</f>
        <v>टीमों के लिए पहली कैरम विश्व चैम्पियनशिप किस वर्ष आयोजित की गई थी?</v>
      </c>
      <c r="H476" s="5" t="str">
        <f>IFERROR(__xludf.DUMMYFUNCTION("GOOGLETRANSLATE(C476, ""en"", ""hi"")"),"ए) 1996, बी) 1998, सी) 2000, डी) 2002")</f>
        <v>ए) 1996, बी) 1998, सी) 2000, डी) 2002</v>
      </c>
      <c r="I476" s="5" t="str">
        <f>IFERROR(__xludf.DUMMYFUNCTION("GOOGLETRANSLATE(D476, ""en"", ""hi"")"),"ए) 1996")</f>
        <v>ए) 1996</v>
      </c>
    </row>
    <row r="477" ht="22.5" customHeight="1">
      <c r="A477" s="3">
        <v>476.0</v>
      </c>
      <c r="B477" s="4" t="s">
        <v>8557</v>
      </c>
      <c r="C477" s="4" t="s">
        <v>8558</v>
      </c>
      <c r="D477" s="4" t="s">
        <v>2382</v>
      </c>
      <c r="F477" s="5" t="str">
        <f>IFERROR(__xludf.DUMMYFUNCTION("GOOGLETRANSLATE(A477, ""en"", ""hi"")"),"476")</f>
        <v>476</v>
      </c>
      <c r="G477" s="5" t="str">
        <f>IFERROR(__xludf.DUMMYFUNCTION("GOOGLETRANSLATE(B477, ""en"", ""hi"")"),"कौन सा भारतीय शहर अपने वार्षिक खेल महोत्सव में कैरम को शामिल करने वाला पहला शहर था?")</f>
        <v>कौन सा भारतीय शहर अपने वार्षिक खेल महोत्सव में कैरम को शामिल करने वाला पहला शहर था?</v>
      </c>
      <c r="H477" s="5" t="str">
        <f>IFERROR(__xludf.DUMMYFUNCTION("GOOGLETRANSLATE(C477, ""en"", ""hi"")"),"A) चेन्नई, B) बैंगलोर, C) मुंबई, D) दिल्ली")</f>
        <v>A) चेन्नई, B) बैंगलोर, C) मुंबई, D) दिल्ली</v>
      </c>
      <c r="I477" s="5" t="str">
        <f>IFERROR(__xludf.DUMMYFUNCTION("GOOGLETRANSLATE(D477, ""en"", ""hi"")"),"C) मुंबई")</f>
        <v>C) मुंबई</v>
      </c>
    </row>
    <row r="478" ht="22.5" customHeight="1">
      <c r="A478" s="3">
        <v>477.0</v>
      </c>
      <c r="B478" s="4" t="s">
        <v>8559</v>
      </c>
      <c r="C478" s="4" t="s">
        <v>8144</v>
      </c>
      <c r="D478" s="4" t="s">
        <v>8465</v>
      </c>
      <c r="F478" s="5" t="str">
        <f>IFERROR(__xludf.DUMMYFUNCTION("GOOGLETRANSLATE(A478, ""en"", ""hi"")"),"477")</f>
        <v>477</v>
      </c>
      <c r="G478" s="5" t="str">
        <f>IFERROR(__xludf.DUMMYFUNCTION("GOOGLETRANSLATE(B478, ""en"", ""hi"")"),"खरोंच प्रतिरोधी सतह वाला पहला कैरम बोर्ड किस वर्ष पेश किया गया था?")</f>
        <v>खरोंच प्रतिरोधी सतह वाला पहला कैरम बोर्ड किस वर्ष पेश किया गया था?</v>
      </c>
      <c r="H478" s="5" t="str">
        <f>IFERROR(__xludf.DUMMYFUNCTION("GOOGLETRANSLATE(C478, ""en"", ""hi"")"),"ए) 1998, बी) 2000, सी) 2002, डी) 2004")</f>
        <v>ए) 1998, बी) 2000, सी) 2002, डी) 2004</v>
      </c>
      <c r="I478" s="5" t="str">
        <f>IFERROR(__xludf.DUMMYFUNCTION("GOOGLETRANSLATE(D478, ""en"", ""hi"")"),"सी) 2002")</f>
        <v>सी) 2002</v>
      </c>
    </row>
    <row r="479" ht="22.5" customHeight="1">
      <c r="A479" s="3">
        <v>478.0</v>
      </c>
      <c r="B479" s="4" t="s">
        <v>8560</v>
      </c>
      <c r="C479" s="4" t="s">
        <v>8561</v>
      </c>
      <c r="D479" s="4" t="s">
        <v>8562</v>
      </c>
      <c r="F479" s="5" t="str">
        <f>IFERROR(__xludf.DUMMYFUNCTION("GOOGLETRANSLATE(A479, ""en"", ""hi"")"),"478")</f>
        <v>478</v>
      </c>
      <c r="G479" s="5" t="str">
        <f>IFERROR(__xludf.DUMMYFUNCTION("GOOGLETRANSLATE(B479, ""en"", ""hi"")"),"पाकिस्तान के किस कैरम खिलाड़ी ने 2004 में विश्व चैंपियनशिप का खिताब जीता?")</f>
        <v>पाकिस्तान के किस कैरम खिलाड़ी ने 2004 में विश्व चैंपियनशिप का खिताब जीता?</v>
      </c>
      <c r="H479" s="5" t="str">
        <f>IFERROR(__xludf.DUMMYFUNCTION("GOOGLETRANSLATE(C479, ""en"", ""hi"")"),"ए) तारिक महमूद, बी) सैयद अली, सी) जाहिद खान, डी) बिलाल अहमद")</f>
        <v>ए) तारिक महमूद, बी) सैयद अली, सी) जाहिद खान, डी) बिलाल अहमद</v>
      </c>
      <c r="I479" s="5" t="str">
        <f>IFERROR(__xludf.DUMMYFUNCTION("GOOGLETRANSLATE(D479, ""en"", ""hi"")"),"बी) सैयद अली")</f>
        <v>बी) सैयद अली</v>
      </c>
    </row>
    <row r="480" ht="22.5" customHeight="1">
      <c r="A480" s="3">
        <v>479.0</v>
      </c>
      <c r="B480" s="4" t="s">
        <v>8563</v>
      </c>
      <c r="C480" s="4" t="s">
        <v>8165</v>
      </c>
      <c r="D480" s="4" t="s">
        <v>6725</v>
      </c>
      <c r="F480" s="5" t="str">
        <f>IFERROR(__xludf.DUMMYFUNCTION("GOOGLETRANSLATE(A480, ""en"", ""hi"")"),"479")</f>
        <v>479</v>
      </c>
      <c r="G480" s="5" t="str">
        <f>IFERROR(__xludf.DUMMYFUNCTION("GOOGLETRANSLATE(B480, ""en"", ""hi"")"),"मिश्रित टीमों के लिए पहली कैरम विश्व चैम्पियनशिप किस वर्ष आयोजित की गई थी?")</f>
        <v>मिश्रित टीमों के लिए पहली कैरम विश्व चैम्पियनशिप किस वर्ष आयोजित की गई थी?</v>
      </c>
      <c r="H480" s="5" t="str">
        <f>IFERROR(__xludf.DUMMYFUNCTION("GOOGLETRANSLATE(C480, ""en"", ""hi"")"),"ए) 2000, बी) 2002, सी) 2004, डी) 2006")</f>
        <v>ए) 2000, बी) 2002, सी) 2004, डी) 2006</v>
      </c>
      <c r="I480" s="5" t="str">
        <f>IFERROR(__xludf.DUMMYFUNCTION("GOOGLETRANSLATE(D480, ""en"", ""hi"")"),"बी) 2002")</f>
        <v>बी) 2002</v>
      </c>
    </row>
    <row r="481" ht="22.5" customHeight="1">
      <c r="A481" s="3">
        <v>480.0</v>
      </c>
      <c r="B481" s="4" t="s">
        <v>8564</v>
      </c>
      <c r="C481" s="4" t="s">
        <v>2518</v>
      </c>
      <c r="D481" s="4" t="s">
        <v>766</v>
      </c>
      <c r="F481" s="5" t="str">
        <f>IFERROR(__xludf.DUMMYFUNCTION("GOOGLETRANSLATE(A481, ""en"", ""hi"")"),"480")</f>
        <v>480</v>
      </c>
      <c r="G481" s="5" t="str">
        <f>IFERROR(__xludf.DUMMYFUNCTION("GOOGLETRANSLATE(B481, ""en"", ""hi"")"),"कौन सा भारतीय शहर अंतर्राष्ट्रीय भागीदारी के साथ कैरम टूर्नामेंट की मेजबानी करने वाला पहला शहर था?")</f>
        <v>कौन सा भारतीय शहर अंतर्राष्ट्रीय भागीदारी के साथ कैरम टूर्नामेंट की मेजबानी करने वाला पहला शहर था?</v>
      </c>
      <c r="H481" s="5" t="str">
        <f>IFERROR(__xludf.DUMMYFUNCTION("GOOGLETRANSLATE(C481, ""en"", ""hi"")"),"A) चेन्नई, B) मुंबई, C) दिल्ली, D) बैंगलोर")</f>
        <v>A) चेन्नई, B) मुंबई, C) दिल्ली, D) बैंगलोर</v>
      </c>
      <c r="I481" s="5" t="str">
        <f>IFERROR(__xludf.DUMMYFUNCTION("GOOGLETRANSLATE(D481, ""en"", ""hi"")"),"C) दिल्ली")</f>
        <v>C) दिल्ली</v>
      </c>
    </row>
    <row r="482" ht="22.5" customHeight="1">
      <c r="A482" s="3">
        <v>481.0</v>
      </c>
      <c r="B482" s="4" t="s">
        <v>8565</v>
      </c>
      <c r="C482" s="4" t="s">
        <v>8545</v>
      </c>
      <c r="D482" s="4" t="s">
        <v>8566</v>
      </c>
      <c r="F482" s="5" t="str">
        <f>IFERROR(__xludf.DUMMYFUNCTION("GOOGLETRANSLATE(A482, ""en"", ""hi"")"),"481")</f>
        <v>481</v>
      </c>
      <c r="G482" s="5" t="str">
        <f>IFERROR(__xludf.DUMMYFUNCTION("GOOGLETRANSLATE(B482, ""en"", ""hi"")"),"अंतर्निर्मित डिजिटल स्कोर काउंटर वाला पहला कैरम बोर्ड किस वर्ष पेश किया गया था?")</f>
        <v>अंतर्निर्मित डिजिटल स्कोर काउंटर वाला पहला कैरम बोर्ड किस वर्ष पेश किया गया था?</v>
      </c>
      <c r="H482" s="5" t="str">
        <f>IFERROR(__xludf.DUMMYFUNCTION("GOOGLETRANSLATE(C482, ""en"", ""hi"")"),"ए) 1997, बी) 1999, सी) 2001, डी) 2003")</f>
        <v>ए) 1997, बी) 1999, सी) 2001, डी) 2003</v>
      </c>
      <c r="I482" s="5" t="str">
        <f>IFERROR(__xludf.DUMMYFUNCTION("GOOGLETRANSLATE(D482, ""en"", ""hi"")"),"सी) 2001")</f>
        <v>सी) 2001</v>
      </c>
    </row>
    <row r="483" ht="22.5" customHeight="1">
      <c r="A483" s="3">
        <v>482.0</v>
      </c>
      <c r="B483" s="4" t="s">
        <v>8567</v>
      </c>
      <c r="C483" s="4" t="s">
        <v>8520</v>
      </c>
      <c r="D483" s="4" t="s">
        <v>8432</v>
      </c>
      <c r="F483" s="5" t="str">
        <f>IFERROR(__xludf.DUMMYFUNCTION("GOOGLETRANSLATE(A483, ""en"", ""hi"")"),"482")</f>
        <v>482</v>
      </c>
      <c r="G483" s="5" t="str">
        <f>IFERROR(__xludf.DUMMYFUNCTION("GOOGLETRANSLATE(B483, ""en"", ""hi"")"),"भारत के किस कैरम खिलाड़ी ने 1998 में विश्व चैंपियनशिप का खिताब जीता?")</f>
        <v>भारत के किस कैरम खिलाड़ी ने 1998 में विश्व चैंपियनशिप का खिताब जीता?</v>
      </c>
      <c r="H483" s="5" t="str">
        <f>IFERROR(__xludf.DUMMYFUNCTION("GOOGLETRANSLATE(C483, ""en"", ""hi"")"),"ए) योगेश परदेशी, बी) रश्मी कुमारी, सी) राजेश मेहता, डी) एंथोनी इरुदायम")</f>
        <v>ए) योगेश परदेशी, बी) रश्मी कुमारी, सी) राजेश मेहता, डी) एंथोनी इरुदायम</v>
      </c>
      <c r="I483" s="5" t="str">
        <f>IFERROR(__xludf.DUMMYFUNCTION("GOOGLETRANSLATE(D483, ""en"", ""hi"")"),"बी) रश्मि कुमारी")</f>
        <v>बी) रश्मि कुमारी</v>
      </c>
    </row>
    <row r="484" ht="22.5" customHeight="1">
      <c r="A484" s="3">
        <v>483.0</v>
      </c>
      <c r="B484" s="4" t="s">
        <v>8405</v>
      </c>
      <c r="C484" s="4" t="s">
        <v>8568</v>
      </c>
      <c r="D484" s="4" t="s">
        <v>8289</v>
      </c>
      <c r="F484" s="5" t="str">
        <f>IFERROR(__xludf.DUMMYFUNCTION("GOOGLETRANSLATE(A484, ""en"", ""hi"")"),"483")</f>
        <v>483</v>
      </c>
      <c r="G484" s="5" t="str">
        <f>IFERROR(__xludf.DUMMYFUNCTION("GOOGLETRANSLATE(B484, ""en"", ""hi"")"),"वरिष्ठों के लिए पहली कैरम विश्व चैम्पियनशिप किस शहर में आयोजित की गई थी?")</f>
        <v>वरिष्ठों के लिए पहली कैरम विश्व चैम्पियनशिप किस शहर में आयोजित की गई थी?</v>
      </c>
      <c r="H484" s="5" t="str">
        <f>IFERROR(__xludf.DUMMYFUNCTION("GOOGLETRANSLATE(C484, ""en"", ""hi"")"),"A) कोलंबो, B) कराची, C) दिल्ली, D) मुंबई")</f>
        <v>A) कोलंबो, B) कराची, C) दिल्ली, D) मुंबई</v>
      </c>
      <c r="I484" s="5" t="str">
        <f>IFERROR(__xludf.DUMMYFUNCTION("GOOGLETRANSLATE(D484, ""en"", ""hi"")"),"ए) कोलंबो")</f>
        <v>ए) कोलंबो</v>
      </c>
    </row>
    <row r="485" ht="22.5" customHeight="1">
      <c r="A485" s="3">
        <v>484.0</v>
      </c>
      <c r="B485" s="4" t="s">
        <v>8569</v>
      </c>
      <c r="C485" s="4" t="s">
        <v>8570</v>
      </c>
      <c r="D485" s="4" t="s">
        <v>8571</v>
      </c>
      <c r="F485" s="5" t="str">
        <f>IFERROR(__xludf.DUMMYFUNCTION("GOOGLETRANSLATE(A485, ""en"", ""hi"")"),"484")</f>
        <v>484</v>
      </c>
      <c r="G485" s="5" t="str">
        <f>IFERROR(__xludf.DUMMYFUNCTION("GOOGLETRANSLATE(B485, ""en"", ""hi"")"),"2000 के दशक के प्रारंभ में कौन सा कैरम खिलाड़ी अपनी आक्रामक खेल शैली के लिए जाना जाता था?")</f>
        <v>2000 के दशक के प्रारंभ में कौन सा कैरम खिलाड़ी अपनी आक्रामक खेल शैली के लिए जाना जाता था?</v>
      </c>
      <c r="H485" s="5" t="str">
        <f>IFERROR(__xludf.DUMMYFUNCTION("GOOGLETRANSLATE(C485, ""en"", ""hi"")"),"ए) योगेश परदेशी, बी) तारिक महमूद, सी) रश्मी कुमारी, डी) एंथोनी इरुदायम")</f>
        <v>ए) योगेश परदेशी, बी) तारिक महमूद, सी) रश्मी कुमारी, डी) एंथोनी इरुदायम</v>
      </c>
      <c r="I485" s="5" t="str">
        <f>IFERROR(__xludf.DUMMYFUNCTION("GOOGLETRANSLATE(D485, ""en"", ""hi"")"),"B) तारिक महमूद")</f>
        <v>B) तारिक महमूद</v>
      </c>
    </row>
    <row r="486" ht="22.5" customHeight="1">
      <c r="A486" s="3">
        <v>485.0</v>
      </c>
      <c r="B486" s="4" t="s">
        <v>8346</v>
      </c>
      <c r="C486" s="4" t="s">
        <v>7737</v>
      </c>
      <c r="D486" s="4" t="s">
        <v>612</v>
      </c>
      <c r="F486" s="5" t="str">
        <f>IFERROR(__xludf.DUMMYFUNCTION("GOOGLETRANSLATE(A486, ""en"", ""hi"")"),"485")</f>
        <v>485</v>
      </c>
      <c r="G486" s="5" t="str">
        <f>IFERROR(__xludf.DUMMYFUNCTION("GOOGLETRANSLATE(B486, ""en"", ""hi"")"),"कैरम पहली बार एशियाई इंडोर खेलों में किस वर्ष शामिल हुआ?")</f>
        <v>कैरम पहली बार एशियाई इंडोर खेलों में किस वर्ष शामिल हुआ?</v>
      </c>
      <c r="H486" s="5" t="str">
        <f>IFERROR(__xludf.DUMMYFUNCTION("GOOGLETRANSLATE(C486, ""en"", ""hi"")"),"ए) 2003, बी) 2005, सी) 2007, डी) 2009")</f>
        <v>ए) 2003, बी) 2005, सी) 2007, डी) 2009</v>
      </c>
      <c r="I486" s="5" t="str">
        <f>IFERROR(__xludf.DUMMYFUNCTION("GOOGLETRANSLATE(D486, ""en"", ""hi"")"),"बी) 2005")</f>
        <v>बी) 2005</v>
      </c>
    </row>
    <row r="487" ht="22.5" customHeight="1">
      <c r="A487" s="3">
        <v>486.0</v>
      </c>
      <c r="B487" s="4" t="s">
        <v>8572</v>
      </c>
      <c r="C487" s="4" t="s">
        <v>2437</v>
      </c>
      <c r="D487" s="4" t="s">
        <v>2382</v>
      </c>
      <c r="F487" s="5" t="str">
        <f>IFERROR(__xludf.DUMMYFUNCTION("GOOGLETRANSLATE(A487, ""en"", ""hi"")"),"486")</f>
        <v>486</v>
      </c>
      <c r="G487" s="5" t="str">
        <f>IFERROR(__xludf.DUMMYFUNCTION("GOOGLETRANSLATE(B487, ""en"", ""hi"")"),"1995 में पहली बार कैरम विश्व चैम्पियनशिप की मेजबानी किस भारतीय शहर ने की थी?")</f>
        <v>1995 में पहली बार कैरम विश्व चैम्पियनशिप की मेजबानी किस भारतीय शहर ने की थी?</v>
      </c>
      <c r="H487" s="5" t="str">
        <f>IFERROR(__xludf.DUMMYFUNCTION("GOOGLETRANSLATE(C487, ""en"", ""hi"")"),"A) चेन्नई, B) दिल्ली, C) मुंबई, D) बैंगलोर")</f>
        <v>A) चेन्नई, B) दिल्ली, C) मुंबई, D) बैंगलोर</v>
      </c>
      <c r="I487" s="5" t="str">
        <f>IFERROR(__xludf.DUMMYFUNCTION("GOOGLETRANSLATE(D487, ""en"", ""hi"")"),"C) मुंबई")</f>
        <v>C) मुंबई</v>
      </c>
    </row>
    <row r="488" ht="22.5" customHeight="1">
      <c r="A488" s="3">
        <v>487.0</v>
      </c>
      <c r="B488" s="4" t="s">
        <v>8573</v>
      </c>
      <c r="C488" s="4" t="s">
        <v>8574</v>
      </c>
      <c r="D488" s="4" t="s">
        <v>8575</v>
      </c>
      <c r="F488" s="5" t="str">
        <f>IFERROR(__xludf.DUMMYFUNCTION("GOOGLETRANSLATE(A488, ""en"", ""hi"")"),"487")</f>
        <v>487</v>
      </c>
      <c r="G488" s="5" t="str">
        <f>IFERROR(__xludf.DUMMYFUNCTION("GOOGLETRANSLATE(B488, ""en"", ""hi"")"),"अंतर्निर्मित शीतलन प्रणाली वाला पहला कैरम बोर्ड किस वर्ष पेश किया गया था?")</f>
        <v>अंतर्निर्मित शीतलन प्रणाली वाला पहला कैरम बोर्ड किस वर्ष पेश किया गया था?</v>
      </c>
      <c r="H488" s="5" t="str">
        <f>IFERROR(__xludf.DUMMYFUNCTION("GOOGLETRANSLATE(C488, ""en"", ""hi"")"),"ए) 1999, बी) 2001, सी) 2003, डी) 2005")</f>
        <v>ए) 1999, बी) 2001, सी) 2003, डी) 2005</v>
      </c>
      <c r="I488" s="5" t="str">
        <f>IFERROR(__xludf.DUMMYFUNCTION("GOOGLETRANSLATE(D488, ""en"", ""hi"")"),"डी) 2005")</f>
        <v>डी) 2005</v>
      </c>
    </row>
    <row r="489" ht="22.5" customHeight="1">
      <c r="A489" s="3">
        <v>488.0</v>
      </c>
      <c r="B489" s="4" t="s">
        <v>8576</v>
      </c>
      <c r="C489" s="4" t="s">
        <v>8408</v>
      </c>
      <c r="D489" s="4" t="s">
        <v>8170</v>
      </c>
      <c r="F489" s="5" t="str">
        <f>IFERROR(__xludf.DUMMYFUNCTION("GOOGLETRANSLATE(A489, ""en"", ""hi"")"),"488")</f>
        <v>488</v>
      </c>
      <c r="G489" s="5" t="str">
        <f>IFERROR(__xludf.DUMMYFUNCTION("GOOGLETRANSLATE(B489, ""en"", ""hi"")"),"श्रीलंका के किस कैरम खिलाड़ी ने 1999 में विश्व चैंपियनशिप का खिताब जीता?")</f>
        <v>श्रीलंका के किस कैरम खिलाड़ी ने 1999 में विश्व चैंपियनशिप का खिताब जीता?</v>
      </c>
      <c r="H489" s="5" t="str">
        <f>IFERROR(__xludf.DUMMYFUNCTION("GOOGLETRANSLATE(C489, ""en"", ""hi"")"),"ए) चामिल कुरे, बी) निमल दिसानायके, सी) शिरन फर्नांडो, डी) धर्मेंद्र राणावीरा")</f>
        <v>ए) चामिल कुरे, बी) निमल दिसानायके, सी) शिरन फर्नांडो, डी) धर्मेंद्र राणावीरा</v>
      </c>
      <c r="I489" s="5" t="str">
        <f>IFERROR(__xludf.DUMMYFUNCTION("GOOGLETRANSLATE(D489, ""en"", ""hi"")"),"A) चमिल कूरे")</f>
        <v>A) चमिल कूरे</v>
      </c>
    </row>
    <row r="490" ht="22.5" customHeight="1">
      <c r="A490" s="3">
        <v>489.0</v>
      </c>
      <c r="B490" s="4" t="s">
        <v>8577</v>
      </c>
      <c r="C490" s="4" t="s">
        <v>8578</v>
      </c>
      <c r="D490" s="4" t="s">
        <v>6588</v>
      </c>
      <c r="F490" s="5" t="str">
        <f>IFERROR(__xludf.DUMMYFUNCTION("GOOGLETRANSLATE(A490, ""en"", ""hi"")"),"489")</f>
        <v>489</v>
      </c>
      <c r="G490" s="5" t="str">
        <f>IFERROR(__xludf.DUMMYFUNCTION("GOOGLETRANSLATE(B490, ""en"", ""hi"")"),"एकीकृत वीडियो रिप्ले सिस्टम वाला पहला कैरम बोर्ड किस वर्ष पेश किया गया था?")</f>
        <v>एकीकृत वीडियो रिप्ले सिस्टम वाला पहला कैरम बोर्ड किस वर्ष पेश किया गया था?</v>
      </c>
      <c r="H490" s="5" t="str">
        <f>IFERROR(__xludf.DUMMYFUNCTION("GOOGLETRANSLATE(C490, ""en"", ""hi"")"),"ए) 2001, बी) 2002, सी) 2003, डी) 2004")</f>
        <v>ए) 2001, बी) 2002, सी) 2003, डी) 2004</v>
      </c>
      <c r="I490" s="5" t="str">
        <f>IFERROR(__xludf.DUMMYFUNCTION("GOOGLETRANSLATE(D490, ""en"", ""hi"")"),"डी) 2004")</f>
        <v>डी) 2004</v>
      </c>
    </row>
    <row r="491" ht="22.5" customHeight="1">
      <c r="A491" s="3">
        <v>490.0</v>
      </c>
      <c r="B491" s="4" t="s">
        <v>8579</v>
      </c>
      <c r="C491" s="4" t="s">
        <v>171</v>
      </c>
      <c r="D491" s="4" t="s">
        <v>639</v>
      </c>
      <c r="F491" s="5" t="str">
        <f>IFERROR(__xludf.DUMMYFUNCTION("GOOGLETRANSLATE(A491, ""en"", ""hi"")"),"490")</f>
        <v>490</v>
      </c>
      <c r="G491" s="5" t="str">
        <f>IFERROR(__xludf.DUMMYFUNCTION("GOOGLETRANSLATE(B491, ""en"", ""hi"")"),"कौन सा भारतीय राज्य महिलाओं के लिए विशेष रूप से कैरम चैंपियनशिप आयोजित करने वाला पहला राज्य था?")</f>
        <v>कौन सा भारतीय राज्य महिलाओं के लिए विशेष रूप से कैरम चैंपियनशिप आयोजित करने वाला पहला राज्य था?</v>
      </c>
      <c r="H491" s="5" t="str">
        <f>IFERROR(__xludf.DUMMYFUNCTION("GOOGLETRANSLATE(C491, ""en"", ""hi"")"),"A) केरल, B) तमिलनाडु, C) कर्नाटक, D) आंध्र प्रदेश")</f>
        <v>A) केरल, B) तमिलनाडु, C) कर्नाटक, D) आंध्र प्रदेश</v>
      </c>
      <c r="I491" s="5" t="str">
        <f>IFERROR(__xludf.DUMMYFUNCTION("GOOGLETRANSLATE(D491, ""en"", ""hi"")"),"बी) तमिलनाडु")</f>
        <v>बी) तमिलनाडु</v>
      </c>
    </row>
    <row r="492" ht="22.5" customHeight="1">
      <c r="A492" s="3">
        <v>491.0</v>
      </c>
      <c r="B492" s="4" t="s">
        <v>8580</v>
      </c>
      <c r="C492" s="4" t="s">
        <v>8144</v>
      </c>
      <c r="D492" s="4" t="s">
        <v>829</v>
      </c>
      <c r="F492" s="5" t="str">
        <f>IFERROR(__xludf.DUMMYFUNCTION("GOOGLETRANSLATE(A492, ""en"", ""hi"")"),"491")</f>
        <v>491</v>
      </c>
      <c r="G492" s="5" t="str">
        <f>IFERROR(__xludf.DUMMYFUNCTION("GOOGLETRANSLATE(B492, ""en"", ""hi"")"),"बांग्लादेश में पहली कैरम विश्व चैम्पियनशिप किस वर्ष आयोजित की गई थी?")</f>
        <v>बांग्लादेश में पहली कैरम विश्व चैम्पियनशिप किस वर्ष आयोजित की गई थी?</v>
      </c>
      <c r="H492" s="5" t="str">
        <f>IFERROR(__xludf.DUMMYFUNCTION("GOOGLETRANSLATE(C492, ""en"", ""hi"")"),"ए) 1998, बी) 2000, सी) 2002, डी) 2004")</f>
        <v>ए) 1998, बी) 2000, सी) 2002, डी) 2004</v>
      </c>
      <c r="I492" s="5" t="str">
        <f>IFERROR(__xludf.DUMMYFUNCTION("GOOGLETRANSLATE(D492, ""en"", ""hi"")"),"बी) 2000")</f>
        <v>बी) 2000</v>
      </c>
    </row>
    <row r="493" ht="22.5" customHeight="1">
      <c r="A493" s="3">
        <v>492.0</v>
      </c>
      <c r="B493" s="4" t="s">
        <v>8581</v>
      </c>
      <c r="C493" s="4" t="s">
        <v>8552</v>
      </c>
      <c r="D493" s="4" t="s">
        <v>8553</v>
      </c>
      <c r="F493" s="5" t="str">
        <f>IFERROR(__xludf.DUMMYFUNCTION("GOOGLETRANSLATE(A493, ""en"", ""hi"")"),"492")</f>
        <v>492</v>
      </c>
      <c r="G493" s="5" t="str">
        <f>IFERROR(__xludf.DUMMYFUNCTION("GOOGLETRANSLATE(B493, ""en"", ""hi"")"),"2002 में नेपाल की ओर से विश्व चैम्पियनशिप का खिताब जीतने वाला पहला कैरम खिलाड़ी कौन था?")</f>
        <v>2002 में नेपाल की ओर से विश्व चैम्पियनशिप का खिताब जीतने वाला पहला कैरम खिलाड़ी कौन था?</v>
      </c>
      <c r="H493" s="5" t="str">
        <f>IFERROR(__xludf.DUMMYFUNCTION("GOOGLETRANSLATE(C493, ""en"", ""hi"")"),"ए) राजेश कुमार, बी) महेश कुमार, सी) संजय शर्मा, डी) रमेश राय")</f>
        <v>ए) राजेश कुमार, बी) महेश कुमार, सी) संजय शर्मा, डी) रमेश राय</v>
      </c>
      <c r="I493" s="5" t="str">
        <f>IFERROR(__xludf.DUMMYFUNCTION("GOOGLETRANSLATE(D493, ""en"", ""hi"")"),"D) रमेश राय")</f>
        <v>D) रमेश राय</v>
      </c>
    </row>
    <row r="494" ht="22.5" customHeight="1">
      <c r="A494" s="3">
        <v>493.0</v>
      </c>
      <c r="B494" s="4" t="s">
        <v>8582</v>
      </c>
      <c r="C494" s="4" t="s">
        <v>8165</v>
      </c>
      <c r="D494" s="4" t="s">
        <v>8583</v>
      </c>
      <c r="F494" s="5" t="str">
        <f>IFERROR(__xludf.DUMMYFUNCTION("GOOGLETRANSLATE(A494, ""en"", ""hi"")"),"493")</f>
        <v>493</v>
      </c>
      <c r="G494" s="5" t="str">
        <f>IFERROR(__xludf.DUMMYFUNCTION("GOOGLETRANSLATE(B494, ""en"", ""hi"")"),"अंतर्निर्मित हीटिंग सिस्टम वाला पहला कैरम बोर्ड किस वर्ष पेश किया गया था?")</f>
        <v>अंतर्निर्मित हीटिंग सिस्टम वाला पहला कैरम बोर्ड किस वर्ष पेश किया गया था?</v>
      </c>
      <c r="H494" s="5" t="str">
        <f>IFERROR(__xludf.DUMMYFUNCTION("GOOGLETRANSLATE(C494, ""en"", ""hi"")"),"ए) 2000, बी) 2002, सी) 2004, डी) 2006")</f>
        <v>ए) 2000, बी) 2002, सी) 2004, डी) 2006</v>
      </c>
      <c r="I494" s="5" t="str">
        <f>IFERROR(__xludf.DUMMYFUNCTION("GOOGLETRANSLATE(D494, ""en"", ""hi"")"),"डी) 2006")</f>
        <v>डी) 2006</v>
      </c>
    </row>
    <row r="495" ht="22.5" customHeight="1">
      <c r="A495" s="3">
        <v>494.0</v>
      </c>
      <c r="B495" s="4" t="s">
        <v>8557</v>
      </c>
      <c r="C495" s="4" t="s">
        <v>8584</v>
      </c>
      <c r="D495" s="4" t="s">
        <v>77</v>
      </c>
      <c r="F495" s="5" t="str">
        <f>IFERROR(__xludf.DUMMYFUNCTION("GOOGLETRANSLATE(A495, ""en"", ""hi"")"),"494")</f>
        <v>494</v>
      </c>
      <c r="G495" s="5" t="str">
        <f>IFERROR(__xludf.DUMMYFUNCTION("GOOGLETRANSLATE(B495, ""en"", ""hi"")"),"कौन सा भारतीय शहर अपने वार्षिक खेल महोत्सव में कैरम को शामिल करने वाला पहला शहर था?")</f>
        <v>कौन सा भारतीय शहर अपने वार्षिक खेल महोत्सव में कैरम को शामिल करने वाला पहला शहर था?</v>
      </c>
      <c r="H495" s="5" t="str">
        <f>IFERROR(__xludf.DUMMYFUNCTION("GOOGLETRANSLATE(C495, ""en"", ""hi"")"),"A) चेन्नई, B) मुंबई, C) बैंगलोर, D) दिल्ली")</f>
        <v>A) चेन्नई, B) मुंबई, C) बैंगलोर, D) दिल्ली</v>
      </c>
      <c r="I495" s="5" t="str">
        <f>IFERROR(__xludf.DUMMYFUNCTION("GOOGLETRANSLATE(D495, ""en"", ""hi"")"),"बी) मुंबई")</f>
        <v>बी) मुंबई</v>
      </c>
    </row>
    <row r="496" ht="22.5" customHeight="1">
      <c r="A496" s="3">
        <v>495.0</v>
      </c>
      <c r="B496" s="4" t="s">
        <v>8585</v>
      </c>
      <c r="C496" s="4" t="s">
        <v>8165</v>
      </c>
      <c r="D496" s="4" t="s">
        <v>7718</v>
      </c>
      <c r="F496" s="5" t="str">
        <f>IFERROR(__xludf.DUMMYFUNCTION("GOOGLETRANSLATE(A496, ""en"", ""hi"")"),"495")</f>
        <v>495</v>
      </c>
      <c r="G496" s="5" t="str">
        <f>IFERROR(__xludf.DUMMYFUNCTION("GOOGLETRANSLATE(B496, ""en"", ""hi"")"),"हाई डेफिनिशन सतह वाला पहला कैरम बोर्ड किस वर्ष पेश किया गया था?")</f>
        <v>हाई डेफिनिशन सतह वाला पहला कैरम बोर्ड किस वर्ष पेश किया गया था?</v>
      </c>
      <c r="H496" s="5" t="str">
        <f>IFERROR(__xludf.DUMMYFUNCTION("GOOGLETRANSLATE(C496, ""en"", ""hi"")"),"ए) 2000, बी) 2002, सी) 2004, डी) 2006")</f>
        <v>ए) 2000, बी) 2002, सी) 2004, डी) 2006</v>
      </c>
      <c r="I496" s="5" t="str">
        <f>IFERROR(__xludf.DUMMYFUNCTION("GOOGLETRANSLATE(D496, ""en"", ""hi"")"),"सी) 2004")</f>
        <v>सी) 2004</v>
      </c>
    </row>
    <row r="497" ht="22.5" customHeight="1">
      <c r="A497" s="3">
        <v>496.0</v>
      </c>
      <c r="B497" s="4" t="s">
        <v>8586</v>
      </c>
      <c r="C497" s="4" t="s">
        <v>8520</v>
      </c>
      <c r="D497" s="4" t="s">
        <v>7724</v>
      </c>
      <c r="F497" s="5" t="str">
        <f>IFERROR(__xludf.DUMMYFUNCTION("GOOGLETRANSLATE(A497, ""en"", ""hi"")"),"496")</f>
        <v>496</v>
      </c>
      <c r="G497" s="5" t="str">
        <f>IFERROR(__xludf.DUMMYFUNCTION("GOOGLETRANSLATE(B497, ""en"", ""hi"")"),"2004 में भारत की ओर से विश्व चैम्पियनशिप का खिताब जीतने वाला पहला कैरम खिलाड़ी कौन था?")</f>
        <v>2004 में भारत की ओर से विश्व चैम्पियनशिप का खिताब जीतने वाला पहला कैरम खिलाड़ी कौन था?</v>
      </c>
      <c r="H497" s="5" t="str">
        <f>IFERROR(__xludf.DUMMYFUNCTION("GOOGLETRANSLATE(C497, ""en"", ""hi"")"),"ए) योगेश परदेशी, बी) रश्मी कुमारी, सी) राजेश मेहता, डी) एंथोनी इरुदायम")</f>
        <v>ए) योगेश परदेशी, बी) रश्मी कुमारी, सी) राजेश मेहता, डी) एंथोनी इरुदायम</v>
      </c>
      <c r="I497" s="5" t="str">
        <f>IFERROR(__xludf.DUMMYFUNCTION("GOOGLETRANSLATE(D497, ""en"", ""hi"")"),"A) योगेश परदेशी")</f>
        <v>A) योगेश परदेशी</v>
      </c>
    </row>
    <row r="498" ht="22.5" customHeight="1">
      <c r="A498" s="3">
        <v>497.0</v>
      </c>
      <c r="B498" s="4" t="s">
        <v>8143</v>
      </c>
      <c r="C498" s="4" t="s">
        <v>8483</v>
      </c>
      <c r="D498" s="4" t="s">
        <v>2016</v>
      </c>
      <c r="F498" s="5" t="str">
        <f>IFERROR(__xludf.DUMMYFUNCTION("GOOGLETRANSLATE(A498, ""en"", ""hi"")"),"497")</f>
        <v>497</v>
      </c>
      <c r="G498" s="5" t="str">
        <f>IFERROR(__xludf.DUMMYFUNCTION("GOOGLETRANSLATE(B498, ""en"", ""hi"")"),"जूनियर वर्ग के लिए पहली कैरम विश्व चैम्पियनशिप किस वर्ष आयोजित की गई थी?")</f>
        <v>जूनियर वर्ग के लिए पहली कैरम विश्व चैम्पियनशिप किस वर्ष आयोजित की गई थी?</v>
      </c>
      <c r="H498" s="5" t="str">
        <f>IFERROR(__xludf.DUMMYFUNCTION("GOOGLETRANSLATE(C498, ""en"", ""hi"")"),"ए) 1995, बी) 1997, सी) 1999, डी) 2001")</f>
        <v>ए) 1995, बी) 1997, सी) 1999, डी) 2001</v>
      </c>
      <c r="I498" s="5" t="str">
        <f>IFERROR(__xludf.DUMMYFUNCTION("GOOGLETRANSLATE(D498, ""en"", ""hi"")"),"ए) 1995")</f>
        <v>ए) 1995</v>
      </c>
    </row>
    <row r="499" ht="22.5" customHeight="1">
      <c r="A499" s="3">
        <v>498.0</v>
      </c>
      <c r="B499" s="4" t="s">
        <v>8587</v>
      </c>
      <c r="C499" s="4" t="s">
        <v>8350</v>
      </c>
      <c r="D499" s="4" t="s">
        <v>8588</v>
      </c>
      <c r="F499" s="5" t="str">
        <f>IFERROR(__xludf.DUMMYFUNCTION("GOOGLETRANSLATE(A499, ""en"", ""hi"")"),"498")</f>
        <v>498</v>
      </c>
      <c r="G499" s="5" t="str">
        <f>IFERROR(__xludf.DUMMYFUNCTION("GOOGLETRANSLATE(B499, ""en"", ""hi"")"),"पाकिस्तान के किस कैरम खिलाड़ी ने 2002 में विश्व चैंपियनशिप जीती?")</f>
        <v>पाकिस्तान के किस कैरम खिलाड़ी ने 2002 में विश्व चैंपियनशिप जीती?</v>
      </c>
      <c r="H499" s="5" t="str">
        <f>IFERROR(__xludf.DUMMYFUNCTION("GOOGLETRANSLATE(C499, ""en"", ""hi"")"),"ए) तारिक महमूद, बी) जाहिद खान, सी) बिलाल अहमद, डी) सैयद अली")</f>
        <v>ए) तारिक महमूद, बी) जाहिद खान, सी) बिलाल अहमद, डी) सैयद अली</v>
      </c>
      <c r="I499" s="5" t="str">
        <f>IFERROR(__xludf.DUMMYFUNCTION("GOOGLETRANSLATE(D499, ""en"", ""hi"")"),"D) सैयद अली")</f>
        <v>D) सैयद अली</v>
      </c>
    </row>
    <row r="500" ht="22.5" customHeight="1">
      <c r="A500" s="3">
        <v>499.0</v>
      </c>
      <c r="B500" s="4" t="s">
        <v>8589</v>
      </c>
      <c r="C500" s="4" t="s">
        <v>8590</v>
      </c>
      <c r="D500" s="4" t="s">
        <v>6551</v>
      </c>
      <c r="F500" s="5" t="str">
        <f>IFERROR(__xludf.DUMMYFUNCTION("GOOGLETRANSLATE(A500, ""en"", ""hi"")"),"499")</f>
        <v>499</v>
      </c>
      <c r="G500" s="5" t="str">
        <f>IFERROR(__xludf.DUMMYFUNCTION("GOOGLETRANSLATE(B500, ""en"", ""hi"")"),"एर्गोनोमिक डिज़ाइन वाला पहला कैरम बोर्ड किस वर्ष पेश किया गया था?")</f>
        <v>एर्गोनोमिक डिज़ाइन वाला पहला कैरम बोर्ड किस वर्ष पेश किया गया था?</v>
      </c>
      <c r="H500" s="5" t="str">
        <f>IFERROR(__xludf.DUMMYFUNCTION("GOOGLETRANSLATE(C500, ""en"", ""hi"")"),"ए) 2002, बी) 2004, सी) 2006, डी) 2008")</f>
        <v>ए) 2002, बी) 2004, सी) 2006, डी) 2008</v>
      </c>
      <c r="I500" s="5" t="str">
        <f>IFERROR(__xludf.DUMMYFUNCTION("GOOGLETRANSLATE(D500, ""en"", ""hi"")"),"बी) 2004")</f>
        <v>बी) 2004</v>
      </c>
    </row>
    <row r="501" ht="22.5" customHeight="1">
      <c r="A501" s="3">
        <v>500.0</v>
      </c>
      <c r="B501" s="4" t="s">
        <v>8591</v>
      </c>
      <c r="C501" s="4" t="s">
        <v>8558</v>
      </c>
      <c r="D501" s="4" t="s">
        <v>561</v>
      </c>
      <c r="F501" s="5" t="str">
        <f>IFERROR(__xludf.DUMMYFUNCTION("GOOGLETRANSLATE(A501, ""en"", ""hi"")"),"500")</f>
        <v>500</v>
      </c>
      <c r="G501" s="5" t="str">
        <f>IFERROR(__xludf.DUMMYFUNCTION("GOOGLETRANSLATE(B501, ""en"", ""hi"")"),"किस भारतीय शहर ने 2004 में पहली बार कैरम विश्व चैम्पियनशिप की मेजबानी की थी?")</f>
        <v>किस भारतीय शहर ने 2004 में पहली बार कैरम विश्व चैम्पियनशिप की मेजबानी की थी?</v>
      </c>
      <c r="H501" s="5" t="str">
        <f>IFERROR(__xludf.DUMMYFUNCTION("GOOGLETRANSLATE(C501, ""en"", ""hi"")"),"A) चेन्नई, B) बैंगलोर, C) मुंबई, D) दिल्ली")</f>
        <v>A) चेन्नई, B) बैंगलोर, C) मुंबई, D) दिल्ली</v>
      </c>
      <c r="I501" s="5" t="str">
        <f>IFERROR(__xludf.DUMMYFUNCTION("GOOGLETRANSLATE(D501, ""en"", ""hi"")"),"ए) चेन्नई")</f>
        <v>ए) चेन्नई</v>
      </c>
    </row>
    <row r="502" ht="22.5" customHeight="1">
      <c r="A502" s="3">
        <v>501.0</v>
      </c>
      <c r="B502" s="4" t="s">
        <v>8592</v>
      </c>
      <c r="C502" s="4" t="s">
        <v>8165</v>
      </c>
      <c r="D502" s="4" t="s">
        <v>7718</v>
      </c>
      <c r="F502" s="5" t="str">
        <f>IFERROR(__xludf.DUMMYFUNCTION("GOOGLETRANSLATE(A502, ""en"", ""hi"")"),"501")</f>
        <v>501</v>
      </c>
      <c r="G502" s="5" t="str">
        <f>IFERROR(__xludf.DUMMYFUNCTION("GOOGLETRANSLATE(B502, ""en"", ""hi"")"),"अनुकूलन योग्य सतह तनाव वाला पहला कैरम बोर्ड किस वर्ष पेश किया गया था?")</f>
        <v>अनुकूलन योग्य सतह तनाव वाला पहला कैरम बोर्ड किस वर्ष पेश किया गया था?</v>
      </c>
      <c r="H502" s="5" t="str">
        <f>IFERROR(__xludf.DUMMYFUNCTION("GOOGLETRANSLATE(C502, ""en"", ""hi"")"),"ए) 2000, बी) 2002, सी) 2004, डी) 2006")</f>
        <v>ए) 2000, बी) 2002, सी) 2004, डी) 2006</v>
      </c>
      <c r="I502" s="5" t="str">
        <f>IFERROR(__xludf.DUMMYFUNCTION("GOOGLETRANSLATE(D502, ""en"", ""hi"")"),"सी) 2004")</f>
        <v>सी) 2004</v>
      </c>
    </row>
    <row r="503" ht="22.5" customHeight="1">
      <c r="A503" s="3">
        <v>502.0</v>
      </c>
      <c r="B503" s="4" t="s">
        <v>8407</v>
      </c>
      <c r="C503" s="4" t="s">
        <v>8408</v>
      </c>
      <c r="D503" s="4" t="s">
        <v>8593</v>
      </c>
      <c r="F503" s="5" t="str">
        <f>IFERROR(__xludf.DUMMYFUNCTION("GOOGLETRANSLATE(A503, ""en"", ""hi"")"),"502")</f>
        <v>502</v>
      </c>
      <c r="G503" s="5" t="str">
        <f>IFERROR(__xludf.DUMMYFUNCTION("GOOGLETRANSLATE(B503, ""en"", ""hi"")"),"श्रीलंका के किस कैरम खिलाड़ी ने 2006 में विश्व चैंपियनशिप जीती?")</f>
        <v>श्रीलंका के किस कैरम खिलाड़ी ने 2006 में विश्व चैंपियनशिप जीती?</v>
      </c>
      <c r="H503" s="5" t="str">
        <f>IFERROR(__xludf.DUMMYFUNCTION("GOOGLETRANSLATE(C503, ""en"", ""hi"")"),"ए) चामिल कुरे, बी) निमल दिसानायके, सी) शिरन फर्नांडो, डी) धर्मेंद्र राणावीरा")</f>
        <v>ए) चामिल कुरे, बी) निमल दिसानायके, सी) शिरन फर्नांडो, डी) धर्मेंद्र राणावीरा</v>
      </c>
      <c r="I503" s="5" t="str">
        <f>IFERROR(__xludf.DUMMYFUNCTION("GOOGLETRANSLATE(D503, ""en"", ""hi"")"),"बी) निमल दिसानायके")</f>
        <v>बी) निमल दिसानायके</v>
      </c>
    </row>
    <row r="504" ht="22.5" customHeight="1">
      <c r="A504" s="3">
        <v>503.0</v>
      </c>
      <c r="B504" s="4" t="s">
        <v>8594</v>
      </c>
      <c r="C504" s="4" t="s">
        <v>8595</v>
      </c>
      <c r="D504" s="4" t="s">
        <v>2002</v>
      </c>
      <c r="F504" s="5" t="str">
        <f>IFERROR(__xludf.DUMMYFUNCTION("GOOGLETRANSLATE(A504, ""en"", ""hi"")"),"503")</f>
        <v>503</v>
      </c>
      <c r="G504" s="5" t="str">
        <f>IFERROR(__xludf.DUMMYFUNCTION("GOOGLETRANSLATE(B504, ""en"", ""hi"")"),"कैरम को पहली बार राष्ट्रमंडल खेलों में किस वर्ष शामिल किया गया था?")</f>
        <v>कैरम को पहली बार राष्ट्रमंडल खेलों में किस वर्ष शामिल किया गया था?</v>
      </c>
      <c r="H504" s="5" t="str">
        <f>IFERROR(__xludf.DUMMYFUNCTION("GOOGLETRANSLATE(C504, ""en"", ""hi"")"),"ए) 2006, बी) 2008, सी) 2010, डी) 2012")</f>
        <v>ए) 2006, बी) 2008, सी) 2010, डी) 2012</v>
      </c>
      <c r="I504" s="5" t="str">
        <f>IFERROR(__xludf.DUMMYFUNCTION("GOOGLETRANSLATE(D504, ""en"", ""hi"")"),"सी) 2010")</f>
        <v>सी) 2010</v>
      </c>
    </row>
    <row r="505" ht="22.5" customHeight="1">
      <c r="A505" s="3">
        <v>504.0</v>
      </c>
      <c r="B505" s="4" t="s">
        <v>8596</v>
      </c>
      <c r="C505" s="4" t="s">
        <v>8597</v>
      </c>
      <c r="D505" s="4" t="s">
        <v>8598</v>
      </c>
      <c r="F505" s="5" t="str">
        <f>IFERROR(__xludf.DUMMYFUNCTION("GOOGLETRANSLATE(A505, ""en"", ""hi"")"),"504")</f>
        <v>504</v>
      </c>
      <c r="G505" s="5" t="str">
        <f>IFERROR(__xludf.DUMMYFUNCTION("GOOGLETRANSLATE(B505, ""en"", ""hi"")"),"1990 और 2000 के दशक के प्रारंभ में कौन सा कैरम खिलाड़ी अपनी सटीकता के लिए जाना जाता था?")</f>
        <v>1990 और 2000 के दशक के प्रारंभ में कौन सा कैरम खिलाड़ी अपनी सटीकता के लिए जाना जाता था?</v>
      </c>
      <c r="H505" s="5" t="str">
        <f>IFERROR(__xludf.DUMMYFUNCTION("GOOGLETRANSLATE(C505, ""en"", ""hi"")"),"ए) राजेश मेहता, बी) योगेश परदेशी, सी) एंथोनी इरुदयम, डी) वी. के. गुप्ता")</f>
        <v>ए) राजेश मेहता, बी) योगेश परदेशी, सी) एंथोनी इरुदयम, डी) वी. के. गुप्ता</v>
      </c>
      <c r="I505" s="5" t="str">
        <f>IFERROR(__xludf.DUMMYFUNCTION("GOOGLETRANSLATE(D505, ""en"", ""hi"")"),"A) राजेश मेहता")</f>
        <v>A) राजेश मेहता</v>
      </c>
    </row>
    <row r="506" ht="22.5" customHeight="1">
      <c r="A506" s="3">
        <v>505.0</v>
      </c>
      <c r="B506" s="4" t="s">
        <v>8599</v>
      </c>
      <c r="C506" s="4" t="s">
        <v>8069</v>
      </c>
      <c r="D506" s="4" t="s">
        <v>8070</v>
      </c>
      <c r="F506" s="5" t="str">
        <f>IFERROR(__xludf.DUMMYFUNCTION("GOOGLETRANSLATE(A506, ""en"", ""hi"")"),"505")</f>
        <v>505</v>
      </c>
      <c r="G506" s="5" t="str">
        <f>IFERROR(__xludf.DUMMYFUNCTION("GOOGLETRANSLATE(B506, ""en"", ""hi"")"),"टीम स्पर्धा वाली पहली कैरम विश्व चैम्पियनशिप किस वर्ष आयोजित की गई थी?")</f>
        <v>टीम स्पर्धा वाली पहली कैरम विश्व चैम्पियनशिप किस वर्ष आयोजित की गई थी?</v>
      </c>
      <c r="H506" s="5" t="str">
        <f>IFERROR(__xludf.DUMMYFUNCTION("GOOGLETRANSLATE(C506, ""en"", ""hi"")"),"ए) 1996, बी) 1998, सी) 2000, डी) 2002")</f>
        <v>ए) 1996, बी) 1998, सी) 2000, डी) 2002</v>
      </c>
      <c r="I506" s="5" t="str">
        <f>IFERROR(__xludf.DUMMYFUNCTION("GOOGLETRANSLATE(D506, ""en"", ""hi"")"),"ए) 1996")</f>
        <v>ए) 1996</v>
      </c>
    </row>
    <row r="507" ht="22.5" customHeight="1">
      <c r="A507" s="3">
        <v>506.0</v>
      </c>
      <c r="B507" s="4" t="s">
        <v>8600</v>
      </c>
      <c r="C507" s="4" t="s">
        <v>8558</v>
      </c>
      <c r="D507" s="4" t="s">
        <v>8601</v>
      </c>
      <c r="F507" s="5" t="str">
        <f>IFERROR(__xludf.DUMMYFUNCTION("GOOGLETRANSLATE(A507, ""en"", ""hi"")"),"506")</f>
        <v>506</v>
      </c>
      <c r="G507" s="5" t="str">
        <f>IFERROR(__xludf.DUMMYFUNCTION("GOOGLETRANSLATE(B507, ""en"", ""hi"")"),"कौन सा भारतीय शहर पहला ऐसा शहर था जहां समर्पित कैरम प्रशिक्षण अकादमी थी?")</f>
        <v>कौन सा भारतीय शहर पहला ऐसा शहर था जहां समर्पित कैरम प्रशिक्षण अकादमी थी?</v>
      </c>
      <c r="H507" s="5" t="str">
        <f>IFERROR(__xludf.DUMMYFUNCTION("GOOGLETRANSLATE(C507, ""en"", ""hi"")"),"A) चेन्नई, B) बैंगलोर, C) मुंबई, D) दिल्ली")</f>
        <v>A) चेन्नई, B) बैंगलोर, C) मुंबई, D) दिल्ली</v>
      </c>
      <c r="I507" s="5" t="str">
        <f>IFERROR(__xludf.DUMMYFUNCTION("GOOGLETRANSLATE(D507, ""en"", ""hi"")"),"बी) बैंगलोर")</f>
        <v>बी) बैंगलोर</v>
      </c>
    </row>
    <row r="508" ht="22.5" customHeight="1">
      <c r="A508" s="3">
        <v>507.0</v>
      </c>
      <c r="B508" s="4" t="s">
        <v>8602</v>
      </c>
      <c r="C508" s="4" t="s">
        <v>8165</v>
      </c>
      <c r="D508" s="4" t="s">
        <v>7718</v>
      </c>
      <c r="F508" s="5" t="str">
        <f>IFERROR(__xludf.DUMMYFUNCTION("GOOGLETRANSLATE(A508, ""en"", ""hi"")"),"507")</f>
        <v>507</v>
      </c>
      <c r="G508" s="5" t="str">
        <f>IFERROR(__xludf.DUMMYFUNCTION("GOOGLETRANSLATE(B508, ""en"", ""hi"")"),"अंतर्निर्मित प्रकाश व्यवस्था वाला पहला कैरम बोर्ड किस वर्ष पेश किया गया था?")</f>
        <v>अंतर्निर्मित प्रकाश व्यवस्था वाला पहला कैरम बोर्ड किस वर्ष पेश किया गया था?</v>
      </c>
      <c r="H508" s="5" t="str">
        <f>IFERROR(__xludf.DUMMYFUNCTION("GOOGLETRANSLATE(C508, ""en"", ""hi"")"),"ए) 2000, बी) 2002, सी) 2004, डी) 2006")</f>
        <v>ए) 2000, बी) 2002, सी) 2004, डी) 2006</v>
      </c>
      <c r="I508" s="5" t="str">
        <f>IFERROR(__xludf.DUMMYFUNCTION("GOOGLETRANSLATE(D508, ""en"", ""hi"")"),"सी) 2004")</f>
        <v>सी) 2004</v>
      </c>
    </row>
    <row r="509" ht="22.5" customHeight="1">
      <c r="A509" s="3">
        <v>508.0</v>
      </c>
      <c r="B509" s="4" t="s">
        <v>8603</v>
      </c>
      <c r="C509" s="4" t="s">
        <v>8604</v>
      </c>
      <c r="D509" s="4" t="s">
        <v>8605</v>
      </c>
      <c r="F509" s="5" t="str">
        <f>IFERROR(__xludf.DUMMYFUNCTION("GOOGLETRANSLATE(A509, ""en"", ""hi"")"),"508")</f>
        <v>508</v>
      </c>
      <c r="G509" s="5" t="str">
        <f>IFERROR(__xludf.DUMMYFUNCTION("GOOGLETRANSLATE(B509, ""en"", ""hi"")"),"नेपाल के किस कैरम खिलाड़ी ने 2006 में विश्व चैंपियनशिप जीती?")</f>
        <v>नेपाल के किस कैरम खिलाड़ी ने 2006 में विश्व चैंपियनशिप जीती?</v>
      </c>
      <c r="H509" s="5" t="str">
        <f>IFERROR(__xludf.DUMMYFUNCTION("GOOGLETRANSLATE(C509, ""en"", ""hi"")"),"ए) रमेश राय, बी) महेश कुमार, सी) संजय शर्मा, डी) राजेश कुमार")</f>
        <v>ए) रमेश राय, बी) महेश कुमार, सी) संजय शर्मा, डी) राजेश कुमार</v>
      </c>
      <c r="I509" s="5" t="str">
        <f>IFERROR(__xludf.DUMMYFUNCTION("GOOGLETRANSLATE(D509, ""en"", ""hi"")"),"A) रमेश राय")</f>
        <v>A) रमेश राय</v>
      </c>
    </row>
    <row r="510" ht="22.5" customHeight="1">
      <c r="A510" s="3">
        <v>509.0</v>
      </c>
      <c r="B510" s="4" t="s">
        <v>8606</v>
      </c>
      <c r="C510" s="4" t="s">
        <v>8144</v>
      </c>
      <c r="D510" s="4" t="s">
        <v>8411</v>
      </c>
      <c r="F510" s="5" t="str">
        <f>IFERROR(__xludf.DUMMYFUNCTION("GOOGLETRANSLATE(A510, ""en"", ""hi"")"),"509")</f>
        <v>509</v>
      </c>
      <c r="G510" s="5" t="str">
        <f>IFERROR(__xludf.DUMMYFUNCTION("GOOGLETRANSLATE(B510, ""en"", ""hi"")"),"पाकिस्तान में पहली कैरम विश्व चैम्पियनशिप किस वर्ष आयोजित की गई थी?")</f>
        <v>पाकिस्तान में पहली कैरम विश्व चैम्पियनशिप किस वर्ष आयोजित की गई थी?</v>
      </c>
      <c r="H510" s="5" t="str">
        <f>IFERROR(__xludf.DUMMYFUNCTION("GOOGLETRANSLATE(C510, ""en"", ""hi"")"),"ए) 1998, बी) 2000, सी) 2002, डी) 2004")</f>
        <v>ए) 1998, बी) 2000, सी) 2002, डी) 2004</v>
      </c>
      <c r="I510" s="5" t="str">
        <f>IFERROR(__xludf.DUMMYFUNCTION("GOOGLETRANSLATE(D510, ""en"", ""hi"")"),"ए) 1998")</f>
        <v>ए) 1998</v>
      </c>
    </row>
    <row r="511" ht="22.5" customHeight="1">
      <c r="A511" s="3">
        <v>510.0</v>
      </c>
      <c r="B511" s="4" t="s">
        <v>8607</v>
      </c>
      <c r="C511" s="4" t="s">
        <v>8483</v>
      </c>
      <c r="D511" s="4" t="s">
        <v>8484</v>
      </c>
      <c r="F511" s="5" t="str">
        <f>IFERROR(__xludf.DUMMYFUNCTION("GOOGLETRANSLATE(A511, ""en"", ""hi"")"),"510")</f>
        <v>510</v>
      </c>
      <c r="G511" s="5" t="str">
        <f>IFERROR(__xludf.DUMMYFUNCTION("GOOGLETRANSLATE(B511, ""en"", ""hi"")"),"एकीकृत स्कोरिंग प्रणाली वाला पहला कैरम बोर्ड किस वर्ष शुरू किया गया था?")</f>
        <v>एकीकृत स्कोरिंग प्रणाली वाला पहला कैरम बोर्ड किस वर्ष शुरू किया गया था?</v>
      </c>
      <c r="H511" s="5" t="str">
        <f>IFERROR(__xludf.DUMMYFUNCTION("GOOGLETRANSLATE(C511, ""en"", ""hi"")"),"ए) 1995, बी) 1997, सी) 1999, डी) 2001")</f>
        <v>ए) 1995, बी) 1997, सी) 1999, डी) 2001</v>
      </c>
      <c r="I511" s="5" t="str">
        <f>IFERROR(__xludf.DUMMYFUNCTION("GOOGLETRANSLATE(D511, ""en"", ""hi"")"),"सी) 1999")</f>
        <v>सी) 1999</v>
      </c>
    </row>
    <row r="512" ht="22.5" customHeight="1">
      <c r="A512" s="3">
        <v>511.0</v>
      </c>
      <c r="B512" s="4" t="s">
        <v>8608</v>
      </c>
      <c r="C512" s="4" t="s">
        <v>2437</v>
      </c>
      <c r="D512" s="4" t="s">
        <v>2135</v>
      </c>
      <c r="F512" s="5" t="str">
        <f>IFERROR(__xludf.DUMMYFUNCTION("GOOGLETRANSLATE(A512, ""en"", ""hi"")"),"511")</f>
        <v>511</v>
      </c>
      <c r="G512" s="5" t="str">
        <f>IFERROR(__xludf.DUMMYFUNCTION("GOOGLETRANSLATE(B512, ""en"", ""hi"")"),"युवाओं के लिए कैरम विश्व चैम्पियनशिप की मेजबानी करने वाला पहला भारतीय शहर कौन सा था?")</f>
        <v>युवाओं के लिए कैरम विश्व चैम्पियनशिप की मेजबानी करने वाला पहला भारतीय शहर कौन सा था?</v>
      </c>
      <c r="H512" s="5" t="str">
        <f>IFERROR(__xludf.DUMMYFUNCTION("GOOGLETRANSLATE(C512, ""en"", ""hi"")"),"A) चेन्नई, B) दिल्ली, C) मुंबई, D) बैंगलोर")</f>
        <v>A) चेन्नई, B) दिल्ली, C) मुंबई, D) बैंगलोर</v>
      </c>
      <c r="I512" s="5" t="str">
        <f>IFERROR(__xludf.DUMMYFUNCTION("GOOGLETRANSLATE(D512, ""en"", ""hi"")"),"डी) बैंगलोर")</f>
        <v>डी) बैंगलोर</v>
      </c>
    </row>
    <row r="513" ht="22.5" customHeight="1">
      <c r="A513" s="3">
        <v>512.0</v>
      </c>
      <c r="B513" s="4" t="s">
        <v>8609</v>
      </c>
      <c r="C513" s="4" t="s">
        <v>8574</v>
      </c>
      <c r="D513" s="4" t="s">
        <v>7793</v>
      </c>
      <c r="F513" s="5" t="str">
        <f>IFERROR(__xludf.DUMMYFUNCTION("GOOGLETRANSLATE(A513, ""en"", ""hi"")"),"512")</f>
        <v>512</v>
      </c>
      <c r="G513" s="5" t="str">
        <f>IFERROR(__xludf.DUMMYFUNCTION("GOOGLETRANSLATE(B513, ""en"", ""hi"")"),"दिव्यांग खिलाड़ियों के लिए पहली कैरम विश्व चैम्पियनशिप किस वर्ष आयोजित की गई थी?")</f>
        <v>दिव्यांग खिलाड़ियों के लिए पहली कैरम विश्व चैम्पियनशिप किस वर्ष आयोजित की गई थी?</v>
      </c>
      <c r="H513" s="5" t="str">
        <f>IFERROR(__xludf.DUMMYFUNCTION("GOOGLETRANSLATE(C513, ""en"", ""hi"")"),"ए) 1999, बी) 2001, सी) 2003, डी) 2005")</f>
        <v>ए) 1999, बी) 2001, सी) 2003, डी) 2005</v>
      </c>
      <c r="I513" s="5" t="str">
        <f>IFERROR(__xludf.DUMMYFUNCTION("GOOGLETRANSLATE(D513, ""en"", ""hi"")"),"बी) 2001")</f>
        <v>बी) 2001</v>
      </c>
    </row>
    <row r="514" ht="22.5" customHeight="1">
      <c r="A514" s="3">
        <v>513.0</v>
      </c>
      <c r="B514" s="4" t="s">
        <v>8610</v>
      </c>
      <c r="C514" s="4" t="s">
        <v>8535</v>
      </c>
      <c r="D514" s="4" t="s">
        <v>8611</v>
      </c>
      <c r="F514" s="5" t="str">
        <f>IFERROR(__xludf.DUMMYFUNCTION("GOOGLETRANSLATE(A514, ""en"", ""hi"")"),"513")</f>
        <v>513</v>
      </c>
      <c r="G514" s="5" t="str">
        <f>IFERROR(__xludf.DUMMYFUNCTION("GOOGLETRANSLATE(B514, ""en"", ""hi"")"),"1990 के दशक के अंत में भारत का कौन सा कैरम खिलाड़ी अपने सामरिक खेल के लिए जाना जाता था?")</f>
        <v>1990 के दशक के अंत में भारत का कौन सा कैरम खिलाड़ी अपने सामरिक खेल के लिए जाना जाता था?</v>
      </c>
      <c r="H514" s="5" t="str">
        <f>IFERROR(__xludf.DUMMYFUNCTION("GOOGLETRANSLATE(C514, ""en"", ""hi"")"),"ए) रश्मी कुमारी, बी) योगेश परदेशी, सी) राजेश मेहता, डी) एंथोनी इरुदायम")</f>
        <v>ए) रश्मी कुमारी, बी) योगेश परदेशी, सी) राजेश मेहता, डी) एंथोनी इरुदायम</v>
      </c>
      <c r="I514" s="5" t="str">
        <f>IFERROR(__xludf.DUMMYFUNCTION("GOOGLETRANSLATE(D514, ""en"", ""hi"")"),"C) राजेश मेहता")</f>
        <v>C) राजेश मेहता</v>
      </c>
    </row>
    <row r="515" ht="22.5" customHeight="1">
      <c r="A515" s="3">
        <v>514.0</v>
      </c>
      <c r="B515" s="4" t="s">
        <v>8612</v>
      </c>
      <c r="C515" s="4" t="s">
        <v>8545</v>
      </c>
      <c r="D515" s="4" t="s">
        <v>8546</v>
      </c>
      <c r="F515" s="5" t="str">
        <f>IFERROR(__xludf.DUMMYFUNCTION("GOOGLETRANSLATE(A515, ""en"", ""hi"")"),"514")</f>
        <v>514</v>
      </c>
      <c r="G515" s="5" t="str">
        <f>IFERROR(__xludf.DUMMYFUNCTION("GOOGLETRANSLATE(B515, ""en"", ""hi"")"),"उच्च टिकाऊ सतह वाला पहला कैरम बोर्ड किस वर्ष पेश किया गया था?")</f>
        <v>उच्च टिकाऊ सतह वाला पहला कैरम बोर्ड किस वर्ष पेश किया गया था?</v>
      </c>
      <c r="H515" s="5" t="str">
        <f>IFERROR(__xludf.DUMMYFUNCTION("GOOGLETRANSLATE(C515, ""en"", ""hi"")"),"ए) 1997, बी) 1999, सी) 2001, डी) 2003")</f>
        <v>ए) 1997, बी) 1999, सी) 2001, डी) 2003</v>
      </c>
      <c r="I515" s="5" t="str">
        <f>IFERROR(__xludf.DUMMYFUNCTION("GOOGLETRANSLATE(D515, ""en"", ""hi"")"),"डी) 2003")</f>
        <v>डी) 2003</v>
      </c>
    </row>
    <row r="516" ht="22.5" customHeight="1">
      <c r="A516" s="3">
        <v>515.0</v>
      </c>
      <c r="B516" s="4" t="s">
        <v>8397</v>
      </c>
      <c r="C516" s="4" t="s">
        <v>8613</v>
      </c>
      <c r="D516" s="4" t="s">
        <v>8614</v>
      </c>
      <c r="F516" s="5" t="str">
        <f>IFERROR(__xludf.DUMMYFUNCTION("GOOGLETRANSLATE(A516, ""en"", ""hi"")"),"515")</f>
        <v>515</v>
      </c>
      <c r="G516" s="5" t="str">
        <f>IFERROR(__xludf.DUMMYFUNCTION("GOOGLETRANSLATE(B516, ""en"", ""hi"")"),"बांग्लादेश की ओर से विश्व चैम्पियनशिप का खिताब जीतने वाला पहला कैरम खिलाड़ी कौन था?")</f>
        <v>बांग्लादेश की ओर से विश्व चैम्पियनशिप का खिताब जीतने वाला पहला कैरम खिलाड़ी कौन था?</v>
      </c>
      <c r="H516" s="5" t="str">
        <f>IFERROR(__xludf.DUMMYFUNCTION("GOOGLETRANSLATE(C516, ""en"", ""hi"")"),"ए) रकीबुल हसन, बी) मोहम्मद अली, सी) आरिफुर रहमान, डी) शाहिदुल इस्लाम")</f>
        <v>ए) रकीबुल हसन, बी) मोहम्मद अली, सी) आरिफुर रहमान, डी) शाहिदुल इस्लाम</v>
      </c>
      <c r="I516" s="5" t="str">
        <f>IFERROR(__xludf.DUMMYFUNCTION("GOOGLETRANSLATE(D516, ""en"", ""hi"")"),"C) आरिफुर रहमान")</f>
        <v>C) आरिफुर रहमान</v>
      </c>
    </row>
    <row r="517" ht="22.5" customHeight="1">
      <c r="A517" s="3">
        <v>516.0</v>
      </c>
      <c r="B517" s="4" t="s">
        <v>8615</v>
      </c>
      <c r="C517" s="4" t="s">
        <v>8616</v>
      </c>
      <c r="D517" s="4" t="s">
        <v>330</v>
      </c>
      <c r="F517" s="5" t="str">
        <f>IFERROR(__xludf.DUMMYFUNCTION("GOOGLETRANSLATE(A517, ""en"", ""hi"")"),"516")</f>
        <v>516</v>
      </c>
      <c r="G517" s="5" t="str">
        <f>IFERROR(__xludf.DUMMYFUNCTION("GOOGLETRANSLATE(B517, ""en"", ""hi"")"),"मध्य पूर्व में आयोजित होने वाली पहली कैरम विश्व चैंपियनशिप किस शहर में हुई थी?")</f>
        <v>मध्य पूर्व में आयोजित होने वाली पहली कैरम विश्व चैंपियनशिप किस शहर में हुई थी?</v>
      </c>
      <c r="H517" s="5" t="str">
        <f>IFERROR(__xludf.DUMMYFUNCTION("GOOGLETRANSLATE(C517, ""en"", ""hi"")"),"ए) दुबई, बी) अबू धाबी, सी) दोहा, डी) रियाद")</f>
        <v>ए) दुबई, बी) अबू धाबी, सी) दोहा, डी) रियाद</v>
      </c>
      <c r="I517" s="5" t="str">
        <f>IFERROR(__xludf.DUMMYFUNCTION("GOOGLETRANSLATE(D517, ""en"", ""hi"")"),"A) दुबई")</f>
        <v>A) दुबई</v>
      </c>
    </row>
    <row r="518" ht="22.5" customHeight="1">
      <c r="A518" s="3">
        <v>517.0</v>
      </c>
      <c r="B518" s="4" t="s">
        <v>8617</v>
      </c>
      <c r="C518" s="4" t="s">
        <v>2437</v>
      </c>
      <c r="D518" s="4" t="s">
        <v>561</v>
      </c>
      <c r="F518" s="5" t="str">
        <f>IFERROR(__xludf.DUMMYFUNCTION("GOOGLETRANSLATE(A518, ""en"", ""hi"")"),"517")</f>
        <v>517</v>
      </c>
      <c r="G518" s="5" t="str">
        <f>IFERROR(__xludf.DUMMYFUNCTION("GOOGLETRANSLATE(B518, ""en"", ""hi"")"),"कौन सा भारतीय शहर अपने स्कूल खेल पाठ्यक्रम में कैरम को शामिल करने वाला पहला शहर था?")</f>
        <v>कौन सा भारतीय शहर अपने स्कूल खेल पाठ्यक्रम में कैरम को शामिल करने वाला पहला शहर था?</v>
      </c>
      <c r="H518" s="5" t="str">
        <f>IFERROR(__xludf.DUMMYFUNCTION("GOOGLETRANSLATE(C518, ""en"", ""hi"")"),"A) चेन्नई, B) दिल्ली, C) मुंबई, D) बैंगलोर")</f>
        <v>A) चेन्नई, B) दिल्ली, C) मुंबई, D) बैंगलोर</v>
      </c>
      <c r="I518" s="5" t="str">
        <f>IFERROR(__xludf.DUMMYFUNCTION("GOOGLETRANSLATE(D518, ""en"", ""hi"")"),"ए) चेन्नई")</f>
        <v>ए) चेन्नई</v>
      </c>
    </row>
    <row r="519" ht="22.5" customHeight="1">
      <c r="A519" s="3">
        <v>518.0</v>
      </c>
      <c r="B519" s="4" t="s">
        <v>8618</v>
      </c>
      <c r="C519" s="4" t="s">
        <v>8590</v>
      </c>
      <c r="D519" s="4" t="s">
        <v>8619</v>
      </c>
      <c r="F519" s="5" t="str">
        <f>IFERROR(__xludf.DUMMYFUNCTION("GOOGLETRANSLATE(A519, ""en"", ""hi"")"),"518")</f>
        <v>518</v>
      </c>
      <c r="G519" s="5" t="str">
        <f>IFERROR(__xludf.DUMMYFUNCTION("GOOGLETRANSLATE(B519, ""en"", ""hi"")"),"एलईडी डिस्प्ले वाला पहला कैरम बोर्ड किस वर्ष पेश किया गया था?")</f>
        <v>एलईडी डिस्प्ले वाला पहला कैरम बोर्ड किस वर्ष पेश किया गया था?</v>
      </c>
      <c r="H519" s="5" t="str">
        <f>IFERROR(__xludf.DUMMYFUNCTION("GOOGLETRANSLATE(C519, ""en"", ""hi"")"),"ए) 2002, बी) 2004, सी) 2006, डी) 2008")</f>
        <v>ए) 2002, बी) 2004, सी) 2006, डी) 2008</v>
      </c>
      <c r="I519" s="5" t="str">
        <f>IFERROR(__xludf.DUMMYFUNCTION("GOOGLETRANSLATE(D519, ""en"", ""hi"")"),"सी) 2006")</f>
        <v>सी) 2006</v>
      </c>
    </row>
    <row r="520" ht="22.5" customHeight="1">
      <c r="A520" s="3">
        <v>519.0</v>
      </c>
      <c r="B520" s="4" t="s">
        <v>8620</v>
      </c>
      <c r="C520" s="4" t="s">
        <v>8621</v>
      </c>
      <c r="D520" s="4" t="s">
        <v>8622</v>
      </c>
      <c r="F520" s="5" t="str">
        <f>IFERROR(__xludf.DUMMYFUNCTION("GOOGLETRANSLATE(A520, ""en"", ""hi"")"),"519")</f>
        <v>519</v>
      </c>
      <c r="G520" s="5" t="str">
        <f>IFERROR(__xludf.DUMMYFUNCTION("GOOGLETRANSLATE(B520, ""en"", ""hi"")"),"श्रीलंका का कौन सा कैरम खिलाड़ी 2000 के दशक में अपने रणनीतिक खेल के लिए जाना जाता था?")</f>
        <v>श्रीलंका का कौन सा कैरम खिलाड़ी 2000 के दशक में अपने रणनीतिक खेल के लिए जाना जाता था?</v>
      </c>
      <c r="H520" s="5" t="str">
        <f>IFERROR(__xludf.DUMMYFUNCTION("GOOGLETRANSLATE(C520, ""en"", ""hi"")"),"ए) शिरन फर्नांडो, बी) धर्मेंद्र राणावीरा, सी) निमल दिसानायके, डी) चामिल कुरे")</f>
        <v>ए) शिरन फर्नांडो, बी) धर्मेंद्र राणावीरा, सी) निमल दिसानायके, डी) चामिल कुरे</v>
      </c>
      <c r="I520" s="5" t="str">
        <f>IFERROR(__xludf.DUMMYFUNCTION("GOOGLETRANSLATE(D520, ""en"", ""hi"")"),"ए) शिरान फर्नांडो")</f>
        <v>ए) शिरान फर्नांडो</v>
      </c>
    </row>
    <row r="521" ht="22.5" customHeight="1">
      <c r="A521" s="3">
        <v>520.0</v>
      </c>
      <c r="B521" s="4" t="s">
        <v>8623</v>
      </c>
      <c r="C521" s="4" t="s">
        <v>8165</v>
      </c>
      <c r="D521" s="4" t="s">
        <v>8583</v>
      </c>
      <c r="F521" s="5" t="str">
        <f>IFERROR(__xludf.DUMMYFUNCTION("GOOGLETRANSLATE(A521, ""en"", ""hi"")"),"520")</f>
        <v>520</v>
      </c>
      <c r="G521" s="5" t="str">
        <f>IFERROR(__xludf.DUMMYFUNCTION("GOOGLETRANSLATE(B521, ""en"", ""hi"")"),"100,000 डॉलर से अधिक की पुरस्कार राशि वाली पहली कैरम विश्व चैम्पियनशिप किस वर्ष आयोजित की गई थी?")</f>
        <v>100,000 डॉलर से अधिक की पुरस्कार राशि वाली पहली कैरम विश्व चैम्पियनशिप किस वर्ष आयोजित की गई थी?</v>
      </c>
      <c r="H521" s="5" t="str">
        <f>IFERROR(__xludf.DUMMYFUNCTION("GOOGLETRANSLATE(C521, ""en"", ""hi"")"),"ए) 2000, बी) 2002, सी) 2004, डी) 2006")</f>
        <v>ए) 2000, बी) 2002, सी) 2004, डी) 2006</v>
      </c>
      <c r="I521" s="5" t="str">
        <f>IFERROR(__xludf.DUMMYFUNCTION("GOOGLETRANSLATE(D521, ""en"", ""hi"")"),"डी) 2006")</f>
        <v>डी) 2006</v>
      </c>
    </row>
    <row r="522" ht="22.5" customHeight="1">
      <c r="A522" s="3">
        <v>521.0</v>
      </c>
      <c r="B522" s="4" t="s">
        <v>8624</v>
      </c>
      <c r="C522" s="4" t="s">
        <v>171</v>
      </c>
      <c r="D522" s="4" t="s">
        <v>172</v>
      </c>
      <c r="F522" s="5" t="str">
        <f>IFERROR(__xludf.DUMMYFUNCTION("GOOGLETRANSLATE(A522, ""en"", ""hi"")"),"521")</f>
        <v>521</v>
      </c>
      <c r="G522" s="5" t="str">
        <f>IFERROR(__xludf.DUMMYFUNCTION("GOOGLETRANSLATE(B522, ""en"", ""hi"")"),"कौन सा भारतीय राज्य कॉलेज के छात्रों के लिए विशेष रूप से कैरम टूर्नामेंट आयोजित करने वाला पहला राज्य था?")</f>
        <v>कौन सा भारतीय राज्य कॉलेज के छात्रों के लिए विशेष रूप से कैरम टूर्नामेंट आयोजित करने वाला पहला राज्य था?</v>
      </c>
      <c r="H522" s="5" t="str">
        <f>IFERROR(__xludf.DUMMYFUNCTION("GOOGLETRANSLATE(C522, ""en"", ""hi"")"),"A) केरल, B) तमिलनाडु, C) कर्नाटक, D) आंध्र प्रदेश")</f>
        <v>A) केरल, B) तमिलनाडु, C) कर्नाटक, D) आंध्र प्रदेश</v>
      </c>
      <c r="I522" s="5" t="str">
        <f>IFERROR(__xludf.DUMMYFUNCTION("GOOGLETRANSLATE(D522, ""en"", ""hi"")"),"A) केरल")</f>
        <v>A) केरल</v>
      </c>
    </row>
    <row r="523" ht="22.5" customHeight="1">
      <c r="A523" s="3">
        <v>522.0</v>
      </c>
      <c r="B523" s="4" t="s">
        <v>8625</v>
      </c>
      <c r="C523" s="4" t="s">
        <v>8069</v>
      </c>
      <c r="D523" s="4" t="s">
        <v>5227</v>
      </c>
      <c r="F523" s="5" t="str">
        <f>IFERROR(__xludf.DUMMYFUNCTION("GOOGLETRANSLATE(A523, ""en"", ""hi"")"),"522")</f>
        <v>522</v>
      </c>
      <c r="G523" s="5" t="str">
        <f>IFERROR(__xludf.DUMMYFUNCTION("GOOGLETRANSLATE(B523, ""en"", ""hi"")"),"कैरम विश्व चैम्पियनशिप में पहली बार महिला युगल स्पर्धा किस वर्ष शामिल की गई?")</f>
        <v>कैरम विश्व चैम्पियनशिप में पहली बार महिला युगल स्पर्धा किस वर्ष शामिल की गई?</v>
      </c>
      <c r="H523" s="5" t="str">
        <f>IFERROR(__xludf.DUMMYFUNCTION("GOOGLETRANSLATE(C523, ""en"", ""hi"")"),"ए) 1996, बी) 1998, सी) 2000, डी) 2002")</f>
        <v>ए) 1996, बी) 1998, सी) 2000, डी) 2002</v>
      </c>
      <c r="I523" s="5" t="str">
        <f>IFERROR(__xludf.DUMMYFUNCTION("GOOGLETRANSLATE(D523, ""en"", ""hi"")"),"सी) 2000")</f>
        <v>सी) 2000</v>
      </c>
    </row>
    <row r="524" ht="22.5" customHeight="1">
      <c r="A524" s="3">
        <v>523.0</v>
      </c>
      <c r="B524" s="4" t="s">
        <v>8626</v>
      </c>
      <c r="C524" s="4" t="s">
        <v>8627</v>
      </c>
      <c r="D524" s="4" t="s">
        <v>8628</v>
      </c>
      <c r="F524" s="5" t="str">
        <f>IFERROR(__xludf.DUMMYFUNCTION("GOOGLETRANSLATE(A524, ""en"", ""hi"")"),"523")</f>
        <v>523</v>
      </c>
      <c r="G524" s="5" t="str">
        <f>IFERROR(__xludf.DUMMYFUNCTION("GOOGLETRANSLATE(B524, ""en"", ""hi"")"),"नेपाल के किस कैरम खिलाड़ी ने 2008 में विश्व चैंपियनशिप का खिताब जीता?")</f>
        <v>नेपाल के किस कैरम खिलाड़ी ने 2008 में विश्व चैंपियनशिप का खिताब जीता?</v>
      </c>
      <c r="H524" s="5" t="str">
        <f>IFERROR(__xludf.DUMMYFUNCTION("GOOGLETRANSLATE(C524, ""en"", ""hi"")"),"ए) रमेश राय, बी) संजय शर्मा, सी) राजेश कुमार, डी) महेश कुमार")</f>
        <v>ए) रमेश राय, बी) संजय शर्मा, सी) राजेश कुमार, डी) महेश कुमार</v>
      </c>
      <c r="I524" s="5" t="str">
        <f>IFERROR(__xludf.DUMMYFUNCTION("GOOGLETRANSLATE(D524, ""en"", ""hi"")"),"बी) संजय शर्मा")</f>
        <v>बी) संजय शर्मा</v>
      </c>
    </row>
    <row r="525" ht="22.5" customHeight="1">
      <c r="A525" s="3">
        <v>524.0</v>
      </c>
      <c r="B525" s="4" t="s">
        <v>8629</v>
      </c>
      <c r="C525" s="4" t="s">
        <v>8590</v>
      </c>
      <c r="D525" s="4" t="s">
        <v>8630</v>
      </c>
      <c r="F525" s="5" t="str">
        <f>IFERROR(__xludf.DUMMYFUNCTION("GOOGLETRANSLATE(A525, ""en"", ""hi"")"),"524")</f>
        <v>524</v>
      </c>
      <c r="G525" s="5" t="str">
        <f>IFERROR(__xludf.DUMMYFUNCTION("GOOGLETRANSLATE(B525, ""en"", ""hi"")"),"अंतर्निर्मित ध्वनि प्रणाली वाला पहला कैरम बोर्ड किस वर्ष पेश किया गया था?")</f>
        <v>अंतर्निर्मित ध्वनि प्रणाली वाला पहला कैरम बोर्ड किस वर्ष पेश किया गया था?</v>
      </c>
      <c r="H525" s="5" t="str">
        <f>IFERROR(__xludf.DUMMYFUNCTION("GOOGLETRANSLATE(C525, ""en"", ""hi"")"),"ए) 2002, बी) 2004, सी) 2006, डी) 2008")</f>
        <v>ए) 2002, बी) 2004, सी) 2006, डी) 2008</v>
      </c>
      <c r="I525" s="5" t="str">
        <f>IFERROR(__xludf.DUMMYFUNCTION("GOOGLETRANSLATE(D525, ""en"", ""hi"")"),"डी) 2008")</f>
        <v>डी) 2008</v>
      </c>
    </row>
    <row r="526" ht="22.5" customHeight="1">
      <c r="A526" s="3">
        <v>525.0</v>
      </c>
      <c r="B526" s="4" t="s">
        <v>8631</v>
      </c>
      <c r="C526" s="4" t="s">
        <v>8558</v>
      </c>
      <c r="D526" s="4" t="s">
        <v>8601</v>
      </c>
      <c r="F526" s="5" t="str">
        <f>IFERROR(__xludf.DUMMYFUNCTION("GOOGLETRANSLATE(A526, ""en"", ""hi"")"),"525")</f>
        <v>525</v>
      </c>
      <c r="G526" s="5" t="str">
        <f>IFERROR(__xludf.DUMMYFUNCTION("GOOGLETRANSLATE(B526, ""en"", ""hi"")"),"2008 में पहली बार कैरम विश्व चैम्पियनशिप की मेजबानी किस भारतीय शहर ने की थी?")</f>
        <v>2008 में पहली बार कैरम विश्व चैम्पियनशिप की मेजबानी किस भारतीय शहर ने की थी?</v>
      </c>
      <c r="H526" s="5" t="str">
        <f>IFERROR(__xludf.DUMMYFUNCTION("GOOGLETRANSLATE(C526, ""en"", ""hi"")"),"A) चेन्नई, B) बैंगलोर, C) मुंबई, D) दिल्ली")</f>
        <v>A) चेन्नई, B) बैंगलोर, C) मुंबई, D) दिल्ली</v>
      </c>
      <c r="I526" s="5" t="str">
        <f>IFERROR(__xludf.DUMMYFUNCTION("GOOGLETRANSLATE(D526, ""en"", ""hi"")"),"बी) बैंगलोर")</f>
        <v>बी) बैंगलोर</v>
      </c>
    </row>
    <row r="527" ht="22.5" customHeight="1">
      <c r="A527" s="3">
        <v>526.0</v>
      </c>
      <c r="B527" s="4" t="s">
        <v>8632</v>
      </c>
      <c r="C527" s="4" t="s">
        <v>8574</v>
      </c>
      <c r="D527" s="4" t="s">
        <v>8633</v>
      </c>
      <c r="F527" s="5" t="str">
        <f>IFERROR(__xludf.DUMMYFUNCTION("GOOGLETRANSLATE(A527, ""en"", ""hi"")"),"526")</f>
        <v>526</v>
      </c>
      <c r="G527" s="5" t="str">
        <f>IFERROR(__xludf.DUMMYFUNCTION("GOOGLETRANSLATE(B527, ""en"", ""hi"")"),"समायोज्य ऊंचाई सुविधा वाला पहला कैरम बोर्ड किस वर्ष पेश किया गया था?")</f>
        <v>समायोज्य ऊंचाई सुविधा वाला पहला कैरम बोर्ड किस वर्ष पेश किया गया था?</v>
      </c>
      <c r="H527" s="5" t="str">
        <f>IFERROR(__xludf.DUMMYFUNCTION("GOOGLETRANSLATE(C527, ""en"", ""hi"")"),"ए) 1999, बी) 2001, सी) 2003, डी) 2005")</f>
        <v>ए) 1999, बी) 2001, सी) 2003, डी) 2005</v>
      </c>
      <c r="I527" s="5" t="str">
        <f>IFERROR(__xludf.DUMMYFUNCTION("GOOGLETRANSLATE(D527, ""en"", ""hi"")"),"सी) 2003")</f>
        <v>सी) 2003</v>
      </c>
    </row>
    <row r="528" ht="22.5" customHeight="1">
      <c r="A528" s="3">
        <v>527.0</v>
      </c>
      <c r="B528" s="4" t="s">
        <v>8634</v>
      </c>
      <c r="C528" s="4" t="s">
        <v>8350</v>
      </c>
      <c r="D528" s="4" t="s">
        <v>8351</v>
      </c>
      <c r="F528" s="5" t="str">
        <f>IFERROR(__xludf.DUMMYFUNCTION("GOOGLETRANSLATE(A528, ""en"", ""hi"")"),"527")</f>
        <v>527</v>
      </c>
      <c r="G528" s="5" t="str">
        <f>IFERROR(__xludf.DUMMYFUNCTION("GOOGLETRANSLATE(B528, ""en"", ""hi"")"),"पाकिस्तान के किस कैरम खिलाड़ी ने 2006 में विश्व चैंपियनशिप जीती?")</f>
        <v>पाकिस्तान के किस कैरम खिलाड़ी ने 2006 में विश्व चैंपियनशिप जीती?</v>
      </c>
      <c r="H528" s="5" t="str">
        <f>IFERROR(__xludf.DUMMYFUNCTION("GOOGLETRANSLATE(C528, ""en"", ""hi"")"),"ए) तारिक महमूद, बी) जाहिद खान, सी) बिलाल अहमद, डी) सैयद अली")</f>
        <v>ए) तारिक महमूद, बी) जाहिद खान, सी) बिलाल अहमद, डी) सैयद अली</v>
      </c>
      <c r="I528" s="5" t="str">
        <f>IFERROR(__xludf.DUMMYFUNCTION("GOOGLETRANSLATE(D528, ""en"", ""hi"")"),"A) तारिक महमूद")</f>
        <v>A) तारिक महमूद</v>
      </c>
    </row>
    <row r="529" ht="22.5" customHeight="1">
      <c r="A529" s="3">
        <v>528.0</v>
      </c>
      <c r="B529" s="4" t="s">
        <v>8635</v>
      </c>
      <c r="C529" s="4" t="s">
        <v>8144</v>
      </c>
      <c r="D529" s="4" t="s">
        <v>829</v>
      </c>
      <c r="F529" s="5" t="str">
        <f>IFERROR(__xludf.DUMMYFUNCTION("GOOGLETRANSLATE(A529, ""en"", ""hi"")"),"528")</f>
        <v>528</v>
      </c>
      <c r="G529" s="5" t="str">
        <f>IFERROR(__xludf.DUMMYFUNCTION("GOOGLETRANSLATE(B529, ""en"", ""hi"")"),"पुरुषों की युगल स्पर्धा वाली पहली कैरम विश्व चैम्पियनशिप किस वर्ष आयोजित की गई थी?")</f>
        <v>पुरुषों की युगल स्पर्धा वाली पहली कैरम विश्व चैम्पियनशिप किस वर्ष आयोजित की गई थी?</v>
      </c>
      <c r="H529" s="5" t="str">
        <f>IFERROR(__xludf.DUMMYFUNCTION("GOOGLETRANSLATE(C529, ""en"", ""hi"")"),"ए) 1998, बी) 2000, सी) 2002, डी) 2004")</f>
        <v>ए) 1998, बी) 2000, सी) 2002, डी) 2004</v>
      </c>
      <c r="I529" s="5" t="str">
        <f>IFERROR(__xludf.DUMMYFUNCTION("GOOGLETRANSLATE(D529, ""en"", ""hi"")"),"बी) 2000")</f>
        <v>बी) 2000</v>
      </c>
    </row>
    <row r="530" ht="22.5" customHeight="1">
      <c r="A530" s="3">
        <v>529.0</v>
      </c>
      <c r="B530" s="4" t="s">
        <v>8636</v>
      </c>
      <c r="C530" s="4" t="s">
        <v>8558</v>
      </c>
      <c r="D530" s="4" t="s">
        <v>2301</v>
      </c>
      <c r="F530" s="5" t="str">
        <f>IFERROR(__xludf.DUMMYFUNCTION("GOOGLETRANSLATE(A530, ""en"", ""hi"")"),"529")</f>
        <v>529</v>
      </c>
      <c r="G530" s="5" t="str">
        <f>IFERROR(__xludf.DUMMYFUNCTION("GOOGLETRANSLATE(B530, ""en"", ""hi"")"),"कौन सा भारतीय शहर अपने वार्षिक उत्सव के हिस्से के रूप में कैरम को शुरू करने वाला पहला शहर था?")</f>
        <v>कौन सा भारतीय शहर अपने वार्षिक उत्सव के हिस्से के रूप में कैरम को शुरू करने वाला पहला शहर था?</v>
      </c>
      <c r="H530" s="5" t="str">
        <f>IFERROR(__xludf.DUMMYFUNCTION("GOOGLETRANSLATE(C530, ""en"", ""hi"")"),"A) चेन्नई, B) बैंगलोर, C) मुंबई, D) दिल्ली")</f>
        <v>A) चेन्नई, B) बैंगलोर, C) मुंबई, D) दिल्ली</v>
      </c>
      <c r="I530" s="5" t="str">
        <f>IFERROR(__xludf.DUMMYFUNCTION("GOOGLETRANSLATE(D530, ""en"", ""hi"")"),"D) दिल्ली")</f>
        <v>D) दिल्ली</v>
      </c>
    </row>
    <row r="531" ht="22.5" customHeight="1">
      <c r="A531" s="3">
        <v>530.0</v>
      </c>
      <c r="B531" s="4" t="s">
        <v>8637</v>
      </c>
      <c r="C531" s="4" t="s">
        <v>8165</v>
      </c>
      <c r="D531" s="4" t="s">
        <v>6725</v>
      </c>
      <c r="F531" s="5" t="str">
        <f>IFERROR(__xludf.DUMMYFUNCTION("GOOGLETRANSLATE(A531, ""en"", ""hi"")"),"530")</f>
        <v>530</v>
      </c>
      <c r="G531" s="5" t="str">
        <f>IFERROR(__xludf.DUMMYFUNCTION("GOOGLETRANSLATE(B531, ""en"", ""hi"")"),"एकीकृत स्कोरबोर्ड वाला पहला कैरम बोर्ड किस वर्ष शुरू किया गया था?")</f>
        <v>एकीकृत स्कोरबोर्ड वाला पहला कैरम बोर्ड किस वर्ष शुरू किया गया था?</v>
      </c>
      <c r="H531" s="5" t="str">
        <f>IFERROR(__xludf.DUMMYFUNCTION("GOOGLETRANSLATE(C531, ""en"", ""hi"")"),"ए) 2000, बी) 2002, सी) 2004, डी) 2006")</f>
        <v>ए) 2000, बी) 2002, सी) 2004, डी) 2006</v>
      </c>
      <c r="I531" s="5" t="str">
        <f>IFERROR(__xludf.DUMMYFUNCTION("GOOGLETRANSLATE(D531, ""en"", ""hi"")"),"बी) 2002")</f>
        <v>बी) 2002</v>
      </c>
    </row>
    <row r="532" ht="22.5" customHeight="1">
      <c r="A532" s="3">
        <v>531.0</v>
      </c>
      <c r="B532" s="4" t="s">
        <v>8638</v>
      </c>
      <c r="C532" s="4" t="s">
        <v>8520</v>
      </c>
      <c r="D532" s="4" t="s">
        <v>7724</v>
      </c>
      <c r="F532" s="5" t="str">
        <f>IFERROR(__xludf.DUMMYFUNCTION("GOOGLETRANSLATE(A532, ""en"", ""hi"")"),"531")</f>
        <v>531</v>
      </c>
      <c r="G532" s="5" t="str">
        <f>IFERROR(__xludf.DUMMYFUNCTION("GOOGLETRANSLATE(B532, ""en"", ""hi"")"),"भारत का कौन सा कैरम खिलाड़ी 2000 के दशक के प्रारंभ में अपनी निरंतरता के लिए जाना जाता था?")</f>
        <v>भारत का कौन सा कैरम खिलाड़ी 2000 के दशक के प्रारंभ में अपनी निरंतरता के लिए जाना जाता था?</v>
      </c>
      <c r="H532" s="5" t="str">
        <f>IFERROR(__xludf.DUMMYFUNCTION("GOOGLETRANSLATE(C532, ""en"", ""hi"")"),"ए) योगेश परदेशी, बी) रश्मी कुमारी, सी) राजेश मेहता, डी) एंथोनी इरुदायम")</f>
        <v>ए) योगेश परदेशी, बी) रश्मी कुमारी, सी) राजेश मेहता, डी) एंथोनी इरुदायम</v>
      </c>
      <c r="I532" s="5" t="str">
        <f>IFERROR(__xludf.DUMMYFUNCTION("GOOGLETRANSLATE(D532, ""en"", ""hi"")"),"A) योगेश परदेशी")</f>
        <v>A) योगेश परदेशी</v>
      </c>
    </row>
    <row r="533" ht="22.5" customHeight="1">
      <c r="A533" s="3">
        <v>532.0</v>
      </c>
      <c r="B533" s="4" t="s">
        <v>8639</v>
      </c>
      <c r="C533" s="4" t="s">
        <v>8483</v>
      </c>
      <c r="D533" s="4" t="s">
        <v>8484</v>
      </c>
      <c r="F533" s="5" t="str">
        <f>IFERROR(__xludf.DUMMYFUNCTION("GOOGLETRANSLATE(A533, ""en"", ""hi"")"),"532")</f>
        <v>532</v>
      </c>
      <c r="G533" s="5" t="str">
        <f>IFERROR(__xludf.DUMMYFUNCTION("GOOGLETRANSLATE(B533, ""en"", ""hi"")"),"श्रीलंका में पहली कैरम विश्व चैम्पियनशिप किस वर्ष आयोजित की गई थी?")</f>
        <v>श्रीलंका में पहली कैरम विश्व चैम्पियनशिप किस वर्ष आयोजित की गई थी?</v>
      </c>
      <c r="H533" s="5" t="str">
        <f>IFERROR(__xludf.DUMMYFUNCTION("GOOGLETRANSLATE(C533, ""en"", ""hi"")"),"ए) 1995, बी) 1997, सी) 1999, डी) 2001")</f>
        <v>ए) 1995, बी) 1997, सी) 1999, डी) 2001</v>
      </c>
      <c r="I533" s="5" t="str">
        <f>IFERROR(__xludf.DUMMYFUNCTION("GOOGLETRANSLATE(D533, ""en"", ""hi"")"),"सी) 1999")</f>
        <v>सी) 1999</v>
      </c>
    </row>
    <row r="534" ht="22.5" customHeight="1">
      <c r="A534" s="3">
        <v>533.0</v>
      </c>
      <c r="B534" s="4" t="s">
        <v>8640</v>
      </c>
      <c r="C534" s="4" t="s">
        <v>8408</v>
      </c>
      <c r="D534" s="4" t="s">
        <v>8593</v>
      </c>
      <c r="F534" s="5" t="str">
        <f>IFERROR(__xludf.DUMMYFUNCTION("GOOGLETRANSLATE(A534, ""en"", ""hi"")"),"533")</f>
        <v>533</v>
      </c>
      <c r="G534" s="5" t="str">
        <f>IFERROR(__xludf.DUMMYFUNCTION("GOOGLETRANSLATE(B534, ""en"", ""hi"")"),"श्रीलंका का कौन सा कैरम खिलाड़ी 2000 के दशक के प्रारंभ में अपने रक्षात्मक खेल के लिए जाना जाता था?")</f>
        <v>श्रीलंका का कौन सा कैरम खिलाड़ी 2000 के दशक के प्रारंभ में अपने रक्षात्मक खेल के लिए जाना जाता था?</v>
      </c>
      <c r="H534" s="5" t="str">
        <f>IFERROR(__xludf.DUMMYFUNCTION("GOOGLETRANSLATE(C534, ""en"", ""hi"")"),"ए) चामिल कुरे, बी) निमल दिसानायके, सी) शिरन फर्नांडो, डी) धर्मेंद्र राणावीरा")</f>
        <v>ए) चामिल कुरे, बी) निमल दिसानायके, सी) शिरन फर्नांडो, डी) धर्मेंद्र राणावीरा</v>
      </c>
      <c r="I534" s="5" t="str">
        <f>IFERROR(__xludf.DUMMYFUNCTION("GOOGLETRANSLATE(D534, ""en"", ""hi"")"),"बी) निमल दिसानायके")</f>
        <v>बी) निमल दिसानायके</v>
      </c>
    </row>
    <row r="535" ht="22.5" customHeight="1">
      <c r="A535" s="3">
        <v>534.0</v>
      </c>
      <c r="B535" s="4" t="s">
        <v>8641</v>
      </c>
      <c r="C535" s="4" t="s">
        <v>8590</v>
      </c>
      <c r="D535" s="4" t="s">
        <v>8642</v>
      </c>
      <c r="F535" s="5" t="str">
        <f>IFERROR(__xludf.DUMMYFUNCTION("GOOGLETRANSLATE(A535, ""en"", ""hi"")"),"534")</f>
        <v>534</v>
      </c>
      <c r="G535" s="5" t="str">
        <f>IFERROR(__xludf.DUMMYFUNCTION("GOOGLETRANSLATE(B535, ""en"", ""hi"")"),"मिश्रित युगल स्पर्धा वाली पहली कैरम विश्व चैम्पियनशिप किस वर्ष आयोजित की गई थी?")</f>
        <v>मिश्रित युगल स्पर्धा वाली पहली कैरम विश्व चैम्पियनशिप किस वर्ष आयोजित की गई थी?</v>
      </c>
      <c r="H535" s="5" t="str">
        <f>IFERROR(__xludf.DUMMYFUNCTION("GOOGLETRANSLATE(C535, ""en"", ""hi"")"),"ए) 2002, बी) 2004, सी) 2006, डी) 2008")</f>
        <v>ए) 2002, बी) 2004, सी) 2006, डी) 2008</v>
      </c>
      <c r="I535" s="5" t="str">
        <f>IFERROR(__xludf.DUMMYFUNCTION("GOOGLETRANSLATE(D535, ""en"", ""hi"")"),"ए) 2002")</f>
        <v>ए) 2002</v>
      </c>
    </row>
    <row r="536" ht="22.5" customHeight="1">
      <c r="A536" s="3">
        <v>535.0</v>
      </c>
      <c r="B536" s="4" t="s">
        <v>8643</v>
      </c>
      <c r="C536" s="4" t="s">
        <v>8404</v>
      </c>
      <c r="D536" s="4" t="s">
        <v>2424</v>
      </c>
      <c r="F536" s="5" t="str">
        <f>IFERROR(__xludf.DUMMYFUNCTION("GOOGLETRANSLATE(A536, ""en"", ""hi"")"),"535")</f>
        <v>535</v>
      </c>
      <c r="G536" s="5" t="str">
        <f>IFERROR(__xludf.DUMMYFUNCTION("GOOGLETRANSLATE(B536, ""en"", ""hi"")"),"कौन सा भारतीय शहर कैरम को अपनी स्थानीय खेल लीग में शामिल करने वाला पहला शहर था?")</f>
        <v>कौन सा भारतीय शहर कैरम को अपनी स्थानीय खेल लीग में शामिल करने वाला पहला शहर था?</v>
      </c>
      <c r="H536" s="5" t="str">
        <f>IFERROR(__xludf.DUMMYFUNCTION("GOOGLETRANSLATE(C536, ""en"", ""hi"")"),"A) चेन्नई, B) बैंगलोर, C) दिल्ली, D) मुंबई")</f>
        <v>A) चेन्नई, B) बैंगलोर, C) दिल्ली, D) मुंबई</v>
      </c>
      <c r="I536" s="5" t="str">
        <f>IFERROR(__xludf.DUMMYFUNCTION("GOOGLETRANSLATE(D536, ""en"", ""hi"")"),"D) मुंबई")</f>
        <v>D) मुंबई</v>
      </c>
    </row>
    <row r="537" ht="22.5" customHeight="1">
      <c r="A537" s="3">
        <v>536.0</v>
      </c>
      <c r="B537" s="4" t="s">
        <v>8644</v>
      </c>
      <c r="C537" s="4" t="s">
        <v>8645</v>
      </c>
      <c r="D537" s="4" t="s">
        <v>8646</v>
      </c>
      <c r="F537" s="5" t="str">
        <f>IFERROR(__xludf.DUMMYFUNCTION("GOOGLETRANSLATE(A537, ""en"", ""hi"")"),"536")</f>
        <v>536</v>
      </c>
      <c r="G537" s="5" t="str">
        <f>IFERROR(__xludf.DUMMYFUNCTION("GOOGLETRANSLATE(B537, ""en"", ""hi"")"),"रात्रिकालीन खेल के लिए अंतर्निर्मित एलईडी लाइट प्रणाली वाला पहला कैरम बोर्ड किस वर्ष पेश किया गया था?")</f>
        <v>रात्रिकालीन खेल के लिए अंतर्निर्मित एलईडी लाइट प्रणाली वाला पहला कैरम बोर्ड किस वर्ष पेश किया गया था?</v>
      </c>
      <c r="H537" s="5" t="str">
        <f>IFERROR(__xludf.DUMMYFUNCTION("GOOGLETRANSLATE(C537, ""en"", ""hi"")"),"ए) 2004, बी) 2006, सी) 2008, डी) 2010")</f>
        <v>ए) 2004, बी) 2006, सी) 2008, डी) 2010</v>
      </c>
      <c r="I537" s="5" t="str">
        <f>IFERROR(__xludf.DUMMYFUNCTION("GOOGLETRANSLATE(D537, ""en"", ""hi"")"),"बी) 2006")</f>
        <v>बी) 2006</v>
      </c>
    </row>
    <row r="538" ht="22.5" customHeight="1">
      <c r="A538" s="3">
        <v>537.0</v>
      </c>
      <c r="B538" s="4" t="s">
        <v>8647</v>
      </c>
      <c r="C538" s="4" t="s">
        <v>8648</v>
      </c>
      <c r="D538" s="4" t="s">
        <v>8425</v>
      </c>
      <c r="F538" s="5" t="str">
        <f>IFERROR(__xludf.DUMMYFUNCTION("GOOGLETRANSLATE(A538, ""en"", ""hi"")"),"537")</f>
        <v>537</v>
      </c>
      <c r="G538" s="5" t="str">
        <f>IFERROR(__xludf.DUMMYFUNCTION("GOOGLETRANSLATE(B538, ""en"", ""hi"")"),"2000 के दशक में कौन सा कैरम खिलाड़ी अपनी नवीन तकनीकों के लिए जाना जाता था?")</f>
        <v>2000 के दशक में कौन सा कैरम खिलाड़ी अपनी नवीन तकनीकों के लिए जाना जाता था?</v>
      </c>
      <c r="H538" s="5" t="str">
        <f>IFERROR(__xludf.DUMMYFUNCTION("GOOGLETRANSLATE(C538, ""en"", ""hi"")"),"ए) राजेश मेहता, बी) रश्मी कुमारी, सी) योगेश परदेशी, डी) एंथोनी इरुदायम")</f>
        <v>ए) राजेश मेहता, बी) रश्मी कुमारी, सी) योगेश परदेशी, डी) एंथोनी इरुदायम</v>
      </c>
      <c r="I538" s="5" t="str">
        <f>IFERROR(__xludf.DUMMYFUNCTION("GOOGLETRANSLATE(D538, ""en"", ""hi"")"),"D) एंथनी इरुदयम")</f>
        <v>D) एंथनी इरुदयम</v>
      </c>
    </row>
    <row r="539" ht="22.5" customHeight="1">
      <c r="A539" s="3">
        <v>538.0</v>
      </c>
      <c r="B539" s="4" t="s">
        <v>8649</v>
      </c>
      <c r="C539" s="4" t="s">
        <v>8144</v>
      </c>
      <c r="D539" s="4" t="s">
        <v>8465</v>
      </c>
      <c r="F539" s="5" t="str">
        <f>IFERROR(__xludf.DUMMYFUNCTION("GOOGLETRANSLATE(A539, ""en"", ""hi"")"),"538")</f>
        <v>538</v>
      </c>
      <c r="G539" s="5" t="str">
        <f>IFERROR(__xludf.DUMMYFUNCTION("GOOGLETRANSLATE(B539, ""en"", ""hi"")"),"कैरम विश्व चैम्पियनशिप में पहली बार युवा एकल स्पर्धा किस वर्ष शामिल की गई?")</f>
        <v>कैरम विश्व चैम्पियनशिप में पहली बार युवा एकल स्पर्धा किस वर्ष शामिल की गई?</v>
      </c>
      <c r="H539" s="5" t="str">
        <f>IFERROR(__xludf.DUMMYFUNCTION("GOOGLETRANSLATE(C539, ""en"", ""hi"")"),"ए) 1998, बी) 2000, सी) 2002, डी) 2004")</f>
        <v>ए) 1998, बी) 2000, सी) 2002, डी) 2004</v>
      </c>
      <c r="I539" s="5" t="str">
        <f>IFERROR(__xludf.DUMMYFUNCTION("GOOGLETRANSLATE(D539, ""en"", ""hi"")"),"सी) 2002")</f>
        <v>सी) 2002</v>
      </c>
    </row>
    <row r="540" ht="22.5" customHeight="1">
      <c r="A540" s="3">
        <v>539.0</v>
      </c>
      <c r="B540" s="4" t="s">
        <v>8650</v>
      </c>
      <c r="C540" s="4" t="s">
        <v>8651</v>
      </c>
      <c r="D540" s="4" t="s">
        <v>8652</v>
      </c>
      <c r="F540" s="5" t="str">
        <f>IFERROR(__xludf.DUMMYFUNCTION("GOOGLETRANSLATE(A540, ""en"", ""hi"")"),"539")</f>
        <v>539</v>
      </c>
      <c r="G540" s="5" t="str">
        <f>IFERROR(__xludf.DUMMYFUNCTION("GOOGLETRANSLATE(B540, ""en"", ""hi"")"),"बांग्लादेश के किस कैरम खिलाड़ी ने 2010 में विश्व चैंपियनशिप जीती?")</f>
        <v>बांग्लादेश के किस कैरम खिलाड़ी ने 2010 में विश्व चैंपियनशिप जीती?</v>
      </c>
      <c r="H540" s="5" t="str">
        <f>IFERROR(__xludf.DUMMYFUNCTION("GOOGLETRANSLATE(C540, ""en"", ""hi"")"),"ए) आरिफ़ुर रहमान, बी) शाहिदुल इस्लाम, सी) रकीबुल हसन, डी) मोहम्मद अली")</f>
        <v>ए) आरिफ़ुर रहमान, बी) शाहिदुल इस्लाम, सी) रकीबुल हसन, डी) मोहम्मद अली</v>
      </c>
      <c r="I540" s="5" t="str">
        <f>IFERROR(__xludf.DUMMYFUNCTION("GOOGLETRANSLATE(D540, ""en"", ""hi"")"),"C) रकीबुल हसन")</f>
        <v>C) रकीबुल हसन</v>
      </c>
    </row>
    <row r="541" ht="22.5" customHeight="1">
      <c r="A541" s="3">
        <v>540.0</v>
      </c>
      <c r="B541" s="4" t="s">
        <v>8653</v>
      </c>
      <c r="C541" s="4" t="s">
        <v>8590</v>
      </c>
      <c r="D541" s="4" t="s">
        <v>8642</v>
      </c>
      <c r="F541" s="5" t="str">
        <f>IFERROR(__xludf.DUMMYFUNCTION("GOOGLETRANSLATE(A541, ""en"", ""hi"")"),"540")</f>
        <v>540</v>
      </c>
      <c r="G541" s="5" t="str">
        <f>IFERROR(__xludf.DUMMYFUNCTION("GOOGLETRANSLATE(B541, ""en"", ""hi"")"),"बहुस्तरीय सतह वाला पहला कैरम बोर्ड किस वर्ष पेश किया गया था?")</f>
        <v>बहुस्तरीय सतह वाला पहला कैरम बोर्ड किस वर्ष पेश किया गया था?</v>
      </c>
      <c r="H541" s="5" t="str">
        <f>IFERROR(__xludf.DUMMYFUNCTION("GOOGLETRANSLATE(C541, ""en"", ""hi"")"),"ए) 2002, बी) 2004, सी) 2006, डी) 2008")</f>
        <v>ए) 2002, बी) 2004, सी) 2006, डी) 2008</v>
      </c>
      <c r="I541" s="5" t="str">
        <f>IFERROR(__xludf.DUMMYFUNCTION("GOOGLETRANSLATE(D541, ""en"", ""hi"")"),"ए) 2002")</f>
        <v>ए) 2002</v>
      </c>
    </row>
    <row r="542" ht="22.5" customHeight="1">
      <c r="A542" s="3">
        <v>541.0</v>
      </c>
      <c r="B542" s="4" t="s">
        <v>8654</v>
      </c>
      <c r="C542" s="4" t="s">
        <v>8584</v>
      </c>
      <c r="D542" s="4" t="s">
        <v>561</v>
      </c>
      <c r="F542" s="5" t="str">
        <f>IFERROR(__xludf.DUMMYFUNCTION("GOOGLETRANSLATE(A542, ""en"", ""hi"")"),"541")</f>
        <v>541</v>
      </c>
      <c r="G542" s="5" t="str">
        <f>IFERROR(__xludf.DUMMYFUNCTION("GOOGLETRANSLATE(B542, ""en"", ""hi"")"),"कौन सा भारतीय शहर अपने स्थानीय स्कूल पाठ्यक्रम में कैरम को शामिल करने वाला पहला शहर था?")</f>
        <v>कौन सा भारतीय शहर अपने स्थानीय स्कूल पाठ्यक्रम में कैरम को शामिल करने वाला पहला शहर था?</v>
      </c>
      <c r="H542" s="5" t="str">
        <f>IFERROR(__xludf.DUMMYFUNCTION("GOOGLETRANSLATE(C542, ""en"", ""hi"")"),"A) चेन्नई, B) मुंबई, C) बैंगलोर, D) दिल्ली")</f>
        <v>A) चेन्नई, B) मुंबई, C) बैंगलोर, D) दिल्ली</v>
      </c>
      <c r="I542" s="5" t="str">
        <f>IFERROR(__xludf.DUMMYFUNCTION("GOOGLETRANSLATE(D542, ""en"", ""hi"")"),"ए) चेन्नई")</f>
        <v>ए) चेन्नई</v>
      </c>
    </row>
    <row r="543" ht="22.5" customHeight="1">
      <c r="A543" s="3">
        <v>542.0</v>
      </c>
      <c r="B543" s="4" t="s">
        <v>8655</v>
      </c>
      <c r="C543" s="4" t="s">
        <v>8165</v>
      </c>
      <c r="D543" s="4" t="s">
        <v>8583</v>
      </c>
      <c r="F543" s="5" t="str">
        <f>IFERROR(__xludf.DUMMYFUNCTION("GOOGLETRANSLATE(A543, ""en"", ""hi"")"),"542")</f>
        <v>542</v>
      </c>
      <c r="G543" s="5" t="str">
        <f>IFERROR(__xludf.DUMMYFUNCTION("GOOGLETRANSLATE(B543, ""en"", ""hi"")"),"पहली पेशेवर कैरम विश्व चैम्पियनशिप किस वर्ष आयोजित की गई थी?")</f>
        <v>पहली पेशेवर कैरम विश्व चैम्पियनशिप किस वर्ष आयोजित की गई थी?</v>
      </c>
      <c r="H543" s="5" t="str">
        <f>IFERROR(__xludf.DUMMYFUNCTION("GOOGLETRANSLATE(C543, ""en"", ""hi"")"),"ए) 2000, बी) 2002, सी) 2004, डी) 2006")</f>
        <v>ए) 2000, बी) 2002, सी) 2004, डी) 2006</v>
      </c>
      <c r="I543" s="5" t="str">
        <f>IFERROR(__xludf.DUMMYFUNCTION("GOOGLETRANSLATE(D543, ""en"", ""hi"")"),"डी) 2006")</f>
        <v>डी) 2006</v>
      </c>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21.25"/>
    <col customWidth="1" min="7" max="8" width="37.63"/>
    <col customWidth="1" min="9" max="9" width="18.5"/>
  </cols>
  <sheetData>
    <row r="1" ht="22.5" customHeight="1">
      <c r="A1" s="1" t="s">
        <v>0</v>
      </c>
      <c r="B1" s="1" t="s">
        <v>1</v>
      </c>
      <c r="C1" s="1" t="s">
        <v>2</v>
      </c>
      <c r="D1" s="1" t="s">
        <v>3</v>
      </c>
      <c r="F1" s="2" t="s">
        <v>4</v>
      </c>
      <c r="G1" s="2" t="s">
        <v>5</v>
      </c>
      <c r="H1" s="2" t="s">
        <v>6</v>
      </c>
      <c r="I1" s="2" t="s">
        <v>7</v>
      </c>
    </row>
    <row r="2" ht="22.5" customHeight="1">
      <c r="A2" s="9">
        <v>1.0</v>
      </c>
      <c r="B2" s="4" t="s">
        <v>8656</v>
      </c>
      <c r="C2" s="4" t="s">
        <v>4842</v>
      </c>
      <c r="D2" s="4" t="s">
        <v>4960</v>
      </c>
      <c r="F2" s="5" t="str">
        <f>IFERROR(__xludf.DUMMYFUNCTION("GOOGLETRANSLATE(A2, ""en"", ""Hi"")"),"1")</f>
        <v>1</v>
      </c>
      <c r="G2" s="5" t="str">
        <f>IFERROR(__xludf.DUMMYFUNCTION("GOOGLETRANSLATE(B2, ""en"", ""Hi"")"),"कलारीपयट्टु की उत्पत्ति कहाँ से हुई?")</f>
        <v>कलारीपयट्टु की उत्पत्ति कहाँ से हुई?</v>
      </c>
      <c r="H2" s="5" t="str">
        <f>IFERROR(__xludf.DUMMYFUNCTION("GOOGLETRANSLATE(C2, ""en"", ""Hi"")"),"A) तमिलनाडु, B) केरल, C) कर्नाटक, D) आंध्र प्रदेश")</f>
        <v>A) तमिलनाडु, B) केरल, C) कर्नाटक, D) आंध्र प्रदेश</v>
      </c>
      <c r="I2" s="5" t="str">
        <f>IFERROR(__xludf.DUMMYFUNCTION("GOOGLETRANSLATE(D2, ""en"", ""Hi"")"),"बी) केरल")</f>
        <v>बी) केरल</v>
      </c>
    </row>
    <row r="3" ht="22.5" customHeight="1">
      <c r="A3" s="9">
        <v>2.0</v>
      </c>
      <c r="B3" s="4" t="s">
        <v>8657</v>
      </c>
      <c r="C3" s="4" t="s">
        <v>8658</v>
      </c>
      <c r="D3" s="4" t="s">
        <v>8659</v>
      </c>
      <c r="F3" s="5" t="str">
        <f>IFERROR(__xludf.DUMMYFUNCTION("GOOGLETRANSLATE(A3, ""en"", ""Hi"")"),"2")</f>
        <v>2</v>
      </c>
      <c r="G3" s="5" t="str">
        <f>IFERROR(__xludf.DUMMYFUNCTION("GOOGLETRANSLATE(B3, ""en"", ""Hi"")"),"कलारीपयट्टू प्रशिक्षण का प्राथमिक फोकस क्या है?")</f>
        <v>कलारीपयट्टू प्रशिक्षण का प्राथमिक फोकस क्या है?</v>
      </c>
      <c r="H3" s="5" t="str">
        <f>IFERROR(__xludf.DUMMYFUNCTION("GOOGLETRANSLATE(C3, ""en"", ""Hi"")"),"A) शस्त्र विद्या, B) योग, C) ध्यान, D) मार्शल आर्ट तकनीक")</f>
        <v>A) शस्त्र विद्या, B) योग, C) ध्यान, D) मार्शल आर्ट तकनीक</v>
      </c>
      <c r="I3" s="5" t="str">
        <f>IFERROR(__xludf.DUMMYFUNCTION("GOOGLETRANSLATE(D3, ""en"", ""Hi"")"),"D) मार्शल आर्ट तकनीकें")</f>
        <v>D) मार्शल आर्ट तकनीकें</v>
      </c>
    </row>
    <row r="4" ht="22.5" customHeight="1">
      <c r="A4" s="9">
        <v>3.0</v>
      </c>
      <c r="B4" s="4" t="s">
        <v>8660</v>
      </c>
      <c r="C4" s="4" t="s">
        <v>8661</v>
      </c>
      <c r="D4" s="4" t="s">
        <v>8662</v>
      </c>
      <c r="F4" s="5" t="str">
        <f>IFERROR(__xludf.DUMMYFUNCTION("GOOGLETRANSLATE(A4, ""en"", ""Hi"")"),"3")</f>
        <v>3</v>
      </c>
      <c r="G4" s="5" t="str">
        <f>IFERROR(__xludf.DUMMYFUNCTION("GOOGLETRANSLATE(B4, ""en"", ""Hi"")"),"कौन सा प्राचीन ग्रंथ अक्सर कलारीपयट्टू की उत्पत्ति से जुड़ा हुआ है?")</f>
        <v>कौन सा प्राचीन ग्रंथ अक्सर कलारीपयट्टू की उत्पत्ति से जुड़ा हुआ है?</v>
      </c>
      <c r="H4" s="5" t="str">
        <f>IFERROR(__xludf.DUMMYFUNCTION("GOOGLETRANSLATE(C4, ""en"", ""Hi"")"),"ए) महाभारत, बी) रामायण, सी) कामसूत्र, डी) वेद")</f>
        <v>ए) महाभारत, बी) रामायण, सी) कामसूत्र, डी) वेद</v>
      </c>
      <c r="I4" s="5" t="str">
        <f>IFERROR(__xludf.DUMMYFUNCTION("GOOGLETRANSLATE(D4, ""en"", ""Hi"")"),"C) कामसूत्र")</f>
        <v>C) कामसूत्र</v>
      </c>
    </row>
    <row r="5" ht="22.5" customHeight="1">
      <c r="A5" s="9">
        <v>4.0</v>
      </c>
      <c r="B5" s="4" t="s">
        <v>8663</v>
      </c>
      <c r="C5" s="4" t="s">
        <v>8664</v>
      </c>
      <c r="D5" s="4" t="s">
        <v>8665</v>
      </c>
      <c r="F5" s="5" t="str">
        <f>IFERROR(__xludf.DUMMYFUNCTION("GOOGLETRANSLATE(A5, ""en"", ""Hi"")"),"4")</f>
        <v>4</v>
      </c>
      <c r="G5" s="5" t="str">
        <f>IFERROR(__xludf.DUMMYFUNCTION("GOOGLETRANSLATE(B5, ""en"", ""Hi"")"),"कलारीपयट्टू का जनक किसे माना जाता है?")</f>
        <v>कलारीपयट्टू का जनक किसे माना जाता है?</v>
      </c>
      <c r="H5" s="5" t="str">
        <f>IFERROR(__xludf.DUMMYFUNCTION("GOOGLETRANSLATE(C5, ""en"", ""Hi"")"),"ए)परशुराम, बी)चाणक्य,सी)भीम,डी)कृष्ण")</f>
        <v>ए)परशुराम, बी)चाणक्य,सी)भीम,डी)कृष्ण</v>
      </c>
      <c r="I5" s="5" t="str">
        <f>IFERROR(__xludf.DUMMYFUNCTION("GOOGLETRANSLATE(D5, ""en"", ""Hi"")"),"A) परशुराम")</f>
        <v>A) परशुराम</v>
      </c>
    </row>
    <row r="6" ht="22.5" customHeight="1">
      <c r="A6" s="9">
        <v>5.0</v>
      </c>
      <c r="B6" s="4" t="s">
        <v>8666</v>
      </c>
      <c r="C6" s="4" t="s">
        <v>8667</v>
      </c>
      <c r="D6" s="4" t="s">
        <v>8668</v>
      </c>
      <c r="F6" s="5" t="str">
        <f>IFERROR(__xludf.DUMMYFUNCTION("GOOGLETRANSLATE(A6, ""en"", ""Hi"")"),"5")</f>
        <v>5</v>
      </c>
      <c r="G6" s="5" t="str">
        <f>IFERROR(__xludf.DUMMYFUNCTION("GOOGLETRANSLATE(B6, ""en"", ""Hi"")"),"कलारीपयट्टू के संदर्भ में 'कलारी' शब्द का क्या अर्थ है?")</f>
        <v>कलारीपयट्टू के संदर्भ में 'कलारी' शब्द का क्या अर्थ है?</v>
      </c>
      <c r="H6" s="5" t="str">
        <f>IFERROR(__xludf.DUMMYFUNCTION("GOOGLETRANSLATE(C6, ""en"", ""Hi"")"),"A) मंदिर, B) युद्धक्षेत्र, C) प्रशिक्षण मैदान, D) मास्टर")</f>
        <v>A) मंदिर, B) युद्धक्षेत्र, C) प्रशिक्षण मैदान, D) मास्टर</v>
      </c>
      <c r="I6" s="5" t="str">
        <f>IFERROR(__xludf.DUMMYFUNCTION("GOOGLETRANSLATE(D6, ""en"", ""Hi"")"),"सी) प्रशिक्षण मैदान")</f>
        <v>सी) प्रशिक्षण मैदान</v>
      </c>
    </row>
    <row r="7" ht="22.5" customHeight="1">
      <c r="A7" s="9">
        <v>6.0</v>
      </c>
      <c r="B7" s="4" t="s">
        <v>8669</v>
      </c>
      <c r="C7" s="4" t="s">
        <v>8670</v>
      </c>
      <c r="D7" s="4" t="s">
        <v>8671</v>
      </c>
      <c r="F7" s="5" t="str">
        <f>IFERROR(__xludf.DUMMYFUNCTION("GOOGLETRANSLATE(A7, ""en"", ""Hi"")"),"6")</f>
        <v>6</v>
      </c>
      <c r="G7" s="5" t="str">
        <f>IFERROR(__xludf.DUMMYFUNCTION("GOOGLETRANSLATE(B7, ""en"", ""Hi"")"),"निम्नलिखित में से कौन सा हथियार कलारीपयट्टू में इस्तेमाल नहीं किया जाता है?")</f>
        <v>निम्नलिखित में से कौन सा हथियार कलारीपयट्टू में इस्तेमाल नहीं किया जाता है?</v>
      </c>
      <c r="H7" s="5" t="str">
        <f>IFERROR(__xludf.DUMMYFUNCTION("GOOGLETRANSLATE(C7, ""en"", ""Hi"")"),"A) तलवार, B) भाला, C) धनुष, D) ढाल")</f>
        <v>A) तलवार, B) भाला, C) धनुष, D) ढाल</v>
      </c>
      <c r="I7" s="5" t="str">
        <f>IFERROR(__xludf.DUMMYFUNCTION("GOOGLETRANSLATE(D7, ""en"", ""Hi"")"),"सी) धनुष")</f>
        <v>सी) धनुष</v>
      </c>
    </row>
    <row r="8" ht="22.5" customHeight="1">
      <c r="A8" s="9">
        <v>7.0</v>
      </c>
      <c r="B8" s="4" t="s">
        <v>8672</v>
      </c>
      <c r="C8" s="4" t="s">
        <v>8673</v>
      </c>
      <c r="D8" s="4" t="s">
        <v>8674</v>
      </c>
      <c r="F8" s="5" t="str">
        <f>IFERROR(__xludf.DUMMYFUNCTION("GOOGLETRANSLATE(A8, ""en"", ""Hi"")"),"7")</f>
        <v>7</v>
      </c>
      <c r="G8" s="5" t="str">
        <f>IFERROR(__xludf.DUMMYFUNCTION("GOOGLETRANSLATE(B8, ""en"", ""Hi"")"),"कलारीपयट्टू में 'मेईपयट्टू' अभ्यास का मुख्य उद्देश्य क्या है?")</f>
        <v>कलारीपयट्टू में 'मेईपयट्टू' अभ्यास का मुख्य उद्देश्य क्या है?</v>
      </c>
      <c r="H8" s="5" t="str">
        <f>IFERROR(__xludf.DUMMYFUNCTION("GOOGLETRANSLATE(C8, ""en"", ""Hi"")"),"A) ध्यान, B) लचीलापन और शक्ति, C) हथियार प्रशिक्षण, D) आत्मरक्षा")</f>
        <v>A) ध्यान, B) लचीलापन और शक्ति, C) हथियार प्रशिक्षण, D) आत्मरक्षा</v>
      </c>
      <c r="I8" s="5" t="str">
        <f>IFERROR(__xludf.DUMMYFUNCTION("GOOGLETRANSLATE(D8, ""en"", ""Hi"")"),"बी) लचीलापन और ताकत")</f>
        <v>बी) लचीलापन और ताकत</v>
      </c>
    </row>
    <row r="9" ht="22.5" customHeight="1">
      <c r="A9" s="9">
        <v>8.0</v>
      </c>
      <c r="B9" s="4" t="s">
        <v>8675</v>
      </c>
      <c r="C9" s="4" t="s">
        <v>8676</v>
      </c>
      <c r="D9" s="4" t="s">
        <v>8677</v>
      </c>
      <c r="F9" s="5" t="str">
        <f>IFERROR(__xludf.DUMMYFUNCTION("GOOGLETRANSLATE(A9, ""en"", ""Hi"")"),"8")</f>
        <v>8</v>
      </c>
      <c r="G9" s="5" t="str">
        <f>IFERROR(__xludf.DUMMYFUNCTION("GOOGLETRANSLATE(B9, ""en"", ""Hi"")"),"मार्शल आर्ट परंपरा में कलरीपयट्टू की शुरुआत किस महान हस्ती से जुड़ी है?")</f>
        <v>मार्शल आर्ट परंपरा में कलरीपयट्टू की शुरुआत किस महान हस्ती से जुड़ी है?</v>
      </c>
      <c r="H9" s="5" t="str">
        <f>IFERROR(__xludf.DUMMYFUNCTION("GOOGLETRANSLATE(C9, ""en"", ""Hi"")"),"A) विष्णु, B) शिव, C) ब्रह्मा, D) इंद्र")</f>
        <v>A) विष्णु, B) शिव, C) ब्रह्मा, D) इंद्र</v>
      </c>
      <c r="I9" s="5" t="str">
        <f>IFERROR(__xludf.DUMMYFUNCTION("GOOGLETRANSLATE(D9, ""en"", ""Hi"")"),"बी) शिव")</f>
        <v>बी) शिव</v>
      </c>
    </row>
    <row r="10" ht="22.5" customHeight="1">
      <c r="A10" s="9">
        <v>9.0</v>
      </c>
      <c r="B10" s="4" t="s">
        <v>8678</v>
      </c>
      <c r="C10" s="4" t="s">
        <v>8679</v>
      </c>
      <c r="D10" s="4" t="s">
        <v>8680</v>
      </c>
      <c r="F10" s="5" t="str">
        <f>IFERROR(__xludf.DUMMYFUNCTION("GOOGLETRANSLATE(A10, ""en"", ""Hi"")"),"9")</f>
        <v>9</v>
      </c>
      <c r="G10" s="5" t="str">
        <f>IFERROR(__xludf.DUMMYFUNCTION("GOOGLETRANSLATE(B10, ""en"", ""Hi"")"),"कलारीपयट्टू अभ्यास के दौरान पहना जाने वाला पारंपरिक परिधान क्या है?")</f>
        <v>कलारीपयट्टू अभ्यास के दौरान पहना जाने वाला पारंपरिक परिधान क्या है?</v>
      </c>
      <c r="H10" s="5" t="str">
        <f>IFERROR(__xludf.DUMMYFUNCTION("GOOGLETRANSLATE(C10, ""en"", ""Hi"")"),"A) कुर्ता और पायजामा, B) धोती, C) किमोनो, D) टी-शर्ट और शॉर्ट्स")</f>
        <v>A) कुर्ता और पायजामा, B) धोती, C) किमोनो, D) टी-शर्ट और शॉर्ट्स</v>
      </c>
      <c r="I10" s="5" t="str">
        <f>IFERROR(__xludf.DUMMYFUNCTION("GOOGLETRANSLATE(D10, ""en"", ""Hi"")"),"बी) धोती")</f>
        <v>बी) धोती</v>
      </c>
    </row>
    <row r="11" ht="22.5" customHeight="1">
      <c r="A11" s="9">
        <v>10.0</v>
      </c>
      <c r="B11" s="4" t="s">
        <v>8681</v>
      </c>
      <c r="C11" s="4" t="s">
        <v>8682</v>
      </c>
      <c r="D11" s="4" t="s">
        <v>8683</v>
      </c>
      <c r="F11" s="5" t="str">
        <f>IFERROR(__xludf.DUMMYFUNCTION("GOOGLETRANSLATE(A11, ""en"", ""Hi"")"),"10")</f>
        <v>10</v>
      </c>
      <c r="G11" s="5" t="str">
        <f>IFERROR(__xludf.DUMMYFUNCTION("GOOGLETRANSLATE(B11, ""en"", ""Hi"")"),"कौन सी प्राचीन प्रथा को अक्सर शारीरिक और मानसिक लाभ के लिए कलारीपयट्टू के साथ एकीकृत किया जाता है?")</f>
        <v>कौन सी प्राचीन प्रथा को अक्सर शारीरिक और मानसिक लाभ के लिए कलारीपयट्टू के साथ एकीकृत किया जाता है?</v>
      </c>
      <c r="H11" s="5" t="str">
        <f>IFERROR(__xludf.DUMMYFUNCTION("GOOGLETRANSLATE(C11, ""en"", ""Hi"")"),"A) योग, B) पिलेट्स, C) ताई ची, D) ऐकिडो")</f>
        <v>A) योग, B) पिलेट्स, C) ताई ची, D) ऐकिडो</v>
      </c>
      <c r="I11" s="5" t="str">
        <f>IFERROR(__xludf.DUMMYFUNCTION("GOOGLETRANSLATE(D11, ""en"", ""Hi"")"),"ए) योग")</f>
        <v>ए) योग</v>
      </c>
    </row>
    <row r="12" ht="22.5" customHeight="1">
      <c r="A12" s="9">
        <v>11.0</v>
      </c>
      <c r="B12" s="4" t="s">
        <v>8684</v>
      </c>
      <c r="C12" s="4" t="s">
        <v>8685</v>
      </c>
      <c r="D12" s="4" t="s">
        <v>8686</v>
      </c>
      <c r="F12" s="5" t="str">
        <f>IFERROR(__xludf.DUMMYFUNCTION("GOOGLETRANSLATE(A12, ""en"", ""Hi"")"),"11")</f>
        <v>11</v>
      </c>
      <c r="G12" s="5" t="str">
        <f>IFERROR(__xludf.DUMMYFUNCTION("GOOGLETRANSLATE(B12, ""en"", ""Hi"")"),"कलारीपयट्टू के किस पहलू में हाथ से हाथ का मुकाबला करने का प्रशिक्षण शामिल है?")</f>
        <v>कलारीपयट्टू के किस पहलू में हाथ से हाथ का मुकाबला करने का प्रशिक्षण शामिल है?</v>
      </c>
      <c r="H12" s="5" t="str">
        <f>IFERROR(__xludf.DUMMYFUNCTION("GOOGLETRANSLATE(C12, ""en"", ""Hi"")"),"ए) अंगम, बी) आडु, सी) मर्म, डी) कुप्पिथदावु")</f>
        <v>ए) अंगम, बी) आडु, सी) मर्म, डी) कुप्पिथदावु</v>
      </c>
      <c r="I12" s="5" t="str">
        <f>IFERROR(__xludf.DUMMYFUNCTION("GOOGLETRANSLATE(D12, ""en"", ""Hi"")"),"ए) अंगम")</f>
        <v>ए) अंगम</v>
      </c>
    </row>
    <row r="13" ht="22.5" customHeight="1">
      <c r="A13" s="9">
        <v>12.0</v>
      </c>
      <c r="B13" s="4" t="s">
        <v>8687</v>
      </c>
      <c r="C13" s="4" t="s">
        <v>8688</v>
      </c>
      <c r="D13" s="4" t="s">
        <v>644</v>
      </c>
      <c r="F13" s="5" t="str">
        <f>IFERROR(__xludf.DUMMYFUNCTION("GOOGLETRANSLATE(A13, ""en"", ""Hi"")"),"12")</f>
        <v>12</v>
      </c>
      <c r="G13" s="5" t="str">
        <f>IFERROR(__xludf.DUMMYFUNCTION("GOOGLETRANSLATE(B13, ""en"", ""Hi"")"),"कलारीपयट्टू के अभ्यास में निम्नलिखित में से किस प्रकार का आक्रमण शामिल है?")</f>
        <v>कलारीपयट्टू के अभ्यास में निम्नलिखित में से किस प्रकार का आक्रमण शामिल है?</v>
      </c>
      <c r="H13" s="5" t="str">
        <f>IFERROR(__xludf.DUMMYFUNCTION("GOOGLETRANSLATE(C13, ""en"", ""Hi"")"),"A) प्रहार, B) हाथापाई, C) लात मारना, D) उपरोक्त सभी")</f>
        <v>A) प्रहार, B) हाथापाई, C) लात मारना, D) उपरोक्त सभी</v>
      </c>
      <c r="I13" s="5" t="str">
        <f>IFERROR(__xludf.DUMMYFUNCTION("GOOGLETRANSLATE(D13, ""en"", ""Hi"")"),"D। उपरोक्त सभी")</f>
        <v>D। उपरोक्त सभी</v>
      </c>
    </row>
    <row r="14" ht="22.5" customHeight="1">
      <c r="A14" s="9">
        <v>13.0</v>
      </c>
      <c r="B14" s="4" t="s">
        <v>8689</v>
      </c>
      <c r="C14" s="4" t="s">
        <v>8690</v>
      </c>
      <c r="D14" s="4" t="s">
        <v>8691</v>
      </c>
      <c r="F14" s="5" t="str">
        <f>IFERROR(__xludf.DUMMYFUNCTION("GOOGLETRANSLATE(A14, ""en"", ""Hi"")"),"13")</f>
        <v>13</v>
      </c>
      <c r="G14" s="5" t="str">
        <f>IFERROR(__xludf.DUMMYFUNCTION("GOOGLETRANSLATE(B14, ""en"", ""Hi"")"),"कलारीपयट्टू में 'मर्मशास्त्र' का प्राथमिक उद्देश्य क्या है?")</f>
        <v>कलारीपयट्टू में 'मर्मशास्त्र' का प्राथमिक उद्देश्य क्या है?</v>
      </c>
      <c r="H14" s="5" t="str">
        <f>IFERROR(__xludf.DUMMYFUNCTION("GOOGLETRANSLATE(C14, ""en"", ""Hi"")"),"A) उपचार तकनीक, B) हथियार प्रशिक्षण, C) महत्वपूर्ण बिंदु ज्ञान, D) ध्यान")</f>
        <v>A) उपचार तकनीक, B) हथियार प्रशिक्षण, C) महत्वपूर्ण बिंदु ज्ञान, D) ध्यान</v>
      </c>
      <c r="I14" s="5" t="str">
        <f>IFERROR(__xludf.DUMMYFUNCTION("GOOGLETRANSLATE(D14, ""en"", ""Hi"")"),"C) महत्वपूर्ण बिंदु ज्ञान")</f>
        <v>C) महत्वपूर्ण बिंदु ज्ञान</v>
      </c>
    </row>
    <row r="15" ht="22.5" customHeight="1">
      <c r="A15" s="9">
        <v>14.0</v>
      </c>
      <c r="B15" s="4" t="s">
        <v>8692</v>
      </c>
      <c r="C15" s="4" t="s">
        <v>8693</v>
      </c>
      <c r="D15" s="4" t="s">
        <v>8694</v>
      </c>
      <c r="F15" s="5" t="str">
        <f>IFERROR(__xludf.DUMMYFUNCTION("GOOGLETRANSLATE(A15, ""en"", ""Hi"")"),"14")</f>
        <v>14</v>
      </c>
      <c r="G15" s="5" t="str">
        <f>IFERROR(__xludf.DUMMYFUNCTION("GOOGLETRANSLATE(B15, ""en"", ""Hi"")"),"कलारीपयट्टू को दुनिया की सबसे पुरानी मार्शल आर्ट परंपराओं में से एक माना जाता है। सच या झूठ?")</f>
        <v>कलारीपयट्टू को दुनिया की सबसे पुरानी मार्शल आर्ट परंपराओं में से एक माना जाता है। सच या झूठ?</v>
      </c>
      <c r="H15" s="5" t="str">
        <f>IFERROR(__xludf.DUMMYFUNCTION("GOOGLETRANSLATE(C15, ""en"", ""Hi"")"),"A) सत्य, B) असत्य")</f>
        <v>A) सत्य, B) असत्य</v>
      </c>
      <c r="I15" s="5" t="str">
        <f>IFERROR(__xludf.DUMMYFUNCTION("GOOGLETRANSLATE(D15, ""en"", ""Hi"")"),"सच्चा")</f>
        <v>सच्चा</v>
      </c>
    </row>
    <row r="16" ht="22.5" customHeight="1">
      <c r="A16" s="9">
        <v>15.0</v>
      </c>
      <c r="B16" s="4" t="s">
        <v>8695</v>
      </c>
      <c r="C16" s="4" t="s">
        <v>8696</v>
      </c>
      <c r="D16" s="4" t="s">
        <v>8697</v>
      </c>
      <c r="F16" s="5" t="str">
        <f>IFERROR(__xludf.DUMMYFUNCTION("GOOGLETRANSLATE(A16, ""en"", ""Hi"")"),"15")</f>
        <v>15</v>
      </c>
      <c r="G16" s="5" t="str">
        <f>IFERROR(__xludf.DUMMYFUNCTION("GOOGLETRANSLATE(B16, ""en"", ""Hi"")"),"कलारीपयट्टू में किस प्रथा में पारंपरिक लकड़ी की छड़ियों का उपयोग शामिल है?")</f>
        <v>कलारीपयट्टू में किस प्रथा में पारंपरिक लकड़ी की छड़ियों का उपयोग शामिल है?</v>
      </c>
      <c r="H16" s="5" t="str">
        <f>IFERROR(__xludf.DUMMYFUNCTION("GOOGLETRANSLATE(C16, ""en"", ""Hi"")"),"ए) कुट्टू वरिसाई, बी) वेरुमकाई, सी) अदावु, डी) काथी")</f>
        <v>ए) कुट्टू वरिसाई, बी) वेरुमकाई, सी) अदावु, डी) काथी</v>
      </c>
      <c r="I16" s="5" t="str">
        <f>IFERROR(__xludf.DUMMYFUNCTION("GOOGLETRANSLATE(D16, ""en"", ""Hi"")"),"बी) वेरुमकाई")</f>
        <v>बी) वेरुमकाई</v>
      </c>
    </row>
    <row r="17" ht="22.5" customHeight="1">
      <c r="A17" s="9">
        <v>16.0</v>
      </c>
      <c r="B17" s="4" t="s">
        <v>8698</v>
      </c>
      <c r="C17" s="4" t="s">
        <v>8699</v>
      </c>
      <c r="D17" s="4" t="s">
        <v>8700</v>
      </c>
      <c r="F17" s="5" t="str">
        <f>IFERROR(__xludf.DUMMYFUNCTION("GOOGLETRANSLATE(A17, ""en"", ""Hi"")"),"16")</f>
        <v>16</v>
      </c>
      <c r="G17" s="5" t="str">
        <f>IFERROR(__xludf.DUMMYFUNCTION("GOOGLETRANSLATE(B17, ""en"", ""Hi"")"),"'नादान' एक पारंपरिक नृत्य शैली है जिसका उपयोग कलारीपयट्टु में किस उद्देश्य के लिए किया जाता है?")</f>
        <v>'नादान' एक पारंपरिक नृत्य शैली है जिसका उपयोग कलारीपयट्टु में किस उद्देश्य के लिए किया जाता है?</v>
      </c>
      <c r="H17" s="5" t="str">
        <f>IFERROR(__xludf.DUMMYFUNCTION("GOOGLETRANSLATE(C17, ""en"", ""Hi"")"),"A) ध्यान, B) युद्ध नृत्य, C) शस्त्र अभ्यास, D) वार्म-अप व्यायाम")</f>
        <v>A) ध्यान, B) युद्ध नृत्य, C) शस्त्र अभ्यास, D) वार्म-अप व्यायाम</v>
      </c>
      <c r="I17" s="5" t="str">
        <f>IFERROR(__xludf.DUMMYFUNCTION("GOOGLETRANSLATE(D17, ""en"", ""Hi"")"),"बी) युद्ध नृत्य")</f>
        <v>बी) युद्ध नृत्य</v>
      </c>
    </row>
    <row r="18" ht="22.5" customHeight="1">
      <c r="A18" s="9">
        <v>17.0</v>
      </c>
      <c r="B18" s="4" t="s">
        <v>8701</v>
      </c>
      <c r="C18" s="4" t="s">
        <v>8702</v>
      </c>
      <c r="D18" s="4" t="s">
        <v>8703</v>
      </c>
      <c r="F18" s="5" t="str">
        <f>IFERROR(__xludf.DUMMYFUNCTION("GOOGLETRANSLATE(A18, ""en"", ""Hi"")"),"17")</f>
        <v>17</v>
      </c>
      <c r="G18" s="5" t="str">
        <f>IFERROR(__xludf.DUMMYFUNCTION("GOOGLETRANSLATE(B18, ""en"", ""Hi"")"),"कलारीपयट्टू का कौन सा प्रकार तलवार और ढाल के प्रशिक्षण पर केंद्रित है?")</f>
        <v>कलारीपयट्टू का कौन सा प्रकार तलवार और ढाल के प्रशिक्षण पर केंद्रित है?</v>
      </c>
      <c r="H18" s="5" t="str">
        <f>IFERROR(__xludf.DUMMYFUNCTION("GOOGLETRANSLATE(C18, ""en"", ""Hi"")"),"ए) कुट्टू वरिसाई, बी) सिलंबम, सी) वेरुमकाई, डी) पयट्टू")</f>
        <v>ए) कुट्टू वरिसाई, बी) सिलंबम, सी) वेरुमकाई, डी) पयट्टू</v>
      </c>
      <c r="I18" s="5" t="str">
        <f>IFERROR(__xludf.DUMMYFUNCTION("GOOGLETRANSLATE(D18, ""en"", ""Hi"")"),"D) पयट्टू")</f>
        <v>D) पयट्टू</v>
      </c>
    </row>
    <row r="19" ht="22.5" customHeight="1">
      <c r="A19" s="9">
        <v>18.0</v>
      </c>
      <c r="B19" s="4" t="s">
        <v>8704</v>
      </c>
      <c r="C19" s="4" t="s">
        <v>8705</v>
      </c>
      <c r="D19" s="4" t="s">
        <v>8706</v>
      </c>
      <c r="F19" s="5" t="str">
        <f>IFERROR(__xludf.DUMMYFUNCTION("GOOGLETRANSLATE(A19, ""en"", ""Hi"")"),"18")</f>
        <v>18</v>
      </c>
      <c r="G19" s="5" t="str">
        <f>IFERROR(__xludf.DUMMYFUNCTION("GOOGLETRANSLATE(B19, ""en"", ""Hi"")"),"कलारीपयट्टू में चोटों को ठीक करने और शारीरिक लचीलापन बढ़ाने के लिए किस तकनीक का उपयोग किया जाता है?")</f>
        <v>कलारीपयट्टू में चोटों को ठीक करने और शारीरिक लचीलापन बढ़ाने के लिए किस तकनीक का उपयोग किया जाता है?</v>
      </c>
      <c r="H19" s="5" t="str">
        <f>IFERROR(__xludf.DUMMYFUNCTION("GOOGLETRANSLATE(C19, ""en"", ""Hi"")"),"A) मर्म चिकित्सा, B) हर्बल चिकित्सा, C) एक्यूपंक्चर, D) ध्यान")</f>
        <v>A) मर्म चिकित्सा, B) हर्बल चिकित्सा, C) एक्यूपंक्चर, D) ध्यान</v>
      </c>
      <c r="I19" s="5" t="str">
        <f>IFERROR(__xludf.DUMMYFUNCTION("GOOGLETRANSLATE(D19, ""en"", ""Hi"")"),"A) मर्म चिकित्सा")</f>
        <v>A) मर्म चिकित्सा</v>
      </c>
    </row>
    <row r="20" ht="22.5" customHeight="1">
      <c r="A20" s="9">
        <v>19.0</v>
      </c>
      <c r="B20" s="4" t="s">
        <v>8707</v>
      </c>
      <c r="C20" s="4" t="s">
        <v>8708</v>
      </c>
      <c r="D20" s="4" t="s">
        <v>8709</v>
      </c>
      <c r="F20" s="5" t="str">
        <f>IFERROR(__xludf.DUMMYFUNCTION("GOOGLETRANSLATE(A20, ""en"", ""Hi"")"),"19")</f>
        <v>19</v>
      </c>
      <c r="G20" s="5" t="str">
        <f>IFERROR(__xludf.DUMMYFUNCTION("GOOGLETRANSLATE(B20, ""en"", ""Hi"")"),"कलारीपयट्टु में 'उझिचिल' अभ्यास में क्या शामिल है?")</f>
        <v>कलारीपयट्टु में 'उझिचिल' अभ्यास में क्या शामिल है?</v>
      </c>
      <c r="H20" s="5" t="str">
        <f>IFERROR(__xludf.DUMMYFUNCTION("GOOGLETRANSLATE(C20, ""en"", ""Hi"")"),"A) हथियार प्रशिक्षण, B) शारीरिक कंडीशनिंग, C) हीलिंग मसाज, D) नृत्य")</f>
        <v>A) हथियार प्रशिक्षण, B) शारीरिक कंडीशनिंग, C) हीलिंग मसाज, D) नृत्य</v>
      </c>
      <c r="I20" s="5" t="str">
        <f>IFERROR(__xludf.DUMMYFUNCTION("GOOGLETRANSLATE(D20, ""en"", ""Hi"")"),"सी) हीलिंग मसाज")</f>
        <v>सी) हीलिंग मसाज</v>
      </c>
    </row>
    <row r="21" ht="22.5" customHeight="1">
      <c r="A21" s="9">
        <v>20.0</v>
      </c>
      <c r="B21" s="4" t="s">
        <v>8710</v>
      </c>
      <c r="C21" s="4" t="s">
        <v>8711</v>
      </c>
      <c r="D21" s="4" t="s">
        <v>2989</v>
      </c>
      <c r="F21" s="5" t="str">
        <f>IFERROR(__xludf.DUMMYFUNCTION("GOOGLETRANSLATE(A21, ""en"", ""Hi"")"),"20")</f>
        <v>20</v>
      </c>
      <c r="G21" s="5" t="str">
        <f>IFERROR(__xludf.DUMMYFUNCTION("GOOGLETRANSLATE(B21, ""en"", ""Hi"")"),"निम्नलिखित में से कौन सा कलारीपयट्टू का प्रमुख सिद्धांत है?")</f>
        <v>निम्नलिखित में से कौन सा कलारीपयट्टू का प्रमुख सिद्धांत है?</v>
      </c>
      <c r="H21" s="5" t="str">
        <f>IFERROR(__xludf.DUMMYFUNCTION("GOOGLETRANSLATE(C21, ""en"", ""Hi"")"),"A) गति, B) शक्ति, C) लचीलापन, D) परिशुद्धता")</f>
        <v>A) गति, B) शक्ति, C) लचीलापन, D) परिशुद्धता</v>
      </c>
      <c r="I21" s="5" t="str">
        <f>IFERROR(__xludf.DUMMYFUNCTION("GOOGLETRANSLATE(D21, ""en"", ""Hi"")"),"डी) परिशुद्धता")</f>
        <v>डी) परिशुद्धता</v>
      </c>
    </row>
    <row r="22" ht="22.5" customHeight="1">
      <c r="A22" s="9">
        <v>21.0</v>
      </c>
      <c r="B22" s="4" t="s">
        <v>8712</v>
      </c>
      <c r="C22" s="4" t="s">
        <v>8713</v>
      </c>
      <c r="D22" s="4" t="s">
        <v>8714</v>
      </c>
      <c r="F22" s="5" t="str">
        <f>IFERROR(__xludf.DUMMYFUNCTION("GOOGLETRANSLATE(A22, ""en"", ""Hi"")"),"21")</f>
        <v>21</v>
      </c>
      <c r="G22" s="5" t="str">
        <f>IFERROR(__xludf.DUMMYFUNCTION("GOOGLETRANSLATE(B22, ""en"", ""Hi"")"),"कलारीपयट्टू अक्सर एक विशेष रूप से डिज़ाइन किए गए प्रशिक्षण क्षेत्र में किया जाता है जिसे क्या कहा जाता है?")</f>
        <v>कलारीपयट्टू अक्सर एक विशेष रूप से डिज़ाइन किए गए प्रशिक्षण क्षेत्र में किया जाता है जिसे क्या कहा जाता है?</v>
      </c>
      <c r="H22" s="5" t="str">
        <f>IFERROR(__xludf.DUMMYFUNCTION("GOOGLETRANSLATE(C22, ""en"", ""Hi"")"),"ए) मंदिर, बी) कलारी, सी) आश्रम, डी) अखाड़ा")</f>
        <v>ए) मंदिर, बी) कलारी, सी) आश्रम, डी) अखाड़ा</v>
      </c>
      <c r="I22" s="5" t="str">
        <f>IFERROR(__xludf.DUMMYFUNCTION("GOOGLETRANSLATE(D22, ""en"", ""Hi"")"),"बी) कलारी")</f>
        <v>बी) कलारी</v>
      </c>
    </row>
    <row r="23" ht="22.5" customHeight="1">
      <c r="A23" s="9">
        <v>22.0</v>
      </c>
      <c r="B23" s="4" t="s">
        <v>8715</v>
      </c>
      <c r="C23" s="4" t="s">
        <v>8716</v>
      </c>
      <c r="D23" s="4" t="s">
        <v>8717</v>
      </c>
      <c r="F23" s="5" t="str">
        <f>IFERROR(__xludf.DUMMYFUNCTION("GOOGLETRANSLATE(A23, ""en"", ""Hi"")"),"22")</f>
        <v>22</v>
      </c>
      <c r="G23" s="5" t="str">
        <f>IFERROR(__xludf.DUMMYFUNCTION("GOOGLETRANSLATE(B23, ""en"", ""Hi"")"),"निम्नलिखित में से कौन सा कलारीपयट्टू का अभ्यास नहीं है?")</f>
        <v>निम्नलिखित में से कौन सा कलारीपयट्टू का अभ्यास नहीं है?</v>
      </c>
      <c r="H23" s="5" t="str">
        <f>IFERROR(__xludf.DUMMYFUNCTION("GOOGLETRANSLATE(C23, ""en"", ""Hi"")"),"ए) एडवस, बी) चुट्टू, सी) कट्टू, डी) अंगम")</f>
        <v>ए) एडवस, बी) चुट्टू, सी) कट्टू, डी) अंगम</v>
      </c>
      <c r="I23" s="5" t="str">
        <f>IFERROR(__xludf.DUMMYFUNCTION("GOOGLETRANSLATE(D23, ""en"", ""Hi"")"),"C) कट्टू")</f>
        <v>C) कट्टू</v>
      </c>
    </row>
    <row r="24" ht="22.5" customHeight="1">
      <c r="A24" s="9">
        <v>23.0</v>
      </c>
      <c r="B24" s="4" t="s">
        <v>8718</v>
      </c>
      <c r="C24" s="4" t="s">
        <v>8719</v>
      </c>
      <c r="D24" s="4" t="s">
        <v>8720</v>
      </c>
      <c r="F24" s="5" t="str">
        <f>IFERROR(__xludf.DUMMYFUNCTION("GOOGLETRANSLATE(A24, ""en"", ""Hi"")"),"23")</f>
        <v>23</v>
      </c>
      <c r="G24" s="5" t="str">
        <f>IFERROR(__xludf.DUMMYFUNCTION("GOOGLETRANSLATE(B24, ""en"", ""Hi"")"),"कलारीपयट्टू में 'गुरु' की क्या भूमिका है?")</f>
        <v>कलारीपयट्टू में 'गुरु' की क्या भूमिका है?</v>
      </c>
      <c r="H24" s="5" t="str">
        <f>IFERROR(__xludf.DUMMYFUNCTION("GOOGLETRANSLATE(C24, ""en"", ""Hi"")"),"A) छात्र, B) प्रशिक्षक, C) चिकित्सक, D) योद्धा")</f>
        <v>A) छात्र, B) प्रशिक्षक, C) चिकित्सक, D) योद्धा</v>
      </c>
      <c r="I24" s="5" t="str">
        <f>IFERROR(__xludf.DUMMYFUNCTION("GOOGLETRANSLATE(D24, ""en"", ""Hi"")"),"बी) प्रशिक्षक")</f>
        <v>बी) प्रशिक्षक</v>
      </c>
    </row>
    <row r="25" ht="22.5" customHeight="1">
      <c r="A25" s="9">
        <v>24.0</v>
      </c>
      <c r="B25" s="4" t="s">
        <v>8721</v>
      </c>
      <c r="C25" s="4" t="s">
        <v>8722</v>
      </c>
      <c r="D25" s="4" t="s">
        <v>8723</v>
      </c>
      <c r="F25" s="5" t="str">
        <f>IFERROR(__xludf.DUMMYFUNCTION("GOOGLETRANSLATE(A25, ""en"", ""Hi"")"),"24")</f>
        <v>24</v>
      </c>
      <c r="G25" s="5" t="str">
        <f>IFERROR(__xludf.DUMMYFUNCTION("GOOGLETRANSLATE(B25, ""en"", ""Hi"")"),"किस ऐतिहासिक काल में मार्शल आर्ट के रूप में कलारीपयट्टु का विकास हुआ?")</f>
        <v>किस ऐतिहासिक काल में मार्शल आर्ट के रूप में कलारीपयट्टु का विकास हुआ?</v>
      </c>
      <c r="H25" s="5" t="str">
        <f>IFERROR(__xludf.DUMMYFUNCTION("GOOGLETRANSLATE(C25, ""en"", ""Hi"")"),"A) मौर्य साम्राज्य, B) गुप्त साम्राज्य, C) चेर वंश, D) मुगल साम्राज्य")</f>
        <v>A) मौर्य साम्राज्य, B) गुप्त साम्राज्य, C) चेर वंश, D) मुगल साम्राज्य</v>
      </c>
      <c r="I25" s="5" t="str">
        <f>IFERROR(__xludf.DUMMYFUNCTION("GOOGLETRANSLATE(D25, ""en"", ""Hi"")"),"C) चेर राजवंश")</f>
        <v>C) चेर राजवंश</v>
      </c>
    </row>
    <row r="26" ht="22.5" customHeight="1">
      <c r="A26" s="9">
        <v>25.0</v>
      </c>
      <c r="B26" s="4" t="s">
        <v>8724</v>
      </c>
      <c r="C26" s="4" t="s">
        <v>8725</v>
      </c>
      <c r="D26" s="4" t="s">
        <v>8726</v>
      </c>
      <c r="F26" s="5" t="str">
        <f>IFERROR(__xludf.DUMMYFUNCTION("GOOGLETRANSLATE(A26, ""en"", ""Hi"")"),"25")</f>
        <v>25</v>
      </c>
      <c r="G26" s="5" t="str">
        <f>IFERROR(__xludf.DUMMYFUNCTION("GOOGLETRANSLATE(B26, ""en"", ""Hi"")"),"कलारीपयट्टू में 'अदावु' प्रशिक्षण का मुख्य फोकस क्या है?")</f>
        <v>कलारीपयट्टू में 'अदावु' प्रशिक्षण का मुख्य फोकस क्या है?</v>
      </c>
      <c r="H26" s="5" t="str">
        <f>IFERROR(__xludf.DUMMYFUNCTION("GOOGLETRANSLATE(C26, ""en"", ""Hi"")"),"A) हथियार तकनीक, B) हाथ से हाथ का मुकाबला, C) फुटवर्क और पैटर्न, D) ध्यान")</f>
        <v>A) हथियार तकनीक, B) हाथ से हाथ का मुकाबला, C) फुटवर्क और पैटर्न, D) ध्यान</v>
      </c>
      <c r="I26" s="5" t="str">
        <f>IFERROR(__xludf.DUMMYFUNCTION("GOOGLETRANSLATE(D26, ""en"", ""Hi"")"),"सी) फुटवर्क और पैटर्न")</f>
        <v>सी) फुटवर्क और पैटर्न</v>
      </c>
    </row>
    <row r="27" ht="22.5" customHeight="1">
      <c r="A27" s="9">
        <v>26.0</v>
      </c>
      <c r="B27" s="4" t="s">
        <v>8727</v>
      </c>
      <c r="C27" s="4" t="s">
        <v>8728</v>
      </c>
      <c r="D27" s="4" t="s">
        <v>2864</v>
      </c>
      <c r="F27" s="5" t="str">
        <f>IFERROR(__xludf.DUMMYFUNCTION("GOOGLETRANSLATE(A27, ""en"", ""Hi"")"),"26")</f>
        <v>26</v>
      </c>
      <c r="G27" s="5" t="str">
        <f>IFERROR(__xludf.DUMMYFUNCTION("GOOGLETRANSLATE(B27, ""en"", ""Hi"")"),"निम्नलिखित में से कौन सा पारंपरिक कलारीपयट्टू हथियार है जिसका उपयोग प्रहार के लिए किया जाता है?")</f>
        <v>निम्नलिखित में से कौन सा पारंपरिक कलारीपयट्टू हथियार है जिसका उपयोग प्रहार के लिए किया जाता है?</v>
      </c>
      <c r="H27" s="5" t="str">
        <f>IFERROR(__xludf.DUMMYFUNCTION("GOOGLETRANSLATE(C27, ""en"", ""Hi"")"),"A) गदा, B) धनुष, C) खंजर, D) भाला")</f>
        <v>A) गदा, B) धनुष, C) खंजर, D) भाला</v>
      </c>
      <c r="I27" s="5" t="str">
        <f>IFERROR(__xludf.DUMMYFUNCTION("GOOGLETRANSLATE(D27, ""en"", ""Hi"")"),"ए) गदा")</f>
        <v>ए) गदा</v>
      </c>
    </row>
    <row r="28" ht="22.5" customHeight="1">
      <c r="A28" s="9">
        <v>27.0</v>
      </c>
      <c r="B28" s="4" t="s">
        <v>8729</v>
      </c>
      <c r="C28" s="4" t="s">
        <v>8730</v>
      </c>
      <c r="D28" s="4" t="s">
        <v>8731</v>
      </c>
      <c r="F28" s="5" t="str">
        <f>IFERROR(__xludf.DUMMYFUNCTION("GOOGLETRANSLATE(A28, ""en"", ""Hi"")"),"27")</f>
        <v>27</v>
      </c>
      <c r="G28" s="5" t="str">
        <f>IFERROR(__xludf.DUMMYFUNCTION("GOOGLETRANSLATE(B28, ""en"", ""Hi"")"),"कलारीपयट्टू में 'वियाल' शब्द का क्या अर्थ है?")</f>
        <v>कलारीपयट्टू में 'वियाल' शब्द का क्या अर्थ है?</v>
      </c>
      <c r="H28" s="5" t="str">
        <f>IFERROR(__xludf.DUMMYFUNCTION("GOOGLETRANSLATE(C28, ""en"", ""Hi"")"),"A) युद्ध क्रम, B) उपचार अभ्यास, C) प्रशिक्षण मैदान, D) हथियार")</f>
        <v>A) युद्ध क्रम, B) उपचार अभ्यास, C) प्रशिक्षण मैदान, D) हथियार</v>
      </c>
      <c r="I28" s="5" t="str">
        <f>IFERROR(__xludf.DUMMYFUNCTION("GOOGLETRANSLATE(D28, ""en"", ""Hi"")"),"ए) युद्ध अनुक्रम")</f>
        <v>ए) युद्ध अनुक्रम</v>
      </c>
    </row>
    <row r="29" ht="22.5" customHeight="1">
      <c r="A29" s="9">
        <v>28.0</v>
      </c>
      <c r="B29" s="4" t="s">
        <v>8732</v>
      </c>
      <c r="C29" s="4" t="s">
        <v>8733</v>
      </c>
      <c r="D29" s="4" t="s">
        <v>8734</v>
      </c>
      <c r="F29" s="5" t="str">
        <f>IFERROR(__xludf.DUMMYFUNCTION("GOOGLETRANSLATE(A29, ""en"", ""Hi"")"),"28")</f>
        <v>28</v>
      </c>
      <c r="G29" s="5" t="str">
        <f>IFERROR(__xludf.DUMMYFUNCTION("GOOGLETRANSLATE(B29, ""en"", ""Hi"")"),"कलारीपयट्टू में कौन सी तकनीक युद्ध के लिए शरीर की ऊर्जा चैनलों का उपयोग करने पर जोर देती है?")</f>
        <v>कलारीपयट्टू में कौन सी तकनीक युद्ध के लिए शरीर की ऊर्जा चैनलों का उपयोग करने पर जोर देती है?</v>
      </c>
      <c r="H29" s="5" t="str">
        <f>IFERROR(__xludf.DUMMYFUNCTION("GOOGLETRANSLATE(C29, ""en"", ""Hi"")"),"ए) मर्मशास्त्र, बी) एडवस, सी) उझिचिल, डी) अंगम")</f>
        <v>ए) मर्मशास्त्र, बी) एडवस, सी) उझिचिल, डी) अंगम</v>
      </c>
      <c r="I29" s="5" t="str">
        <f>IFERROR(__xludf.DUMMYFUNCTION("GOOGLETRANSLATE(D29, ""en"", ""Hi"")"),"A) मर्मशास्त्र")</f>
        <v>A) मर्मशास्त्र</v>
      </c>
    </row>
    <row r="30" ht="22.5" customHeight="1">
      <c r="A30" s="9">
        <v>29.0</v>
      </c>
      <c r="B30" s="4" t="s">
        <v>8735</v>
      </c>
      <c r="C30" s="4" t="s">
        <v>8736</v>
      </c>
      <c r="D30" s="4" t="s">
        <v>8737</v>
      </c>
      <c r="F30" s="5" t="str">
        <f>IFERROR(__xludf.DUMMYFUNCTION("GOOGLETRANSLATE(A30, ""en"", ""Hi"")"),"29")</f>
        <v>29</v>
      </c>
      <c r="G30" s="5" t="str">
        <f>IFERROR(__xludf.DUMMYFUNCTION("GOOGLETRANSLATE(B30, ""en"", ""Hi"")"),"कलारीपयट्टू में 'सुत्तु' किस प्रकार की गतिविधि को संदर्भित करता है?")</f>
        <v>कलारीपयट्टू में 'सुत्तु' किस प्रकार की गतिविधि को संदर्भित करता है?</v>
      </c>
      <c r="H30" s="5" t="str">
        <f>IFERROR(__xludf.DUMMYFUNCTION("GOOGLETRANSLATE(C30, ""en"", ""Hi"")"),"A) दौड़ना, B) कूदना, C) मुड़ना, D) लुढ़कना")</f>
        <v>A) दौड़ना, B) कूदना, C) मुड़ना, D) लुढ़कना</v>
      </c>
      <c r="I30" s="5" t="str">
        <f>IFERROR(__xludf.DUMMYFUNCTION("GOOGLETRANSLATE(D30, ""en"", ""Hi"")"),"बी) कूदना")</f>
        <v>बी) कूदना</v>
      </c>
    </row>
    <row r="31" ht="22.5" customHeight="1">
      <c r="A31" s="9">
        <v>30.0</v>
      </c>
      <c r="B31" s="4" t="s">
        <v>8738</v>
      </c>
      <c r="C31" s="4" t="s">
        <v>8739</v>
      </c>
      <c r="D31" s="4" t="s">
        <v>8740</v>
      </c>
      <c r="F31" s="5" t="str">
        <f>IFERROR(__xludf.DUMMYFUNCTION("GOOGLETRANSLATE(A31, ""en"", ""Hi"")"),"30")</f>
        <v>30</v>
      </c>
      <c r="G31" s="5" t="str">
        <f>IFERROR(__xludf.DUMMYFUNCTION("GOOGLETRANSLATE(B31, ""en"", ""Hi"")"),"ऐसा कहा जाता है कि किस मार्शल आर्ट ने कलारीपयट्टू के विकास को प्रभावित किया?")</f>
        <v>ऐसा कहा जाता है कि किस मार्शल आर्ट ने कलारीपयट्टू के विकास को प्रभावित किया?</v>
      </c>
      <c r="H31" s="5" t="str">
        <f>IFERROR(__xludf.DUMMYFUNCTION("GOOGLETRANSLATE(C31, ""en"", ""Hi"")"),"ए) जुजित्सु, बी) तायक्वोंडो, सी) कुंग फू, डी) जूडो")</f>
        <v>ए) जुजित्सु, बी) तायक्वोंडो, सी) कुंग फू, डी) जूडो</v>
      </c>
      <c r="I31" s="5" t="str">
        <f>IFERROR(__xludf.DUMMYFUNCTION("GOOGLETRANSLATE(D31, ""en"", ""Hi"")"),"सी) कुंग फू")</f>
        <v>सी) कुंग फू</v>
      </c>
    </row>
    <row r="32" ht="22.5" customHeight="1">
      <c r="A32" s="9">
        <v>31.0</v>
      </c>
      <c r="B32" s="4" t="s">
        <v>8741</v>
      </c>
      <c r="C32" s="4" t="s">
        <v>8742</v>
      </c>
      <c r="D32" s="4" t="s">
        <v>8743</v>
      </c>
      <c r="F32" s="5" t="str">
        <f>IFERROR(__xludf.DUMMYFUNCTION("GOOGLETRANSLATE(A32, ""en"", ""Hi"")"),"31")</f>
        <v>31</v>
      </c>
      <c r="G32" s="5" t="str">
        <f>IFERROR(__xludf.DUMMYFUNCTION("GOOGLETRANSLATE(B32, ""en"", ""Hi"")"),"कलारीपयट्टू अभ्यास शुरू करने से पहले कौन सी पारंपरिक रस्म निभाई जाती है?")</f>
        <v>कलारीपयट्टू अभ्यास शुरू करने से पहले कौन सी पारंपरिक रस्म निभाई जाती है?</v>
      </c>
      <c r="H32" s="5" t="str">
        <f>IFERROR(__xludf.DUMMYFUNCTION("GOOGLETRANSLATE(C32, ""en"", ""Hi"")"),"A) पूजा, B) जप, C) ध्यान, D) श्वास व्यायाम")</f>
        <v>A) पूजा, B) जप, C) ध्यान, D) श्वास व्यायाम</v>
      </c>
      <c r="I32" s="5" t="str">
        <f>IFERROR(__xludf.DUMMYFUNCTION("GOOGLETRANSLATE(D32, ""en"", ""Hi"")"),"ए) पूजा")</f>
        <v>ए) पूजा</v>
      </c>
    </row>
    <row r="33" ht="22.5" customHeight="1">
      <c r="A33" s="9">
        <v>32.0</v>
      </c>
      <c r="B33" s="4" t="s">
        <v>8744</v>
      </c>
      <c r="C33" s="4" t="s">
        <v>8745</v>
      </c>
      <c r="D33" s="4" t="s">
        <v>8746</v>
      </c>
      <c r="F33" s="5" t="str">
        <f>IFERROR(__xludf.DUMMYFUNCTION("GOOGLETRANSLATE(A33, ""en"", ""Hi"")"),"32")</f>
        <v>32</v>
      </c>
      <c r="G33" s="5" t="str">
        <f>IFERROR(__xludf.DUMMYFUNCTION("GOOGLETRANSLATE(B33, ""en"", ""Hi"")"),"कलारीपयट्टू के 'आडू' अभ्यास में किस प्रकार के आक्रमण पर जोर दिया जाता है?")</f>
        <v>कलारीपयट्टू के 'आडू' अभ्यास में किस प्रकार के आक्रमण पर जोर दिया जाता है?</v>
      </c>
      <c r="H33" s="5" t="str">
        <f>IFERROR(__xludf.DUMMYFUNCTION("GOOGLETRANSLATE(C33, ""en"", ""Hi"")"),"A) प्रहार, B) लात मारना, C) हाथापाई, D) फेंकना")</f>
        <v>A) प्रहार, B) लात मारना, C) हाथापाई, D) फेंकना</v>
      </c>
      <c r="I33" s="5" t="str">
        <f>IFERROR(__xludf.DUMMYFUNCTION("GOOGLETRANSLATE(D33, ""en"", ""Hi"")"),"बी) लात मारना")</f>
        <v>बी) लात मारना</v>
      </c>
    </row>
    <row r="34" ht="22.5" customHeight="1">
      <c r="A34" s="9">
        <v>33.0</v>
      </c>
      <c r="B34" s="4" t="s">
        <v>8747</v>
      </c>
      <c r="C34" s="4" t="s">
        <v>8748</v>
      </c>
      <c r="D34" s="4" t="s">
        <v>8749</v>
      </c>
      <c r="F34" s="5" t="str">
        <f>IFERROR(__xludf.DUMMYFUNCTION("GOOGLETRANSLATE(A34, ""en"", ""Hi"")"),"33")</f>
        <v>33</v>
      </c>
      <c r="G34" s="5" t="str">
        <f>IFERROR(__xludf.DUMMYFUNCTION("GOOGLETRANSLATE(B34, ""en"", ""Hi"")"),"कलारीपयट्टू में 'वेट्टम' शब्द का क्या अर्थ है?")</f>
        <v>कलारीपयट्टू में 'वेट्टम' शब्द का क्या अर्थ है?</v>
      </c>
      <c r="H34" s="5" t="str">
        <f>IFERROR(__xludf.DUMMYFUNCTION("GOOGLETRANSLATE(C34, ""en"", ""Hi"")"),"A) आक्रमण, B) रक्षा, C) प्रशिक्षण, D) उपचार")</f>
        <v>A) आक्रमण, B) रक्षा, C) प्रशिक्षण, D) उपचार</v>
      </c>
      <c r="I34" s="5" t="str">
        <f>IFERROR(__xludf.DUMMYFUNCTION("GOOGLETRANSLATE(D34, ""en"", ""Hi"")"),"ए) हमला")</f>
        <v>ए) हमला</v>
      </c>
    </row>
    <row r="35" ht="22.5" customHeight="1">
      <c r="A35" s="9">
        <v>34.0</v>
      </c>
      <c r="B35" s="4" t="s">
        <v>8750</v>
      </c>
      <c r="C35" s="4" t="s">
        <v>8751</v>
      </c>
      <c r="D35" s="4" t="s">
        <v>8752</v>
      </c>
      <c r="F35" s="5" t="str">
        <f>IFERROR(__xludf.DUMMYFUNCTION("GOOGLETRANSLATE(A35, ""en"", ""Hi"")"),"34")</f>
        <v>34</v>
      </c>
      <c r="G35" s="5" t="str">
        <f>IFERROR(__xludf.DUMMYFUNCTION("GOOGLETRANSLATE(B35, ""en"", ""Hi"")"),"कलारीपयट्टू के अंतर्गत 'सिलम्बम' के अभ्यास में पारंपरिक रूप से किस हथियार का उपयोग किया जाता है?")</f>
        <v>कलारीपयट्टू के अंतर्गत 'सिलम्बम' के अभ्यास में पारंपरिक रूप से किस हथियार का उपयोग किया जाता है?</v>
      </c>
      <c r="H35" s="5" t="str">
        <f>IFERROR(__xludf.DUMMYFUNCTION("GOOGLETRANSLATE(C35, ""en"", ""Hi"")"),"A) तलवार, B) लाठी, C) खंजर, D) भाला")</f>
        <v>A) तलवार, B) लाठी, C) खंजर, D) भाला</v>
      </c>
      <c r="I35" s="5" t="str">
        <f>IFERROR(__xludf.DUMMYFUNCTION("GOOGLETRANSLATE(D35, ""en"", ""Hi"")"),"बी) कर्मचारी")</f>
        <v>बी) कर्मचारी</v>
      </c>
    </row>
    <row r="36" ht="22.5" customHeight="1">
      <c r="A36" s="9">
        <v>35.0</v>
      </c>
      <c r="B36" s="4" t="s">
        <v>8753</v>
      </c>
      <c r="C36" s="4" t="s">
        <v>8754</v>
      </c>
      <c r="D36" s="4" t="s">
        <v>8755</v>
      </c>
      <c r="F36" s="5" t="str">
        <f>IFERROR(__xludf.DUMMYFUNCTION("GOOGLETRANSLATE(A36, ""en"", ""Hi"")"),"35")</f>
        <v>35</v>
      </c>
      <c r="G36" s="5" t="str">
        <f>IFERROR(__xludf.DUMMYFUNCTION("GOOGLETRANSLATE(B36, ""en"", ""Hi"")"),"'वज्र' कलारीपयट्टू में इस्तेमाल होने वाला एक प्रकार का हथियार है। इसकी मुख्य विशेषता क्या है?")</f>
        <v>'वज्र' कलारीपयट्टू में इस्तेमाल होने वाला एक प्रकार का हथियार है। इसकी मुख्य विशेषता क्या है?</v>
      </c>
      <c r="H36" s="5" t="str">
        <f>IFERROR(__xludf.DUMMYFUNCTION("GOOGLETRANSLATE(C36, ""en"", ""Hi"")"),"A) लंबा ब्लेड, B) भारी वजन, C) तेज किनारे, D) बहु-धार")</f>
        <v>A) लंबा ब्लेड, B) भारी वजन, C) तेज किनारे, D) बहु-धार</v>
      </c>
      <c r="I36" s="5" t="str">
        <f>IFERROR(__xludf.DUMMYFUNCTION("GOOGLETRANSLATE(D36, ""en"", ""Hi"")"),"डी) बहु-धारित")</f>
        <v>डी) बहु-धारित</v>
      </c>
    </row>
    <row r="37" ht="22.5" customHeight="1">
      <c r="A37" s="9">
        <v>36.0</v>
      </c>
      <c r="B37" s="4" t="s">
        <v>8756</v>
      </c>
      <c r="C37" s="4" t="s">
        <v>8757</v>
      </c>
      <c r="D37" s="4" t="s">
        <v>8758</v>
      </c>
      <c r="F37" s="5" t="str">
        <f>IFERROR(__xludf.DUMMYFUNCTION("GOOGLETRANSLATE(A37, ""en"", ""Hi"")"),"36")</f>
        <v>36</v>
      </c>
      <c r="G37" s="5" t="str">
        <f>IFERROR(__xludf.DUMMYFUNCTION("GOOGLETRANSLATE(B37, ""en"", ""Hi"")"),"कलारीपयट्टू प्रशिक्षण का कौन सा पहलू चपलता और समन्वय में सुधार पर केंद्रित है?")</f>
        <v>कलारीपयट्टू प्रशिक्षण का कौन सा पहलू चपलता और समन्वय में सुधार पर केंद्रित है?</v>
      </c>
      <c r="H37" s="5" t="str">
        <f>IFERROR(__xludf.DUMMYFUNCTION("GOOGLETRANSLATE(C37, ""en"", ""Hi"")"),"ए) एडवस, बी) अंगम, सी) कुट्टू वरिसाई, डी) मेइपायट्टु")</f>
        <v>ए) एडवस, बी) अंगम, सी) कुट्टू वरिसाई, डी) मेइपायट्टु</v>
      </c>
      <c r="I37" s="5" t="str">
        <f>IFERROR(__xludf.DUMMYFUNCTION("GOOGLETRANSLATE(D37, ""en"", ""Hi"")"),"ए) एडवस")</f>
        <v>ए) एडवस</v>
      </c>
    </row>
    <row r="38" ht="22.5" customHeight="1">
      <c r="A38" s="9">
        <v>37.0</v>
      </c>
      <c r="B38" s="4" t="s">
        <v>8759</v>
      </c>
      <c r="C38" s="4" t="s">
        <v>8760</v>
      </c>
      <c r="D38" s="4" t="s">
        <v>8761</v>
      </c>
      <c r="F38" s="5" t="str">
        <f>IFERROR(__xludf.DUMMYFUNCTION("GOOGLETRANSLATE(A38, ""en"", ""Hi"")"),"37")</f>
        <v>37</v>
      </c>
      <c r="G38" s="5" t="str">
        <f>IFERROR(__xludf.DUMMYFUNCTION("GOOGLETRANSLATE(B38, ""en"", ""Hi"")"),"किस ऐतिहासिक ग्रंथ में कलारीपयट्टू का उल्लेख मिलता है?")</f>
        <v>किस ऐतिहासिक ग्रंथ में कलारीपयट्टू का उल्लेख मिलता है?</v>
      </c>
      <c r="H38" s="5" t="str">
        <f>IFERROR(__xludf.DUMMYFUNCTION("GOOGLETRANSLATE(C38, ""en"", ""Hi"")"),"ए) अर्थशास्त्र, बी) योग सूत्र, सी) वैदिक ग्रंथ, डी) संगम साहित्य")</f>
        <v>ए) अर्थशास्त्र, बी) योग सूत्र, सी) वैदिक ग्रंथ, डी) संगम साहित्य</v>
      </c>
      <c r="I38" s="5" t="str">
        <f>IFERROR(__xludf.DUMMYFUNCTION("GOOGLETRANSLATE(D38, ""en"", ""Hi"")"),"D) संगम साहित्य")</f>
        <v>D) संगम साहित्य</v>
      </c>
    </row>
    <row r="39" ht="22.5" customHeight="1">
      <c r="A39" s="9">
        <v>38.0</v>
      </c>
      <c r="B39" s="4" t="s">
        <v>8762</v>
      </c>
      <c r="C39" s="4" t="s">
        <v>8763</v>
      </c>
      <c r="D39" s="4" t="s">
        <v>8764</v>
      </c>
      <c r="F39" s="5" t="str">
        <f>IFERROR(__xludf.DUMMYFUNCTION("GOOGLETRANSLATE(A39, ""en"", ""Hi"")"),"38")</f>
        <v>38</v>
      </c>
      <c r="G39" s="5" t="str">
        <f>IFERROR(__xludf.DUMMYFUNCTION("GOOGLETRANSLATE(B39, ""en"", ""Hi"")"),"कलारीपयट्टू में 'पप्पन' शब्द का तात्पर्य क्या है?")</f>
        <v>कलारीपयट्टू में 'पप्पन' शब्द का तात्पर्य क्या है?</v>
      </c>
      <c r="H39" s="5" t="str">
        <f>IFERROR(__xludf.DUMMYFUNCTION("GOOGLETRANSLATE(C39, ""en"", ""Hi"")"),"A) एक छात्र, B) एक गुरु, C) एक हथियार, D) एक तकनीक")</f>
        <v>A) एक छात्र, B) एक गुरु, C) एक हथियार, D) एक तकनीक</v>
      </c>
      <c r="I39" s="5" t="str">
        <f>IFERROR(__xludf.DUMMYFUNCTION("GOOGLETRANSLATE(D39, ""en"", ""Hi"")"),"बी) एक मास्टर")</f>
        <v>बी) एक मास्टर</v>
      </c>
    </row>
    <row r="40" ht="22.5" customHeight="1">
      <c r="A40" s="9">
        <v>39.0</v>
      </c>
      <c r="B40" s="4" t="s">
        <v>8765</v>
      </c>
      <c r="C40" s="4" t="s">
        <v>8766</v>
      </c>
      <c r="D40" s="4" t="s">
        <v>8767</v>
      </c>
      <c r="F40" s="5" t="str">
        <f>IFERROR(__xludf.DUMMYFUNCTION("GOOGLETRANSLATE(A40, ""en"", ""Hi"")"),"39")</f>
        <v>39</v>
      </c>
      <c r="G40" s="5" t="str">
        <f>IFERROR(__xludf.DUMMYFUNCTION("GOOGLETRANSLATE(B40, ""en"", ""Hi"")"),"कलारीपयट्टू में 'मर्म' की क्या भूमिका है?")</f>
        <v>कलारीपयट्टू में 'मर्म' की क्या भूमिका है?</v>
      </c>
      <c r="H40" s="5" t="str">
        <f>IFERROR(__xludf.DUMMYFUNCTION("GOOGLETRANSLATE(C40, ""en"", ""Hi"")"),"A) युद्ध तकनीक, B) उपचार बिंदु, C) हथियार डिजाइन, D) फुटवर्क")</f>
        <v>A) युद्ध तकनीक, B) उपचार बिंदु, C) हथियार डिजाइन, D) फुटवर्क</v>
      </c>
      <c r="I40" s="5" t="str">
        <f>IFERROR(__xludf.DUMMYFUNCTION("GOOGLETRANSLATE(D40, ""en"", ""Hi"")"),"बी) उपचार बिंदु")</f>
        <v>बी) उपचार बिंदु</v>
      </c>
    </row>
    <row r="41" ht="22.5" customHeight="1">
      <c r="A41" s="9">
        <v>40.0</v>
      </c>
      <c r="B41" s="4" t="s">
        <v>8768</v>
      </c>
      <c r="C41" s="4" t="s">
        <v>8769</v>
      </c>
      <c r="D41" s="4" t="s">
        <v>8770</v>
      </c>
      <c r="F41" s="5" t="str">
        <f>IFERROR(__xludf.DUMMYFUNCTION("GOOGLETRANSLATE(A41, ""en"", ""Hi"")"),"40")</f>
        <v>40</v>
      </c>
      <c r="G41" s="5" t="str">
        <f>IFERROR(__xludf.DUMMYFUNCTION("GOOGLETRANSLATE(B41, ""en"", ""Hi"")"),"निम्नलिखित में से कौन सा पारंपरिक रूप से कलारीपयट्टू अभ्यास का हिस्सा नहीं है?")</f>
        <v>निम्नलिखित में से कौन सा पारंपरिक रूप से कलारीपयट्टू अभ्यास का हिस्सा नहीं है?</v>
      </c>
      <c r="H41" s="5" t="str">
        <f>IFERROR(__xludf.DUMMYFUNCTION("GOOGLETRANSLATE(C41, ""en"", ""Hi"")"),"A) शारीरिक कंडीशनिंग, B) हथियार संचालन, C) योग आसन, D) नृत्य अनुक्रम")</f>
        <v>A) शारीरिक कंडीशनिंग, B) हथियार संचालन, C) योग आसन, D) नृत्य अनुक्रम</v>
      </c>
      <c r="I41" s="5" t="str">
        <f>IFERROR(__xludf.DUMMYFUNCTION("GOOGLETRANSLATE(D41, ""en"", ""Hi"")"),"C) योग आसन")</f>
        <v>C) योग आसन</v>
      </c>
    </row>
    <row r="42" ht="22.5" customHeight="1">
      <c r="A42" s="9">
        <v>41.0</v>
      </c>
      <c r="B42" s="4" t="s">
        <v>8771</v>
      </c>
      <c r="C42" s="4" t="s">
        <v>8772</v>
      </c>
      <c r="D42" s="4" t="s">
        <v>644</v>
      </c>
      <c r="F42" s="5" t="str">
        <f>IFERROR(__xludf.DUMMYFUNCTION("GOOGLETRANSLATE(A42, ""en"", ""Hi"")"),"41")</f>
        <v>41</v>
      </c>
      <c r="G42" s="5" t="str">
        <f>IFERROR(__xludf.DUMMYFUNCTION("GOOGLETRANSLATE(B42, ""en"", ""Hi"")"),"कलारीपयट्टू के अभ्यास में निम्नलिखित में से किसका प्रशिक्षण शामिल है?")</f>
        <v>कलारीपयट्टू के अभ्यास में निम्नलिखित में से किसका प्रशिक्षण शामिल है?</v>
      </c>
      <c r="H42" s="5" t="str">
        <f>IFERROR(__xludf.DUMMYFUNCTION("GOOGLETRANSLATE(C42, ""en"", ""Hi"")"),"A) मानसिक एकाग्रता, B) शारीरिक सहनशक्ति, C) युद्ध रणनीतियाँ, D) उपरोक्त सभी")</f>
        <v>A) मानसिक एकाग्रता, B) शारीरिक सहनशक्ति, C) युद्ध रणनीतियाँ, D) उपरोक्त सभी</v>
      </c>
      <c r="I42" s="5" t="str">
        <f>IFERROR(__xludf.DUMMYFUNCTION("GOOGLETRANSLATE(D42, ""en"", ""Hi"")"),"D। उपरोक्त सभी")</f>
        <v>D। उपरोक्त सभी</v>
      </c>
    </row>
    <row r="43" ht="22.5" customHeight="1">
      <c r="A43" s="9">
        <v>42.0</v>
      </c>
      <c r="B43" s="4" t="s">
        <v>8773</v>
      </c>
      <c r="C43" s="4" t="s">
        <v>8774</v>
      </c>
      <c r="D43" s="4" t="s">
        <v>8775</v>
      </c>
      <c r="F43" s="5" t="str">
        <f>IFERROR(__xludf.DUMMYFUNCTION("GOOGLETRANSLATE(A43, ""en"", ""Hi"")"),"42")</f>
        <v>42</v>
      </c>
      <c r="G43" s="5" t="str">
        <f>IFERROR(__xludf.DUMMYFUNCTION("GOOGLETRANSLATE(B43, ""en"", ""Hi"")"),"कलारीपयट्टु में 'चुवडु' के अभ्यास में क्या शामिल है?")</f>
        <v>कलारीपयट्टु में 'चुवडु' के अभ्यास में क्या शामिल है?</v>
      </c>
      <c r="H43" s="5" t="str">
        <f>IFERROR(__xludf.DUMMYFUNCTION("GOOGLETRANSLATE(C43, ""en"", ""Hi"")"),"A) हथियार चलाना, B) श्वास व्यायाम, C) युद्ध तकनीक, D) ध्यान")</f>
        <v>A) हथियार चलाना, B) श्वास व्यायाम, C) युद्ध तकनीक, D) ध्यान</v>
      </c>
      <c r="I43" s="5" t="str">
        <f>IFERROR(__xludf.DUMMYFUNCTION("GOOGLETRANSLATE(D43, ""en"", ""Hi"")"),"C) युद्ध तकनीकें")</f>
        <v>C) युद्ध तकनीकें</v>
      </c>
    </row>
    <row r="44" ht="22.5" customHeight="1">
      <c r="A44" s="9">
        <v>43.0</v>
      </c>
      <c r="B44" s="4" t="s">
        <v>8776</v>
      </c>
      <c r="C44" s="4" t="s">
        <v>8777</v>
      </c>
      <c r="D44" s="4" t="s">
        <v>8778</v>
      </c>
      <c r="F44" s="5" t="str">
        <f>IFERROR(__xludf.DUMMYFUNCTION("GOOGLETRANSLATE(A44, ""en"", ""Hi"")"),"43")</f>
        <v>43</v>
      </c>
      <c r="G44" s="5" t="str">
        <f>IFERROR(__xludf.DUMMYFUNCTION("GOOGLETRANSLATE(B44, ""en"", ""Hi"")"),"कलारीपयट्टू में 'मर्मशास्त्र' का प्राथमिक लक्ष्य क्या है?")</f>
        <v>कलारीपयट्टू में 'मर्मशास्त्र' का प्राथमिक लक्ष्य क्या है?</v>
      </c>
      <c r="H44" s="5" t="str">
        <f>IFERROR(__xludf.DUMMYFUNCTION("GOOGLETRANSLATE(C44, ""en"", ""Hi"")"),"A) हथियार कौशल को बढ़ाने के लिए, B) लचीलेपन में सुधार करने के लिए, C) उपचार और हमले के लिए महत्वपूर्ण बिंदुओं को समझने के लिए, D) सहनशक्ति विकसित करने के लिए")</f>
        <v>A) हथियार कौशल को बढ़ाने के लिए, B) लचीलेपन में सुधार करने के लिए, C) उपचार और हमले के लिए महत्वपूर्ण बिंदुओं को समझने के लिए, D) सहनशक्ति विकसित करने के लिए</v>
      </c>
      <c r="I44" s="5" t="str">
        <f>IFERROR(__xludf.DUMMYFUNCTION("GOOGLETRANSLATE(D44, ""en"", ""Hi"")"),"C) उपचार और हमले के लिए महत्वपूर्ण बिंदुओं को समझना")</f>
        <v>C) उपचार और हमले के लिए महत्वपूर्ण बिंदुओं को समझना</v>
      </c>
    </row>
    <row r="45" ht="22.5" customHeight="1">
      <c r="A45" s="9">
        <v>44.0</v>
      </c>
      <c r="B45" s="4" t="s">
        <v>8779</v>
      </c>
      <c r="C45" s="4" t="s">
        <v>8780</v>
      </c>
      <c r="D45" s="4" t="s">
        <v>8781</v>
      </c>
      <c r="F45" s="5" t="str">
        <f>IFERROR(__xludf.DUMMYFUNCTION("GOOGLETRANSLATE(A45, ""en"", ""Hi"")"),"44")</f>
        <v>44</v>
      </c>
      <c r="G45" s="5" t="str">
        <f>IFERROR(__xludf.DUMMYFUNCTION("GOOGLETRANSLATE(B45, ""en"", ""Hi"")"),"कलारीपयट्टू में कौन सी प्रथा गोलाकार गति और प्रहार के उपयोग पर केंद्रित है?")</f>
        <v>कलारीपयट्टू में कौन सी प्रथा गोलाकार गति और प्रहार के उपयोग पर केंद्रित है?</v>
      </c>
      <c r="H45" s="5" t="str">
        <f>IFERROR(__xludf.DUMMYFUNCTION("GOOGLETRANSLATE(C45, ""en"", ""Hi"")"),"ए) अंगम, बी) मीपायट्टु, सी) एडवस, डी) वेरुमकाई")</f>
        <v>ए) अंगम, बी) मीपायट्टु, सी) एडवस, डी) वेरुमकाई</v>
      </c>
      <c r="I45" s="5" t="str">
        <f>IFERROR(__xludf.DUMMYFUNCTION("GOOGLETRANSLATE(D45, ""en"", ""Hi"")"),"बी) मेइपयट्टू")</f>
        <v>बी) मेइपयट्टू</v>
      </c>
    </row>
    <row r="46" ht="22.5" customHeight="1">
      <c r="A46" s="9">
        <v>45.0</v>
      </c>
      <c r="B46" s="4" t="s">
        <v>8782</v>
      </c>
      <c r="C46" s="4" t="s">
        <v>8783</v>
      </c>
      <c r="D46" s="4" t="s">
        <v>8784</v>
      </c>
      <c r="F46" s="5" t="str">
        <f>IFERROR(__xludf.DUMMYFUNCTION("GOOGLETRANSLATE(A46, ""en"", ""Hi"")"),"45")</f>
        <v>45</v>
      </c>
      <c r="G46" s="5" t="str">
        <f>IFERROR(__xludf.DUMMYFUNCTION("GOOGLETRANSLATE(B46, ""en"", ""Hi"")"),"कलारीपयट्टू में, 'कुट्टू वरिसाई' शब्द का क्या अर्थ है?")</f>
        <v>कलारीपयट्टू में, 'कुट्टू वरिसाई' शब्द का क्या अर्थ है?</v>
      </c>
      <c r="H46" s="5" t="str">
        <f>IFERROR(__xludf.DUMMYFUNCTION("GOOGLETRANSLATE(C46, ""en"", ""Hi"")"),"A) एक प्रकार का हथियार, B) एक युद्ध क्रम, C) एक उपचार पद्धति, D) एक प्रशिक्षण तकनीक")</f>
        <v>A) एक प्रकार का हथियार, B) एक युद्ध क्रम, C) एक उपचार पद्धति, D) एक प्रशिक्षण तकनीक</v>
      </c>
      <c r="I46" s="5" t="str">
        <f>IFERROR(__xludf.DUMMYFUNCTION("GOOGLETRANSLATE(D46, ""en"", ""Hi"")"),"बी) एक युद्ध अनुक्रम")</f>
        <v>बी) एक युद्ध अनुक्रम</v>
      </c>
    </row>
    <row r="47" ht="22.5" customHeight="1">
      <c r="A47" s="9">
        <v>46.0</v>
      </c>
      <c r="B47" s="4" t="s">
        <v>8785</v>
      </c>
      <c r="C47" s="4" t="s">
        <v>8786</v>
      </c>
      <c r="D47" s="4" t="s">
        <v>8787</v>
      </c>
      <c r="F47" s="5" t="str">
        <f>IFERROR(__xludf.DUMMYFUNCTION("GOOGLETRANSLATE(A47, ""en"", ""Hi"")"),"46")</f>
        <v>46</v>
      </c>
      <c r="G47" s="5" t="str">
        <f>IFERROR(__xludf.DUMMYFUNCTION("GOOGLETRANSLATE(B47, ""en"", ""Hi"")"),"किस प्रसिद्ध भारतीय मार्शल कलाकार ने आधुनिक समय में कलरीपयट्टू को लोकप्रिय बनाने में मदद की?")</f>
        <v>किस प्रसिद्ध भारतीय मार्शल कलाकार ने आधुनिक समय में कलरीपयट्टू को लोकप्रिय बनाने में मदद की?</v>
      </c>
      <c r="H47" s="5" t="str">
        <f>IFERROR(__xludf.DUMMYFUNCTION("GOOGLETRANSLATE(C47, ""en"", ""Hi"")"),"A) ब्रूस ली, B) बाबू कुंजीर, C) के.जी. कुमार, D) मनियम एस. रेड्डी")</f>
        <v>A) ब्रूस ली, B) बाबू कुंजीर, C) के.जी. कुमार, D) मनियम एस. रेड्डी</v>
      </c>
      <c r="I47" s="5" t="str">
        <f>IFERROR(__xludf.DUMMYFUNCTION("GOOGLETRANSLATE(D47, ""en"", ""Hi"")"),"बी) बाबू कुंजीर")</f>
        <v>बी) बाबू कुंजीर</v>
      </c>
    </row>
    <row r="48" ht="22.5" customHeight="1">
      <c r="A48" s="9">
        <v>47.0</v>
      </c>
      <c r="B48" s="4" t="s">
        <v>8788</v>
      </c>
      <c r="C48" s="4" t="s">
        <v>8789</v>
      </c>
      <c r="D48" s="4" t="s">
        <v>8790</v>
      </c>
      <c r="F48" s="5" t="str">
        <f>IFERROR(__xludf.DUMMYFUNCTION("GOOGLETRANSLATE(A48, ""en"", ""Hi"")"),"47")</f>
        <v>47</v>
      </c>
      <c r="G48" s="5" t="str">
        <f>IFERROR(__xludf.DUMMYFUNCTION("GOOGLETRANSLATE(B48, ""en"", ""Hi"")"),"कलारीपयट्टु में 'चुवडु' तकनीक की मुख्य विशेषता क्या है?")</f>
        <v>कलारीपयट्टु में 'चुवडु' तकनीक की मुख्य विशेषता क्या है?</v>
      </c>
      <c r="H48" s="5" t="str">
        <f>IFERROR(__xludf.DUMMYFUNCTION("GOOGLETRANSLATE(C48, ""en"", ""Hi"")"),"A) किकिंग तकनीक, B) गोलाकार प्रहार, C) ग्रैपलिंग, D) रक्षात्मक चालें")</f>
        <v>A) किकिंग तकनीक, B) गोलाकार प्रहार, C) ग्रैपलिंग, D) रक्षात्मक चालें</v>
      </c>
      <c r="I48" s="5" t="str">
        <f>IFERROR(__xludf.DUMMYFUNCTION("GOOGLETRANSLATE(D48, ""en"", ""Hi"")"),"बी) गोलाकार हमले")</f>
        <v>बी) गोलाकार हमले</v>
      </c>
    </row>
    <row r="49" ht="22.5" customHeight="1">
      <c r="A49" s="9">
        <v>48.0</v>
      </c>
      <c r="B49" s="4" t="s">
        <v>8791</v>
      </c>
      <c r="C49" s="4" t="s">
        <v>8792</v>
      </c>
      <c r="D49" s="4" t="s">
        <v>8793</v>
      </c>
      <c r="F49" s="5" t="str">
        <f>IFERROR(__xludf.DUMMYFUNCTION("GOOGLETRANSLATE(A49, ""en"", ""Hi"")"),"48")</f>
        <v>48</v>
      </c>
      <c r="G49" s="5" t="str">
        <f>IFERROR(__xludf.DUMMYFUNCTION("GOOGLETRANSLATE(B49, ""en"", ""Hi"")"),"कलारीपयट्टू में 'संकल्प' का प्रयोग किसके लिए किया जाता है?")</f>
        <v>कलारीपयट्टू में 'संकल्प' का प्रयोग किसके लिए किया जाता है?</v>
      </c>
      <c r="H49" s="5" t="str">
        <f>IFERROR(__xludf.DUMMYFUNCTION("GOOGLETRANSLATE(C49, ""en"", ""Hi"")"),"A) शस्त्र प्रशिक्षण, B) अभ्यास से पहले इरादे तय करना, C) चोटों को ठीक करना, D) ध्यान")</f>
        <v>A) शस्त्र प्रशिक्षण, B) अभ्यास से पहले इरादे तय करना, C) चोटों को ठीक करना, D) ध्यान</v>
      </c>
      <c r="I49" s="5" t="str">
        <f>IFERROR(__xludf.DUMMYFUNCTION("GOOGLETRANSLATE(D49, ""en"", ""Hi"")"),"बी) अभ्यास से पहले इरादे तय करना")</f>
        <v>बी) अभ्यास से पहले इरादे तय करना</v>
      </c>
    </row>
    <row r="50" ht="22.5" customHeight="1">
      <c r="A50" s="9">
        <v>49.0</v>
      </c>
      <c r="B50" s="4" t="s">
        <v>8794</v>
      </c>
      <c r="C50" s="4" t="s">
        <v>8795</v>
      </c>
      <c r="D50" s="4" t="s">
        <v>8796</v>
      </c>
      <c r="F50" s="5" t="str">
        <f>IFERROR(__xludf.DUMMYFUNCTION("GOOGLETRANSLATE(A50, ""en"", ""Hi"")"),"49")</f>
        <v>49</v>
      </c>
      <c r="G50" s="5" t="str">
        <f>IFERROR(__xludf.DUMMYFUNCTION("GOOGLETRANSLATE(B50, ""en"", ""Hi"")"),"कलारीपयट्टू अभ्यास में 'आदु' का क्या महत्व है?")</f>
        <v>कलारीपयट्टू अभ्यास में 'आदु' का क्या महत्व है?</v>
      </c>
      <c r="H50" s="5" t="str">
        <f>IFERROR(__xludf.DUMMYFUNCTION("GOOGLETRANSLATE(C50, ""en"", ""Hi"")"),"A) यह एक हथियार है, B) यह एक युद्ध शैली है, C) यह एक फुटवर्क पैटर्न है, D) यह एक उपचार तकनीक है")</f>
        <v>A) यह एक हथियार है, B) यह एक युद्ध शैली है, C) यह एक फुटवर्क पैटर्न है, D) यह एक उपचार तकनीक है</v>
      </c>
      <c r="I50" s="5" t="str">
        <f>IFERROR(__xludf.DUMMYFUNCTION("GOOGLETRANSLATE(D50, ""en"", ""Hi"")"),"C) यह एक फुटवर्क पैटर्न है")</f>
        <v>C) यह एक फुटवर्क पैटर्न है</v>
      </c>
    </row>
    <row r="51" ht="22.5" customHeight="1">
      <c r="A51" s="9">
        <v>50.0</v>
      </c>
      <c r="B51" s="4" t="s">
        <v>8797</v>
      </c>
      <c r="C51" s="4" t="s">
        <v>8670</v>
      </c>
      <c r="D51" s="4" t="s">
        <v>8671</v>
      </c>
      <c r="F51" s="5" t="str">
        <f>IFERROR(__xludf.DUMMYFUNCTION("GOOGLETRANSLATE(A51, ""en"", ""Hi"")"),"50")</f>
        <v>50</v>
      </c>
      <c r="G51" s="5" t="str">
        <f>IFERROR(__xludf.DUMMYFUNCTION("GOOGLETRANSLATE(B51, ""en"", ""Hi"")"),"निम्नलिखित में से कौन सा हथियार पारंपरिक रूप से कलारीपयट्टू में इस्तेमाल नहीं किया जाता है?")</f>
        <v>निम्नलिखित में से कौन सा हथियार पारंपरिक रूप से कलारीपयट्टू में इस्तेमाल नहीं किया जाता है?</v>
      </c>
      <c r="H51" s="5" t="str">
        <f>IFERROR(__xludf.DUMMYFUNCTION("GOOGLETRANSLATE(C51, ""en"", ""Hi"")"),"A) तलवार, B) भाला, C) धनुष, D) ढाल")</f>
        <v>A) तलवार, B) भाला, C) धनुष, D) ढाल</v>
      </c>
      <c r="I51" s="5" t="str">
        <f>IFERROR(__xludf.DUMMYFUNCTION("GOOGLETRANSLATE(D51, ""en"", ""Hi"")"),"सी) धनुष")</f>
        <v>सी) धनुष</v>
      </c>
    </row>
    <row r="52" ht="22.5" customHeight="1">
      <c r="A52" s="9">
        <v>51.0</v>
      </c>
      <c r="B52" s="4" t="s">
        <v>8798</v>
      </c>
      <c r="C52" s="4" t="s">
        <v>8799</v>
      </c>
      <c r="D52" s="4" t="s">
        <v>8800</v>
      </c>
      <c r="F52" s="5" t="str">
        <f>IFERROR(__xludf.DUMMYFUNCTION("GOOGLETRANSLATE(A52, ""en"", ""Hi"")"),"51")</f>
        <v>51</v>
      </c>
      <c r="G52" s="5" t="str">
        <f>IFERROR(__xludf.DUMMYFUNCTION("GOOGLETRANSLATE(B52, ""en"", ""Hi"")"),"कलारीपयट्टू प्रशिक्षण में 'नादान' की क्या भूमिका है?")</f>
        <v>कलारीपयट्टू प्रशिक्षण में 'नादान' की क्या भूमिका है?</v>
      </c>
      <c r="H52" s="5" t="str">
        <f>IFERROR(__xludf.DUMMYFUNCTION("GOOGLETRANSLATE(C52, ""en"", ""Hi"")"),"A) युद्ध अभ्यास, B) हथियार तकनीक, C) युद्ध नृत्य, D) उपचार")</f>
        <v>A) युद्ध अभ्यास, B) हथियार तकनीक, C) युद्ध नृत्य, D) उपचार</v>
      </c>
      <c r="I52" s="5" t="str">
        <f>IFERROR(__xludf.DUMMYFUNCTION("GOOGLETRANSLATE(D52, ""en"", ""Hi"")"),"C) युद्ध नृत्य")</f>
        <v>C) युद्ध नृत्य</v>
      </c>
    </row>
    <row r="53" ht="22.5" customHeight="1">
      <c r="A53" s="9">
        <v>52.0</v>
      </c>
      <c r="B53" s="4" t="s">
        <v>8801</v>
      </c>
      <c r="C53" s="4" t="s">
        <v>8802</v>
      </c>
      <c r="D53" s="4" t="s">
        <v>8803</v>
      </c>
      <c r="F53" s="5" t="str">
        <f>IFERROR(__xludf.DUMMYFUNCTION("GOOGLETRANSLATE(A53, ""en"", ""Hi"")"),"52")</f>
        <v>52</v>
      </c>
      <c r="G53" s="5" t="str">
        <f>IFERROR(__xludf.DUMMYFUNCTION("GOOGLETRANSLATE(B53, ""en"", ""Hi"")"),"कलारीपयट्टू में कौन सी प्रथा हथियार तकनीक और युद्ध पर केंद्रित है?")</f>
        <v>कलारीपयट्टू में कौन सी प्रथा हथियार तकनीक और युद्ध पर केंद्रित है?</v>
      </c>
      <c r="H53" s="5" t="str">
        <f>IFERROR(__xludf.DUMMYFUNCTION("GOOGLETRANSLATE(C53, ""en"", ""Hi"")"),"ए) सिलंबम, बी) मर्म थेरेपी, सी) उझिचिल, डी) मेइपायट्टु")</f>
        <v>ए) सिलंबम, बी) मर्म थेरेपी, सी) उझिचिल, डी) मेइपायट्टु</v>
      </c>
      <c r="I53" s="5" t="str">
        <f>IFERROR(__xludf.DUMMYFUNCTION("GOOGLETRANSLATE(D53, ""en"", ""Hi"")"),"ए) सिलंबम")</f>
        <v>ए) सिलंबम</v>
      </c>
    </row>
    <row r="54" ht="22.5" customHeight="1">
      <c r="A54" s="9">
        <v>53.0</v>
      </c>
      <c r="B54" s="4" t="s">
        <v>8804</v>
      </c>
      <c r="C54" s="4" t="s">
        <v>8805</v>
      </c>
      <c r="D54" s="4" t="s">
        <v>8806</v>
      </c>
      <c r="F54" s="5" t="str">
        <f>IFERROR(__xludf.DUMMYFUNCTION("GOOGLETRANSLATE(A54, ""en"", ""Hi"")"),"53")</f>
        <v>53</v>
      </c>
      <c r="G54" s="5" t="str">
        <f>IFERROR(__xludf.DUMMYFUNCTION("GOOGLETRANSLATE(B54, ""en"", ""Hi"")"),"कलारीपयट्टू की वह पारंपरिक प्रथा क्या है जो उपचार और स्वास्थ्य लाभ पर केन्द्रित होने के लिए जानी जाती है?")</f>
        <v>कलारीपयट्टू की वह पारंपरिक प्रथा क्या है जो उपचार और स्वास्थ्य लाभ पर केन्द्रित होने के लिए जानी जाती है?</v>
      </c>
      <c r="H54" s="5" t="str">
        <f>IFERROR(__xludf.DUMMYFUNCTION("GOOGLETRANSLATE(C54, ""en"", ""Hi"")"),"ए) एडवस, बी) मीपायट्टु, सी) उझिचिल, डी) मर्मशास्त्र")</f>
        <v>ए) एडवस, बी) मीपायट्टु, सी) उझिचिल, डी) मर्मशास्त्र</v>
      </c>
      <c r="I54" s="5" t="str">
        <f>IFERROR(__xludf.DUMMYFUNCTION("GOOGLETRANSLATE(D54, ""en"", ""Hi"")"),"C) उझिचिल")</f>
        <v>C) उझिचिल</v>
      </c>
    </row>
    <row r="55" ht="22.5" customHeight="1">
      <c r="A55" s="9">
        <v>54.0</v>
      </c>
      <c r="B55" s="4" t="s">
        <v>8807</v>
      </c>
      <c r="C55" s="4" t="s">
        <v>8808</v>
      </c>
      <c r="D55" s="4" t="s">
        <v>8781</v>
      </c>
      <c r="F55" s="5" t="str">
        <f>IFERROR(__xludf.DUMMYFUNCTION("GOOGLETRANSLATE(A55, ""en"", ""Hi"")"),"54")</f>
        <v>54</v>
      </c>
      <c r="G55" s="5" t="str">
        <f>IFERROR(__xludf.DUMMYFUNCTION("GOOGLETRANSLATE(B55, ""en"", ""Hi"")"),"कौन सी कलारीपयट्टू तकनीक तरल, गोलाकार आंदोलनों की विशेषता है?")</f>
        <v>कौन सी कलारीपयट्टू तकनीक तरल, गोलाकार आंदोलनों की विशेषता है?</v>
      </c>
      <c r="H55" s="5" t="str">
        <f>IFERROR(__xludf.DUMMYFUNCTION("GOOGLETRANSLATE(C55, ""en"", ""Hi"")"),"ए) वेरुमकाई, बी) मीपायट्टु, सी) कुट्टू वरिसाई, डी) अंगम")</f>
        <v>ए) वेरुमकाई, बी) मीपायट्टु, सी) कुट्टू वरिसाई, डी) अंगम</v>
      </c>
      <c r="I55" s="5" t="str">
        <f>IFERROR(__xludf.DUMMYFUNCTION("GOOGLETRANSLATE(D55, ""en"", ""Hi"")"),"बी) मेइपयट्टू")</f>
        <v>बी) मेइपयट्टू</v>
      </c>
    </row>
    <row r="56" ht="22.5" customHeight="1">
      <c r="A56" s="9">
        <v>55.0</v>
      </c>
      <c r="B56" s="4" t="s">
        <v>8809</v>
      </c>
      <c r="C56" s="4" t="s">
        <v>8810</v>
      </c>
      <c r="D56" s="4" t="s">
        <v>8811</v>
      </c>
      <c r="F56" s="5" t="str">
        <f>IFERROR(__xludf.DUMMYFUNCTION("GOOGLETRANSLATE(A56, ""en"", ""Hi"")"),"55")</f>
        <v>55</v>
      </c>
      <c r="G56" s="5" t="str">
        <f>IFERROR(__xludf.DUMMYFUNCTION("GOOGLETRANSLATE(B56, ""en"", ""Hi"")"),"कलारीपयट्टू में 'कट्टू' का क्या उद्देश्य है?")</f>
        <v>कलारीपयट्टू में 'कट्टू' का क्या उद्देश्य है?</v>
      </c>
      <c r="H56" s="5" t="str">
        <f>IFERROR(__xludf.DUMMYFUNCTION("GOOGLETRANSLATE(C56, ""en"", ""Hi"")"),"A) हथियार प्रशिक्षण, B) उपचार, C) ध्यान, D) युद्ध अभ्यास")</f>
        <v>A) हथियार प्रशिक्षण, B) उपचार, C) ध्यान, D) युद्ध अभ्यास</v>
      </c>
      <c r="I56" s="5" t="str">
        <f>IFERROR(__xludf.DUMMYFUNCTION("GOOGLETRANSLATE(D56, ""en"", ""Hi"")"),"D) युद्ध अभ्यास")</f>
        <v>D) युद्ध अभ्यास</v>
      </c>
    </row>
    <row r="57" ht="22.5" customHeight="1">
      <c r="A57" s="9">
        <v>56.0</v>
      </c>
      <c r="B57" s="4" t="s">
        <v>8812</v>
      </c>
      <c r="C57" s="4" t="s">
        <v>8813</v>
      </c>
      <c r="D57" s="4" t="s">
        <v>8814</v>
      </c>
      <c r="F57" s="5" t="str">
        <f>IFERROR(__xludf.DUMMYFUNCTION("GOOGLETRANSLATE(A57, ""en"", ""Hi"")"),"56")</f>
        <v>56</v>
      </c>
      <c r="G57" s="5" t="str">
        <f>IFERROR(__xludf.DUMMYFUNCTION("GOOGLETRANSLATE(B57, ""en"", ""Hi"")"),"कौन सी महान हस्ती कलारीपयट्टू के संरक्षण और शिक्षण से जुड़ी है?")</f>
        <v>कौन सी महान हस्ती कलारीपयट्टू के संरक्षण और शिक्षण से जुड़ी है?</v>
      </c>
      <c r="H57" s="5" t="str">
        <f>IFERROR(__xludf.DUMMYFUNCTION("GOOGLETRANSLATE(C57, ""en"", ""Hi"")"),"A) अर्जुन, B) कृष्ण, C) भरत, D) शिव")</f>
        <v>A) अर्जुन, B) कृष्ण, C) भरत, D) शिव</v>
      </c>
      <c r="I57" s="5" t="str">
        <f>IFERROR(__xludf.DUMMYFUNCTION("GOOGLETRANSLATE(D57, ""en"", ""Hi"")"),"D) शिव")</f>
        <v>D) शिव</v>
      </c>
    </row>
    <row r="58" ht="22.5" customHeight="1">
      <c r="A58" s="9">
        <v>57.0</v>
      </c>
      <c r="B58" s="4" t="s">
        <v>8815</v>
      </c>
      <c r="C58" s="4" t="s">
        <v>8816</v>
      </c>
      <c r="D58" s="4" t="s">
        <v>8686</v>
      </c>
      <c r="F58" s="5" t="str">
        <f>IFERROR(__xludf.DUMMYFUNCTION("GOOGLETRANSLATE(A58, ""en"", ""Hi"")"),"57")</f>
        <v>57</v>
      </c>
      <c r="G58" s="5" t="str">
        <f>IFERROR(__xludf.DUMMYFUNCTION("GOOGLETRANSLATE(B58, ""en"", ""Hi"")"),"कलारीपयट्टू में कौन सी प्रथा आत्मरक्षा तकनीकों पर जोर देती है?")</f>
        <v>कलारीपयट्टू में कौन सी प्रथा आत्मरक्षा तकनीकों पर जोर देती है?</v>
      </c>
      <c r="H58" s="5" t="str">
        <f>IFERROR(__xludf.DUMMYFUNCTION("GOOGLETRANSLATE(C58, ""en"", ""Hi"")"),"ए) अंगम, बी) वेरुमकाई, सी) कुट्टू वरिसाई, डी) एडवस")</f>
        <v>ए) अंगम, बी) वेरुमकाई, सी) कुट्टू वरिसाई, डी) एडवस</v>
      </c>
      <c r="I58" s="5" t="str">
        <f>IFERROR(__xludf.DUMMYFUNCTION("GOOGLETRANSLATE(D58, ""en"", ""Hi"")"),"ए) अंगम")</f>
        <v>ए) अंगम</v>
      </c>
    </row>
    <row r="59" ht="22.5" customHeight="1">
      <c r="A59" s="9">
        <v>58.0</v>
      </c>
      <c r="B59" s="4" t="s">
        <v>8817</v>
      </c>
      <c r="C59" s="4" t="s">
        <v>8818</v>
      </c>
      <c r="D59" s="4" t="s">
        <v>8819</v>
      </c>
      <c r="F59" s="5" t="str">
        <f>IFERROR(__xludf.DUMMYFUNCTION("GOOGLETRANSLATE(A59, ""en"", ""Hi"")"),"58")</f>
        <v>58</v>
      </c>
      <c r="G59" s="5" t="str">
        <f>IFERROR(__xludf.DUMMYFUNCTION("GOOGLETRANSLATE(B59, ""en"", ""Hi"")"),"कलारीपयट्टू में, 'अदावु' क्या दर्शाता है?")</f>
        <v>कलारीपयट्टू में, 'अदावु' क्या दर्शाता है?</v>
      </c>
      <c r="H59" s="5" t="str">
        <f>IFERROR(__xludf.DUMMYFUNCTION("GOOGLETRANSLATE(C59, ""en"", ""Hi"")"),"ए) हथियार शैली, बी) युद्ध तकनीक, सी) फुटवर्क पैटर्न, डी) उपचार अभ्यास")</f>
        <v>ए) हथियार शैली, बी) युद्ध तकनीक, सी) फुटवर्क पैटर्न, डी) उपचार अभ्यास</v>
      </c>
      <c r="I59" s="5" t="str">
        <f>IFERROR(__xludf.DUMMYFUNCTION("GOOGLETRANSLATE(D59, ""en"", ""Hi"")"),"C) फुटवर्क पैटर्न")</f>
        <v>C) फुटवर्क पैटर्न</v>
      </c>
    </row>
    <row r="60" ht="22.5" customHeight="1">
      <c r="A60" s="9">
        <v>59.0</v>
      </c>
      <c r="B60" s="4" t="s">
        <v>8820</v>
      </c>
      <c r="C60" s="4" t="s">
        <v>8821</v>
      </c>
      <c r="D60" s="4" t="s">
        <v>8822</v>
      </c>
      <c r="F60" s="5" t="str">
        <f>IFERROR(__xludf.DUMMYFUNCTION("GOOGLETRANSLATE(A60, ""en"", ""Hi"")"),"59")</f>
        <v>59</v>
      </c>
      <c r="G60" s="5" t="str">
        <f>IFERROR(__xludf.DUMMYFUNCTION("GOOGLETRANSLATE(B60, ""en"", ""Hi"")"),"कौन सी कलारीपयट्टू प्रथा में पारंपरिक डंडों का उपयोग शामिल है?")</f>
        <v>कौन सी कलारीपयट्टू प्रथा में पारंपरिक डंडों का उपयोग शामिल है?</v>
      </c>
      <c r="H60" s="5" t="str">
        <f>IFERROR(__xludf.DUMMYFUNCTION("GOOGLETRANSLATE(C60, ""en"", ""Hi"")"),"ए) वेरुमकाई, बी) सिलंबम, सी) एडवस, डी) मेइपायट्टु")</f>
        <v>ए) वेरुमकाई, बी) सिलंबम, सी) एडवस, डी) मेइपायट्टु</v>
      </c>
      <c r="I60" s="5" t="str">
        <f>IFERROR(__xludf.DUMMYFUNCTION("GOOGLETRANSLATE(D60, ""en"", ""Hi"")"),"बी) सिलंबम")</f>
        <v>बी) सिलंबम</v>
      </c>
    </row>
    <row r="61" ht="22.5" customHeight="1">
      <c r="A61" s="9">
        <v>60.0</v>
      </c>
      <c r="B61" s="4" t="s">
        <v>8823</v>
      </c>
      <c r="C61" s="4" t="s">
        <v>8824</v>
      </c>
      <c r="D61" s="4" t="s">
        <v>8743</v>
      </c>
      <c r="F61" s="5" t="str">
        <f>IFERROR(__xludf.DUMMYFUNCTION("GOOGLETRANSLATE(A61, ""en"", ""Hi"")"),"60")</f>
        <v>60</v>
      </c>
      <c r="G61" s="5" t="str">
        <f>IFERROR(__xludf.DUMMYFUNCTION("GOOGLETRANSLATE(B61, ""en"", ""Hi"")"),"कलारीपयट्टू शुरू करने से पहले पारंपरिक औपचारिक प्रथा क्या है?")</f>
        <v>कलारीपयट्टू शुरू करने से पहले पारंपरिक औपचारिक प्रथा क्या है?</v>
      </c>
      <c r="H61" s="5" t="str">
        <f>IFERROR(__xludf.DUMMYFUNCTION("GOOGLETRANSLATE(C61, ""en"", ""Hi"")"),"A) पूजा, B) योग, C) ध्यान, D) जप")</f>
        <v>A) पूजा, B) योग, C) ध्यान, D) जप</v>
      </c>
      <c r="I61" s="5" t="str">
        <f>IFERROR(__xludf.DUMMYFUNCTION("GOOGLETRANSLATE(D61, ""en"", ""Hi"")"),"ए) पूजा")</f>
        <v>ए) पूजा</v>
      </c>
    </row>
    <row r="62" ht="22.5" customHeight="1">
      <c r="A62" s="9">
        <v>61.0</v>
      </c>
      <c r="B62" s="4" t="s">
        <v>8825</v>
      </c>
      <c r="C62" s="4" t="s">
        <v>8826</v>
      </c>
      <c r="D62" s="4" t="s">
        <v>8827</v>
      </c>
      <c r="F62" s="5" t="str">
        <f>IFERROR(__xludf.DUMMYFUNCTION("GOOGLETRANSLATE(A62, ""en"", ""Hi"")"),"61")</f>
        <v>61</v>
      </c>
      <c r="G62" s="5" t="str">
        <f>IFERROR(__xludf.DUMMYFUNCTION("GOOGLETRANSLATE(B62, ""en"", ""Hi"")"),"कलारीपयट्टू के किस प्रकार के हथियार की विशेषता लंबी, घुमावदार ब्लेड है?")</f>
        <v>कलारीपयट्टू के किस प्रकार के हथियार की विशेषता लंबी, घुमावदार ब्लेड है?</v>
      </c>
      <c r="H62" s="5" t="str">
        <f>IFERROR(__xludf.DUMMYFUNCTION("GOOGLETRANSLATE(C62, ""en"", ""Hi"")"),"A) गदा, B) तलवार, C) खंजर, D) भाला")</f>
        <v>A) गदा, B) तलवार, C) खंजर, D) भाला</v>
      </c>
      <c r="I62" s="5" t="str">
        <f>IFERROR(__xludf.DUMMYFUNCTION("GOOGLETRANSLATE(D62, ""en"", ""Hi"")"),"बी) तलवार")</f>
        <v>बी) तलवार</v>
      </c>
    </row>
    <row r="63" ht="22.5" customHeight="1">
      <c r="A63" s="9">
        <v>62.0</v>
      </c>
      <c r="B63" s="4" t="s">
        <v>8828</v>
      </c>
      <c r="C63" s="4" t="s">
        <v>8829</v>
      </c>
      <c r="D63" s="4" t="s">
        <v>8830</v>
      </c>
      <c r="F63" s="5" t="str">
        <f>IFERROR(__xludf.DUMMYFUNCTION("GOOGLETRANSLATE(A63, ""en"", ""Hi"")"),"62")</f>
        <v>62</v>
      </c>
      <c r="G63" s="5" t="str">
        <f>IFERROR(__xludf.DUMMYFUNCTION("GOOGLETRANSLATE(B63, ""en"", ""Hi"")"),"कलारीपयट्टू में किस अभ्यास में शरीर की कंडीशनिंग और ताकत का प्रशिक्षण शामिल है?")</f>
        <v>कलारीपयट्टू में किस अभ्यास में शरीर की कंडीशनिंग और ताकत का प्रशिक्षण शामिल है?</v>
      </c>
      <c r="H63" s="5" t="str">
        <f>IFERROR(__xludf.DUMMYFUNCTION("GOOGLETRANSLATE(C63, ""en"", ""Hi"")"),"ए) मीपायट्टु, बी) एडवस, सी) अंगम, डी) मर्मशास्त्र")</f>
        <v>ए) मीपायट्टु, बी) एडवस, सी) अंगम, डी) मर्मशास्त्र</v>
      </c>
      <c r="I63" s="5" t="str">
        <f>IFERROR(__xludf.DUMMYFUNCTION("GOOGLETRANSLATE(D63, ""en"", ""Hi"")"),"A) मेइपयट्टू")</f>
        <v>A) मेइपयट्टू</v>
      </c>
    </row>
    <row r="64" ht="22.5" customHeight="1">
      <c r="A64" s="9">
        <v>63.0</v>
      </c>
      <c r="B64" s="4" t="s">
        <v>8831</v>
      </c>
      <c r="C64" s="4" t="s">
        <v>8832</v>
      </c>
      <c r="D64" s="4" t="s">
        <v>8833</v>
      </c>
      <c r="F64" s="5" t="str">
        <f>IFERROR(__xludf.DUMMYFUNCTION("GOOGLETRANSLATE(A64, ""en"", ""Hi"")"),"63")</f>
        <v>63</v>
      </c>
      <c r="G64" s="5" t="str">
        <f>IFERROR(__xludf.DUMMYFUNCTION("GOOGLETRANSLATE(B64, ""en"", ""Hi"")"),"कलारीपयट्टू के संदर्भ में 'कलारी' शब्द क्या दर्शाता है?")</f>
        <v>कलारीपयट्टू के संदर्भ में 'कलारी' शब्द क्या दर्शाता है?</v>
      </c>
      <c r="H64" s="5" t="str">
        <f>IFERROR(__xludf.DUMMYFUNCTION("GOOGLETRANSLATE(C64, ""en"", ""Hi"")"),"A) प्रशिक्षण क्षेत्र, B) हथियार, C) तकनीक, D) मास्टर")</f>
        <v>A) प्रशिक्षण क्षेत्र, B) हथियार, C) तकनीक, D) मास्टर</v>
      </c>
      <c r="I64" s="5" t="str">
        <f>IFERROR(__xludf.DUMMYFUNCTION("GOOGLETRANSLATE(D64, ""en"", ""Hi"")"),"ए) प्रशिक्षण क्षेत्र")</f>
        <v>ए) प्रशिक्षण क्षेत्र</v>
      </c>
    </row>
    <row r="65" ht="22.5" customHeight="1">
      <c r="A65" s="9">
        <v>64.0</v>
      </c>
      <c r="B65" s="4" t="s">
        <v>8834</v>
      </c>
      <c r="C65" s="4" t="s">
        <v>8835</v>
      </c>
      <c r="D65" s="4" t="s">
        <v>644</v>
      </c>
      <c r="F65" s="5" t="str">
        <f>IFERROR(__xludf.DUMMYFUNCTION("GOOGLETRANSLATE(A65, ""en"", ""Hi"")"),"64")</f>
        <v>64</v>
      </c>
      <c r="G65" s="5" t="str">
        <f>IFERROR(__xludf.DUMMYFUNCTION("GOOGLETRANSLATE(B65, ""en"", ""Hi"")"),"निम्नलिखित में से कौन सा कलारीपयट्टू के युद्ध प्रशिक्षण का एक प्रमुख पहलू है?")</f>
        <v>निम्नलिखित में से कौन सा कलारीपयट्टू के युद्ध प्रशिक्षण का एक प्रमुख पहलू है?</v>
      </c>
      <c r="H65" s="5" t="str">
        <f>IFERROR(__xludf.DUMMYFUNCTION("GOOGLETRANSLATE(C65, ""en"", ""Hi"")"),"A) लचीलापन, B) गति, C) शक्ति, D) उपरोक्त सभी")</f>
        <v>A) लचीलापन, B) गति, C) शक्ति, D) उपरोक्त सभी</v>
      </c>
      <c r="I65" s="5" t="str">
        <f>IFERROR(__xludf.DUMMYFUNCTION("GOOGLETRANSLATE(D65, ""en"", ""Hi"")"),"D। उपरोक्त सभी")</f>
        <v>D। उपरोक्त सभी</v>
      </c>
    </row>
    <row r="66" ht="22.5" customHeight="1">
      <c r="A66" s="9">
        <v>65.0</v>
      </c>
      <c r="B66" s="4" t="s">
        <v>8836</v>
      </c>
      <c r="C66" s="4" t="s">
        <v>8837</v>
      </c>
      <c r="D66" s="4" t="s">
        <v>8838</v>
      </c>
      <c r="F66" s="5" t="str">
        <f>IFERROR(__xludf.DUMMYFUNCTION("GOOGLETRANSLATE(A66, ""en"", ""Hi"")"),"65")</f>
        <v>65</v>
      </c>
      <c r="G66" s="5" t="str">
        <f>IFERROR(__xludf.DUMMYFUNCTION("GOOGLETRANSLATE(B66, ""en"", ""Hi"")"),"कलारीपयट्टू में 'मर्म' चिकित्सा का प्राथमिक उद्देश्य क्या है?")</f>
        <v>कलारीपयट्टू में 'मर्म' चिकित्सा का प्राथमिक उद्देश्य क्या है?</v>
      </c>
      <c r="H66" s="5" t="str">
        <f>IFERROR(__xludf.DUMMYFUNCTION("GOOGLETRANSLATE(C66, ""en"", ""Hi"")"),"A) युद्ध तकनीक, B) चोटों को ठीक करना, C) हथियार चलाना, D) ध्यान")</f>
        <v>A) युद्ध तकनीक, B) चोटों को ठीक करना, C) हथियार चलाना, D) ध्यान</v>
      </c>
      <c r="I66" s="5" t="str">
        <f>IFERROR(__xludf.DUMMYFUNCTION("GOOGLETRANSLATE(D66, ""en"", ""Hi"")"),"बी) चोटों को ठीक करना")</f>
        <v>बी) चोटों को ठीक करना</v>
      </c>
    </row>
    <row r="67" ht="22.5" customHeight="1">
      <c r="A67" s="9">
        <v>66.0</v>
      </c>
      <c r="B67" s="4" t="s">
        <v>8839</v>
      </c>
      <c r="C67" s="4" t="s">
        <v>8757</v>
      </c>
      <c r="D67" s="4" t="s">
        <v>8840</v>
      </c>
      <c r="F67" s="5" t="str">
        <f>IFERROR(__xludf.DUMMYFUNCTION("GOOGLETRANSLATE(A67, ""en"", ""Hi"")"),"66")</f>
        <v>66</v>
      </c>
      <c r="G67" s="5" t="str">
        <f>IFERROR(__xludf.DUMMYFUNCTION("GOOGLETRANSLATE(B67, ""en"", ""Hi"")"),"कलारीपयट्टू में उन्नत युद्ध तकनीकों के अभ्यास के लिए किस शब्द का प्रयोग किया जाता है?")</f>
        <v>कलारीपयट्टू में उन्नत युद्ध तकनीकों के अभ्यास के लिए किस शब्द का प्रयोग किया जाता है?</v>
      </c>
      <c r="H67" s="5" t="str">
        <f>IFERROR(__xludf.DUMMYFUNCTION("GOOGLETRANSLATE(C67, ""en"", ""Hi"")"),"ए) एडवस, बी) अंगम, सी) कुट्टू वरिसाई, डी) मेइपायट्टु")</f>
        <v>ए) एडवस, बी) अंगम, सी) कुट्टू वरिसाई, डी) मेइपायट्टु</v>
      </c>
      <c r="I67" s="5" t="str">
        <f>IFERROR(__xludf.DUMMYFUNCTION("GOOGLETRANSLATE(D67, ""en"", ""Hi"")"),"C) कुट्टू वरिसाई")</f>
        <v>C) कुट्टू वरिसाई</v>
      </c>
    </row>
    <row r="68" ht="22.5" customHeight="1">
      <c r="A68" s="9">
        <v>67.0</v>
      </c>
      <c r="B68" s="4" t="s">
        <v>8841</v>
      </c>
      <c r="C68" s="4" t="s">
        <v>8842</v>
      </c>
      <c r="D68" s="4" t="s">
        <v>8843</v>
      </c>
      <c r="F68" s="5" t="str">
        <f>IFERROR(__xludf.DUMMYFUNCTION("GOOGLETRANSLATE(A68, ""en"", ""Hi"")"),"67")</f>
        <v>67</v>
      </c>
      <c r="G68" s="5" t="str">
        <f>IFERROR(__xludf.DUMMYFUNCTION("GOOGLETRANSLATE(B68, ""en"", ""Hi"")"),"कलारीपयट्टू में कौन सी प्रथा भाला और लाठी जैसे पारंपरिक हथियारों के उपयोग पर केंद्रित है?")</f>
        <v>कलारीपयट्टू में कौन सी प्रथा भाला और लाठी जैसे पारंपरिक हथियारों के उपयोग पर केंद्रित है?</v>
      </c>
      <c r="H68" s="5" t="str">
        <f>IFERROR(__xludf.DUMMYFUNCTION("GOOGLETRANSLATE(C68, ""en"", ""Hi"")"),"ए) मीपायट्टु, बी) वेरुमकाई, सी) सिलंबम, डी) उझिचिल")</f>
        <v>ए) मीपायट्टु, बी) वेरुमकाई, सी) सिलंबम, डी) उझिचिल</v>
      </c>
      <c r="I68" s="5" t="str">
        <f>IFERROR(__xludf.DUMMYFUNCTION("GOOGLETRANSLATE(D68, ""en"", ""Hi"")"),"C) सिलंबम")</f>
        <v>C) सिलंबम</v>
      </c>
    </row>
    <row r="69" ht="22.5" customHeight="1">
      <c r="A69" s="9">
        <v>68.0</v>
      </c>
      <c r="B69" s="4" t="s">
        <v>8844</v>
      </c>
      <c r="C69" s="4" t="s">
        <v>8845</v>
      </c>
      <c r="D69" s="4" t="s">
        <v>8846</v>
      </c>
      <c r="F69" s="5" t="str">
        <f>IFERROR(__xludf.DUMMYFUNCTION("GOOGLETRANSLATE(A69, ""en"", ""Hi"")"),"68")</f>
        <v>68</v>
      </c>
      <c r="G69" s="5" t="str">
        <f>IFERROR(__xludf.DUMMYFUNCTION("GOOGLETRANSLATE(B69, ""en"", ""Hi"")"),"कलारीपयट्टू में 'कलारी' का क्या महत्व है?")</f>
        <v>कलारीपयट्टू में 'कलारी' का क्या महत्व है?</v>
      </c>
      <c r="H69" s="5" t="str">
        <f>IFERROR(__xludf.DUMMYFUNCTION("GOOGLETRANSLATE(C69, ""en"", ""Hi"")"),"A) यह एक प्रशिक्षण पद्धति है, B) यह एक हथियार है, C) यह एक प्रशिक्षण मैदान है, D) यह एक युद्ध तकनीक है")</f>
        <v>A) यह एक प्रशिक्षण पद्धति है, B) यह एक हथियार है, C) यह एक प्रशिक्षण मैदान है, D) यह एक युद्ध तकनीक है</v>
      </c>
      <c r="I69" s="5" t="str">
        <f>IFERROR(__xludf.DUMMYFUNCTION("GOOGLETRANSLATE(D69, ""en"", ""Hi"")"),"C) यह एक प्रशिक्षण मैदान है")</f>
        <v>C) यह एक प्रशिक्षण मैदान है</v>
      </c>
    </row>
    <row r="70" ht="22.5" customHeight="1">
      <c r="A70" s="9">
        <v>69.0</v>
      </c>
      <c r="B70" s="4" t="s">
        <v>8847</v>
      </c>
      <c r="C70" s="4" t="s">
        <v>8848</v>
      </c>
      <c r="D70" s="4" t="s">
        <v>8849</v>
      </c>
      <c r="F70" s="5" t="str">
        <f>IFERROR(__xludf.DUMMYFUNCTION("GOOGLETRANSLATE(A70, ""en"", ""Hi"")"),"69")</f>
        <v>69</v>
      </c>
      <c r="G70" s="5" t="str">
        <f>IFERROR(__xludf.DUMMYFUNCTION("GOOGLETRANSLATE(B70, ""en"", ""Hi"")"),"भारतीय इतिहास में कौन सा काल कलारीपयट्टू के विकास से सबसे अधिक जुड़ा हुआ है?")</f>
        <v>भारतीय इतिहास में कौन सा काल कलारीपयट्टू के विकास से सबसे अधिक जुड़ा हुआ है?</v>
      </c>
      <c r="H70" s="5" t="str">
        <f>IFERROR(__xludf.DUMMYFUNCTION("GOOGLETRANSLATE(C70, ""en"", ""Hi"")"),"A) मौर्य साम्राज्य, B) चेर राजवंश, C) गुप्त साम्राज्य, D) मुगल साम्राज्य")</f>
        <v>A) मौर्य साम्राज्य, B) चेर राजवंश, C) गुप्त साम्राज्य, D) मुगल साम्राज्य</v>
      </c>
      <c r="I70" s="5" t="str">
        <f>IFERROR(__xludf.DUMMYFUNCTION("GOOGLETRANSLATE(D70, ""en"", ""Hi"")"),"बी) चेर राजवंश")</f>
        <v>बी) चेर राजवंश</v>
      </c>
    </row>
    <row r="71" ht="22.5" customHeight="1">
      <c r="A71" s="9">
        <v>70.0</v>
      </c>
      <c r="B71" s="4" t="s">
        <v>8850</v>
      </c>
      <c r="C71" s="4" t="s">
        <v>8851</v>
      </c>
      <c r="D71" s="4" t="s">
        <v>3208</v>
      </c>
      <c r="F71" s="5" t="str">
        <f>IFERROR(__xludf.DUMMYFUNCTION("GOOGLETRANSLATE(A71, ""en"", ""Hi"")"),"70")</f>
        <v>70</v>
      </c>
      <c r="G71" s="5" t="str">
        <f>IFERROR(__xludf.DUMMYFUNCTION("GOOGLETRANSLATE(B71, ""en"", ""Hi"")"),"किस प्रसिद्ध भारतीय योद्धा का नाम अक्सर कलारीपयट्टू के इतिहास से जोड़ा जाता है?")</f>
        <v>किस प्रसिद्ध भारतीय योद्धा का नाम अक्सर कलारीपयट्टू के इतिहास से जोड़ा जाता है?</v>
      </c>
      <c r="H71" s="5" t="str">
        <f>IFERROR(__xludf.DUMMYFUNCTION("GOOGLETRANSLATE(C71, ""en"", ""Hi"")"),"ए) राणा प्रताप, बी) शिवाजी महाराज, सी) अशोक, डी) चंद्रगुप्त")</f>
        <v>ए) राणा प्रताप, बी) शिवाजी महाराज, सी) अशोक, डी) चंद्रगुप्त</v>
      </c>
      <c r="I71" s="5" t="str">
        <f>IFERROR(__xludf.DUMMYFUNCTION("GOOGLETRANSLATE(D71, ""en"", ""Hi"")"),"B) शिवाजी महाराज")</f>
        <v>B) शिवाजी महाराज</v>
      </c>
    </row>
    <row r="72" ht="22.5" customHeight="1">
      <c r="A72" s="9">
        <v>71.0</v>
      </c>
      <c r="B72" s="4" t="s">
        <v>8852</v>
      </c>
      <c r="C72" s="4" t="s">
        <v>8853</v>
      </c>
      <c r="D72" s="4" t="s">
        <v>2616</v>
      </c>
      <c r="F72" s="5" t="str">
        <f>IFERROR(__xludf.DUMMYFUNCTION("GOOGLETRANSLATE(A72, ""en"", ""Hi"")"),"71")</f>
        <v>71</v>
      </c>
      <c r="G72" s="5" t="str">
        <f>IFERROR(__xludf.DUMMYFUNCTION("GOOGLETRANSLATE(B72, ""en"", ""Hi"")"),"किस प्राचीन ग्रंथ में कलारीपयट्टू के समान तकनीकों और प्रथाओं का उल्लेख है?")</f>
        <v>किस प्राचीन ग्रंथ में कलारीपयट्टू के समान तकनीकों और प्रथाओं का उल्लेख है?</v>
      </c>
      <c r="H72" s="5" t="str">
        <f>IFERROR(__xludf.DUMMYFUNCTION("GOOGLETRANSLATE(C72, ""en"", ""Hi"")"),"ए) अर्थशास्त्र, बी) रामायण, सी) मनुस्मृति, डी) योग सूत्र")</f>
        <v>ए) अर्थशास्त्र, बी) रामायण, सी) मनुस्मृति, डी) योग सूत्र</v>
      </c>
      <c r="I72" s="5" t="str">
        <f>IFERROR(__xludf.DUMMYFUNCTION("GOOGLETRANSLATE(D72, ""en"", ""Hi"")"),"A) अर्थशास्त्र")</f>
        <v>A) अर्थशास्त्र</v>
      </c>
    </row>
    <row r="73" ht="22.5" customHeight="1">
      <c r="A73" s="9">
        <v>72.0</v>
      </c>
      <c r="B73" s="4" t="s">
        <v>8854</v>
      </c>
      <c r="C73" s="4" t="s">
        <v>8855</v>
      </c>
      <c r="D73" s="4" t="s">
        <v>4512</v>
      </c>
      <c r="F73" s="5" t="str">
        <f>IFERROR(__xludf.DUMMYFUNCTION("GOOGLETRANSLATE(A73, ""en"", ""Hi"")"),"72")</f>
        <v>72</v>
      </c>
      <c r="G73" s="5" t="str">
        <f>IFERROR(__xludf.DUMMYFUNCTION("GOOGLETRANSLATE(B73, ""en"", ""Hi"")"),"कलारीपयट्टू की प्रथा पारंपरिक रूप से निम्नलिखित में से किसके माध्यम से आगे बढ़ी है?")</f>
        <v>कलारीपयट्टू की प्रथा पारंपरिक रूप से निम्नलिखित में से किसके माध्यम से आगे बढ़ी है?</v>
      </c>
      <c r="H73" s="5" t="str">
        <f>IFERROR(__xludf.DUMMYFUNCTION("GOOGLETRANSLATE(C73, ""en"", ""Hi"")"),"A) लिखित पाठ, B) मौखिक परंपरा, C) सार्वजनिक प्रदर्शन, D) वीडियो रिकॉर्डिंग")</f>
        <v>A) लिखित पाठ, B) मौखिक परंपरा, C) सार्वजनिक प्रदर्शन, D) वीडियो रिकॉर्डिंग</v>
      </c>
      <c r="I73" s="5" t="str">
        <f>IFERROR(__xludf.DUMMYFUNCTION("GOOGLETRANSLATE(D73, ""en"", ""Hi"")"),"बी) मौखिक परंपरा")</f>
        <v>बी) मौखिक परंपरा</v>
      </c>
    </row>
    <row r="74" ht="22.5" customHeight="1">
      <c r="A74" s="9">
        <v>73.0</v>
      </c>
      <c r="B74" s="4" t="s">
        <v>8856</v>
      </c>
      <c r="C74" s="4" t="s">
        <v>8857</v>
      </c>
      <c r="D74" s="4" t="s">
        <v>8858</v>
      </c>
      <c r="F74" s="5" t="str">
        <f>IFERROR(__xludf.DUMMYFUNCTION("GOOGLETRANSLATE(A74, ""en"", ""Hi"")"),"73")</f>
        <v>73</v>
      </c>
      <c r="G74" s="5" t="str">
        <f>IFERROR(__xludf.DUMMYFUNCTION("GOOGLETRANSLATE(B74, ""en"", ""Hi"")"),"निम्नलिखित में से किस मार्शल आर्ट ने कलारीपयट्टू के विकास को प्रभावित किया?")</f>
        <v>निम्नलिखित में से किस मार्शल आर्ट ने कलारीपयट्टू के विकास को प्रभावित किया?</v>
      </c>
      <c r="H74" s="5" t="str">
        <f>IFERROR(__xludf.DUMMYFUNCTION("GOOGLETRANSLATE(C74, ""en"", ""Hi"")"),"A) चीनी कुंग फू, B) जापानी जूडो, C) कोरियाई ताइक्वांडो, D) थाई मय थाई")</f>
        <v>A) चीनी कुंग फू, B) जापानी जूडो, C) कोरियाई ताइक्वांडो, D) थाई मय थाई</v>
      </c>
      <c r="I74" s="5" t="str">
        <f>IFERROR(__xludf.DUMMYFUNCTION("GOOGLETRANSLATE(D74, ""en"", ""Hi"")"),"A) चीनी कुंग फू")</f>
        <v>A) चीनी कुंग फू</v>
      </c>
    </row>
    <row r="75" ht="22.5" customHeight="1">
      <c r="A75" s="9">
        <v>74.0</v>
      </c>
      <c r="B75" s="4" t="s">
        <v>8859</v>
      </c>
      <c r="C75" s="4" t="s">
        <v>8860</v>
      </c>
      <c r="D75" s="4" t="s">
        <v>8674</v>
      </c>
      <c r="F75" s="5" t="str">
        <f>IFERROR(__xludf.DUMMYFUNCTION("GOOGLETRANSLATE(A75, ""en"", ""Hi"")"),"74")</f>
        <v>74</v>
      </c>
      <c r="G75" s="5" t="str">
        <f>IFERROR(__xludf.DUMMYFUNCTION("GOOGLETRANSLATE(B75, ""en"", ""Hi"")"),"कलारीपयट्टू में, 'मीपयट्टू' किसमें सुधार लाने पर ध्यान केंद्रित करता है?")</f>
        <v>कलारीपयट्टू में, 'मीपयट्टू' किसमें सुधार लाने पर ध्यान केंद्रित करता है?</v>
      </c>
      <c r="H75" s="5" t="str">
        <f>IFERROR(__xludf.DUMMYFUNCTION("GOOGLETRANSLATE(C75, ""en"", ""Hi"")"),"A) शस्त्र कौशल, B) लचीलापन और शक्ति, C) युद्ध रणनीतियाँ, D) मानसिक एकाग्रता")</f>
        <v>A) शस्त्र कौशल, B) लचीलापन और शक्ति, C) युद्ध रणनीतियाँ, D) मानसिक एकाग्रता</v>
      </c>
      <c r="I75" s="5" t="str">
        <f>IFERROR(__xludf.DUMMYFUNCTION("GOOGLETRANSLATE(D75, ""en"", ""Hi"")"),"बी) लचीलापन और ताकत")</f>
        <v>बी) लचीलापन और ताकत</v>
      </c>
    </row>
    <row r="76" ht="22.5" customHeight="1">
      <c r="A76" s="9">
        <v>75.0</v>
      </c>
      <c r="B76" s="4" t="s">
        <v>8861</v>
      </c>
      <c r="C76" s="4" t="s">
        <v>8862</v>
      </c>
      <c r="D76" s="4" t="s">
        <v>8803</v>
      </c>
      <c r="F76" s="5" t="str">
        <f>IFERROR(__xludf.DUMMYFUNCTION("GOOGLETRANSLATE(A76, ""en"", ""Hi"")"),"75")</f>
        <v>75</v>
      </c>
      <c r="G76" s="5" t="str">
        <f>IFERROR(__xludf.DUMMYFUNCTION("GOOGLETRANSLATE(B76, ""en"", ""Hi"")"),"कलारीपयट्टू के किस पहलू में विभिन्न प्रकार के डंडों और लाठियों के साथ प्रशिक्षण शामिल है?")</f>
        <v>कलारीपयट्टू के किस पहलू में विभिन्न प्रकार के डंडों और लाठियों के साथ प्रशिक्षण शामिल है?</v>
      </c>
      <c r="H76" s="5" t="str">
        <f>IFERROR(__xludf.DUMMYFUNCTION("GOOGLETRANSLATE(C76, ""en"", ""Hi"")"),"ए) सिलंबम, बी) मीपायट्टु, सी) एडवस, डी) अंगम")</f>
        <v>ए) सिलंबम, बी) मीपायट्टु, सी) एडवस, डी) अंगम</v>
      </c>
      <c r="I76" s="5" t="str">
        <f>IFERROR(__xludf.DUMMYFUNCTION("GOOGLETRANSLATE(D76, ""en"", ""Hi"")"),"ए) सिलंबम")</f>
        <v>ए) सिलंबम</v>
      </c>
    </row>
    <row r="77" ht="22.5" customHeight="1">
      <c r="A77" s="9">
        <v>76.0</v>
      </c>
      <c r="B77" s="4" t="s">
        <v>8863</v>
      </c>
      <c r="C77" s="4" t="s">
        <v>8864</v>
      </c>
      <c r="D77" s="4" t="s">
        <v>8865</v>
      </c>
      <c r="F77" s="5" t="str">
        <f>IFERROR(__xludf.DUMMYFUNCTION("GOOGLETRANSLATE(A77, ""en"", ""Hi"")"),"76")</f>
        <v>76</v>
      </c>
      <c r="G77" s="5" t="str">
        <f>IFERROR(__xludf.DUMMYFUNCTION("GOOGLETRANSLATE(B77, ""en"", ""Hi"")"),"कलारीपयट्टू के पारंपरिक अभ्यासकर्ता और शिक्षक कौन थे?")</f>
        <v>कलारीपयट्टू के पारंपरिक अभ्यासकर्ता और शिक्षक कौन थे?</v>
      </c>
      <c r="H77" s="5" t="str">
        <f>IFERROR(__xludf.DUMMYFUNCTION("GOOGLETRANSLATE(C77, ""en"", ""Hi"")"),"A) ब्राह्मण, B) राजपूत, C) गुरु, D) राजा")</f>
        <v>A) ब्राह्मण, B) राजपूत, C) गुरु, D) राजा</v>
      </c>
      <c r="I77" s="5" t="str">
        <f>IFERROR(__xludf.DUMMYFUNCTION("GOOGLETRANSLATE(D77, ""en"", ""Hi"")"),"C) गुरु")</f>
        <v>C) गुरु</v>
      </c>
    </row>
    <row r="78" ht="22.5" customHeight="1">
      <c r="A78" s="9">
        <v>77.0</v>
      </c>
      <c r="B78" s="4" t="s">
        <v>8866</v>
      </c>
      <c r="C78" s="4" t="s">
        <v>8826</v>
      </c>
      <c r="D78" s="4" t="s">
        <v>2864</v>
      </c>
      <c r="F78" s="5" t="str">
        <f>IFERROR(__xludf.DUMMYFUNCTION("GOOGLETRANSLATE(A78, ""en"", ""Hi"")"),"77")</f>
        <v>77</v>
      </c>
      <c r="G78" s="5" t="str">
        <f>IFERROR(__xludf.DUMMYFUNCTION("GOOGLETRANSLATE(B78, ""en"", ""Hi"")"),"कौन सा पारंपरिक कलारीपयट्टू हथियार अपने भारी वजन और चौड़े ब्लेड के लिए जाना जाता है?")</f>
        <v>कौन सा पारंपरिक कलारीपयट्टू हथियार अपने भारी वजन और चौड़े ब्लेड के लिए जाना जाता है?</v>
      </c>
      <c r="H78" s="5" t="str">
        <f>IFERROR(__xludf.DUMMYFUNCTION("GOOGLETRANSLATE(C78, ""en"", ""Hi"")"),"A) गदा, B) तलवार, C) खंजर, D) भाला")</f>
        <v>A) गदा, B) तलवार, C) खंजर, D) भाला</v>
      </c>
      <c r="I78" s="5" t="str">
        <f>IFERROR(__xludf.DUMMYFUNCTION("GOOGLETRANSLATE(D78, ""en"", ""Hi"")"),"ए) गदा")</f>
        <v>ए) गदा</v>
      </c>
    </row>
    <row r="79" ht="22.5" customHeight="1">
      <c r="A79" s="9">
        <v>78.0</v>
      </c>
      <c r="B79" s="4" t="s">
        <v>8867</v>
      </c>
      <c r="C79" s="4" t="s">
        <v>8868</v>
      </c>
      <c r="D79" s="4" t="s">
        <v>8869</v>
      </c>
      <c r="F79" s="5" t="str">
        <f>IFERROR(__xludf.DUMMYFUNCTION("GOOGLETRANSLATE(A79, ""en"", ""Hi"")"),"78")</f>
        <v>78</v>
      </c>
      <c r="G79" s="5" t="str">
        <f>IFERROR(__xludf.DUMMYFUNCTION("GOOGLETRANSLATE(B79, ""en"", ""Hi"")"),"कलारीपयट्टू में 'आडू' तकनीक किस प्रकार की गतिविधि पर जोर देने के लिए जानी जाती है?")</f>
        <v>कलारीपयट्टू में 'आडू' तकनीक किस प्रकार की गतिविधि पर जोर देने के लिए जानी जाती है?</v>
      </c>
      <c r="H79" s="5" t="str">
        <f>IFERROR(__xludf.DUMMYFUNCTION("GOOGLETRANSLATE(C79, ""en"", ""Hi"")"),"A) लात मारना, B) हाथापाई, C) प्रहार करना, D) कूदना")</f>
        <v>A) लात मारना, B) हाथापाई, C) प्रहार करना, D) कूदना</v>
      </c>
      <c r="I79" s="5" t="str">
        <f>IFERROR(__xludf.DUMMYFUNCTION("GOOGLETRANSLATE(D79, ""en"", ""Hi"")"),"ए) लात मारना")</f>
        <v>ए) लात मारना</v>
      </c>
    </row>
    <row r="80" ht="22.5" customHeight="1">
      <c r="A80" s="9">
        <v>79.0</v>
      </c>
      <c r="B80" s="4" t="s">
        <v>8870</v>
      </c>
      <c r="C80" s="4" t="s">
        <v>8871</v>
      </c>
      <c r="D80" s="4" t="s">
        <v>8872</v>
      </c>
      <c r="F80" s="5" t="str">
        <f>IFERROR(__xludf.DUMMYFUNCTION("GOOGLETRANSLATE(A80, ""en"", ""Hi"")"),"79")</f>
        <v>79</v>
      </c>
      <c r="G80" s="5" t="str">
        <f>IFERROR(__xludf.DUMMYFUNCTION("GOOGLETRANSLATE(B80, ""en"", ""Hi"")"),"कलारीपयट्टू में 'मर्म' बिंदुओं का क्या उद्देश्य है?")</f>
        <v>कलारीपयट्टू में 'मर्म' बिंदुओं का क्या उद्देश्य है?</v>
      </c>
      <c r="H80" s="5" t="str">
        <f>IFERROR(__xludf.DUMMYFUNCTION("GOOGLETRANSLATE(C80, ""en"", ""Hi"")"),"A) युद्ध तकनीकें, B) उपचार और हमले के लिए महत्वपूर्ण बिंदु, C) ध्यान अभ्यास, D) हथियार डिजाइन")</f>
        <v>A) युद्ध तकनीकें, B) उपचार और हमले के लिए महत्वपूर्ण बिंदु, C) ध्यान अभ्यास, D) हथियार डिजाइन</v>
      </c>
      <c r="I80" s="5" t="str">
        <f>IFERROR(__xludf.DUMMYFUNCTION("GOOGLETRANSLATE(D80, ""en"", ""Hi"")"),"बी) उपचार और हमले के लिए महत्वपूर्ण बिंदु")</f>
        <v>बी) उपचार और हमले के लिए महत्वपूर्ण बिंदु</v>
      </c>
    </row>
    <row r="81" ht="22.5" customHeight="1">
      <c r="A81" s="9">
        <v>80.0</v>
      </c>
      <c r="B81" s="4" t="s">
        <v>8873</v>
      </c>
      <c r="C81" s="4" t="s">
        <v>8874</v>
      </c>
      <c r="D81" s="4" t="s">
        <v>8840</v>
      </c>
      <c r="F81" s="5" t="str">
        <f>IFERROR(__xludf.DUMMYFUNCTION("GOOGLETRANSLATE(A81, ""en"", ""Hi"")"),"80")</f>
        <v>80</v>
      </c>
      <c r="G81" s="5" t="str">
        <f>IFERROR(__xludf.DUMMYFUNCTION("GOOGLETRANSLATE(B81, ""en"", ""Hi"")"),"कलारीपयट्टू में निम्नलिखित में से कौन सी प्रथा निहत्थे युद्ध तकनीकों पर केंद्रित है?")</f>
        <v>कलारीपयट्टू में निम्नलिखित में से कौन सी प्रथा निहत्थे युद्ध तकनीकों पर केंद्रित है?</v>
      </c>
      <c r="H81" s="5" t="str">
        <f>IFERROR(__xludf.DUMMYFUNCTION("GOOGLETRANSLATE(C81, ""en"", ""Hi"")"),"ए) मीपायट्टु, बी) वेरुमकाई, सी) कुट्टू वरिसाई, डी) सिलंबम")</f>
        <v>ए) मीपायट्टु, बी) वेरुमकाई, सी) कुट्टू वरिसाई, डी) सिलंबम</v>
      </c>
      <c r="I81" s="5" t="str">
        <f>IFERROR(__xludf.DUMMYFUNCTION("GOOGLETRANSLATE(D81, ""en"", ""Hi"")"),"C) कुट्टू वरिसाई")</f>
        <v>C) कुट्टू वरिसाई</v>
      </c>
    </row>
    <row r="82" ht="22.5" customHeight="1">
      <c r="A82" s="9">
        <v>81.0</v>
      </c>
      <c r="B82" s="4" t="s">
        <v>8875</v>
      </c>
      <c r="C82" s="4" t="s">
        <v>8876</v>
      </c>
      <c r="D82" s="4" t="s">
        <v>8877</v>
      </c>
      <c r="F82" s="5" t="str">
        <f>IFERROR(__xludf.DUMMYFUNCTION("GOOGLETRANSLATE(A82, ""en"", ""Hi"")"),"81")</f>
        <v>81</v>
      </c>
      <c r="G82" s="5" t="str">
        <f>IFERROR(__xludf.DUMMYFUNCTION("GOOGLETRANSLATE(B82, ""en"", ""Hi"")"),"कलारीपयट्टू प्रशिक्षण में 'अडावस' का प्राथमिक उद्देश्य क्या है?")</f>
        <v>कलारीपयट्टू प्रशिक्षण में 'अडावस' का प्राथमिक उद्देश्य क्या है?</v>
      </c>
      <c r="H82" s="5" t="str">
        <f>IFERROR(__xludf.DUMMYFUNCTION("GOOGLETRANSLATE(C82, ""en"", ""Hi"")"),"A) युद्ध रणनीतियाँ, B) हथियार संचालन, C) फुटवर्क पैटर्न, D) उपचार")</f>
        <v>A) युद्ध रणनीतियाँ, B) हथियार संचालन, C) फुटवर्क पैटर्न, D) उपचार</v>
      </c>
      <c r="I82" s="5" t="str">
        <f>IFERROR(__xludf.DUMMYFUNCTION("GOOGLETRANSLATE(D82, ""en"", ""Hi"")"),"C) फुटवर्क पैटर्न")</f>
        <v>C) फुटवर्क पैटर्न</v>
      </c>
    </row>
    <row r="83" ht="22.5" customHeight="1">
      <c r="A83" s="9">
        <v>82.0</v>
      </c>
      <c r="B83" s="4" t="s">
        <v>8878</v>
      </c>
      <c r="C83" s="4" t="s">
        <v>8879</v>
      </c>
      <c r="D83" s="4" t="s">
        <v>8803</v>
      </c>
      <c r="F83" s="5" t="str">
        <f>IFERROR(__xludf.DUMMYFUNCTION("GOOGLETRANSLATE(A83, ""en"", ""Hi"")"),"82")</f>
        <v>82</v>
      </c>
      <c r="G83" s="5" t="str">
        <f>IFERROR(__xludf.DUMMYFUNCTION("GOOGLETRANSLATE(B83, ""en"", ""Hi"")"),"कौन सी कलारीपयट्टू तकनीक में एक लंबे, लचीले हथियार का उपयोग शामिल है?")</f>
        <v>कौन सी कलारीपयट्टू तकनीक में एक लंबे, लचीले हथियार का उपयोग शामिल है?</v>
      </c>
      <c r="H83" s="5" t="str">
        <f>IFERROR(__xludf.DUMMYFUNCTION("GOOGLETRANSLATE(C83, ""en"", ""Hi"")"),"ए) सिलंबम, बी) एडवस, सी) कुट्टू वरिसाई, डी) मेइपायट्टु")</f>
        <v>ए) सिलंबम, बी) एडवस, सी) कुट्टू वरिसाई, डी) मेइपायट्टु</v>
      </c>
      <c r="I83" s="5" t="str">
        <f>IFERROR(__xludf.DUMMYFUNCTION("GOOGLETRANSLATE(D83, ""en"", ""Hi"")"),"ए) सिलंबम")</f>
        <v>ए) सिलंबम</v>
      </c>
    </row>
    <row r="84" ht="22.5" customHeight="1">
      <c r="A84" s="9">
        <v>83.0</v>
      </c>
      <c r="B84" s="4" t="s">
        <v>8880</v>
      </c>
      <c r="C84" s="4" t="s">
        <v>8881</v>
      </c>
      <c r="D84" s="4" t="s">
        <v>8882</v>
      </c>
      <c r="F84" s="5" t="str">
        <f>IFERROR(__xludf.DUMMYFUNCTION("GOOGLETRANSLATE(A84, ""en"", ""Hi"")"),"83")</f>
        <v>83</v>
      </c>
      <c r="G84" s="5" t="str">
        <f>IFERROR(__xludf.DUMMYFUNCTION("GOOGLETRANSLATE(B84, ""en"", ""Hi"")"),"कलारीपयट्टु के सन्दर्भ में 'मर्मशास्त्र' किसको संदर्भित करता है?")</f>
        <v>कलारीपयट्टु के सन्दर्भ में 'मर्मशास्त्र' किसको संदर्भित करता है?</v>
      </c>
      <c r="H84" s="5" t="str">
        <f>IFERROR(__xludf.DUMMYFUNCTION("GOOGLETRANSLATE(C84, ""en"", ""Hi"")"),"A) एक प्रकार का हथियार, B) एक उपचार तकनीक, C) महत्वपूर्ण बिंदुओं का ज्ञान, D) एक युद्ध क्रम")</f>
        <v>A) एक प्रकार का हथियार, B) एक उपचार तकनीक, C) महत्वपूर्ण बिंदुओं का ज्ञान, D) एक युद्ध क्रम</v>
      </c>
      <c r="I84" s="5" t="str">
        <f>IFERROR(__xludf.DUMMYFUNCTION("GOOGLETRANSLATE(D84, ""en"", ""Hi"")"),"C) महत्वपूर्ण बिंदुओं का ज्ञान")</f>
        <v>C) महत्वपूर्ण बिंदुओं का ज्ञान</v>
      </c>
    </row>
    <row r="85" ht="22.5" customHeight="1">
      <c r="A85" s="9">
        <v>84.0</v>
      </c>
      <c r="B85" s="4" t="s">
        <v>8883</v>
      </c>
      <c r="C85" s="4" t="s">
        <v>8884</v>
      </c>
      <c r="D85" s="4" t="s">
        <v>8830</v>
      </c>
      <c r="F85" s="5" t="str">
        <f>IFERROR(__xludf.DUMMYFUNCTION("GOOGLETRANSLATE(A85, ""en"", ""Hi"")"),"84")</f>
        <v>84</v>
      </c>
      <c r="G85" s="5" t="str">
        <f>IFERROR(__xludf.DUMMYFUNCTION("GOOGLETRANSLATE(B85, ""en"", ""Hi"")"),"कलारीपयट्टू में कौन सी तकनीक गोलाकार, प्रवाहमय गतियों की विशेषता है?")</f>
        <v>कलारीपयट्टू में कौन सी तकनीक गोलाकार, प्रवाहमय गतियों की विशेषता है?</v>
      </c>
      <c r="H85" s="5" t="str">
        <f>IFERROR(__xludf.DUMMYFUNCTION("GOOGLETRANSLATE(C85, ""en"", ""Hi"")"),"ए) मीपायट्टु, बी) एडवस, सी) अंगम, डी) सिलंबम")</f>
        <v>ए) मीपायट्टु, बी) एडवस, सी) अंगम, डी) सिलंबम</v>
      </c>
      <c r="I85" s="5" t="str">
        <f>IFERROR(__xludf.DUMMYFUNCTION("GOOGLETRANSLATE(D85, ""en"", ""Hi"")"),"A) मेइपयट्टू")</f>
        <v>A) मेइपयट्टू</v>
      </c>
    </row>
    <row r="86" ht="22.5" customHeight="1">
      <c r="A86" s="9">
        <v>85.0</v>
      </c>
      <c r="B86" s="4" t="s">
        <v>8885</v>
      </c>
      <c r="C86" s="4" t="s">
        <v>8886</v>
      </c>
      <c r="D86" s="4" t="s">
        <v>8887</v>
      </c>
      <c r="F86" s="5" t="str">
        <f>IFERROR(__xludf.DUMMYFUNCTION("GOOGLETRANSLATE(A86, ""en"", ""Hi"")"),"85")</f>
        <v>85</v>
      </c>
      <c r="G86" s="5" t="str">
        <f>IFERROR(__xludf.DUMMYFUNCTION("GOOGLETRANSLATE(B86, ""en"", ""Hi"")"),"कलारीपयट्टू में सहनशक्ति और शक्ति निर्माण के लिए प्रयुक्त प्रशिक्षण की पारंपरिक विधि क्या है?")</f>
        <v>कलारीपयट्टू में सहनशक्ति और शक्ति निर्माण के लिए प्रयुक्त प्रशिक्षण की पारंपरिक विधि क्या है?</v>
      </c>
      <c r="H86" s="5" t="str">
        <f>IFERROR(__xludf.DUMMYFUNCTION("GOOGLETRANSLATE(C86, ""en"", ""Hi"")"),"ए) उझिचिल, बी) एडवस, सी) मेइपायट्टु, डी) अंगम")</f>
        <v>ए) उझिचिल, बी) एडवस, सी) मेइपायट्टु, डी) अंगम</v>
      </c>
      <c r="I86" s="5" t="str">
        <f>IFERROR(__xludf.DUMMYFUNCTION("GOOGLETRANSLATE(D86, ""en"", ""Hi"")"),"बी) एडवस")</f>
        <v>बी) एडवस</v>
      </c>
    </row>
    <row r="87" ht="22.5" customHeight="1">
      <c r="A87" s="9">
        <v>86.0</v>
      </c>
      <c r="B87" s="4" t="s">
        <v>8888</v>
      </c>
      <c r="C87" s="4" t="s">
        <v>4071</v>
      </c>
      <c r="D87" s="4" t="s">
        <v>8196</v>
      </c>
      <c r="F87" s="5" t="str">
        <f>IFERROR(__xludf.DUMMYFUNCTION("GOOGLETRANSLATE(A87, ""en"", ""Hi"")"),"86")</f>
        <v>86</v>
      </c>
      <c r="G87" s="5" t="str">
        <f>IFERROR(__xludf.DUMMYFUNCTION("GOOGLETRANSLATE(B87, ""en"", ""Hi"")"),"कौन सा भारतीय राज्य अपने कलारीपयट्टू चिकित्सकों और प्रशिक्षण केंद्रों के लिए सबसे प्रसिद्ध है?")</f>
        <v>कौन सा भारतीय राज्य अपने कलारीपयट्टू चिकित्सकों और प्रशिक्षण केंद्रों के लिए सबसे प्रसिद्ध है?</v>
      </c>
      <c r="H87" s="5" t="str">
        <f>IFERROR(__xludf.DUMMYFUNCTION("GOOGLETRANSLATE(C87, ""en"", ""Hi"")"),"A) तमिलनाडु, B) कर्नाटक, C) केरल, D) आंध्र प्रदेश")</f>
        <v>A) तमिलनाडु, B) कर्नाटक, C) केरल, D) आंध्र प्रदेश</v>
      </c>
      <c r="I87" s="5" t="str">
        <f>IFERROR(__xludf.DUMMYFUNCTION("GOOGLETRANSLATE(D87, ""en"", ""Hi"")"),"C) केरल")</f>
        <v>C) केरल</v>
      </c>
    </row>
    <row r="88" ht="22.5" customHeight="1">
      <c r="A88" s="9">
        <v>87.0</v>
      </c>
      <c r="B88" s="4" t="s">
        <v>8889</v>
      </c>
      <c r="C88" s="4" t="s">
        <v>8890</v>
      </c>
      <c r="D88" s="4" t="s">
        <v>8891</v>
      </c>
      <c r="F88" s="5" t="str">
        <f>IFERROR(__xludf.DUMMYFUNCTION("GOOGLETRANSLATE(A88, ""en"", ""Hi"")"),"87")</f>
        <v>87</v>
      </c>
      <c r="G88" s="5" t="str">
        <f>IFERROR(__xludf.DUMMYFUNCTION("GOOGLETRANSLATE(B88, ""en"", ""Hi"")"),"कलारीपयट्टू में कौन सी पारंपरिक प्रथा शरीर के उपचार और स्वास्थ्य लाभ के लिए प्रयोग की जाती है?")</f>
        <v>कलारीपयट्टू में कौन सी पारंपरिक प्रथा शरीर के उपचार और स्वास्थ्य लाभ के लिए प्रयोग की जाती है?</v>
      </c>
      <c r="H88" s="5" t="str">
        <f>IFERROR(__xludf.DUMMYFUNCTION("GOOGLETRANSLATE(C88, ""en"", ""Hi"")"),"ए) उझिचिल, बी) मर्म चिकित्सा, सी) मेइपायट्टु, डी) अंगम")</f>
        <v>ए) उझिचिल, बी) मर्म चिकित्सा, सी) मेइपायट्टु, डी) अंगम</v>
      </c>
      <c r="I88" s="5" t="str">
        <f>IFERROR(__xludf.DUMMYFUNCTION("GOOGLETRANSLATE(D88, ""en"", ""Hi"")"),"ए) उझिचिल")</f>
        <v>ए) उझिचिल</v>
      </c>
    </row>
    <row r="89" ht="22.5" customHeight="1">
      <c r="A89" s="9">
        <v>88.0</v>
      </c>
      <c r="B89" s="4" t="s">
        <v>8892</v>
      </c>
      <c r="C89" s="4" t="s">
        <v>8893</v>
      </c>
      <c r="D89" s="4" t="s">
        <v>8840</v>
      </c>
      <c r="F89" s="5" t="str">
        <f>IFERROR(__xludf.DUMMYFUNCTION("GOOGLETRANSLATE(A89, ""en"", ""Hi"")"),"88")</f>
        <v>88</v>
      </c>
      <c r="G89" s="5" t="str">
        <f>IFERROR(__xludf.DUMMYFUNCTION("GOOGLETRANSLATE(B89, ""en"", ""Hi"")"),"कलारीपयट्टू में, उस प्रशिक्षण सत्र के लिए क्या शब्द प्रयुक्त होता है जिसमें युद्ध अभ्यास और तकनीकें शामिल होती हैं?")</f>
        <v>कलारीपयट्टू में, उस प्रशिक्षण सत्र के लिए क्या शब्द प्रयुक्त होता है जिसमें युद्ध अभ्यास और तकनीकें शामिल होती हैं?</v>
      </c>
      <c r="H89" s="5" t="str">
        <f>IFERROR(__xludf.DUMMYFUNCTION("GOOGLETRANSLATE(C89, ""en"", ""Hi"")"),"ए) कलारी, बी) अंगम, सी) कुट्टू वरिसाई, डी) एडवस")</f>
        <v>ए) कलारी, बी) अंगम, सी) कुट्टू वरिसाई, डी) एडवस</v>
      </c>
      <c r="I89" s="5" t="str">
        <f>IFERROR(__xludf.DUMMYFUNCTION("GOOGLETRANSLATE(D89, ""en"", ""Hi"")"),"C) कुट्टू वरिसाई")</f>
        <v>C) कुट्टू वरिसाई</v>
      </c>
    </row>
    <row r="90" ht="22.5" customHeight="1">
      <c r="A90" s="9">
        <v>89.0</v>
      </c>
      <c r="B90" s="4" t="s">
        <v>8894</v>
      </c>
      <c r="C90" s="4" t="s">
        <v>8826</v>
      </c>
      <c r="D90" s="4" t="s">
        <v>8827</v>
      </c>
      <c r="F90" s="5" t="str">
        <f>IFERROR(__xludf.DUMMYFUNCTION("GOOGLETRANSLATE(A90, ""en"", ""Hi"")"),"89")</f>
        <v>89</v>
      </c>
      <c r="G90" s="5" t="str">
        <f>IFERROR(__xludf.DUMMYFUNCTION("GOOGLETRANSLATE(B90, ""en"", ""Hi"")"),"निम्नलिखित में से कौन सा कलारीपयट्टू में प्रयुक्त होने वाला पारंपरिक हथियार है जो अपने घुमावदार ब्लेड के लिए जाना जाता है?")</f>
        <v>निम्नलिखित में से कौन सा कलारीपयट्टू में प्रयुक्त होने वाला पारंपरिक हथियार है जो अपने घुमावदार ब्लेड के लिए जाना जाता है?</v>
      </c>
      <c r="H90" s="5" t="str">
        <f>IFERROR(__xludf.DUMMYFUNCTION("GOOGLETRANSLATE(C90, ""en"", ""Hi"")"),"A) गदा, B) तलवार, C) खंजर, D) भाला")</f>
        <v>A) गदा, B) तलवार, C) खंजर, D) भाला</v>
      </c>
      <c r="I90" s="5" t="str">
        <f>IFERROR(__xludf.DUMMYFUNCTION("GOOGLETRANSLATE(D90, ""en"", ""Hi"")"),"बी) तलवार")</f>
        <v>बी) तलवार</v>
      </c>
    </row>
    <row r="91" ht="22.5" customHeight="1">
      <c r="A91" s="9">
        <v>90.0</v>
      </c>
      <c r="B91" s="4" t="s">
        <v>8895</v>
      </c>
      <c r="C91" s="4" t="s">
        <v>8896</v>
      </c>
      <c r="D91" s="4" t="s">
        <v>8897</v>
      </c>
      <c r="F91" s="5" t="str">
        <f>IFERROR(__xludf.DUMMYFUNCTION("GOOGLETRANSLATE(A91, ""en"", ""Hi"")"),"90")</f>
        <v>90</v>
      </c>
      <c r="G91" s="5" t="str">
        <f>IFERROR(__xludf.DUMMYFUNCTION("GOOGLETRANSLATE(B91, ""en"", ""Hi"")"),"कलारीपयट्टू में 'सुत्तु' तकनीक किस विशिष्ट गतिविधि के लिए जानी जाती है?")</f>
        <v>कलारीपयट्टू में 'सुत्तु' तकनीक किस विशिष्ट गतिविधि के लिए जानी जाती है?</v>
      </c>
      <c r="H91" s="5" t="str">
        <f>IFERROR(__xludf.DUMMYFUNCTION("GOOGLETRANSLATE(C91, ""en"", ""Hi"")"),"A) घुमाव, B) लुढ़कना, C) कूदना, D) फिसलना")</f>
        <v>A) घुमाव, B) लुढ़कना, C) कूदना, D) फिसलना</v>
      </c>
      <c r="I91" s="5" t="str">
        <f>IFERROR(__xludf.DUMMYFUNCTION("GOOGLETRANSLATE(D91, ""en"", ""Hi"")"),"सी) कूदना")</f>
        <v>सी) कूदना</v>
      </c>
    </row>
    <row r="92" ht="22.5" customHeight="1">
      <c r="A92" s="9">
        <v>91.0</v>
      </c>
      <c r="B92" s="4" t="s">
        <v>8898</v>
      </c>
      <c r="C92" s="4" t="s">
        <v>8899</v>
      </c>
      <c r="D92" s="4" t="s">
        <v>8900</v>
      </c>
      <c r="F92" s="5" t="str">
        <f>IFERROR(__xludf.DUMMYFUNCTION("GOOGLETRANSLATE(A92, ""en"", ""Hi"")"),"91")</f>
        <v>91</v>
      </c>
      <c r="G92" s="5" t="str">
        <f>IFERROR(__xludf.DUMMYFUNCTION("GOOGLETRANSLATE(B92, ""en"", ""Hi"")"),"कलारीपयट्टू में 'कलारी' प्रशिक्षण का मुख्य लक्ष्य क्या है?")</f>
        <v>कलारीपयट्टू में 'कलारी' प्रशिक्षण का मुख्य लक्ष्य क्या है?</v>
      </c>
      <c r="H92" s="5" t="str">
        <f>IFERROR(__xludf.DUMMYFUNCTION("GOOGLETRANSLATE(C92, ""en"", ""Hi"")"),"A) शस्त्र विद्या में निपुणता प्राप्त करना, B) लचीलापन विकसित करना, C) युद्ध कौशल को बढ़ाना, D) उपचार तकनीक सीखना")</f>
        <v>A) शस्त्र विद्या में निपुणता प्राप्त करना, B) लचीलापन विकसित करना, C) युद्ध कौशल को बढ़ाना, D) उपचार तकनीक सीखना</v>
      </c>
      <c r="I92" s="5" t="str">
        <f>IFERROR(__xludf.DUMMYFUNCTION("GOOGLETRANSLATE(D92, ""en"", ""Hi"")"),"C) युद्ध कौशल बढ़ाने के लिए")</f>
        <v>C) युद्ध कौशल बढ़ाने के लिए</v>
      </c>
    </row>
    <row r="93" ht="22.5" customHeight="1">
      <c r="A93" s="9">
        <v>92.0</v>
      </c>
      <c r="B93" s="4" t="s">
        <v>8901</v>
      </c>
      <c r="C93" s="4" t="s">
        <v>8902</v>
      </c>
      <c r="D93" s="4" t="s">
        <v>8761</v>
      </c>
      <c r="F93" s="5" t="str">
        <f>IFERROR(__xludf.DUMMYFUNCTION("GOOGLETRANSLATE(A93, ""en"", ""Hi"")"),"92")</f>
        <v>92</v>
      </c>
      <c r="G93" s="5" t="str">
        <f>IFERROR(__xludf.DUMMYFUNCTION("GOOGLETRANSLATE(B93, ""en"", ""Hi"")"),"कलारीपयट्टू के बारे में कौन सा ग्रंथ ऐतिहासिक ज्ञान का महत्वपूर्ण स्रोत माना जाता है?")</f>
        <v>कलारीपयट्टू के बारे में कौन सा ग्रंथ ऐतिहासिक ज्ञान का महत्वपूर्ण स्रोत माना जाता है?</v>
      </c>
      <c r="H93" s="5" t="str">
        <f>IFERROR(__xludf.DUMMYFUNCTION("GOOGLETRANSLATE(C93, ""en"", ""Hi"")"),"A) महाभारत, B) रामायण, C) योग सूत्र, D) संगम साहित्य")</f>
        <v>A) महाभारत, B) रामायण, C) योग सूत्र, D) संगम साहित्य</v>
      </c>
      <c r="I93" s="5" t="str">
        <f>IFERROR(__xludf.DUMMYFUNCTION("GOOGLETRANSLATE(D93, ""en"", ""Hi"")"),"D) संगम साहित्य")</f>
        <v>D) संगम साहित्य</v>
      </c>
    </row>
    <row r="94" ht="22.5" customHeight="1">
      <c r="A94" s="9">
        <v>93.0</v>
      </c>
      <c r="B94" s="4" t="s">
        <v>8903</v>
      </c>
      <c r="C94" s="4" t="s">
        <v>8904</v>
      </c>
      <c r="D94" s="4" t="s">
        <v>8905</v>
      </c>
      <c r="F94" s="5" t="str">
        <f>IFERROR(__xludf.DUMMYFUNCTION("GOOGLETRANSLATE(A94, ""en"", ""Hi"")"),"93")</f>
        <v>93</v>
      </c>
      <c r="G94" s="5" t="str">
        <f>IFERROR(__xludf.DUMMYFUNCTION("GOOGLETRANSLATE(B94, ""en"", ""Hi"")"),"'अंगम' अभ्यास में किस प्रकार की युद्ध तकनीक पर जोर दिया जाता है?")</f>
        <v>'अंगम' अभ्यास में किस प्रकार की युद्ध तकनीक पर जोर दिया जाता है?</v>
      </c>
      <c r="H94" s="5" t="str">
        <f>IFERROR(__xludf.DUMMYFUNCTION("GOOGLETRANSLATE(C94, ""en"", ""Hi"")"),"A) निहत्थे प्रहार, B) हाथापाई और फेंकना, C) लात मारना और प्रहार करना, D) हथियार चलाना")</f>
        <v>A) निहत्थे प्रहार, B) हाथापाई और फेंकना, C) लात मारना और प्रहार करना, D) हथियार चलाना</v>
      </c>
      <c r="I94" s="5" t="str">
        <f>IFERROR(__xludf.DUMMYFUNCTION("GOOGLETRANSLATE(D94, ""en"", ""Hi"")"),"C) लात मारना और प्रहार करना")</f>
        <v>C) लात मारना और प्रहार करना</v>
      </c>
    </row>
    <row r="95" ht="22.5" customHeight="1">
      <c r="A95" s="9">
        <v>94.0</v>
      </c>
      <c r="B95" s="4" t="s">
        <v>8906</v>
      </c>
      <c r="C95" s="4" t="s">
        <v>8907</v>
      </c>
      <c r="D95" s="4" t="s">
        <v>8803</v>
      </c>
      <c r="F95" s="5" t="str">
        <f>IFERROR(__xludf.DUMMYFUNCTION("GOOGLETRANSLATE(A95, ""en"", ""Hi"")"),"94")</f>
        <v>94</v>
      </c>
      <c r="G95" s="5" t="str">
        <f>IFERROR(__xludf.DUMMYFUNCTION("GOOGLETRANSLATE(B95, ""en"", ""Hi"")"),"कौन सी पारंपरिक कलारीपयट्टू प्रथा में लंबी छड़ियों या डंडों का उपयोग शामिल है?")</f>
        <v>कौन सी पारंपरिक कलारीपयट्टू प्रथा में लंबी छड़ियों या डंडों का उपयोग शामिल है?</v>
      </c>
      <c r="H95" s="5" t="str">
        <f>IFERROR(__xludf.DUMMYFUNCTION("GOOGLETRANSLATE(C95, ""en"", ""Hi"")"),"ए) सिलंबम, बी) एडवस, सी) वेरुमकाई, डी) मेइपायट्टु")</f>
        <v>ए) सिलंबम, बी) एडवस, सी) वेरुमकाई, डी) मेइपायट्टु</v>
      </c>
      <c r="I95" s="5" t="str">
        <f>IFERROR(__xludf.DUMMYFUNCTION("GOOGLETRANSLATE(D95, ""en"", ""Hi"")"),"ए) सिलंबम")</f>
        <v>ए) सिलंबम</v>
      </c>
    </row>
    <row r="96" ht="22.5" customHeight="1">
      <c r="A96" s="9">
        <v>95.0</v>
      </c>
      <c r="B96" s="4" t="s">
        <v>8908</v>
      </c>
      <c r="C96" s="4" t="s">
        <v>8909</v>
      </c>
      <c r="D96" s="4" t="s">
        <v>8910</v>
      </c>
      <c r="F96" s="5" t="str">
        <f>IFERROR(__xludf.DUMMYFUNCTION("GOOGLETRANSLATE(A96, ""en"", ""Hi"")"),"95")</f>
        <v>95</v>
      </c>
      <c r="G96" s="5" t="str">
        <f>IFERROR(__xludf.DUMMYFUNCTION("GOOGLETRANSLATE(B96, ""en"", ""Hi"")"),"कलारीपयट्टू में 'मर्म' चिकित्सा का उद्देश्य क्या है?")</f>
        <v>कलारीपयट्टू में 'मर्म' चिकित्सा का उद्देश्य क्या है?</v>
      </c>
      <c r="H96" s="5" t="str">
        <f>IFERROR(__xludf.DUMMYFUNCTION("GOOGLETRANSLATE(C96, ""en"", ""Hi"")"),"A) युद्ध कौशल को बढ़ाने के लिए, B) उपचार और हमले के लिए महत्वपूर्ण बिंदुओं को समझने के लिए, C) हथियारों के साथ प्रशिक्षण के लिए, D) ध्यान का अभ्यास करने के लिए")</f>
        <v>A) युद्ध कौशल को बढ़ाने के लिए, B) उपचार और हमले के लिए महत्वपूर्ण बिंदुओं को समझने के लिए, C) हथियारों के साथ प्रशिक्षण के लिए, D) ध्यान का अभ्यास करने के लिए</v>
      </c>
      <c r="I96" s="5" t="str">
        <f>IFERROR(__xludf.DUMMYFUNCTION("GOOGLETRANSLATE(D96, ""en"", ""Hi"")"),"बी) उपचार और हमले के लिए महत्वपूर्ण बिंदुओं को समझना")</f>
        <v>बी) उपचार और हमले के लिए महत्वपूर्ण बिंदुओं को समझना</v>
      </c>
    </row>
    <row r="97" ht="22.5" customHeight="1">
      <c r="A97" s="9">
        <v>96.0</v>
      </c>
      <c r="B97" s="4" t="s">
        <v>8911</v>
      </c>
      <c r="C97" s="4" t="s">
        <v>8912</v>
      </c>
      <c r="D97" s="4" t="s">
        <v>8913</v>
      </c>
      <c r="F97" s="5" t="str">
        <f>IFERROR(__xludf.DUMMYFUNCTION("GOOGLETRANSLATE(A97, ""en"", ""Hi"")"),"96")</f>
        <v>96</v>
      </c>
      <c r="G97" s="5" t="str">
        <f>IFERROR(__xludf.DUMMYFUNCTION("GOOGLETRANSLATE(B97, ""en"", ""Hi"")"),"कलारीपयट्टू में, 'कट्टू' किस पर केंद्रित है?")</f>
        <v>कलारीपयट्टू में, 'कट्टू' किस पर केंद्रित है?</v>
      </c>
      <c r="H97" s="5" t="str">
        <f>IFERROR(__xludf.DUMMYFUNCTION("GOOGLETRANSLATE(C97, ""en"", ""Hi"")"),"A) हथियार कौशल, B) युद्ध अभ्यास, C) उपचार, D) लचीलापन")</f>
        <v>A) हथियार कौशल, B) युद्ध अभ्यास, C) उपचार, D) लचीलापन</v>
      </c>
      <c r="I97" s="5" t="str">
        <f>IFERROR(__xludf.DUMMYFUNCTION("GOOGLETRANSLATE(D97, ""en"", ""Hi"")"),"बी) युद्ध अभ्यास")</f>
        <v>बी) युद्ध अभ्यास</v>
      </c>
    </row>
    <row r="98" ht="22.5" customHeight="1">
      <c r="A98" s="9">
        <v>97.0</v>
      </c>
      <c r="B98" s="4" t="s">
        <v>8914</v>
      </c>
      <c r="C98" s="4" t="s">
        <v>8915</v>
      </c>
      <c r="D98" s="4" t="s">
        <v>8803</v>
      </c>
      <c r="F98" s="5" t="str">
        <f>IFERROR(__xludf.DUMMYFUNCTION("GOOGLETRANSLATE(A98, ""en"", ""Hi"")"),"97")</f>
        <v>97</v>
      </c>
      <c r="G98" s="5" t="str">
        <f>IFERROR(__xludf.DUMMYFUNCTION("GOOGLETRANSLATE(B98, ""en"", ""Hi"")"),"निम्नलिखित में से कौन सी कलारीपयट्टू तकनीक हथियार संचालन पर जोर देने के लिए जानी जाती है?")</f>
        <v>निम्नलिखित में से कौन सी कलारीपयट्टू तकनीक हथियार संचालन पर जोर देने के लिए जानी जाती है?</v>
      </c>
      <c r="H98" s="5" t="str">
        <f>IFERROR(__xludf.DUMMYFUNCTION("GOOGLETRANSLATE(C98, ""en"", ""Hi"")"),"ए) सिलंबम, बी) एडवस, सी) अंगम, डी) मेइपायट्टु")</f>
        <v>ए) सिलंबम, बी) एडवस, सी) अंगम, डी) मेइपायट्टु</v>
      </c>
      <c r="I98" s="5" t="str">
        <f>IFERROR(__xludf.DUMMYFUNCTION("GOOGLETRANSLATE(D98, ""en"", ""Hi"")"),"ए) सिलंबम")</f>
        <v>ए) सिलंबम</v>
      </c>
    </row>
    <row r="99" ht="22.5" customHeight="1">
      <c r="A99" s="9">
        <v>98.0</v>
      </c>
      <c r="B99" s="4" t="s">
        <v>8916</v>
      </c>
      <c r="C99" s="4" t="s">
        <v>8826</v>
      </c>
      <c r="D99" s="4" t="s">
        <v>8917</v>
      </c>
      <c r="F99" s="5" t="str">
        <f>IFERROR(__xludf.DUMMYFUNCTION("GOOGLETRANSLATE(A99, ""en"", ""Hi"")"),"98")</f>
        <v>98</v>
      </c>
      <c r="G99" s="5" t="str">
        <f>IFERROR(__xludf.DUMMYFUNCTION("GOOGLETRANSLATE(B99, ""en"", ""Hi"")"),"कलारीपयट्टू में प्रयुक्त होने वाले किस प्रकार के पारंपरिक हथियार में बहु-धार वाला ब्लेड होता है?")</f>
        <v>कलारीपयट्टू में प्रयुक्त होने वाले किस प्रकार के पारंपरिक हथियार में बहु-धार वाला ब्लेड होता है?</v>
      </c>
      <c r="H99" s="5" t="str">
        <f>IFERROR(__xludf.DUMMYFUNCTION("GOOGLETRANSLATE(C99, ""en"", ""Hi"")"),"A) गदा, B) तलवार, C) खंजर, D) भाला")</f>
        <v>A) गदा, B) तलवार, C) खंजर, D) भाला</v>
      </c>
      <c r="I99" s="5" t="str">
        <f>IFERROR(__xludf.DUMMYFUNCTION("GOOGLETRANSLATE(D99, ""en"", ""Hi"")"),"C) खंजर")</f>
        <v>C) खंजर</v>
      </c>
    </row>
    <row r="100" ht="22.5" customHeight="1">
      <c r="A100" s="9">
        <v>99.0</v>
      </c>
      <c r="B100" s="4" t="s">
        <v>8918</v>
      </c>
      <c r="C100" s="4" t="s">
        <v>8919</v>
      </c>
      <c r="D100" s="4" t="s">
        <v>3520</v>
      </c>
      <c r="F100" s="5" t="str">
        <f>IFERROR(__xludf.DUMMYFUNCTION("GOOGLETRANSLATE(A100, ""en"", ""Hi"")"),"99")</f>
        <v>99</v>
      </c>
      <c r="G100" s="5" t="str">
        <f>IFERROR(__xludf.DUMMYFUNCTION("GOOGLETRANSLATE(B100, ""en"", ""Hi"")"),"प्राचीन मूर्तियों में किस महान व्यक्ति को अक्सर कलारीपयट्टू का अभ्यास करते हुए दर्शाया गया है?")</f>
        <v>प्राचीन मूर्तियों में किस महान व्यक्ति को अक्सर कलारीपयट्टू का अभ्यास करते हुए दर्शाया गया है?</v>
      </c>
      <c r="H100" s="5" t="str">
        <f>IFERROR(__xludf.DUMMYFUNCTION("GOOGLETRANSLATE(C100, ""en"", ""Hi"")"),"A) कृष्ण, B) राम, C) शिव, D) विष्णु")</f>
        <v>A) कृष्ण, B) राम, C) शिव, D) विष्णु</v>
      </c>
      <c r="I100" s="5" t="str">
        <f>IFERROR(__xludf.DUMMYFUNCTION("GOOGLETRANSLATE(D100, ""en"", ""Hi"")"),"C) शिव")</f>
        <v>C) शिव</v>
      </c>
    </row>
    <row r="101" ht="22.5" customHeight="1">
      <c r="A101" s="9">
        <v>100.0</v>
      </c>
      <c r="B101" s="4" t="s">
        <v>8920</v>
      </c>
      <c r="C101" s="4" t="s">
        <v>8921</v>
      </c>
      <c r="D101" s="4" t="s">
        <v>8922</v>
      </c>
      <c r="F101" s="5" t="str">
        <f>IFERROR(__xludf.DUMMYFUNCTION("GOOGLETRANSLATE(A101, ""en"", ""Hi"")"),"100")</f>
        <v>100</v>
      </c>
      <c r="G101" s="5" t="str">
        <f>IFERROR(__xludf.DUMMYFUNCTION("GOOGLETRANSLATE(B101, ""en"", ""Hi"")"),"कलारीपयट्टू में 'उझिचिल' का क्या महत्व है?")</f>
        <v>कलारीपयट्टू में 'उझिचिल' का क्या महत्व है?</v>
      </c>
      <c r="H101" s="5" t="str">
        <f>IFERROR(__xludf.DUMMYFUNCTION("GOOGLETRANSLATE(C101, ""en"", ""Hi"")"),"ए) युद्ध अभ्यास, बी) उपचार चिकित्सा, सी) हथियार प्रशिक्षण, डी) फुटवर्क पैटर्न")</f>
        <v>ए) युद्ध अभ्यास, बी) उपचार चिकित्सा, सी) हथियार प्रशिक्षण, डी) फुटवर्क पैटर्न</v>
      </c>
      <c r="I101" s="5" t="str">
        <f>IFERROR(__xludf.DUMMYFUNCTION("GOOGLETRANSLATE(D101, ""en"", ""Hi"")"),"बी) उपचार चिकित्सा")</f>
        <v>बी) उपचार चिकित्सा</v>
      </c>
    </row>
    <row r="102" ht="22.5" customHeight="1">
      <c r="A102" s="9">
        <v>101.0</v>
      </c>
      <c r="B102" s="4" t="s">
        <v>8923</v>
      </c>
      <c r="C102" s="4" t="s">
        <v>8924</v>
      </c>
      <c r="D102" s="4" t="s">
        <v>8781</v>
      </c>
      <c r="F102" s="5" t="str">
        <f>IFERROR(__xludf.DUMMYFUNCTION("GOOGLETRANSLATE(A102, ""en"", ""Hi"")"),"101")</f>
        <v>101</v>
      </c>
      <c r="G102" s="5" t="str">
        <f>IFERROR(__xludf.DUMMYFUNCTION("GOOGLETRANSLATE(B102, ""en"", ""Hi"")"),"कलारीपयट्टू का कौन सा पहलू शारीरिक शक्ति और सहनशक्ति बढ़ाने पर केंद्रित है?")</f>
        <v>कलारीपयट्टू का कौन सा पहलू शारीरिक शक्ति और सहनशक्ति बढ़ाने पर केंद्रित है?</v>
      </c>
      <c r="H102" s="5" t="str">
        <f>IFERROR(__xludf.DUMMYFUNCTION("GOOGLETRANSLATE(C102, ""en"", ""Hi"")"),"ए) एडवस, बी) मीपायट्टु, सी) सिलंबम, डी) अंगम")</f>
        <v>ए) एडवस, बी) मीपायट्टु, सी) सिलंबम, डी) अंगम</v>
      </c>
      <c r="I102" s="5" t="str">
        <f>IFERROR(__xludf.DUMMYFUNCTION("GOOGLETRANSLATE(D102, ""en"", ""Hi"")"),"बी) मेइपयट्टू")</f>
        <v>बी) मेइपयट्टू</v>
      </c>
    </row>
    <row r="103" ht="22.5" customHeight="1">
      <c r="A103" s="9">
        <v>102.0</v>
      </c>
      <c r="B103" s="4" t="s">
        <v>8925</v>
      </c>
      <c r="C103" s="4" t="s">
        <v>8926</v>
      </c>
      <c r="D103" s="4" t="s">
        <v>8927</v>
      </c>
      <c r="F103" s="5" t="str">
        <f>IFERROR(__xludf.DUMMYFUNCTION("GOOGLETRANSLATE(A103, ""en"", ""Hi"")"),"102")</f>
        <v>102</v>
      </c>
      <c r="G103" s="5" t="str">
        <f>IFERROR(__xludf.DUMMYFUNCTION("GOOGLETRANSLATE(B103, ""en"", ""Hi"")"),"पारंपरिक कलारीपयट्टू हथियार 'शंखम' को निम्नलिखित में से किस नाम से सर्वोत्तम रूप से वर्णित किया जाता है?")</f>
        <v>पारंपरिक कलारीपयट्टू हथियार 'शंखम' को निम्नलिखित में से किस नाम से सर्वोत्तम रूप से वर्णित किया जाता है?</v>
      </c>
      <c r="H103" s="5" t="str">
        <f>IFERROR(__xludf.DUMMYFUNCTION("GOOGLETRANSLATE(C103, ""en"", ""Hi"")"),"A) तलवार, B) भाला, C) शंख, D) गदा")</f>
        <v>A) तलवार, B) भाला, C) शंख, D) गदा</v>
      </c>
      <c r="I103" s="5" t="str">
        <f>IFERROR(__xludf.DUMMYFUNCTION("GOOGLETRANSLATE(D103, ""en"", ""Hi"")"),"C) शंख")</f>
        <v>C) शंख</v>
      </c>
    </row>
    <row r="104" ht="22.5" customHeight="1">
      <c r="A104" s="9">
        <v>103.0</v>
      </c>
      <c r="B104" s="4" t="s">
        <v>8928</v>
      </c>
      <c r="C104" s="4" t="s">
        <v>8929</v>
      </c>
      <c r="D104" s="4" t="s">
        <v>8743</v>
      </c>
      <c r="F104" s="5" t="str">
        <f>IFERROR(__xludf.DUMMYFUNCTION("GOOGLETRANSLATE(A104, ""en"", ""Hi"")"),"103")</f>
        <v>103</v>
      </c>
      <c r="G104" s="5" t="str">
        <f>IFERROR(__xludf.DUMMYFUNCTION("GOOGLETRANSLATE(B104, ""en"", ""Hi"")"),"कलारीपयट्टू सत्र शुरू करने से पहले पारंपरिक औपचारिक अभ्यास क्या है?")</f>
        <v>कलारीपयट्टू सत्र शुरू करने से पहले पारंपरिक औपचारिक अभ्यास क्या है?</v>
      </c>
      <c r="H104" s="5" t="str">
        <f>IFERROR(__xludf.DUMMYFUNCTION("GOOGLETRANSLATE(C104, ""en"", ""Hi"")"),"A) पूजा, B) जप, C) ध्यान, D) शारीरिक कंडीशनिंग")</f>
        <v>A) पूजा, B) जप, C) ध्यान, D) शारीरिक कंडीशनिंग</v>
      </c>
      <c r="I104" s="5" t="str">
        <f>IFERROR(__xludf.DUMMYFUNCTION("GOOGLETRANSLATE(D104, ""en"", ""Hi"")"),"ए) पूजा")</f>
        <v>ए) पूजा</v>
      </c>
    </row>
    <row r="105" ht="22.5" customHeight="1">
      <c r="A105" s="9">
        <v>104.0</v>
      </c>
      <c r="B105" s="4" t="s">
        <v>8930</v>
      </c>
      <c r="C105" s="4" t="s">
        <v>8931</v>
      </c>
      <c r="D105" s="4" t="s">
        <v>8830</v>
      </c>
      <c r="F105" s="5" t="str">
        <f>IFERROR(__xludf.DUMMYFUNCTION("GOOGLETRANSLATE(A105, ""en"", ""Hi"")"),"104")</f>
        <v>104</v>
      </c>
      <c r="G105" s="5" t="str">
        <f>IFERROR(__xludf.DUMMYFUNCTION("GOOGLETRANSLATE(B105, ""en"", ""Hi"")"),"कौन सी कलारीपयट्टू प्रथा लचीली, प्रवाहमय गतिविधियों के उपयोग पर जोर देती है?")</f>
        <v>कौन सी कलारीपयट्टू प्रथा लचीली, प्रवाहमय गतिविधियों के उपयोग पर जोर देती है?</v>
      </c>
      <c r="H105" s="5" t="str">
        <f>IFERROR(__xludf.DUMMYFUNCTION("GOOGLETRANSLATE(C105, ""en"", ""Hi"")"),"ए) मीपायट्टु, बी) अंगम, सी) एडवस, डी) सिलंबम")</f>
        <v>ए) मीपायट्टु, बी) अंगम, सी) एडवस, डी) सिलंबम</v>
      </c>
      <c r="I105" s="5" t="str">
        <f>IFERROR(__xludf.DUMMYFUNCTION("GOOGLETRANSLATE(D105, ""en"", ""Hi"")"),"A) मेइपयट्टू")</f>
        <v>A) मेइपयट्टू</v>
      </c>
    </row>
    <row r="106" ht="22.5" customHeight="1">
      <c r="A106" s="9">
        <v>105.0</v>
      </c>
      <c r="B106" s="4" t="s">
        <v>8932</v>
      </c>
      <c r="C106" s="4" t="s">
        <v>8933</v>
      </c>
      <c r="D106" s="4" t="s">
        <v>8803</v>
      </c>
      <c r="F106" s="5" t="str">
        <f>IFERROR(__xludf.DUMMYFUNCTION("GOOGLETRANSLATE(A106, ""en"", ""Hi"")"),"105")</f>
        <v>105</v>
      </c>
      <c r="G106" s="5" t="str">
        <f>IFERROR(__xludf.DUMMYFUNCTION("GOOGLETRANSLATE(B106, ""en"", ""Hi"")"),"कौन सा कलारीपयट्टू अभ्यास विभिन्न प्रकार के हथियारों का उपयोग करके हथियार तकनीकों पर ध्यान केंद्रित करने के लिए जाना जाता है?")</f>
        <v>कौन सा कलारीपयट्टू अभ्यास विभिन्न प्रकार के हथियारों का उपयोग करके हथियार तकनीकों पर ध्यान केंद्रित करने के लिए जाना जाता है?</v>
      </c>
      <c r="H106" s="5" t="str">
        <f>IFERROR(__xludf.DUMMYFUNCTION("GOOGLETRANSLATE(C106, ""en"", ""Hi"")"),"ए) सिलंबम, बी) वेरुमकाई, सी) मीपायट्टु, डी) कुट्टू वरिसाई")</f>
        <v>ए) सिलंबम, बी) वेरुमकाई, सी) मीपायट्टु, डी) कुट्टू वरिसाई</v>
      </c>
      <c r="I106" s="5" t="str">
        <f>IFERROR(__xludf.DUMMYFUNCTION("GOOGLETRANSLATE(D106, ""en"", ""Hi"")"),"ए) सिलंबम")</f>
        <v>ए) सिलंबम</v>
      </c>
    </row>
    <row r="107" ht="22.5" customHeight="1">
      <c r="A107" s="9">
        <v>106.0</v>
      </c>
      <c r="B107" s="4" t="s">
        <v>8934</v>
      </c>
      <c r="C107" s="4" t="s">
        <v>8935</v>
      </c>
      <c r="D107" s="4" t="s">
        <v>8936</v>
      </c>
      <c r="F107" s="5" t="str">
        <f>IFERROR(__xludf.DUMMYFUNCTION("GOOGLETRANSLATE(A107, ""en"", ""Hi"")"),"106")</f>
        <v>106</v>
      </c>
      <c r="G107" s="5" t="str">
        <f>IFERROR(__xludf.DUMMYFUNCTION("GOOGLETRANSLATE(B107, ""en"", ""Hi"")"),"किस प्राचीन भारतीय राजा को कलारीपयट्टू के प्रचार का श्रेय दिया जाता है?")</f>
        <v>किस प्राचीन भारतीय राजा को कलारीपयट्टू के प्रचार का श्रेय दिया जाता है?</v>
      </c>
      <c r="H107" s="5" t="str">
        <f>IFERROR(__xludf.DUMMYFUNCTION("GOOGLETRANSLATE(C107, ""en"", ""Hi"")"),"ए) अशोक, बी) चंद्रगुप्त मौर्य, सी) राजा राजा चोल, डी) शिवाजी महाराज")</f>
        <v>ए) अशोक, बी) चंद्रगुप्त मौर्य, सी) राजा राजा चोल, डी) शिवाजी महाराज</v>
      </c>
      <c r="I107" s="5" t="str">
        <f>IFERROR(__xludf.DUMMYFUNCTION("GOOGLETRANSLATE(D107, ""en"", ""Hi"")"),"C) राजा राज चोल")</f>
        <v>C) राजा राज चोल</v>
      </c>
    </row>
    <row r="108" ht="22.5" customHeight="1">
      <c r="A108" s="9">
        <v>107.0</v>
      </c>
      <c r="B108" s="4" t="s">
        <v>8937</v>
      </c>
      <c r="C108" s="4" t="s">
        <v>8938</v>
      </c>
      <c r="D108" s="4" t="s">
        <v>2592</v>
      </c>
      <c r="F108" s="5" t="str">
        <f>IFERROR(__xludf.DUMMYFUNCTION("GOOGLETRANSLATE(A108, ""en"", ""Hi"")"),"107")</f>
        <v>107</v>
      </c>
      <c r="G108" s="5" t="str">
        <f>IFERROR(__xludf.DUMMYFUNCTION("GOOGLETRANSLATE(B108, ""en"", ""Hi"")"),"कलारीपयट्टू में 'मर्म' शब्द मुख्यतः किसको संदर्भित करता है?")</f>
        <v>कलारीपयट्टू में 'मर्म' शब्द मुख्यतः किसको संदर्भित करता है?</v>
      </c>
      <c r="H108" s="5" t="str">
        <f>IFERROR(__xludf.DUMMYFUNCTION("GOOGLETRANSLATE(C108, ""en"", ""Hi"")"),"ए) हथियार डिजाइन, बी) महत्वपूर्ण बिंदु, सी) युद्ध तकनीक, डी) प्रशिक्षण विधियां")</f>
        <v>ए) हथियार डिजाइन, बी) महत्वपूर्ण बिंदु, सी) युद्ध तकनीक, डी) प्रशिक्षण विधियां</v>
      </c>
      <c r="I108" s="5" t="str">
        <f>IFERROR(__xludf.DUMMYFUNCTION("GOOGLETRANSLATE(D108, ""en"", ""Hi"")"),"बी) महत्वपूर्ण बिंदु")</f>
        <v>बी) महत्वपूर्ण बिंदु</v>
      </c>
    </row>
    <row r="109" ht="22.5" customHeight="1">
      <c r="A109" s="9">
        <v>108.0</v>
      </c>
      <c r="B109" s="4" t="s">
        <v>8939</v>
      </c>
      <c r="C109" s="4" t="s">
        <v>8940</v>
      </c>
      <c r="D109" s="4" t="s">
        <v>8941</v>
      </c>
      <c r="F109" s="5" t="str">
        <f>IFERROR(__xludf.DUMMYFUNCTION("GOOGLETRANSLATE(A109, ""en"", ""Hi"")"),"108")</f>
        <v>108</v>
      </c>
      <c r="G109" s="5" t="str">
        <f>IFERROR(__xludf.DUMMYFUNCTION("GOOGLETRANSLATE(B109, ""en"", ""Hi"")"),"कलारीपयट्टू में 'अंगम' तकनीक का मुख्य केंद्र क्या है?")</f>
        <v>कलारीपयट्टू में 'अंगम' तकनीक का मुख्य केंद्र क्या है?</v>
      </c>
      <c r="H109" s="5" t="str">
        <f>IFERROR(__xludf.DUMMYFUNCTION("GOOGLETRANSLATE(C109, ""en"", ""Hi"")"),"A) हथियार चलाना, B) युद्ध तकनीक, C) पैरों का काम, D) उपचार")</f>
        <v>A) हथियार चलाना, B) युद्ध तकनीक, C) पैरों का काम, D) उपचार</v>
      </c>
      <c r="I109" s="5" t="str">
        <f>IFERROR(__xludf.DUMMYFUNCTION("GOOGLETRANSLATE(D109, ""en"", ""Hi"")"),"बी) युद्ध तकनीक")</f>
        <v>बी) युद्ध तकनीक</v>
      </c>
    </row>
    <row r="110" ht="22.5" customHeight="1">
      <c r="A110" s="9">
        <v>109.0</v>
      </c>
      <c r="B110" s="4" t="s">
        <v>8942</v>
      </c>
      <c r="C110" s="4" t="s">
        <v>8943</v>
      </c>
      <c r="D110" s="4" t="s">
        <v>8830</v>
      </c>
      <c r="F110" s="5" t="str">
        <f>IFERROR(__xludf.DUMMYFUNCTION("GOOGLETRANSLATE(A110, ""en"", ""Hi"")"),"109")</f>
        <v>109</v>
      </c>
      <c r="G110" s="5" t="str">
        <f>IFERROR(__xludf.DUMMYFUNCTION("GOOGLETRANSLATE(B110, ""en"", ""Hi"")"),"कौन सी कलारीपयट्टू प्रथा में पारंपरिक वृत्ताकार गतियों का प्रशिक्षण शामिल है?")</f>
        <v>कौन सी कलारीपयट्टू प्रथा में पारंपरिक वृत्ताकार गतियों का प्रशिक्षण शामिल है?</v>
      </c>
      <c r="H110" s="5" t="str">
        <f>IFERROR(__xludf.DUMMYFUNCTION("GOOGLETRANSLATE(C110, ""en"", ""Hi"")"),"ए) मीपायट्टु, बी) अंगम, सी) कुट्टू वरिसाई, डी) सिलंबम")</f>
        <v>ए) मीपायट्टु, बी) अंगम, सी) कुट्टू वरिसाई, डी) सिलंबम</v>
      </c>
      <c r="I110" s="5" t="str">
        <f>IFERROR(__xludf.DUMMYFUNCTION("GOOGLETRANSLATE(D110, ""en"", ""Hi"")"),"A) मेइपयट्टू")</f>
        <v>A) मेइपयट्टू</v>
      </c>
    </row>
    <row r="111" ht="22.5" customHeight="1">
      <c r="A111" s="9">
        <v>110.0</v>
      </c>
      <c r="B111" s="4" t="s">
        <v>8944</v>
      </c>
      <c r="C111" s="4" t="s">
        <v>8945</v>
      </c>
      <c r="D111" s="4" t="s">
        <v>8946</v>
      </c>
      <c r="F111" s="5" t="str">
        <f>IFERROR(__xludf.DUMMYFUNCTION("GOOGLETRANSLATE(A111, ""en"", ""Hi"")"),"110")</f>
        <v>110</v>
      </c>
      <c r="G111" s="5" t="str">
        <f>IFERROR(__xludf.DUMMYFUNCTION("GOOGLETRANSLATE(B111, ""en"", ""Hi"")"),"कलारीपयट्टू में 'अदावु' तकनीक में मुख्य रूप से क्या शामिल है?")</f>
        <v>कलारीपयट्टू में 'अदावु' तकनीक में मुख्य रूप से क्या शामिल है?</v>
      </c>
      <c r="H111" s="5" t="str">
        <f>IFERROR(__xludf.DUMMYFUNCTION("GOOGLETRANSLATE(C111, ""en"", ""Hi"")"),"ए) फुटवर्क पैटर्न, बी) हथियार संचालन, सी) युद्ध रणनीतियाँ, डी) उपचार")</f>
        <v>ए) फुटवर्क पैटर्न, बी) हथियार संचालन, सी) युद्ध रणनीतियाँ, डी) उपचार</v>
      </c>
      <c r="I111" s="5" t="str">
        <f>IFERROR(__xludf.DUMMYFUNCTION("GOOGLETRANSLATE(D111, ""en"", ""Hi"")"),"A) फुटवर्क पैटर्न")</f>
        <v>A) फुटवर्क पैटर्न</v>
      </c>
    </row>
    <row r="112" ht="22.5" customHeight="1">
      <c r="A112" s="9">
        <v>111.0</v>
      </c>
      <c r="B112" s="4" t="s">
        <v>8947</v>
      </c>
      <c r="C112" s="4" t="s">
        <v>8907</v>
      </c>
      <c r="D112" s="4" t="s">
        <v>8803</v>
      </c>
      <c r="F112" s="5" t="str">
        <f>IFERROR(__xludf.DUMMYFUNCTION("GOOGLETRANSLATE(A112, ""en"", ""Hi"")"),"111")</f>
        <v>111</v>
      </c>
      <c r="G112" s="5" t="str">
        <f>IFERROR(__xludf.DUMMYFUNCTION("GOOGLETRANSLATE(B112, ""en"", ""Hi"")"),"कलारीपयट्टू में कौन सी प्रथा पारंपरिक स्टाफ तकनीकों के उपयोग से चिह्नित है?")</f>
        <v>कलारीपयट्टू में कौन सी प्रथा पारंपरिक स्टाफ तकनीकों के उपयोग से चिह्नित है?</v>
      </c>
      <c r="H112" s="5" t="str">
        <f>IFERROR(__xludf.DUMMYFUNCTION("GOOGLETRANSLATE(C112, ""en"", ""Hi"")"),"ए) सिलंबम, बी) एडवस, सी) वेरुमकाई, डी) मेइपायट्टु")</f>
        <v>ए) सिलंबम, बी) एडवस, सी) वेरुमकाई, डी) मेइपायट्टु</v>
      </c>
      <c r="I112" s="5" t="str">
        <f>IFERROR(__xludf.DUMMYFUNCTION("GOOGLETRANSLATE(D112, ""en"", ""Hi"")"),"ए) सिलंबम")</f>
        <v>ए) सिलंबम</v>
      </c>
    </row>
    <row r="113" ht="22.5" customHeight="1">
      <c r="A113" s="9">
        <v>112.0</v>
      </c>
      <c r="B113" s="4" t="s">
        <v>8948</v>
      </c>
      <c r="C113" s="4" t="s">
        <v>8949</v>
      </c>
      <c r="D113" s="4" t="s">
        <v>8830</v>
      </c>
      <c r="F113" s="5" t="str">
        <f>IFERROR(__xludf.DUMMYFUNCTION("GOOGLETRANSLATE(A113, ""en"", ""Hi"")"),"112")</f>
        <v>112</v>
      </c>
      <c r="G113" s="5" t="str">
        <f>IFERROR(__xludf.DUMMYFUNCTION("GOOGLETRANSLATE(B113, ""en"", ""Hi"")"),"कलारीपयट्टू में शरीर को लचीलापन और ताकत प्रदान करने के लिए किस तकनीक का उपयोग किया जाता है?")</f>
        <v>कलारीपयट्टू में शरीर को लचीलापन और ताकत प्रदान करने के लिए किस तकनीक का उपयोग किया जाता है?</v>
      </c>
      <c r="H113" s="5" t="str">
        <f>IFERROR(__xludf.DUMMYFUNCTION("GOOGLETRANSLATE(C113, ""en"", ""Hi"")"),"ए) मेइपायट्टु, बी) एडवस, सी) अंगम, डी) कुट्टू वरिसाई")</f>
        <v>ए) मेइपायट्टु, बी) एडवस, सी) अंगम, डी) कुट्टू वरिसाई</v>
      </c>
      <c r="I113" s="5" t="str">
        <f>IFERROR(__xludf.DUMMYFUNCTION("GOOGLETRANSLATE(D113, ""en"", ""Hi"")"),"A) मेइपयट्टू")</f>
        <v>A) मेइपयट्टू</v>
      </c>
    </row>
    <row r="114" ht="22.5" customHeight="1">
      <c r="A114" s="9">
        <v>113.0</v>
      </c>
      <c r="B114" s="4" t="s">
        <v>8950</v>
      </c>
      <c r="C114" s="4" t="s">
        <v>8951</v>
      </c>
      <c r="D114" s="4" t="s">
        <v>8952</v>
      </c>
      <c r="F114" s="5" t="str">
        <f>IFERROR(__xludf.DUMMYFUNCTION("GOOGLETRANSLATE(A114, ""en"", ""Hi"")"),"113")</f>
        <v>113</v>
      </c>
      <c r="G114" s="5" t="str">
        <f>IFERROR(__xludf.DUMMYFUNCTION("GOOGLETRANSLATE(B114, ""en"", ""Hi"")"),"कौन सा कलारीपयट्टू हथियार आक्रामक और रक्षात्मक दोनों तकनीकों में उपयोग के लिए जाना जाता है?")</f>
        <v>कौन सा कलारीपयट्टू हथियार आक्रामक और रक्षात्मक दोनों तकनीकों में उपयोग के लिए जाना जाता है?</v>
      </c>
      <c r="H114" s="5" t="str">
        <f>IFERROR(__xludf.DUMMYFUNCTION("GOOGLETRANSLATE(C114, ""en"", ""Hi"")"),"A) तलवार, B) भाला, C) गदा, D) खंजर")</f>
        <v>A) तलवार, B) भाला, C) गदा, D) खंजर</v>
      </c>
      <c r="I114" s="5" t="str">
        <f>IFERROR(__xludf.DUMMYFUNCTION("GOOGLETRANSLATE(D114, ""en"", ""Hi"")"),"बी) भाला")</f>
        <v>बी) भाला</v>
      </c>
    </row>
    <row r="115" ht="22.5" customHeight="1">
      <c r="A115" s="9">
        <v>114.0</v>
      </c>
      <c r="B115" s="4" t="s">
        <v>8953</v>
      </c>
      <c r="C115" s="4" t="s">
        <v>8954</v>
      </c>
      <c r="D115" s="4" t="s">
        <v>8955</v>
      </c>
      <c r="F115" s="5" t="str">
        <f>IFERROR(__xludf.DUMMYFUNCTION("GOOGLETRANSLATE(A115, ""en"", ""Hi"")"),"114")</f>
        <v>114</v>
      </c>
      <c r="G115" s="5" t="str">
        <f>IFERROR(__xludf.DUMMYFUNCTION("GOOGLETRANSLATE(B115, ""en"", ""Hi"")"),"कलारीपयट्टू के संदर्भ में 'पप्पन' की क्या भूमिका है?")</f>
        <v>कलारीपयट्टू के संदर्भ में 'पप्पन' की क्या भूमिका है?</v>
      </c>
      <c r="H115" s="5" t="str">
        <f>IFERROR(__xludf.DUMMYFUNCTION("GOOGLETRANSLATE(C115, ""en"", ""Hi"")"),"A) हथियार, B) प्रशिक्षण तकनीक, C) मास्टर, D) छात्र")</f>
        <v>A) हथियार, B) प्रशिक्षण तकनीक, C) मास्टर, D) छात्र</v>
      </c>
      <c r="I115" s="5" t="str">
        <f>IFERROR(__xludf.DUMMYFUNCTION("GOOGLETRANSLATE(D115, ""en"", ""Hi"")"),"सी) मास्टर")</f>
        <v>सी) मास्टर</v>
      </c>
    </row>
    <row r="116" ht="22.5" customHeight="1">
      <c r="A116" s="9">
        <v>115.0</v>
      </c>
      <c r="B116" s="4" t="s">
        <v>8956</v>
      </c>
      <c r="C116" s="4" t="s">
        <v>8957</v>
      </c>
      <c r="D116" s="4" t="s">
        <v>8958</v>
      </c>
      <c r="F116" s="5" t="str">
        <f>IFERROR(__xludf.DUMMYFUNCTION("GOOGLETRANSLATE(A116, ""en"", ""Hi"")"),"115")</f>
        <v>115</v>
      </c>
      <c r="G116" s="5" t="str">
        <f>IFERROR(__xludf.DUMMYFUNCTION("GOOGLETRANSLATE(B116, ""en"", ""Hi"")"),"कलारीपयट्टू में कौन सा अभ्यास हथियारों के उपयोग के बिना युद्ध दृश्यों पर केंद्रित है?")</f>
        <v>कलारीपयट्टू में कौन सा अभ्यास हथियारों के उपयोग के बिना युद्ध दृश्यों पर केंद्रित है?</v>
      </c>
      <c r="H116" s="5" t="str">
        <f>IFERROR(__xludf.DUMMYFUNCTION("GOOGLETRANSLATE(C116, ""en"", ""Hi"")"),"ए) वेरुमकाई, बी) अंगम, सी) सिलंबम, डी) मेइपायट्टु")</f>
        <v>ए) वेरुमकाई, बी) अंगम, सी) सिलंबम, डी) मेइपायट्टु</v>
      </c>
      <c r="I116" s="5" t="str">
        <f>IFERROR(__xludf.DUMMYFUNCTION("GOOGLETRANSLATE(D116, ""en"", ""Hi"")"),"A) वेरुमकाई")</f>
        <v>A) वेरुमकाई</v>
      </c>
    </row>
    <row r="117" ht="22.5" customHeight="1">
      <c r="A117" s="9">
        <v>116.0</v>
      </c>
      <c r="B117" s="4" t="s">
        <v>8959</v>
      </c>
      <c r="C117" s="4" t="s">
        <v>8960</v>
      </c>
      <c r="D117" s="4" t="s">
        <v>8961</v>
      </c>
      <c r="F117" s="5" t="str">
        <f>IFERROR(__xludf.DUMMYFUNCTION("GOOGLETRANSLATE(A117, ""en"", ""Hi"")"),"116")</f>
        <v>116</v>
      </c>
      <c r="G117" s="5" t="str">
        <f>IFERROR(__xludf.DUMMYFUNCTION("GOOGLETRANSLATE(B117, ""en"", ""Hi"")"),"कलारीपयट्टू में 'संकल्प' का प्राथमिक उद्देश्य क्या है?")</f>
        <v>कलारीपयट्टू में 'संकल्प' का प्राथमिक उद्देश्य क्या है?</v>
      </c>
      <c r="H117" s="5" t="str">
        <f>IFERROR(__xludf.DUMMYFUNCTION("GOOGLETRANSLATE(C117, ""en"", ""Hi"")"),"ए) युद्ध की तैयारी, बी) उपचार, सी) ध्यान, डी) फुटवर्क अभ्यास")</f>
        <v>ए) युद्ध की तैयारी, बी) उपचार, सी) ध्यान, डी) फुटवर्क अभ्यास</v>
      </c>
      <c r="I117" s="5" t="str">
        <f>IFERROR(__xludf.DUMMYFUNCTION("GOOGLETRANSLATE(D117, ""en"", ""Hi"")"),"ए) युद्ध की तैयारी")</f>
        <v>ए) युद्ध की तैयारी</v>
      </c>
    </row>
    <row r="118" ht="22.5" customHeight="1">
      <c r="A118" s="9">
        <v>117.0</v>
      </c>
      <c r="B118" s="4" t="s">
        <v>8962</v>
      </c>
      <c r="C118" s="4" t="s">
        <v>8963</v>
      </c>
      <c r="D118" s="4" t="s">
        <v>8964</v>
      </c>
      <c r="F118" s="5" t="str">
        <f>IFERROR(__xludf.DUMMYFUNCTION("GOOGLETRANSLATE(A118, ""en"", ""Hi"")"),"117")</f>
        <v>117</v>
      </c>
      <c r="G118" s="5" t="str">
        <f>IFERROR(__xludf.DUMMYFUNCTION("GOOGLETRANSLATE(B118, ""en"", ""Hi"")"),"कलारीपयट्टु में, 'कुट्टू वरिसाई' किसको संदर्भित करता है?")</f>
        <v>कलारीपयट्टु में, 'कुट्टू वरिसाई' किसको संदर्भित करता है?</v>
      </c>
      <c r="H118" s="5" t="str">
        <f>IFERROR(__xludf.DUMMYFUNCTION("GOOGLETRANSLATE(C118, ""en"", ""Hi"")"),"A) एक प्रकार का हथियार, B) एक उपचार तकनीक, C) एक युद्ध क्रम, D) एक प्रशिक्षण पद्धति")</f>
        <v>A) एक प्रकार का हथियार, B) एक उपचार तकनीक, C) एक युद्ध क्रम, D) एक प्रशिक्षण पद्धति</v>
      </c>
      <c r="I118" s="5" t="str">
        <f>IFERROR(__xludf.DUMMYFUNCTION("GOOGLETRANSLATE(D118, ""en"", ""Hi"")"),"C) एक युद्ध अनुक्रम")</f>
        <v>C) एक युद्ध अनुक्रम</v>
      </c>
    </row>
    <row r="119" ht="22.5" customHeight="1">
      <c r="A119" s="9">
        <v>118.0</v>
      </c>
      <c r="B119" s="4" t="s">
        <v>8965</v>
      </c>
      <c r="C119" s="4" t="s">
        <v>8966</v>
      </c>
      <c r="D119" s="4" t="s">
        <v>8967</v>
      </c>
      <c r="F119" s="5" t="str">
        <f>IFERROR(__xludf.DUMMYFUNCTION("GOOGLETRANSLATE(A119, ""en"", ""Hi"")"),"118")</f>
        <v>118</v>
      </c>
      <c r="G119" s="5" t="str">
        <f>IFERROR(__xludf.DUMMYFUNCTION("GOOGLETRANSLATE(B119, ""en"", ""Hi"")"),"कलारीपयट्टू का कौन सा पहलू प्रभावी युद्ध के लिए शरीर के महत्वपूर्ण बिंदुओं को समझने पर केंद्रित है?")</f>
        <v>कलारीपयट्टू का कौन सा पहलू प्रभावी युद्ध के लिए शरीर के महत्वपूर्ण बिंदुओं को समझने पर केंद्रित है?</v>
      </c>
      <c r="H119" s="5" t="str">
        <f>IFERROR(__xludf.DUMMYFUNCTION("GOOGLETRANSLATE(C119, ""en"", ""Hi"")"),"ए) अंगम, बी) मर्मशास्त्र, सी) मीपायट्टु, डी) एडवस")</f>
        <v>ए) अंगम, बी) मर्मशास्त्र, सी) मीपायट्टु, डी) एडवस</v>
      </c>
      <c r="I119" s="5" t="str">
        <f>IFERROR(__xludf.DUMMYFUNCTION("GOOGLETRANSLATE(D119, ""en"", ""Hi"")"),"बी) मर्मशास्त्र")</f>
        <v>बी) मर्मशास्त्र</v>
      </c>
    </row>
    <row r="120" ht="22.5" customHeight="1">
      <c r="A120" s="9">
        <v>119.0</v>
      </c>
      <c r="B120" s="4" t="s">
        <v>8968</v>
      </c>
      <c r="C120" s="4" t="s">
        <v>8969</v>
      </c>
      <c r="D120" s="4" t="s">
        <v>8970</v>
      </c>
      <c r="F120" s="5" t="str">
        <f>IFERROR(__xludf.DUMMYFUNCTION("GOOGLETRANSLATE(A120, ""en"", ""Hi"")"),"119")</f>
        <v>119</v>
      </c>
      <c r="G120" s="5" t="str">
        <f>IFERROR(__xludf.DUMMYFUNCTION("GOOGLETRANSLATE(B120, ""en"", ""Hi"")"),"कलारीपयट्टू का कौन सा हथियार नजदीकी युद्ध में उपयोग के लिए जाना जाता है?")</f>
        <v>कलारीपयट्टू का कौन सा हथियार नजदीकी युद्ध में उपयोग के लिए जाना जाता है?</v>
      </c>
      <c r="H120" s="5" t="str">
        <f>IFERROR(__xludf.DUMMYFUNCTION("GOOGLETRANSLATE(C120, ""en"", ""Hi"")"),"A) खंजर, B) भाला, C) तलवार, D) गदा")</f>
        <v>A) खंजर, B) भाला, C) तलवार, D) गदा</v>
      </c>
      <c r="I120" s="5" t="str">
        <f>IFERROR(__xludf.DUMMYFUNCTION("GOOGLETRANSLATE(D120, ""en"", ""Hi"")"),"ए) खंजर")</f>
        <v>ए) खंजर</v>
      </c>
    </row>
    <row r="121" ht="22.5" customHeight="1">
      <c r="A121" s="9">
        <v>120.0</v>
      </c>
      <c r="B121" s="4" t="s">
        <v>8971</v>
      </c>
      <c r="C121" s="4" t="s">
        <v>8972</v>
      </c>
      <c r="D121" s="4" t="s">
        <v>8913</v>
      </c>
      <c r="F121" s="5" t="str">
        <f>IFERROR(__xludf.DUMMYFUNCTION("GOOGLETRANSLATE(A121, ""en"", ""Hi"")"),"120")</f>
        <v>120</v>
      </c>
      <c r="G121" s="5" t="str">
        <f>IFERROR(__xludf.DUMMYFUNCTION("GOOGLETRANSLATE(B121, ""en"", ""Hi"")"),"कलारीपयट्टु में 'चुवडु' मुख्य रूप से क्या शामिल है?")</f>
        <v>कलारीपयट्टु में 'चुवडु' मुख्य रूप से क्या शामिल है?</v>
      </c>
      <c r="H121" s="5" t="str">
        <f>IFERROR(__xludf.DUMMYFUNCTION("GOOGLETRANSLATE(C121, ""en"", ""Hi"")"),"A) हथियार प्रशिक्षण, B) युद्ध अभ्यास, C) ध्यान, D) श्वास तकनीक")</f>
        <v>A) हथियार प्रशिक्षण, B) युद्ध अभ्यास, C) ध्यान, D) श्वास तकनीक</v>
      </c>
      <c r="I121" s="5" t="str">
        <f>IFERROR(__xludf.DUMMYFUNCTION("GOOGLETRANSLATE(D121, ""en"", ""Hi"")"),"बी) युद्ध अभ्यास")</f>
        <v>बी) युद्ध अभ्यास</v>
      </c>
    </row>
    <row r="122" ht="22.5" customHeight="1">
      <c r="A122" s="9">
        <v>121.0</v>
      </c>
      <c r="B122" s="4" t="s">
        <v>8973</v>
      </c>
      <c r="C122" s="4" t="s">
        <v>8974</v>
      </c>
      <c r="D122" s="4" t="s">
        <v>8975</v>
      </c>
      <c r="F122" s="5" t="str">
        <f>IFERROR(__xludf.DUMMYFUNCTION("GOOGLETRANSLATE(A122, ""en"", ""Hi"")"),"121")</f>
        <v>121</v>
      </c>
      <c r="G122" s="5" t="str">
        <f>IFERROR(__xludf.DUMMYFUNCTION("GOOGLETRANSLATE(B122, ""en"", ""Hi"")"),"कलारीपयट्टू में 'कलारी' प्रथा का पारंपरिक उद्देश्य क्या है?")</f>
        <v>कलारीपयट्टू में 'कलारी' प्रथा का पारंपरिक उद्देश्य क्या है?</v>
      </c>
      <c r="H122" s="5" t="str">
        <f>IFERROR(__xludf.DUMMYFUNCTION("GOOGLETRANSLATE(C122, ""en"", ""Hi"")"),"A) शस्त्र कौशल को बढ़ाने के लिए, B) शारीरिक शक्ति विकसित करने के लिए, C) युद्ध तकनीकों में सुधार करने के लिए, D) उपचार विधियों को सीखने के लिए")</f>
        <v>A) शस्त्र कौशल को बढ़ाने के लिए, B) शारीरिक शक्ति विकसित करने के लिए, C) युद्ध तकनीकों में सुधार करने के लिए, D) उपचार विधियों को सीखने के लिए</v>
      </c>
      <c r="I122" s="5" t="str">
        <f>IFERROR(__xludf.DUMMYFUNCTION("GOOGLETRANSLATE(D122, ""en"", ""Hi"")"),"C) युद्ध तकनीकों में सुधार करना")</f>
        <v>C) युद्ध तकनीकों में सुधार करना</v>
      </c>
    </row>
    <row r="123" ht="22.5" customHeight="1">
      <c r="A123" s="9">
        <v>122.0</v>
      </c>
      <c r="B123" s="4" t="s">
        <v>8976</v>
      </c>
      <c r="C123" s="4" t="s">
        <v>8977</v>
      </c>
      <c r="D123" s="4" t="s">
        <v>8677</v>
      </c>
      <c r="F123" s="5" t="str">
        <f>IFERROR(__xludf.DUMMYFUNCTION("GOOGLETRANSLATE(A123, ""en"", ""Hi"")"),"122")</f>
        <v>122</v>
      </c>
      <c r="G123" s="5" t="str">
        <f>IFERROR(__xludf.DUMMYFUNCTION("GOOGLETRANSLATE(B123, ""en"", ""Hi"")"),"कलारीपयट्टू तकनीकों के संहिताकरण से कौन सी महान हस्ती जुड़ी हुई है?")</f>
        <v>कलारीपयट्टू तकनीकों के संहिताकरण से कौन सी महान हस्ती जुड़ी हुई है?</v>
      </c>
      <c r="H123" s="5" t="str">
        <f>IFERROR(__xludf.DUMMYFUNCTION("GOOGLETRANSLATE(C123, ""en"", ""Hi"")"),"A) विष्णु, B) शिव, C) राम, D) कृष्ण")</f>
        <v>A) विष्णु, B) शिव, C) राम, D) कृष्ण</v>
      </c>
      <c r="I123" s="5" t="str">
        <f>IFERROR(__xludf.DUMMYFUNCTION("GOOGLETRANSLATE(D123, ""en"", ""Hi"")"),"बी) शिव")</f>
        <v>बी) शिव</v>
      </c>
    </row>
    <row r="124" ht="22.5" customHeight="1">
      <c r="A124" s="9">
        <v>123.0</v>
      </c>
      <c r="B124" s="4" t="s">
        <v>8978</v>
      </c>
      <c r="C124" s="4" t="s">
        <v>8979</v>
      </c>
      <c r="D124" s="4" t="s">
        <v>8980</v>
      </c>
      <c r="F124" s="5" t="str">
        <f>IFERROR(__xludf.DUMMYFUNCTION("GOOGLETRANSLATE(A124, ""en"", ""Hi"")"),"123")</f>
        <v>123</v>
      </c>
      <c r="G124" s="5" t="str">
        <f>IFERROR(__xludf.DUMMYFUNCTION("GOOGLETRANSLATE(B124, ""en"", ""Hi"")"),"कलारीपयट्टु में, 'अदावु' विशेष रूप से किस लिए जाना जाता है?")</f>
        <v>कलारीपयट्टु में, 'अदावु' विशेष रूप से किस लिए जाना जाता है?</v>
      </c>
      <c r="H124" s="5" t="str">
        <f>IFERROR(__xludf.DUMMYFUNCTION("GOOGLETRANSLATE(C124, ""en"", ""Hi"")"),"A) युद्ध रणनीतियाँ, B) फुटवर्क पैटर्न, C) हथियार संचालन, D) उपचार")</f>
        <v>A) युद्ध रणनीतियाँ, B) फुटवर्क पैटर्न, C) हथियार संचालन, D) उपचार</v>
      </c>
      <c r="I124" s="5" t="str">
        <f>IFERROR(__xludf.DUMMYFUNCTION("GOOGLETRANSLATE(D124, ""en"", ""Hi"")"),"बी) फुटवर्क पैटर्न")</f>
        <v>बी) फुटवर्क पैटर्न</v>
      </c>
    </row>
    <row r="125" ht="22.5" customHeight="1">
      <c r="A125" s="9">
        <v>124.0</v>
      </c>
      <c r="B125" s="4" t="s">
        <v>8981</v>
      </c>
      <c r="C125" s="4" t="s">
        <v>8931</v>
      </c>
      <c r="D125" s="4" t="s">
        <v>8982</v>
      </c>
      <c r="F125" s="5" t="str">
        <f>IFERROR(__xludf.DUMMYFUNCTION("GOOGLETRANSLATE(A125, ""en"", ""Hi"")"),"124")</f>
        <v>124</v>
      </c>
      <c r="G125" s="5" t="str">
        <f>IFERROR(__xludf.DUMMYFUNCTION("GOOGLETRANSLATE(B125, ""en"", ""Hi"")"),"कौन सी कलारीपयट्टू प्रथा चपलता और गति को बढ़ाने के साथ सबसे अधिक जुड़ी हुई है?")</f>
        <v>कौन सी कलारीपयट्टू प्रथा चपलता और गति को बढ़ाने के साथ सबसे अधिक जुड़ी हुई है?</v>
      </c>
      <c r="H125" s="5" t="str">
        <f>IFERROR(__xludf.DUMMYFUNCTION("GOOGLETRANSLATE(C125, ""en"", ""Hi"")"),"ए) मीपायट्टु, बी) अंगम, सी) एडवस, डी) सिलंबम")</f>
        <v>ए) मीपायट्टु, बी) अंगम, सी) एडवस, डी) सिलंबम</v>
      </c>
      <c r="I125" s="5" t="str">
        <f>IFERROR(__xludf.DUMMYFUNCTION("GOOGLETRANSLATE(D125, ""en"", ""Hi"")"),"C) एडवस")</f>
        <v>C) एडवस</v>
      </c>
    </row>
    <row r="126" ht="22.5" customHeight="1">
      <c r="A126" s="9">
        <v>125.0</v>
      </c>
      <c r="B126" s="4" t="s">
        <v>8983</v>
      </c>
      <c r="C126" s="4" t="s">
        <v>8984</v>
      </c>
      <c r="D126" s="4" t="s">
        <v>8985</v>
      </c>
      <c r="F126" s="5" t="str">
        <f>IFERROR(__xludf.DUMMYFUNCTION("GOOGLETRANSLATE(A126, ""en"", ""Hi"")"),"125")</f>
        <v>125</v>
      </c>
      <c r="G126" s="5" t="str">
        <f>IFERROR(__xludf.DUMMYFUNCTION("GOOGLETRANSLATE(B126, ""en"", ""Hi"")"),"कलारीपयट्टू के अभ्यास में 'गुरु' की क्या भूमिका होती है?")</f>
        <v>कलारीपयट्टू के अभ्यास में 'गुरु' की क्या भूमिका होती है?</v>
      </c>
      <c r="H126" s="5" t="str">
        <f>IFERROR(__xludf.DUMMYFUNCTION("GOOGLETRANSLATE(C126, ""en"", ""Hi"")"),"A) छात्र, B) शिक्षक, C) हथियार निर्माता, D) चिकित्सक")</f>
        <v>A) छात्र, B) शिक्षक, C) हथियार निर्माता, D) चिकित्सक</v>
      </c>
      <c r="I126" s="5" t="str">
        <f>IFERROR(__xludf.DUMMYFUNCTION("GOOGLETRANSLATE(D126, ""en"", ""Hi"")"),"बी) शिक्षक")</f>
        <v>बी) शिक्षक</v>
      </c>
    </row>
    <row r="127" ht="22.5" customHeight="1">
      <c r="A127" s="9">
        <v>126.0</v>
      </c>
      <c r="B127" s="4" t="s">
        <v>8986</v>
      </c>
      <c r="C127" s="4" t="s">
        <v>8987</v>
      </c>
      <c r="D127" s="4" t="s">
        <v>8988</v>
      </c>
      <c r="F127" s="5" t="str">
        <f>IFERROR(__xludf.DUMMYFUNCTION("GOOGLETRANSLATE(A127, ""en"", ""Hi"")"),"126")</f>
        <v>126</v>
      </c>
      <c r="G127" s="5" t="str">
        <f>IFERROR(__xludf.DUMMYFUNCTION("GOOGLETRANSLATE(B127, ""en"", ""Hi"")"),"कलारीपयट्टू प्रशिक्षण में 'उझिचिल' का क्या महत्व है?")</f>
        <v>कलारीपयट्टू प्रशिक्षण में 'उझिचिल' का क्या महत्व है?</v>
      </c>
      <c r="H127" s="5" t="str">
        <f>IFERROR(__xludf.DUMMYFUNCTION("GOOGLETRANSLATE(C127, ""en"", ""Hi"")"),"A) यह एक युद्ध तकनीक है, B) यह एक उपचार पद्धति है, C) यह एक प्रकार का हथियार है, D) यह एक फुटवर्क पैटर्न है")</f>
        <v>A) यह एक युद्ध तकनीक है, B) यह एक उपचार पद्धति है, C) यह एक प्रकार का हथियार है, D) यह एक फुटवर्क पैटर्न है</v>
      </c>
      <c r="I127" s="5" t="str">
        <f>IFERROR(__xludf.DUMMYFUNCTION("GOOGLETRANSLATE(D127, ""en"", ""Hi"")"),"B) यह एक उपचार पद्धति है")</f>
        <v>B) यह एक उपचार पद्धति है</v>
      </c>
    </row>
    <row r="128" ht="22.5" customHeight="1">
      <c r="A128" s="9">
        <v>127.0</v>
      </c>
      <c r="B128" s="4" t="s">
        <v>8989</v>
      </c>
      <c r="C128" s="4" t="s">
        <v>8990</v>
      </c>
      <c r="D128" s="4" t="s">
        <v>8822</v>
      </c>
      <c r="F128" s="5" t="str">
        <f>IFERROR(__xludf.DUMMYFUNCTION("GOOGLETRANSLATE(A128, ""en"", ""Hi"")"),"127")</f>
        <v>127</v>
      </c>
      <c r="G128" s="5" t="str">
        <f>IFERROR(__xludf.DUMMYFUNCTION("GOOGLETRANSLATE(B128, ""en"", ""Hi"")"),"कौन सी कलारीपयट्टू प्रथा में पारंपरिक हथियार संचालन का प्रशिक्षण शामिल है?")</f>
        <v>कौन सी कलारीपयट्टू प्रथा में पारंपरिक हथियार संचालन का प्रशिक्षण शामिल है?</v>
      </c>
      <c r="H128" s="5" t="str">
        <f>IFERROR(__xludf.DUMMYFUNCTION("GOOGLETRANSLATE(C128, ""en"", ""Hi"")"),"ए) एडवस, बी) सिलंबम, सी) मीपायट्टु, डी) वेरुमकाई")</f>
        <v>ए) एडवस, बी) सिलंबम, सी) मीपायट्टु, डी) वेरुमकाई</v>
      </c>
      <c r="I128" s="5" t="str">
        <f>IFERROR(__xludf.DUMMYFUNCTION("GOOGLETRANSLATE(D128, ""en"", ""Hi"")"),"बी) सिलंबम")</f>
        <v>बी) सिलंबम</v>
      </c>
    </row>
    <row r="129" ht="22.5" customHeight="1">
      <c r="A129" s="9">
        <v>128.0</v>
      </c>
      <c r="B129" s="4" t="s">
        <v>8991</v>
      </c>
      <c r="C129" s="4" t="s">
        <v>8992</v>
      </c>
      <c r="D129" s="4" t="s">
        <v>8993</v>
      </c>
      <c r="F129" s="5" t="str">
        <f>IFERROR(__xludf.DUMMYFUNCTION("GOOGLETRANSLATE(A129, ""en"", ""Hi"")"),"128")</f>
        <v>128</v>
      </c>
      <c r="G129" s="5" t="str">
        <f>IFERROR(__xludf.DUMMYFUNCTION("GOOGLETRANSLATE(B129, ""en"", ""Hi"")"),"कलारीपयट्टू में 'मीपायट्टू' का प्राथमिक फोकस क्या है?")</f>
        <v>कलारीपयट्टू में 'मीपायट्टू' का प्राथमिक फोकस क्या है?</v>
      </c>
      <c r="H129" s="5" t="str">
        <f>IFERROR(__xludf.DUMMYFUNCTION("GOOGLETRANSLATE(C129, ""en"", ""Hi"")"),"A) हथियार तकनीक, B) शारीरिक कंडीशनिंग, C) युद्ध अभ्यास, D) उपचार")</f>
        <v>A) हथियार तकनीक, B) शारीरिक कंडीशनिंग, C) युद्ध अभ्यास, D) उपचार</v>
      </c>
      <c r="I129" s="5" t="str">
        <f>IFERROR(__xludf.DUMMYFUNCTION("GOOGLETRANSLATE(D129, ""en"", ""Hi"")"),"बी) शारीरिक कंडीशनिंग")</f>
        <v>बी) शारीरिक कंडीशनिंग</v>
      </c>
    </row>
    <row r="130" ht="22.5" customHeight="1">
      <c r="A130" s="9">
        <v>129.0</v>
      </c>
      <c r="B130" s="4" t="s">
        <v>8994</v>
      </c>
      <c r="C130" s="4" t="s">
        <v>8995</v>
      </c>
      <c r="D130" s="4" t="s">
        <v>2616</v>
      </c>
      <c r="F130" s="5" t="str">
        <f>IFERROR(__xludf.DUMMYFUNCTION("GOOGLETRANSLATE(A130, ""en"", ""Hi"")"),"129")</f>
        <v>129</v>
      </c>
      <c r="G130" s="5" t="str">
        <f>IFERROR(__xludf.DUMMYFUNCTION("GOOGLETRANSLATE(B130, ""en"", ""Hi"")"),"ऐसा माना जाता है कि किस प्राचीन भारतीय ग्रंथ में कलारीपयट्टू तकनीकों का संदर्भ मिलता है?")</f>
        <v>ऐसा माना जाता है कि किस प्राचीन भारतीय ग्रंथ में कलारीपयट्टू तकनीकों का संदर्भ मिलता है?</v>
      </c>
      <c r="H130" s="5" t="str">
        <f>IFERROR(__xludf.DUMMYFUNCTION("GOOGLETRANSLATE(C130, ""en"", ""Hi"")"),"ए) अर्थशास्त्र, बी) वेद, सी) पुराण, डी) उपनिषद")</f>
        <v>ए) अर्थशास्त्र, बी) वेद, सी) पुराण, डी) उपनिषद</v>
      </c>
      <c r="I130" s="5" t="str">
        <f>IFERROR(__xludf.DUMMYFUNCTION("GOOGLETRANSLATE(D130, ""en"", ""Hi"")"),"A) अर्थशास्त्र")</f>
        <v>A) अर्थशास्त्र</v>
      </c>
    </row>
    <row r="131" ht="22.5" customHeight="1">
      <c r="A131" s="9">
        <v>130.0</v>
      </c>
      <c r="B131" s="4" t="s">
        <v>8996</v>
      </c>
      <c r="C131" s="4" t="s">
        <v>4071</v>
      </c>
      <c r="D131" s="4" t="s">
        <v>8196</v>
      </c>
      <c r="F131" s="5" t="str">
        <f>IFERROR(__xludf.DUMMYFUNCTION("GOOGLETRANSLATE(A131, ""en"", ""Hi"")"),"130")</f>
        <v>130</v>
      </c>
      <c r="G131" s="5" t="str">
        <f>IFERROR(__xludf.DUMMYFUNCTION("GOOGLETRANSLATE(B131, ""en"", ""Hi"")"),"कलारीपयट्टू की उत्पत्ति किस भारतीय राज्य में हुई?")</f>
        <v>कलारीपयट्टू की उत्पत्ति किस भारतीय राज्य में हुई?</v>
      </c>
      <c r="H131" s="5" t="str">
        <f>IFERROR(__xludf.DUMMYFUNCTION("GOOGLETRANSLATE(C131, ""en"", ""Hi"")"),"A) तमिलनाडु, B) कर्नाटक, C) केरल, D) आंध्र प्रदेश")</f>
        <v>A) तमिलनाडु, B) कर्नाटक, C) केरल, D) आंध्र प्रदेश</v>
      </c>
      <c r="I131" s="5" t="str">
        <f>IFERROR(__xludf.DUMMYFUNCTION("GOOGLETRANSLATE(D131, ""en"", ""Hi"")"),"C) केरल")</f>
        <v>C) केरल</v>
      </c>
    </row>
    <row r="132" ht="22.5" customHeight="1">
      <c r="A132" s="9">
        <v>131.0</v>
      </c>
      <c r="B132" s="4" t="s">
        <v>8997</v>
      </c>
      <c r="C132" s="4" t="s">
        <v>8998</v>
      </c>
      <c r="D132" s="4" t="s">
        <v>8849</v>
      </c>
      <c r="F132" s="5" t="str">
        <f>IFERROR(__xludf.DUMMYFUNCTION("GOOGLETRANSLATE(A132, ""en"", ""Hi"")"),"131")</f>
        <v>131</v>
      </c>
      <c r="G132" s="5" t="str">
        <f>IFERROR(__xludf.DUMMYFUNCTION("GOOGLETRANSLATE(B132, ""en"", ""Hi"")"),"निम्नलिखित में से कौन सा राजवंश ऐतिहासिक रूप से कलारीपयट्टू के विकास से जुड़ा हुआ है?")</f>
        <v>निम्नलिखित में से कौन सा राजवंश ऐतिहासिक रूप से कलारीपयट्टू के विकास से जुड़ा हुआ है?</v>
      </c>
      <c r="H132" s="5" t="str">
        <f>IFERROR(__xludf.DUMMYFUNCTION("GOOGLETRANSLATE(C132, ""en"", ""Hi"")"),"A) चोल वंश, B) चेर वंश, C) पल्लव वंश, D) गुप्त वंश")</f>
        <v>A) चोल वंश, B) चेर वंश, C) पल्लव वंश, D) गुप्त वंश</v>
      </c>
      <c r="I132" s="5" t="str">
        <f>IFERROR(__xludf.DUMMYFUNCTION("GOOGLETRANSLATE(D132, ""en"", ""Hi"")"),"बी) चेर राजवंश")</f>
        <v>बी) चेर राजवंश</v>
      </c>
    </row>
    <row r="133" ht="22.5" customHeight="1">
      <c r="A133" s="9">
        <v>132.0</v>
      </c>
      <c r="B133" s="4" t="s">
        <v>8999</v>
      </c>
      <c r="C133" s="4" t="s">
        <v>9000</v>
      </c>
      <c r="D133" s="4" t="s">
        <v>8803</v>
      </c>
      <c r="F133" s="5" t="str">
        <f>IFERROR(__xludf.DUMMYFUNCTION("GOOGLETRANSLATE(A133, ""en"", ""Hi"")"),"132")</f>
        <v>132</v>
      </c>
      <c r="G133" s="5" t="str">
        <f>IFERROR(__xludf.DUMMYFUNCTION("GOOGLETRANSLATE(B133, ""en"", ""Hi"")"),"कौन सी कलारीपयट्टू प्रथा में पारंपरिक लकड़ी की छड़ियों का उपयोग शामिल है?")</f>
        <v>कौन सी कलारीपयट्टू प्रथा में पारंपरिक लकड़ी की छड़ियों का उपयोग शामिल है?</v>
      </c>
      <c r="H133" s="5" t="str">
        <f>IFERROR(__xludf.DUMMYFUNCTION("GOOGLETRANSLATE(C133, ""en"", ""Hi"")"),"ए) सिलंबम, बी) एडवस, सी) मेइपायट्टु, डी) अंगम")</f>
        <v>ए) सिलंबम, बी) एडवस, सी) मेइपायट्टु, डी) अंगम</v>
      </c>
      <c r="I133" s="5" t="str">
        <f>IFERROR(__xludf.DUMMYFUNCTION("GOOGLETRANSLATE(D133, ""en"", ""Hi"")"),"ए) सिलंबम")</f>
        <v>ए) सिलंबम</v>
      </c>
    </row>
    <row r="134" ht="22.5" customHeight="1">
      <c r="A134" s="9">
        <v>133.0</v>
      </c>
      <c r="B134" s="4" t="s">
        <v>9001</v>
      </c>
      <c r="C134" s="4" t="s">
        <v>9002</v>
      </c>
      <c r="D134" s="4" t="s">
        <v>8941</v>
      </c>
      <c r="F134" s="5" t="str">
        <f>IFERROR(__xludf.DUMMYFUNCTION("GOOGLETRANSLATE(A134, ""en"", ""Hi"")"),"133")</f>
        <v>133</v>
      </c>
      <c r="G134" s="5" t="str">
        <f>IFERROR(__xludf.DUMMYFUNCTION("GOOGLETRANSLATE(B134, ""en"", ""Hi"")"),"कलारीपयट्टू में 'अंगम' का मुख्य उद्देश्य क्या है?")</f>
        <v>कलारीपयट्टू में 'अंगम' का मुख्य उद्देश्य क्या है?</v>
      </c>
      <c r="H134" s="5" t="str">
        <f>IFERROR(__xludf.DUMMYFUNCTION("GOOGLETRANSLATE(C134, ""en"", ""Hi"")"),"A) हथियार प्रशिक्षण, B) युद्ध तकनीक, C) उपचार, D) ध्यान")</f>
        <v>A) हथियार प्रशिक्षण, B) युद्ध तकनीक, C) उपचार, D) ध्यान</v>
      </c>
      <c r="I134" s="5" t="str">
        <f>IFERROR(__xludf.DUMMYFUNCTION("GOOGLETRANSLATE(D134, ""en"", ""Hi"")"),"बी) युद्ध तकनीक")</f>
        <v>बी) युद्ध तकनीक</v>
      </c>
    </row>
    <row r="135" ht="22.5" customHeight="1">
      <c r="A135" s="9">
        <v>134.0</v>
      </c>
      <c r="B135" s="4" t="s">
        <v>9003</v>
      </c>
      <c r="C135" s="4" t="s">
        <v>9004</v>
      </c>
      <c r="D135" s="4" t="s">
        <v>9005</v>
      </c>
      <c r="F135" s="5" t="str">
        <f>IFERROR(__xludf.DUMMYFUNCTION("GOOGLETRANSLATE(A135, ""en"", ""Hi"")"),"134")</f>
        <v>134</v>
      </c>
      <c r="G135" s="5" t="str">
        <f>IFERROR(__xludf.DUMMYFUNCTION("GOOGLETRANSLATE(B135, ""en"", ""Hi"")"),"किस ऐतिहासिक व्यक्ति को अक्सर कलारीपयट्टू प्रणाली को संहिताबद्ध करने का श्रेय दिया जाता है?")</f>
        <v>किस ऐतिहासिक व्यक्ति को अक्सर कलारीपयट्टू प्रणाली को संहिताबद्ध करने का श्रेय दिया जाता है?</v>
      </c>
      <c r="H135" s="5" t="str">
        <f>IFERROR(__xludf.DUMMYFUNCTION("GOOGLETRANSLATE(C135, ""en"", ""Hi"")"),"ए) महाराजा रवि वर्मा, बी) चाण्क्य, सी) बलराम, डी) पूर्ण")</f>
        <v>ए) महाराजा रवि वर्मा, बी) चाण्क्य, सी) बलराम, डी) पूर्ण</v>
      </c>
      <c r="I135" s="5" t="str">
        <f>IFERROR(__xludf.DUMMYFUNCTION("GOOGLETRANSLATE(D135, ""en"", ""Hi"")"),"C) बलराम")</f>
        <v>C) बलराम</v>
      </c>
    </row>
    <row r="136" ht="22.5" customHeight="1">
      <c r="A136" s="9">
        <v>135.0</v>
      </c>
      <c r="B136" s="4" t="s">
        <v>9006</v>
      </c>
      <c r="C136" s="4" t="s">
        <v>9007</v>
      </c>
      <c r="D136" s="4" t="s">
        <v>8830</v>
      </c>
      <c r="F136" s="5" t="str">
        <f>IFERROR(__xludf.DUMMYFUNCTION("GOOGLETRANSLATE(A136, ""en"", ""Hi"")"),"135")</f>
        <v>135</v>
      </c>
      <c r="G136" s="5" t="str">
        <f>IFERROR(__xludf.DUMMYFUNCTION("GOOGLETRANSLATE(B136, ""en"", ""Hi"")"),"कौन सी कलारीपयट्टू तकनीक चपलता और तरल गति पर जोर देती है?")</f>
        <v>कौन सी कलारीपयट्टू तकनीक चपलता और तरल गति पर जोर देती है?</v>
      </c>
      <c r="H136" s="5" t="str">
        <f>IFERROR(__xludf.DUMMYFUNCTION("GOOGLETRANSLATE(C136, ""en"", ""Hi"")"),"ए) मीपायट्टु, बी) एडवस, सी) सिलंबम, डी) अंगम")</f>
        <v>ए) मीपायट्टु, बी) एडवस, सी) सिलंबम, डी) अंगम</v>
      </c>
      <c r="I136" s="5" t="str">
        <f>IFERROR(__xludf.DUMMYFUNCTION("GOOGLETRANSLATE(D136, ""en"", ""Hi"")"),"A) मेइपयट्टू")</f>
        <v>A) मेइपयट्टू</v>
      </c>
    </row>
    <row r="137" ht="22.5" customHeight="1">
      <c r="A137" s="9">
        <v>136.0</v>
      </c>
      <c r="B137" s="4" t="s">
        <v>9008</v>
      </c>
      <c r="C137" s="4" t="s">
        <v>9009</v>
      </c>
      <c r="D137" s="4" t="s">
        <v>9010</v>
      </c>
      <c r="F137" s="5" t="str">
        <f>IFERROR(__xludf.DUMMYFUNCTION("GOOGLETRANSLATE(A137, ""en"", ""Hi"")"),"136")</f>
        <v>136</v>
      </c>
      <c r="G137" s="5" t="str">
        <f>IFERROR(__xludf.DUMMYFUNCTION("GOOGLETRANSLATE(B137, ""en"", ""Hi"")"),"कलारीपयट्टू के संदर्भ में 'कलारी' का शाब्दिक अर्थ क्या है?")</f>
        <v>कलारीपयट्टू के संदर्भ में 'कलारी' का शाब्दिक अर्थ क्या है?</v>
      </c>
      <c r="H137" s="5" t="str">
        <f>IFERROR(__xludf.DUMMYFUNCTION("GOOGLETRANSLATE(C137, ""en"", ""Hi"")"),"A) अखाड़ा, B) हथियार, C) तकनीक, D) अनुशासन")</f>
        <v>A) अखाड़ा, B) हथियार, C) तकनीक, D) अनुशासन</v>
      </c>
      <c r="I137" s="5" t="str">
        <f>IFERROR(__xludf.DUMMYFUNCTION("GOOGLETRANSLATE(D137, ""en"", ""Hi"")"),"ए) अखाड़ा")</f>
        <v>ए) अखाड़ा</v>
      </c>
    </row>
    <row r="138" ht="22.5" customHeight="1">
      <c r="A138" s="9">
        <v>137.0</v>
      </c>
      <c r="B138" s="4" t="s">
        <v>9011</v>
      </c>
      <c r="C138" s="4" t="s">
        <v>9012</v>
      </c>
      <c r="D138" s="4" t="s">
        <v>9013</v>
      </c>
      <c r="F138" s="5" t="str">
        <f>IFERROR(__xludf.DUMMYFUNCTION("GOOGLETRANSLATE(A138, ""en"", ""Hi"")"),"137")</f>
        <v>137</v>
      </c>
      <c r="G138" s="5" t="str">
        <f>IFERROR(__xludf.DUMMYFUNCTION("GOOGLETRANSLATE(B138, ""en"", ""Hi"")"),"कौन सा कलारीपयट्टू हथियार अपने बड़े, भारी और चौड़े ब्लेड के लिए जाना जाता है?")</f>
        <v>कौन सा कलारीपयट्टू हथियार अपने बड़े, भारी और चौड़े ब्लेड के लिए जाना जाता है?</v>
      </c>
      <c r="H138" s="5" t="str">
        <f>IFERROR(__xludf.DUMMYFUNCTION("GOOGLETRANSLATE(C138, ""en"", ""Hi"")"),"A) तलवार, B) गदा, C) खंजर, D) भाला")</f>
        <v>A) तलवार, B) गदा, C) खंजर, D) भाला</v>
      </c>
      <c r="I138" s="5" t="str">
        <f>IFERROR(__xludf.DUMMYFUNCTION("GOOGLETRANSLATE(D138, ""en"", ""Hi"")"),"बी) गदा")</f>
        <v>बी) गदा</v>
      </c>
    </row>
    <row r="139" ht="22.5" customHeight="1">
      <c r="A139" s="9">
        <v>138.0</v>
      </c>
      <c r="B139" s="4" t="s">
        <v>9014</v>
      </c>
      <c r="C139" s="4" t="s">
        <v>9015</v>
      </c>
      <c r="D139" s="4" t="s">
        <v>9016</v>
      </c>
      <c r="F139" s="5" t="str">
        <f>IFERROR(__xludf.DUMMYFUNCTION("GOOGLETRANSLATE(A139, ""en"", ""Hi"")"),"138")</f>
        <v>138</v>
      </c>
      <c r="G139" s="5" t="str">
        <f>IFERROR(__xludf.DUMMYFUNCTION("GOOGLETRANSLATE(B139, ""en"", ""Hi"")"),"कलारीपयट्टू में किस ऐतिहासिक ग्रंथ को मार्शल आर्ट ज्ञान का प्रमुख स्रोत माना जाता है?")</f>
        <v>कलारीपयट्टू में किस ऐतिहासिक ग्रंथ को मार्शल आर्ट ज्ञान का प्रमुख स्रोत माना जाता है?</v>
      </c>
      <c r="H139" s="5" t="str">
        <f>IFERROR(__xludf.DUMMYFUNCTION("GOOGLETRANSLATE(C139, ""en"", ""Hi"")"),"ए) योग सूत्र, बी) संगम साहित्य, सी) रामायण, डी) मनुस्मृति")</f>
        <v>ए) योग सूत्र, बी) संगम साहित्य, सी) रामायण, डी) मनुस्मृति</v>
      </c>
      <c r="I139" s="5" t="str">
        <f>IFERROR(__xludf.DUMMYFUNCTION("GOOGLETRANSLATE(D139, ""en"", ""Hi"")"),"बी) संगम साहित्य")</f>
        <v>बी) संगम साहित्य</v>
      </c>
    </row>
    <row r="140" ht="22.5" customHeight="1">
      <c r="A140" s="9">
        <v>139.0</v>
      </c>
      <c r="B140" s="4" t="s">
        <v>9017</v>
      </c>
      <c r="C140" s="4" t="s">
        <v>9018</v>
      </c>
      <c r="D140" s="4" t="s">
        <v>9019</v>
      </c>
      <c r="F140" s="5" t="str">
        <f>IFERROR(__xludf.DUMMYFUNCTION("GOOGLETRANSLATE(A140, ""en"", ""Hi"")"),"139")</f>
        <v>139</v>
      </c>
      <c r="G140" s="5" t="str">
        <f>IFERROR(__xludf.DUMMYFUNCTION("GOOGLETRANSLATE(B140, ""en"", ""Hi"")"),"कलारीपयट्टू में 'मर्म' बिंदुओं का पारंपरिक उपयोग क्या है?")</f>
        <v>कलारीपयट्टू में 'मर्म' बिंदुओं का पारंपरिक उपयोग क्या है?</v>
      </c>
      <c r="H140" s="5" t="str">
        <f>IFERROR(__xludf.DUMMYFUNCTION("GOOGLETRANSLATE(C140, ""en"", ""Hi"")"),"A) युद्ध तकनीकों को बढ़ाने के लिए, B) हमले और उपचार के लिए महत्वपूर्ण बिंदुओं की पहचान करने के लिए, C) हथियारों के साथ प्रशिक्षण करने के लिए, D) लचीलापन विकसित करने के लिए")</f>
        <v>A) युद्ध तकनीकों को बढ़ाने के लिए, B) हमले और उपचार के लिए महत्वपूर्ण बिंदुओं की पहचान करने के लिए, C) हथियारों के साथ प्रशिक्षण करने के लिए, D) लचीलापन विकसित करने के लिए</v>
      </c>
      <c r="I140" s="5" t="str">
        <f>IFERROR(__xludf.DUMMYFUNCTION("GOOGLETRANSLATE(D140, ""en"", ""Hi"")"),"बी) हमले और उपचार के लिए महत्वपूर्ण बिंदुओं की पहचान करना")</f>
        <v>बी) हमले और उपचार के लिए महत्वपूर्ण बिंदुओं की पहचान करना</v>
      </c>
    </row>
    <row r="141" ht="22.5" customHeight="1">
      <c r="A141" s="9">
        <v>140.0</v>
      </c>
      <c r="B141" s="4" t="s">
        <v>9020</v>
      </c>
      <c r="C141" s="4" t="s">
        <v>9021</v>
      </c>
      <c r="D141" s="4" t="s">
        <v>9022</v>
      </c>
      <c r="F141" s="5" t="str">
        <f>IFERROR(__xludf.DUMMYFUNCTION("GOOGLETRANSLATE(A141, ""en"", ""Hi"")"),"140")</f>
        <v>140</v>
      </c>
      <c r="G141" s="5" t="str">
        <f>IFERROR(__xludf.DUMMYFUNCTION("GOOGLETRANSLATE(B141, ""en"", ""Hi"")"),"कलारीपयट्टू को बढ़ावा देने में महत्वपूर्ण ऐतिहासिक व्यक्ति किसे माना जाता है?")</f>
        <v>कलारीपयट्टू को बढ़ावा देने में महत्वपूर्ण ऐतिहासिक व्यक्ति किसे माना जाता है?</v>
      </c>
      <c r="H141" s="5" t="str">
        <f>IFERROR(__xludf.DUMMYFUNCTION("GOOGLETRANSLATE(C141, ""en"", ""Hi"")"),"ए) राजा राजा चोल, बी) अशोक, सी) शिवाजी महाराज, डी) चंद्रगुप्त मौर्य")</f>
        <v>ए) राजा राजा चोल, बी) अशोक, सी) शिवाजी महाराज, डी) चंद्रगुप्त मौर्य</v>
      </c>
      <c r="I141" s="5" t="str">
        <f>IFERROR(__xludf.DUMMYFUNCTION("GOOGLETRANSLATE(D141, ""en"", ""Hi"")"),"A) राजा राजा चोल")</f>
        <v>A) राजा राजा चोल</v>
      </c>
    </row>
    <row r="142" ht="22.5" customHeight="1">
      <c r="A142" s="9">
        <v>141.0</v>
      </c>
      <c r="B142" s="4" t="s">
        <v>9023</v>
      </c>
      <c r="C142" s="4" t="s">
        <v>9024</v>
      </c>
      <c r="D142" s="4" t="s">
        <v>8830</v>
      </c>
      <c r="F142" s="5" t="str">
        <f>IFERROR(__xludf.DUMMYFUNCTION("GOOGLETRANSLATE(A142, ""en"", ""Hi"")"),"141")</f>
        <v>141</v>
      </c>
      <c r="G142" s="5" t="str">
        <f>IFERROR(__xludf.DUMMYFUNCTION("GOOGLETRANSLATE(B142, ""en"", ""Hi"")"),"कौन सा कलारीपयट्टू अभ्यास विभिन्न प्रकार के प्रहारों और किक के प्रशिक्षण के लिए जाना जाता है?")</f>
        <v>कौन सा कलारीपयट्टू अभ्यास विभिन्न प्रकार के प्रहारों और किक के प्रशिक्षण के लिए जाना जाता है?</v>
      </c>
      <c r="H142" s="5" t="str">
        <f>IFERROR(__xludf.DUMMYFUNCTION("GOOGLETRANSLATE(C142, ""en"", ""Hi"")"),"ए) मीपायट्टु, बी) सिलंबम, सी) एडवस, डी) अंगम")</f>
        <v>ए) मीपायट्टु, बी) सिलंबम, सी) एडवस, डी) अंगम</v>
      </c>
      <c r="I142" s="5" t="str">
        <f>IFERROR(__xludf.DUMMYFUNCTION("GOOGLETRANSLATE(D142, ""en"", ""Hi"")"),"A) मेइपयट्टू")</f>
        <v>A) मेइपयट्टू</v>
      </c>
    </row>
    <row r="143" ht="22.5" customHeight="1">
      <c r="A143" s="9">
        <v>142.0</v>
      </c>
      <c r="B143" s="4" t="s">
        <v>9025</v>
      </c>
      <c r="C143" s="4" t="s">
        <v>8821</v>
      </c>
      <c r="D143" s="4" t="s">
        <v>8958</v>
      </c>
      <c r="F143" s="5" t="str">
        <f>IFERROR(__xludf.DUMMYFUNCTION("GOOGLETRANSLATE(A143, ""en"", ""Hi"")"),"142")</f>
        <v>142</v>
      </c>
      <c r="G143" s="5" t="str">
        <f>IFERROR(__xludf.DUMMYFUNCTION("GOOGLETRANSLATE(B143, ""en"", ""Hi"")"),"कलारीपयट्टू का कौन सा पहलू पारंपरिक निहत्थे युद्ध तकनीकों पर केंद्रित है?")</f>
        <v>कलारीपयट्टू का कौन सा पहलू पारंपरिक निहत्थे युद्ध तकनीकों पर केंद्रित है?</v>
      </c>
      <c r="H143" s="5" t="str">
        <f>IFERROR(__xludf.DUMMYFUNCTION("GOOGLETRANSLATE(C143, ""en"", ""Hi"")"),"ए) वेरुमकाई, बी) सिलंबम, सी) एडवस, डी) मेइपायट्टु")</f>
        <v>ए) वेरुमकाई, बी) सिलंबम, सी) एडवस, डी) मेइपायट्टु</v>
      </c>
      <c r="I143" s="5" t="str">
        <f>IFERROR(__xludf.DUMMYFUNCTION("GOOGLETRANSLATE(D143, ""en"", ""Hi"")"),"A) वेरुमकाई")</f>
        <v>A) वेरुमकाई</v>
      </c>
    </row>
    <row r="144" ht="22.5" customHeight="1">
      <c r="A144" s="9">
        <v>143.0</v>
      </c>
      <c r="B144" s="4" t="s">
        <v>9026</v>
      </c>
      <c r="C144" s="4" t="s">
        <v>9027</v>
      </c>
      <c r="D144" s="4" t="s">
        <v>9028</v>
      </c>
      <c r="F144" s="5" t="str">
        <f>IFERROR(__xludf.DUMMYFUNCTION("GOOGLETRANSLATE(A144, ""en"", ""Hi"")"),"143")</f>
        <v>143</v>
      </c>
      <c r="G144" s="5" t="str">
        <f>IFERROR(__xludf.DUMMYFUNCTION("GOOGLETRANSLATE(B144, ""en"", ""Hi"")"),"कलारीपयट्टू में, 'संकल्प' के अभ्यास में क्या शामिल है?")</f>
        <v>कलारीपयट्टू में, 'संकल्प' के अभ्यास में क्या शामिल है?</v>
      </c>
      <c r="H144" s="5" t="str">
        <f>IFERROR(__xludf.DUMMYFUNCTION("GOOGLETRANSLATE(C144, ""en"", ""Hi"")"),"A) शारीरिक कंडीशनिंग, B) युद्ध की तैयारी और ध्यान, C) ध्यान, D) उपचार")</f>
        <v>A) शारीरिक कंडीशनिंग, B) युद्ध की तैयारी और ध्यान, C) ध्यान, D) उपचार</v>
      </c>
      <c r="I144" s="5" t="str">
        <f>IFERROR(__xludf.DUMMYFUNCTION("GOOGLETRANSLATE(D144, ""en"", ""Hi"")"),"बी) युद्ध की तैयारी और ध्यान")</f>
        <v>बी) युद्ध की तैयारी और ध्यान</v>
      </c>
    </row>
    <row r="145" ht="22.5" customHeight="1">
      <c r="A145" s="9">
        <v>144.0</v>
      </c>
      <c r="B145" s="4" t="s">
        <v>8920</v>
      </c>
      <c r="C145" s="4" t="s">
        <v>9029</v>
      </c>
      <c r="D145" s="4" t="s">
        <v>8988</v>
      </c>
      <c r="F145" s="5" t="str">
        <f>IFERROR(__xludf.DUMMYFUNCTION("GOOGLETRANSLATE(A145, ""en"", ""Hi"")"),"144")</f>
        <v>144</v>
      </c>
      <c r="G145" s="5" t="str">
        <f>IFERROR(__xludf.DUMMYFUNCTION("GOOGLETRANSLATE(B145, ""en"", ""Hi"")"),"कलारीपयट्टू में 'उझिचिल' का क्या महत्व है?")</f>
        <v>कलारीपयट्टू में 'उझिचिल' का क्या महत्व है?</v>
      </c>
      <c r="H145" s="5" t="str">
        <f>IFERROR(__xludf.DUMMYFUNCTION("GOOGLETRANSLATE(C145, ""en"", ""Hi"")"),"A) यह एक प्रकार का हथियार है, B) यह एक उपचार पद्धति है, C) यह एक युद्ध क्रम है, D) यह एक प्रशिक्षण तकनीक है")</f>
        <v>A) यह एक प्रकार का हथियार है, B) यह एक उपचार पद्धति है, C) यह एक युद्ध क्रम है, D) यह एक प्रशिक्षण तकनीक है</v>
      </c>
      <c r="I145" s="5" t="str">
        <f>IFERROR(__xludf.DUMMYFUNCTION("GOOGLETRANSLATE(D145, ""en"", ""Hi"")"),"B) यह एक उपचार पद्धति है")</f>
        <v>B) यह एक उपचार पद्धति है</v>
      </c>
    </row>
    <row r="146" ht="22.5" customHeight="1">
      <c r="A146" s="9">
        <v>145.0</v>
      </c>
      <c r="B146" s="4" t="s">
        <v>9030</v>
      </c>
      <c r="C146" s="4" t="s">
        <v>9031</v>
      </c>
      <c r="D146" s="4" t="s">
        <v>9032</v>
      </c>
      <c r="F146" s="5" t="str">
        <f>IFERROR(__xludf.DUMMYFUNCTION("GOOGLETRANSLATE(A146, ""en"", ""Hi"")"),"145")</f>
        <v>145</v>
      </c>
      <c r="G146" s="5" t="str">
        <f>IFERROR(__xludf.DUMMYFUNCTION("GOOGLETRANSLATE(B146, ""en"", ""Hi"")"),"कलारीपयट्टू में 'कुट्टू वरिसाई' का प्राथमिक फोकस निम्नलिखित में से कौन सा है?")</f>
        <v>कलारीपयट्टू में 'कुट्टू वरिसाई' का प्राथमिक फोकस निम्नलिखित में से कौन सा है?</v>
      </c>
      <c r="H146" s="5" t="str">
        <f>IFERROR(__xludf.DUMMYFUNCTION("GOOGLETRANSLATE(C146, ""en"", ""Hi"")"),"A) हथियार प्रशिक्षण, B) युद्ध क्रम, C) लचीलापन, D) उपचार")</f>
        <v>A) हथियार प्रशिक्षण, B) युद्ध क्रम, C) लचीलापन, D) उपचार</v>
      </c>
      <c r="I146" s="5" t="str">
        <f>IFERROR(__xludf.DUMMYFUNCTION("GOOGLETRANSLATE(D146, ""en"", ""Hi"")"),"बी) युद्ध अनुक्रम")</f>
        <v>बी) युद्ध अनुक्रम</v>
      </c>
    </row>
    <row r="147" ht="22.5" customHeight="1">
      <c r="A147" s="9">
        <v>146.0</v>
      </c>
      <c r="B147" s="4" t="s">
        <v>9033</v>
      </c>
      <c r="C147" s="4" t="s">
        <v>9012</v>
      </c>
      <c r="D147" s="4" t="s">
        <v>9034</v>
      </c>
      <c r="F147" s="5" t="str">
        <f>IFERROR(__xludf.DUMMYFUNCTION("GOOGLETRANSLATE(A147, ""en"", ""Hi"")"),"146")</f>
        <v>146</v>
      </c>
      <c r="G147" s="5" t="str">
        <f>IFERROR(__xludf.DUMMYFUNCTION("GOOGLETRANSLATE(B147, ""en"", ""Hi"")"),"कौन सा कलारीपयट्टू हथियार आमतौर पर आक्रामक और रक्षात्मक दोनों उद्देश्यों के लिए उपयोग किया जाता है और इसमें घुमावदार ब्लेड होता है?")</f>
        <v>कौन सा कलारीपयट्टू हथियार आमतौर पर आक्रामक और रक्षात्मक दोनों उद्देश्यों के लिए उपयोग किया जाता है और इसमें घुमावदार ब्लेड होता है?</v>
      </c>
      <c r="H147" s="5" t="str">
        <f>IFERROR(__xludf.DUMMYFUNCTION("GOOGLETRANSLATE(C147, ""en"", ""Hi"")"),"A) तलवार, B) गदा, C) खंजर, D) भाला")</f>
        <v>A) तलवार, B) गदा, C) खंजर, D) भाला</v>
      </c>
      <c r="I147" s="5" t="str">
        <f>IFERROR(__xludf.DUMMYFUNCTION("GOOGLETRANSLATE(D147, ""en"", ""Hi"")"),"ए) तलवार")</f>
        <v>ए) तलवार</v>
      </c>
    </row>
    <row r="148" ht="22.5" customHeight="1">
      <c r="A148" s="9">
        <v>147.0</v>
      </c>
      <c r="B148" s="4" t="s">
        <v>9035</v>
      </c>
      <c r="C148" s="4" t="s">
        <v>9036</v>
      </c>
      <c r="D148" s="4" t="s">
        <v>8803</v>
      </c>
      <c r="F148" s="5" t="str">
        <f>IFERROR(__xludf.DUMMYFUNCTION("GOOGLETRANSLATE(A148, ""en"", ""Hi"")"),"147")</f>
        <v>147</v>
      </c>
      <c r="G148" s="5" t="str">
        <f>IFERROR(__xludf.DUMMYFUNCTION("GOOGLETRANSLATE(B148, ""en"", ""Hi"")"),"कौन सी प्राचीन मार्शल आर्ट प्रथा कलारीपयट्टू से निकटता से संबंधित है?")</f>
        <v>कौन सी प्राचीन मार्शल आर्ट प्रथा कलारीपयट्टू से निकटता से संबंधित है?</v>
      </c>
      <c r="H148" s="5" t="str">
        <f>IFERROR(__xludf.DUMMYFUNCTION("GOOGLETRANSLATE(C148, ""en"", ""Hi"")"),"ए) सिलंबम, बी) ताइक्केयोन, सी) जुजुत्सु, डी) कैपोईरा")</f>
        <v>ए) सिलंबम, बी) ताइक्केयोन, सी) जुजुत्सु, डी) कैपोईरा</v>
      </c>
      <c r="I148" s="5" t="str">
        <f>IFERROR(__xludf.DUMMYFUNCTION("GOOGLETRANSLATE(D148, ""en"", ""Hi"")"),"ए) सिलंबम")</f>
        <v>ए) सिलंबम</v>
      </c>
    </row>
    <row r="149" ht="22.5" customHeight="1">
      <c r="A149" s="9">
        <v>148.0</v>
      </c>
      <c r="B149" s="4" t="s">
        <v>9037</v>
      </c>
      <c r="C149" s="4" t="s">
        <v>9038</v>
      </c>
      <c r="D149" s="4" t="s">
        <v>9039</v>
      </c>
      <c r="F149" s="5" t="str">
        <f>IFERROR(__xludf.DUMMYFUNCTION("GOOGLETRANSLATE(A149, ""en"", ""Hi"")"),"148")</f>
        <v>148</v>
      </c>
      <c r="G149" s="5" t="str">
        <f>IFERROR(__xludf.DUMMYFUNCTION("GOOGLETRANSLATE(B149, ""en"", ""Hi"")"),"कलारीपयट्टू में 'मर्म चिकित्सा' का उद्देश्य क्या है?")</f>
        <v>कलारीपयट्टू में 'मर्म चिकित्सा' का उद्देश्य क्या है?</v>
      </c>
      <c r="H149" s="5" t="str">
        <f>IFERROR(__xludf.DUMMYFUNCTION("GOOGLETRANSLATE(C149, ""en"", ""Hi"")"),"A) युद्ध तकनीकों का प्रशिक्षण देना, B) स्वास्थ्य और हमले के लिए महत्वपूर्ण बिंदुओं को समझना, C) लचीलेपन में सुधार करना, D) हथियारों को संभालना")</f>
        <v>A) युद्ध तकनीकों का प्रशिक्षण देना, B) स्वास्थ्य और हमले के लिए महत्वपूर्ण बिंदुओं को समझना, C) लचीलेपन में सुधार करना, D) हथियारों को संभालना</v>
      </c>
      <c r="I149" s="5" t="str">
        <f>IFERROR(__xludf.DUMMYFUNCTION("GOOGLETRANSLATE(D149, ""en"", ""Hi"")"),"बी) स्वास्थ्य और हमले के लिए महत्वपूर्ण बिंदुओं को समझना")</f>
        <v>बी) स्वास्थ्य और हमले के लिए महत्वपूर्ण बिंदुओं को समझना</v>
      </c>
    </row>
    <row r="150" ht="22.5" customHeight="1">
      <c r="A150" s="9">
        <v>149.0</v>
      </c>
      <c r="B150" s="4" t="s">
        <v>9040</v>
      </c>
      <c r="C150" s="4" t="s">
        <v>9041</v>
      </c>
      <c r="D150" s="4" t="s">
        <v>3272</v>
      </c>
      <c r="F150" s="5" t="str">
        <f>IFERROR(__xludf.DUMMYFUNCTION("GOOGLETRANSLATE(A150, ""en"", ""Hi"")"),"149")</f>
        <v>149</v>
      </c>
      <c r="G150" s="5" t="str">
        <f>IFERROR(__xludf.DUMMYFUNCTION("GOOGLETRANSLATE(B150, ""en"", ""Hi"")"),"कलारीपयट्टू के सिद्धांतों को समझने के लिए निम्नलिखित में से कौन सा ग्रंथ आवश्यक है?")</f>
        <v>कलारीपयट्टू के सिद्धांतों को समझने के लिए निम्नलिखित में से कौन सा ग्रंथ आवश्यक है?</v>
      </c>
      <c r="H150" s="5" t="str">
        <f>IFERROR(__xludf.DUMMYFUNCTION("GOOGLETRANSLATE(C150, ""en"", ""Hi"")"),"ए) योग सूत्र, बी) अर्थशास्त्र, सी) महाभारत, डी) रामायण")</f>
        <v>ए) योग सूत्र, बी) अर्थशास्त्र, सी) महाभारत, डी) रामायण</v>
      </c>
      <c r="I150" s="5" t="str">
        <f>IFERROR(__xludf.DUMMYFUNCTION("GOOGLETRANSLATE(D150, ""en"", ""Hi"")"),"बी) अर्थशास्त्र")</f>
        <v>बी) अर्थशास्त्र</v>
      </c>
    </row>
    <row r="151" ht="22.5" customHeight="1">
      <c r="A151" s="9">
        <v>150.0</v>
      </c>
      <c r="B151" s="4" t="s">
        <v>9042</v>
      </c>
      <c r="C151" s="4" t="s">
        <v>9043</v>
      </c>
      <c r="D151" s="4" t="s">
        <v>8803</v>
      </c>
      <c r="F151" s="5" t="str">
        <f>IFERROR(__xludf.DUMMYFUNCTION("GOOGLETRANSLATE(A151, ""en"", ""Hi"")"),"150")</f>
        <v>150</v>
      </c>
      <c r="G151" s="5" t="str">
        <f>IFERROR(__xludf.DUMMYFUNCTION("GOOGLETRANSLATE(B151, ""en"", ""Hi"")"),"कौन सी कलारीपयट्टू तकनीक लंबे, लचीले हथियारों के उपयोग पर केंद्रित है?")</f>
        <v>कौन सी कलारीपयट्टू तकनीक लंबे, लचीले हथियारों के उपयोग पर केंद्रित है?</v>
      </c>
      <c r="H151" s="5" t="str">
        <f>IFERROR(__xludf.DUMMYFUNCTION("GOOGLETRANSLATE(C151, ""en"", ""Hi"")"),"ए) सिलंबम, बी) अंगम, सी) मीपायट्टु, डी) वेरुमकाई")</f>
        <v>ए) सिलंबम, बी) अंगम, सी) मीपायट्टु, डी) वेरुमकाई</v>
      </c>
      <c r="I151" s="5" t="str">
        <f>IFERROR(__xludf.DUMMYFUNCTION("GOOGLETRANSLATE(D151, ""en"", ""Hi"")"),"ए) सिलंबम")</f>
        <v>ए) सिलंबम</v>
      </c>
    </row>
    <row r="152" ht="22.5" customHeight="1">
      <c r="A152" s="9">
        <v>151.0</v>
      </c>
      <c r="B152" s="4" t="s">
        <v>9044</v>
      </c>
      <c r="C152" s="4" t="s">
        <v>9045</v>
      </c>
      <c r="D152" s="4" t="s">
        <v>8846</v>
      </c>
      <c r="F152" s="5" t="str">
        <f>IFERROR(__xludf.DUMMYFUNCTION("GOOGLETRANSLATE(A152, ""en"", ""Hi"")"),"151")</f>
        <v>151</v>
      </c>
      <c r="G152" s="5" t="str">
        <f>IFERROR(__xludf.DUMMYFUNCTION("GOOGLETRANSLATE(B152, ""en"", ""Hi"")"),"कलारीपयट्टू के प्रशिक्षण में 'कलारी' की क्या भूमिका है?")</f>
        <v>कलारीपयट्टू के प्रशिक्षण में 'कलारी' की क्या भूमिका है?</v>
      </c>
      <c r="H152" s="5" t="str">
        <f>IFERROR(__xludf.DUMMYFUNCTION("GOOGLETRANSLATE(C152, ""en"", ""Hi"")"),"A) यह एक प्रकार का हथियार है, B) यह एक अभ्यास पद्धति है, C) यह एक प्रशिक्षण मैदान है, D) यह एक युद्ध क्रम है")</f>
        <v>A) यह एक प्रकार का हथियार है, B) यह एक अभ्यास पद्धति है, C) यह एक प्रशिक्षण मैदान है, D) यह एक युद्ध क्रम है</v>
      </c>
      <c r="I152" s="5" t="str">
        <f>IFERROR(__xludf.DUMMYFUNCTION("GOOGLETRANSLATE(D152, ""en"", ""Hi"")"),"C) यह एक प्रशिक्षण मैदान है")</f>
        <v>C) यह एक प्रशिक्षण मैदान है</v>
      </c>
    </row>
    <row r="153" ht="22.5" customHeight="1">
      <c r="A153" s="9">
        <v>152.0</v>
      </c>
      <c r="B153" s="4" t="s">
        <v>9046</v>
      </c>
      <c r="C153" s="4" t="s">
        <v>9047</v>
      </c>
      <c r="D153" s="4" t="s">
        <v>2616</v>
      </c>
      <c r="F153" s="5" t="str">
        <f>IFERROR(__xludf.DUMMYFUNCTION("GOOGLETRANSLATE(A153, ""en"", ""Hi"")"),"152")</f>
        <v>152</v>
      </c>
      <c r="G153" s="5" t="str">
        <f>IFERROR(__xludf.DUMMYFUNCTION("GOOGLETRANSLATE(B153, ""en"", ""Hi"")"),"कलारीपयट्टू के इतिहास और तकनीक को समझने के लिए किस ऐतिहासिक भारतीय ग्रंथ का उपयोग किया जाता है?")</f>
        <v>कलारीपयट्टू के इतिहास और तकनीक को समझने के लिए किस ऐतिहासिक भारतीय ग्रंथ का उपयोग किया जाता है?</v>
      </c>
      <c r="H153" s="5" t="str">
        <f>IFERROR(__xludf.DUMMYFUNCTION("GOOGLETRANSLATE(C153, ""en"", ""Hi"")"),"ए) अर्थशास्त्र, बी) महाभारत, सी) योग सूत्र, डी) पुराण")</f>
        <v>ए) अर्थशास्त्र, बी) महाभारत, सी) योग सूत्र, डी) पुराण</v>
      </c>
      <c r="I153" s="5" t="str">
        <f>IFERROR(__xludf.DUMMYFUNCTION("GOOGLETRANSLATE(D153, ""en"", ""Hi"")"),"A) अर्थशास्त्र")</f>
        <v>A) अर्थशास्त्र</v>
      </c>
    </row>
    <row r="154" ht="22.5" customHeight="1">
      <c r="A154" s="9">
        <v>153.0</v>
      </c>
      <c r="B154" s="4" t="s">
        <v>9048</v>
      </c>
      <c r="C154" s="4" t="s">
        <v>9049</v>
      </c>
      <c r="D154" s="4" t="s">
        <v>9050</v>
      </c>
      <c r="F154" s="5" t="str">
        <f>IFERROR(__xludf.DUMMYFUNCTION("GOOGLETRANSLATE(A154, ""en"", ""Hi"")"),"153")</f>
        <v>153</v>
      </c>
      <c r="G154" s="5" t="str">
        <f>IFERROR(__xludf.DUMMYFUNCTION("GOOGLETRANSLATE(B154, ""en"", ""Hi"")"),"कलारीपयट्टू में पारंपरिक स्वामी या शिक्षक किसे माना जाता है?")</f>
        <v>कलारीपयट्टू में पारंपरिक स्वामी या शिक्षक किसे माना जाता है?</v>
      </c>
      <c r="H154" s="5" t="str">
        <f>IFERROR(__xludf.DUMMYFUNCTION("GOOGLETRANSLATE(C154, ""en"", ""Hi"")"),"A) गुरु, B) राजा, C) योद्धा, D) पुजारी")</f>
        <v>A) गुरु, B) राजा, C) योद्धा, D) पुजारी</v>
      </c>
      <c r="I154" s="5" t="str">
        <f>IFERROR(__xludf.DUMMYFUNCTION("GOOGLETRANSLATE(D154, ""en"", ""Hi"")"),"A) गुरु")</f>
        <v>A) गुरु</v>
      </c>
    </row>
    <row r="155" ht="22.5" customHeight="1">
      <c r="A155" s="9">
        <v>154.0</v>
      </c>
      <c r="B155" s="4" t="s">
        <v>9051</v>
      </c>
      <c r="C155" s="4" t="s">
        <v>9052</v>
      </c>
      <c r="D155" s="4" t="s">
        <v>8758</v>
      </c>
      <c r="F155" s="5" t="str">
        <f>IFERROR(__xludf.DUMMYFUNCTION("GOOGLETRANSLATE(A155, ""en"", ""Hi"")"),"154")</f>
        <v>154</v>
      </c>
      <c r="G155" s="5" t="str">
        <f>IFERROR(__xludf.DUMMYFUNCTION("GOOGLETRANSLATE(B155, ""en"", ""Hi"")"),"कौन सी कलारीपयट्टू तकनीक विभिन्न फुटवर्क पैटर्न पर जोर देने के लिए जानी जाती है?")</f>
        <v>कौन सी कलारीपयट्टू तकनीक विभिन्न फुटवर्क पैटर्न पर जोर देने के लिए जानी जाती है?</v>
      </c>
      <c r="H155" s="5" t="str">
        <f>IFERROR(__xludf.DUMMYFUNCTION("GOOGLETRANSLATE(C155, ""en"", ""Hi"")"),"ए) एडवस, बी) सिलंबम, सी) मेइपयट्टु, डी) अंगम")</f>
        <v>ए) एडवस, बी) सिलंबम, सी) मेइपयट्टु, डी) अंगम</v>
      </c>
      <c r="I155" s="5" t="str">
        <f>IFERROR(__xludf.DUMMYFUNCTION("GOOGLETRANSLATE(D155, ""en"", ""Hi"")"),"ए) एडवस")</f>
        <v>ए) एडवस</v>
      </c>
    </row>
    <row r="156" ht="22.5" customHeight="1">
      <c r="A156" s="9">
        <v>155.0</v>
      </c>
      <c r="B156" s="4" t="s">
        <v>9053</v>
      </c>
      <c r="C156" s="4" t="s">
        <v>9054</v>
      </c>
      <c r="D156" s="4" t="s">
        <v>8970</v>
      </c>
      <c r="F156" s="5" t="str">
        <f>IFERROR(__xludf.DUMMYFUNCTION("GOOGLETRANSLATE(A156, ""en"", ""Hi"")"),"155")</f>
        <v>155</v>
      </c>
      <c r="G156" s="5" t="str">
        <f>IFERROR(__xludf.DUMMYFUNCTION("GOOGLETRANSLATE(B156, ""en"", ""Hi"")"),"कलारीपयट्टू में प्रयुक्त किस प्रकार का हथियार त्वरित एवं सटीक प्रहार के लिए बनाया गया है?")</f>
        <v>कलारीपयट्टू में प्रयुक्त किस प्रकार का हथियार त्वरित एवं सटीक प्रहार के लिए बनाया गया है?</v>
      </c>
      <c r="H156" s="5" t="str">
        <f>IFERROR(__xludf.DUMMYFUNCTION("GOOGLETRANSLATE(C156, ""en"", ""Hi"")"),"A) खंजर, B) गदा, C) तलवार, D) भाला")</f>
        <v>A) खंजर, B) गदा, C) तलवार, D) भाला</v>
      </c>
      <c r="I156" s="5" t="str">
        <f>IFERROR(__xludf.DUMMYFUNCTION("GOOGLETRANSLATE(D156, ""en"", ""Hi"")"),"ए) खंजर")</f>
        <v>ए) खंजर</v>
      </c>
    </row>
    <row r="157" ht="22.5" customHeight="1">
      <c r="A157" s="9">
        <v>156.0</v>
      </c>
      <c r="B157" s="4" t="s">
        <v>9055</v>
      </c>
      <c r="C157" s="4" t="s">
        <v>9056</v>
      </c>
      <c r="D157" s="4" t="s">
        <v>9057</v>
      </c>
      <c r="F157" s="5" t="str">
        <f>IFERROR(__xludf.DUMMYFUNCTION("GOOGLETRANSLATE(A157, ""en"", ""Hi"")"),"156")</f>
        <v>156</v>
      </c>
      <c r="G157" s="5" t="str">
        <f>IFERROR(__xludf.DUMMYFUNCTION("GOOGLETRANSLATE(B157, ""en"", ""Hi"")"),"कलारीपयट्टू में, 'मीपयट्टू' मुख्य रूप से किस पर केंद्रित है?")</f>
        <v>कलारीपयट्टू में, 'मीपयट्टू' मुख्य रूप से किस पर केंद्रित है?</v>
      </c>
      <c r="H157" s="5" t="str">
        <f>IFERROR(__xludf.DUMMYFUNCTION("GOOGLETRANSLATE(C157, ""en"", ""Hi"")"),"A) हथियार चलाना, B) शारीरिक कंडीशनिंग और लचीलापन, C) युद्ध तकनीक, D) उपचार")</f>
        <v>A) हथियार चलाना, B) शारीरिक कंडीशनिंग और लचीलापन, C) युद्ध तकनीक, D) उपचार</v>
      </c>
      <c r="I157" s="5" t="str">
        <f>IFERROR(__xludf.DUMMYFUNCTION("GOOGLETRANSLATE(D157, ""en"", ""Hi"")"),"बी) शारीरिक कंडीशनिंग और लचीलापन")</f>
        <v>बी) शारीरिक कंडीशनिंग और लचीलापन</v>
      </c>
    </row>
    <row r="158" ht="22.5" customHeight="1">
      <c r="A158" s="9">
        <v>157.0</v>
      </c>
      <c r="B158" s="4" t="s">
        <v>9058</v>
      </c>
      <c r="C158" s="4" t="s">
        <v>9059</v>
      </c>
      <c r="D158" s="4" t="s">
        <v>8803</v>
      </c>
      <c r="F158" s="5" t="str">
        <f>IFERROR(__xludf.DUMMYFUNCTION("GOOGLETRANSLATE(A158, ""en"", ""Hi"")"),"157")</f>
        <v>157</v>
      </c>
      <c r="G158" s="5" t="str">
        <f>IFERROR(__xludf.DUMMYFUNCTION("GOOGLETRANSLATE(B158, ""en"", ""Hi"")"),"निम्नलिखित में से कौन सी प्रथा कलारीपयट्टू में लंबी छड़ियों और लाठियों के उपयोग के लिए जानी जाती है?")</f>
        <v>निम्नलिखित में से कौन सी प्रथा कलारीपयट्टू में लंबी छड़ियों और लाठियों के उपयोग के लिए जानी जाती है?</v>
      </c>
      <c r="H158" s="5" t="str">
        <f>IFERROR(__xludf.DUMMYFUNCTION("GOOGLETRANSLATE(C158, ""en"", ""Hi"")"),"ए) सिलंबम, बी) एडवस, सी) मीपायट्टु, डी) वेरुमकाई")</f>
        <v>ए) सिलंबम, बी) एडवस, सी) मीपायट्टु, डी) वेरुमकाई</v>
      </c>
      <c r="I158" s="5" t="str">
        <f>IFERROR(__xludf.DUMMYFUNCTION("GOOGLETRANSLATE(D158, ""en"", ""Hi"")"),"ए) सिलंबम")</f>
        <v>ए) सिलंबम</v>
      </c>
    </row>
    <row r="159" ht="22.5" customHeight="1">
      <c r="A159" s="9">
        <v>158.0</v>
      </c>
      <c r="B159" s="4" t="s">
        <v>9060</v>
      </c>
      <c r="C159" s="4" t="s">
        <v>9061</v>
      </c>
      <c r="D159" s="4" t="s">
        <v>9062</v>
      </c>
      <c r="F159" s="5" t="str">
        <f>IFERROR(__xludf.DUMMYFUNCTION("GOOGLETRANSLATE(A159, ""en"", ""Hi"")"),"158")</f>
        <v>158</v>
      </c>
      <c r="G159" s="5" t="str">
        <f>IFERROR(__xludf.DUMMYFUNCTION("GOOGLETRANSLATE(B159, ""en"", ""Hi"")"),"कलारीपयट्टू प्रशिक्षण सत्र में 'संकल्प' का उद्देश्य क्या है?")</f>
        <v>कलारीपयट्टू प्रशिक्षण सत्र में 'संकल्प' का उद्देश्य क्या है?</v>
      </c>
      <c r="H159" s="5" t="str">
        <f>IFERROR(__xludf.DUMMYFUNCTION("GOOGLETRANSLATE(C159, ""en"", ""Hi"")"),"A) लचीलेपन में सुधार करने के लिए, B) युद्ध के लिए मानसिक रूप से तैयार करने के लिए, C) हथियार तकनीक सीखने के लिए, D) उपचार का अभ्यास करने के लिए")</f>
        <v>A) लचीलेपन में सुधार करने के लिए, B) युद्ध के लिए मानसिक रूप से तैयार करने के लिए, C) हथियार तकनीक सीखने के लिए, D) उपचार का अभ्यास करने के लिए</v>
      </c>
      <c r="I159" s="5" t="str">
        <f>IFERROR(__xludf.DUMMYFUNCTION("GOOGLETRANSLATE(D159, ""en"", ""Hi"")"),"बी) युद्ध के लिए मानसिक रूप से तैयार करना")</f>
        <v>बी) युद्ध के लिए मानसिक रूप से तैयार करना</v>
      </c>
    </row>
    <row r="160" ht="22.5" customHeight="1">
      <c r="A160" s="9">
        <v>159.0</v>
      </c>
      <c r="B160" s="4" t="s">
        <v>9063</v>
      </c>
      <c r="C160" s="4" t="s">
        <v>9064</v>
      </c>
      <c r="D160" s="4" t="s">
        <v>8958</v>
      </c>
      <c r="F160" s="5" t="str">
        <f>IFERROR(__xludf.DUMMYFUNCTION("GOOGLETRANSLATE(A160, ""en"", ""Hi"")"),"159")</f>
        <v>159</v>
      </c>
      <c r="G160" s="5" t="str">
        <f>IFERROR(__xludf.DUMMYFUNCTION("GOOGLETRANSLATE(B160, ""en"", ""Hi"")"),"कौन सी कलारीपयट्टू तकनीक में बिना हथियारों के युद्ध अभ्यास शामिल है?")</f>
        <v>कौन सी कलारीपयट्टू तकनीक में बिना हथियारों के युद्ध अभ्यास शामिल है?</v>
      </c>
      <c r="H160" s="5" t="str">
        <f>IFERROR(__xludf.DUMMYFUNCTION("GOOGLETRANSLATE(C160, ""en"", ""Hi"")"),"ए) वेरुमकाई, बी) अंगम, सी) एडवस, डी) मेइपायट्टु")</f>
        <v>ए) वेरुमकाई, बी) अंगम, सी) एडवस, डी) मेइपायट्टु</v>
      </c>
      <c r="I160" s="5" t="str">
        <f>IFERROR(__xludf.DUMMYFUNCTION("GOOGLETRANSLATE(D160, ""en"", ""Hi"")"),"A) वेरुमकाई")</f>
        <v>A) वेरुमकाई</v>
      </c>
    </row>
    <row r="161" ht="22.5" customHeight="1">
      <c r="A161" s="9">
        <v>160.0</v>
      </c>
      <c r="B161" s="4" t="s">
        <v>9065</v>
      </c>
      <c r="C161" s="4" t="s">
        <v>9066</v>
      </c>
      <c r="D161" s="4" t="s">
        <v>9067</v>
      </c>
      <c r="F161" s="5" t="str">
        <f>IFERROR(__xludf.DUMMYFUNCTION("GOOGLETRANSLATE(A161, ""en"", ""Hi"")"),"160")</f>
        <v>160</v>
      </c>
      <c r="G161" s="5" t="str">
        <f>IFERROR(__xludf.DUMMYFUNCTION("GOOGLETRANSLATE(B161, ""en"", ""Hi"")"),"कलारीपयट्टू में, 'उझिचिल' विशेष रूप से क्या लक्ष्य करता है?")</f>
        <v>कलारीपयट्टू में, 'उझिचिल' विशेष रूप से क्या लक्ष्य करता है?</v>
      </c>
      <c r="H161" s="5" t="str">
        <f>IFERROR(__xludf.DUMMYFUNCTION("GOOGLETRANSLATE(C161, ""en"", ""Hi"")"),"A) युद्ध अभ्यास, B) शारीरिक कंडीशनिंग, C) चोटों का उपचार, D) हथियार प्रशिक्षण")</f>
        <v>A) युद्ध अभ्यास, B) शारीरिक कंडीशनिंग, C) चोटों का उपचार, D) हथियार प्रशिक्षण</v>
      </c>
      <c r="I161" s="5" t="str">
        <f>IFERROR(__xludf.DUMMYFUNCTION("GOOGLETRANSLATE(D161, ""en"", ""Hi"")"),"C) चोटों का उपचार")</f>
        <v>C) चोटों का उपचार</v>
      </c>
    </row>
    <row r="162" ht="22.5" customHeight="1">
      <c r="A162" s="9">
        <v>161.0</v>
      </c>
      <c r="B162" s="4" t="s">
        <v>9068</v>
      </c>
      <c r="C162" s="4" t="s">
        <v>9000</v>
      </c>
      <c r="D162" s="4" t="s">
        <v>8803</v>
      </c>
      <c r="F162" s="5" t="str">
        <f>IFERROR(__xludf.DUMMYFUNCTION("GOOGLETRANSLATE(A162, ""en"", ""Hi"")"),"161")</f>
        <v>161</v>
      </c>
      <c r="G162" s="5" t="str">
        <f>IFERROR(__xludf.DUMMYFUNCTION("GOOGLETRANSLATE(B162, ""en"", ""Hi"")"),"कौन सी कलारीपयट्टू तकनीक विभिन्न छोटे और लंबे हथियारों के साथ प्रशिक्षण के लिए जानी जाती है?")</f>
        <v>कौन सी कलारीपयट्टू तकनीक विभिन्न छोटे और लंबे हथियारों के साथ प्रशिक्षण के लिए जानी जाती है?</v>
      </c>
      <c r="H162" s="5" t="str">
        <f>IFERROR(__xludf.DUMMYFUNCTION("GOOGLETRANSLATE(C162, ""en"", ""Hi"")"),"ए) सिलंबम, बी) एडवस, सी) मेइपायट्टु, डी) अंगम")</f>
        <v>ए) सिलंबम, बी) एडवस, सी) मेइपायट्टु, डी) अंगम</v>
      </c>
      <c r="I162" s="5" t="str">
        <f>IFERROR(__xludf.DUMMYFUNCTION("GOOGLETRANSLATE(D162, ""en"", ""Hi"")"),"ए) सिलंबम")</f>
        <v>ए) सिलंबम</v>
      </c>
    </row>
    <row r="163" ht="22.5" customHeight="1">
      <c r="A163" s="9">
        <v>162.0</v>
      </c>
      <c r="B163" s="4" t="s">
        <v>9069</v>
      </c>
      <c r="C163" s="4" t="s">
        <v>9070</v>
      </c>
      <c r="D163" s="4" t="s">
        <v>9071</v>
      </c>
      <c r="F163" s="5" t="str">
        <f>IFERROR(__xludf.DUMMYFUNCTION("GOOGLETRANSLATE(A163, ""en"", ""Hi"")"),"162")</f>
        <v>162</v>
      </c>
      <c r="G163" s="5" t="str">
        <f>IFERROR(__xludf.DUMMYFUNCTION("GOOGLETRANSLATE(B163, ""en"", ""Hi"")"),"कलारीपयट्टू की तकनीक और इतिहास को समझने के लिए कौन सा ऐतिहासिक स्रोत महत्वपूर्ण माना जाता है?")</f>
        <v>कलारीपयट्टू की तकनीक और इतिहास को समझने के लिए कौन सा ऐतिहासिक स्रोत महत्वपूर्ण माना जाता है?</v>
      </c>
      <c r="H163" s="5" t="str">
        <f>IFERROR(__xludf.DUMMYFUNCTION("GOOGLETRANSLATE(C163, ""en"", ""Hi"")"),"ए) वेद, बी) पुराण, सी) संगम साहित्य, डी) मनुस्मृति")</f>
        <v>ए) वेद, बी) पुराण, सी) संगम साहित्य, डी) मनुस्मृति</v>
      </c>
      <c r="I163" s="5" t="str">
        <f>IFERROR(__xludf.DUMMYFUNCTION("GOOGLETRANSLATE(D163, ""en"", ""Hi"")"),"C) संगम साहित्य")</f>
        <v>C) संगम साहित्य</v>
      </c>
    </row>
    <row r="164" ht="22.5" customHeight="1">
      <c r="A164" s="9">
        <v>163.0</v>
      </c>
      <c r="B164" s="4" t="s">
        <v>9072</v>
      </c>
      <c r="C164" s="4" t="s">
        <v>9073</v>
      </c>
      <c r="D164" s="4" t="s">
        <v>9074</v>
      </c>
      <c r="F164" s="5" t="str">
        <f>IFERROR(__xludf.DUMMYFUNCTION("GOOGLETRANSLATE(A164, ""en"", ""Hi"")"),"163")</f>
        <v>163</v>
      </c>
      <c r="G164" s="5" t="str">
        <f>IFERROR(__xludf.DUMMYFUNCTION("GOOGLETRANSLATE(B164, ""en"", ""Hi"")"),"कलारीपयट्टू में 'कलारी' का ऐतिहासिक महत्व क्या है?")</f>
        <v>कलारीपयट्टू में 'कलारी' का ऐतिहासिक महत्व क्या है?</v>
      </c>
      <c r="H164" s="5" t="str">
        <f>IFERROR(__xludf.DUMMYFUNCTION("GOOGLETRANSLATE(C164, ""en"", ""Hi"")"),"A) यह एक प्रकार का हथियार है, B) यह एक प्रशिक्षण स्थल और अभ्यास स्थल है, C) यह एक उपचार पद्धति है, D) यह एक युद्ध तकनीक है")</f>
        <v>A) यह एक प्रकार का हथियार है, B) यह एक प्रशिक्षण स्थल और अभ्यास स्थल है, C) यह एक उपचार पद्धति है, D) यह एक युद्ध तकनीक है</v>
      </c>
      <c r="I164" s="5" t="str">
        <f>IFERROR(__xludf.DUMMYFUNCTION("GOOGLETRANSLATE(D164, ""en"", ""Hi"")"),"B) यह एक प्रशिक्षण मैदान और अभ्यास स्थान है")</f>
        <v>B) यह एक प्रशिक्षण मैदान और अभ्यास स्थान है</v>
      </c>
    </row>
    <row r="165" ht="22.5" customHeight="1">
      <c r="A165" s="9">
        <v>164.0</v>
      </c>
      <c r="B165" s="4" t="s">
        <v>9075</v>
      </c>
      <c r="C165" s="4" t="s">
        <v>9076</v>
      </c>
      <c r="D165" s="4" t="s">
        <v>8936</v>
      </c>
      <c r="F165" s="5" t="str">
        <f>IFERROR(__xludf.DUMMYFUNCTION("GOOGLETRANSLATE(A165, ""en"", ""Hi"")"),"164")</f>
        <v>164</v>
      </c>
      <c r="G165" s="5" t="str">
        <f>IFERROR(__xludf.DUMMYFUNCTION("GOOGLETRANSLATE(B165, ""en"", ""Hi"")"),"कौन सा प्राचीन भारतीय राजा कलारीपयट्टू के संरक्षण के लिए जाना जाता है?")</f>
        <v>कौन सा प्राचीन भारतीय राजा कलारीपयट्टू के संरक्षण के लिए जाना जाता है?</v>
      </c>
      <c r="H165" s="5" t="str">
        <f>IFERROR(__xludf.DUMMYFUNCTION("GOOGLETRANSLATE(C165, ""en"", ""Hi"")"),"ए) अशोक, बी) चंद्रगुप्त मौर्य, सी) राजा राजा चोल, डी) हर्ष")</f>
        <v>ए) अशोक, बी) चंद्रगुप्त मौर्य, सी) राजा राजा चोल, डी) हर्ष</v>
      </c>
      <c r="I165" s="5" t="str">
        <f>IFERROR(__xludf.DUMMYFUNCTION("GOOGLETRANSLATE(D165, ""en"", ""Hi"")"),"C) राजा राज चोल")</f>
        <v>C) राजा राज चोल</v>
      </c>
    </row>
    <row r="166" ht="22.5" customHeight="1">
      <c r="A166" s="9">
        <v>165.0</v>
      </c>
      <c r="B166" s="4" t="s">
        <v>9077</v>
      </c>
      <c r="C166" s="4" t="s">
        <v>9078</v>
      </c>
      <c r="D166" s="4" t="s">
        <v>9079</v>
      </c>
      <c r="F166" s="5" t="str">
        <f>IFERROR(__xludf.DUMMYFUNCTION("GOOGLETRANSLATE(A166, ""en"", ""Hi"")"),"165")</f>
        <v>165</v>
      </c>
      <c r="G166" s="5" t="str">
        <f>IFERROR(__xludf.DUMMYFUNCTION("GOOGLETRANSLATE(B166, ""en"", ""Hi"")"),"कलारीपयट्टू के किस पहलू में शरीर के महत्वपूर्ण बिंदुओं को समझना और उन पर लक्ष्य साधना शामिल है?")</f>
        <v>कलारीपयट्टू के किस पहलू में शरीर के महत्वपूर्ण बिंदुओं को समझना और उन पर लक्ष्य साधना शामिल है?</v>
      </c>
      <c r="H166" s="5" t="str">
        <f>IFERROR(__xludf.DUMMYFUNCTION("GOOGLETRANSLATE(C166, ""en"", ""Hi"")"),"ए) मर्म शास्त्र, बी) अंगम, सी) मीपायट्टु, डी) एडवस")</f>
        <v>ए) मर्म शास्त्र, बी) अंगम, सी) मीपायट्टु, डी) एडवस</v>
      </c>
      <c r="I166" s="5" t="str">
        <f>IFERROR(__xludf.DUMMYFUNCTION("GOOGLETRANSLATE(D166, ""en"", ""Hi"")"),"A) मर्म शास्त्र")</f>
        <v>A) मर्म शास्त्र</v>
      </c>
    </row>
    <row r="167" ht="22.5" customHeight="1">
      <c r="A167" s="9">
        <v>166.0</v>
      </c>
      <c r="B167" s="4" t="s">
        <v>9080</v>
      </c>
      <c r="C167" s="4" t="s">
        <v>9081</v>
      </c>
      <c r="D167" s="4" t="s">
        <v>9057</v>
      </c>
      <c r="F167" s="5" t="str">
        <f>IFERROR(__xludf.DUMMYFUNCTION("GOOGLETRANSLATE(A167, ""en"", ""Hi"")"),"166")</f>
        <v>166</v>
      </c>
      <c r="G167" s="5" t="str">
        <f>IFERROR(__xludf.DUMMYFUNCTION("GOOGLETRANSLATE(B167, ""en"", ""Hi"")"),"कलारीपयट्टू प्रशिक्षण में 'मेईपयट्टू' का प्राथमिक फोकस क्या है?")</f>
        <v>कलारीपयट्टू प्रशिक्षण में 'मेईपयट्टू' का प्राथमिक फोकस क्या है?</v>
      </c>
      <c r="H167" s="5" t="str">
        <f>IFERROR(__xludf.DUMMYFUNCTION("GOOGLETRANSLATE(C167, ""en"", ""Hi"")"),"A) हथियार तकनीक, B) शारीरिक कंडीशनिंग और लचीलापन, C) युद्ध अभ्यास, D) उपचार")</f>
        <v>A) हथियार तकनीक, B) शारीरिक कंडीशनिंग और लचीलापन, C) युद्ध अभ्यास, D) उपचार</v>
      </c>
      <c r="I167" s="5" t="str">
        <f>IFERROR(__xludf.DUMMYFUNCTION("GOOGLETRANSLATE(D167, ""en"", ""Hi"")"),"बी) शारीरिक कंडीशनिंग और लचीलापन")</f>
        <v>बी) शारीरिक कंडीशनिंग और लचीलापन</v>
      </c>
    </row>
    <row r="168" ht="22.5" customHeight="1">
      <c r="A168" s="9">
        <v>167.0</v>
      </c>
      <c r="B168" s="4" t="s">
        <v>9082</v>
      </c>
      <c r="C168" s="4" t="s">
        <v>9083</v>
      </c>
      <c r="D168" s="4" t="s">
        <v>8952</v>
      </c>
      <c r="F168" s="5" t="str">
        <f>IFERROR(__xludf.DUMMYFUNCTION("GOOGLETRANSLATE(A168, ""en"", ""Hi"")"),"167")</f>
        <v>167</v>
      </c>
      <c r="G168" s="5" t="str">
        <f>IFERROR(__xludf.DUMMYFUNCTION("GOOGLETRANSLATE(B168, ""en"", ""Hi"")"),"कौन सा कलारीपयट्टू हथियार अपनी बहुमुखी प्रतिभा और युद्ध और रक्षा दोनों में उपयोग के लिए जाना जाता है?")</f>
        <v>कौन सा कलारीपयट्टू हथियार अपनी बहुमुखी प्रतिभा और युद्ध और रक्षा दोनों में उपयोग के लिए जाना जाता है?</v>
      </c>
      <c r="H168" s="5" t="str">
        <f>IFERROR(__xludf.DUMMYFUNCTION("GOOGLETRANSLATE(C168, ""en"", ""Hi"")"),"A) तलवार, B) भाला, C) खंजर, D) गदा")</f>
        <v>A) तलवार, B) भाला, C) खंजर, D) गदा</v>
      </c>
      <c r="I168" s="5" t="str">
        <f>IFERROR(__xludf.DUMMYFUNCTION("GOOGLETRANSLATE(D168, ""en"", ""Hi"")"),"बी) भाला")</f>
        <v>बी) भाला</v>
      </c>
    </row>
    <row r="169" ht="22.5" customHeight="1">
      <c r="A169" s="9">
        <v>168.0</v>
      </c>
      <c r="B169" s="4" t="s">
        <v>9084</v>
      </c>
      <c r="C169" s="4" t="s">
        <v>8924</v>
      </c>
      <c r="D169" s="4" t="s">
        <v>8758</v>
      </c>
      <c r="F169" s="5" t="str">
        <f>IFERROR(__xludf.DUMMYFUNCTION("GOOGLETRANSLATE(A169, ""en"", ""Hi"")"),"168")</f>
        <v>168</v>
      </c>
      <c r="G169" s="5" t="str">
        <f>IFERROR(__xludf.DUMMYFUNCTION("GOOGLETRANSLATE(B169, ""en"", ""Hi"")"),"कलारीपयट्टू में कौन सी तकनीक जटिल पैरों की क्रिया और शरीर की गतिविधियों को शामिल करती है?")</f>
        <v>कलारीपयट्टू में कौन सी तकनीक जटिल पैरों की क्रिया और शरीर की गतिविधियों को शामिल करती है?</v>
      </c>
      <c r="H169" s="5" t="str">
        <f>IFERROR(__xludf.DUMMYFUNCTION("GOOGLETRANSLATE(C169, ""en"", ""Hi"")"),"ए) एडवस, बी) मीपायट्टु, सी) सिलंबम, डी) अंगम")</f>
        <v>ए) एडवस, बी) मीपायट्टु, सी) सिलंबम, डी) अंगम</v>
      </c>
      <c r="I169" s="5" t="str">
        <f>IFERROR(__xludf.DUMMYFUNCTION("GOOGLETRANSLATE(D169, ""en"", ""Hi"")"),"ए) एडवस")</f>
        <v>ए) एडवस</v>
      </c>
    </row>
    <row r="170" ht="22.5" customHeight="1">
      <c r="A170" s="9">
        <v>169.0</v>
      </c>
      <c r="B170" s="4" t="s">
        <v>9085</v>
      </c>
      <c r="C170" s="4" t="s">
        <v>9086</v>
      </c>
      <c r="D170" s="4" t="s">
        <v>9087</v>
      </c>
      <c r="F170" s="5" t="str">
        <f>IFERROR(__xludf.DUMMYFUNCTION("GOOGLETRANSLATE(A170, ""en"", ""Hi"")"),"169")</f>
        <v>169</v>
      </c>
      <c r="G170" s="5" t="str">
        <f>IFERROR(__xludf.DUMMYFUNCTION("GOOGLETRANSLATE(B170, ""en"", ""Hi"")"),"कलारीपयट्टु प्रशिक्षण के संदर्भ में 'कलारी' का तात्पर्य क्या है?")</f>
        <v>कलारीपयट्टु प्रशिक्षण के संदर्भ में 'कलारी' का तात्पर्य क्या है?</v>
      </c>
      <c r="H170" s="5" t="str">
        <f>IFERROR(__xludf.DUMMYFUNCTION("GOOGLETRANSLATE(C170, ""en"", ""Hi"")"),"A) एक हथियार, B) एक प्रशिक्षण मैदान, C) एक युद्ध तकनीक, D) एक प्रकार का अभ्यास")</f>
        <v>A) एक हथियार, B) एक प्रशिक्षण मैदान, C) एक युद्ध तकनीक, D) एक प्रकार का अभ्यास</v>
      </c>
      <c r="I170" s="5" t="str">
        <f>IFERROR(__xludf.DUMMYFUNCTION("GOOGLETRANSLATE(D170, ""en"", ""Hi"")"),"बी) एक प्रशिक्षण मैदान")</f>
        <v>बी) एक प्रशिक्षण मैदान</v>
      </c>
    </row>
    <row r="171" ht="22.5" customHeight="1">
      <c r="A171" s="9">
        <v>170.0</v>
      </c>
      <c r="B171" s="4" t="s">
        <v>9088</v>
      </c>
      <c r="C171" s="4" t="s">
        <v>9089</v>
      </c>
      <c r="D171" s="4" t="s">
        <v>8803</v>
      </c>
      <c r="F171" s="5" t="str">
        <f>IFERROR(__xludf.DUMMYFUNCTION("GOOGLETRANSLATE(A171, ""en"", ""Hi"")"),"170")</f>
        <v>170</v>
      </c>
      <c r="G171" s="5" t="str">
        <f>IFERROR(__xludf.DUMMYFUNCTION("GOOGLETRANSLATE(B171, ""en"", ""Hi"")"),"कौन सी कलारीपयट्टू तकनीक में लाठी और छड़ जैसे लचीले हथियारों का उपयोग शामिल है?")</f>
        <v>कौन सी कलारीपयट्टू तकनीक में लाठी और छड़ जैसे लचीले हथियारों का उपयोग शामिल है?</v>
      </c>
      <c r="H171" s="5" t="str">
        <f>IFERROR(__xludf.DUMMYFUNCTION("GOOGLETRANSLATE(C171, ""en"", ""Hi"")"),"ए) सिलंबम, बी) मीपायट्टु, सी) अंगम, डी) वेरुमकाई")</f>
        <v>ए) सिलंबम, बी) मीपायट्टु, सी) अंगम, डी) वेरुमकाई</v>
      </c>
      <c r="I171" s="5" t="str">
        <f>IFERROR(__xludf.DUMMYFUNCTION("GOOGLETRANSLATE(D171, ""en"", ""Hi"")"),"ए) सिलंबम")</f>
        <v>ए) सिलंबम</v>
      </c>
    </row>
    <row r="172" ht="22.5" customHeight="1">
      <c r="A172" s="9">
        <v>171.0</v>
      </c>
      <c r="B172" s="4" t="s">
        <v>9090</v>
      </c>
      <c r="C172" s="4" t="s">
        <v>9091</v>
      </c>
      <c r="D172" s="4" t="s">
        <v>8803</v>
      </c>
      <c r="F172" s="5" t="str">
        <f>IFERROR(__xludf.DUMMYFUNCTION("GOOGLETRANSLATE(A172, ""en"", ""Hi"")"),"171")</f>
        <v>171</v>
      </c>
      <c r="G172" s="5" t="str">
        <f>IFERROR(__xludf.DUMMYFUNCTION("GOOGLETRANSLATE(B172, ""en"", ""Hi"")"),"कौन सा कलारीपयट्टू अभ्यास हथियार संचालन और युद्ध अनुक्रम पर जोर देने के लिए जाना जाता है?")</f>
        <v>कौन सा कलारीपयट्टू अभ्यास हथियार संचालन और युद्ध अनुक्रम पर जोर देने के लिए जाना जाता है?</v>
      </c>
      <c r="H172" s="5" t="str">
        <f>IFERROR(__xludf.DUMMYFUNCTION("GOOGLETRANSLATE(C172, ""en"", ""Hi"")"),"ए) सिलंबम, बी) मीपायट्टु, सी) एडवस, डी) वेरुमकाई")</f>
        <v>ए) सिलंबम, बी) मीपायट्टु, सी) एडवस, डी) वेरुमकाई</v>
      </c>
      <c r="I172" s="5" t="str">
        <f>IFERROR(__xludf.DUMMYFUNCTION("GOOGLETRANSLATE(D172, ""en"", ""Hi"")"),"ए) सिलंबम")</f>
        <v>ए) सिलंबम</v>
      </c>
    </row>
    <row r="173" ht="22.5" customHeight="1">
      <c r="A173" s="9">
        <v>172.0</v>
      </c>
      <c r="B173" s="4" t="s">
        <v>9092</v>
      </c>
      <c r="C173" s="4" t="s">
        <v>9093</v>
      </c>
      <c r="D173" s="4" t="s">
        <v>9094</v>
      </c>
      <c r="F173" s="5" t="str">
        <f>IFERROR(__xludf.DUMMYFUNCTION("GOOGLETRANSLATE(A173, ""en"", ""Hi"")"),"172")</f>
        <v>172</v>
      </c>
      <c r="G173" s="5" t="str">
        <f>IFERROR(__xludf.DUMMYFUNCTION("GOOGLETRANSLATE(B173, ""en"", ""Hi"")"),"कलारीपयट्टु में 'मर्म' बिंदुओं का ऐतिहासिक महत्व क्या है?")</f>
        <v>कलारीपयट्टु में 'मर्म' बिंदुओं का ऐतिहासिक महत्व क्या है?</v>
      </c>
      <c r="H173" s="5" t="str">
        <f>IFERROR(__xludf.DUMMYFUNCTION("GOOGLETRANSLATE(C173, ""en"", ""Hi"")"),"A) इनका उपयोग हथियार प्रशिक्षण के लिए किया जाता है, B) ये स्वास्थ्य और युद्ध के लिए महत्वपूर्ण बिंदु हैं, C) ये युद्ध तकनीकें हैं, D) ये हथियारों के प्रकार हैं")</f>
        <v>A) इनका उपयोग हथियार प्रशिक्षण के लिए किया जाता है, B) ये स्वास्थ्य और युद्ध के लिए महत्वपूर्ण बिंदु हैं, C) ये युद्ध तकनीकें हैं, D) ये हथियारों के प्रकार हैं</v>
      </c>
      <c r="I173" s="5" t="str">
        <f>IFERROR(__xludf.DUMMYFUNCTION("GOOGLETRANSLATE(D173, ""en"", ""Hi"")"),"बी) वे स्वास्थ्य और युद्ध के लिए महत्वपूर्ण बिंदु हैं")</f>
        <v>बी) वे स्वास्थ्य और युद्ध के लिए महत्वपूर्ण बिंदु हैं</v>
      </c>
    </row>
    <row r="174" ht="22.5" customHeight="1">
      <c r="A174" s="9">
        <v>173.0</v>
      </c>
      <c r="B174" s="4" t="s">
        <v>9095</v>
      </c>
      <c r="C174" s="4" t="s">
        <v>9096</v>
      </c>
      <c r="D174" s="4" t="s">
        <v>2616</v>
      </c>
      <c r="F174" s="5" t="str">
        <f>IFERROR(__xludf.DUMMYFUNCTION("GOOGLETRANSLATE(A174, ""en"", ""Hi"")"),"173")</f>
        <v>173</v>
      </c>
      <c r="G174" s="5" t="str">
        <f>IFERROR(__xludf.DUMMYFUNCTION("GOOGLETRANSLATE(B174, ""en"", ""Hi"")"),"कौन सा ऐतिहासिक ग्रंथ प्राचीन भारतीय युद्ध के संदर्भ में कलारीपयट्टु के सिद्धांतों पर चर्चा करता है?")</f>
        <v>कौन सा ऐतिहासिक ग्रंथ प्राचीन भारतीय युद्ध के संदर्भ में कलारीपयट्टु के सिद्धांतों पर चर्चा करता है?</v>
      </c>
      <c r="H174" s="5" t="str">
        <f>IFERROR(__xludf.DUMMYFUNCTION("GOOGLETRANSLATE(C174, ""en"", ""Hi"")"),"ए) अर्थशास्त्र, बी) रामायण, सी) वेद, डी) पुराण")</f>
        <v>ए) अर्थशास्त्र, बी) रामायण, सी) वेद, डी) पुराण</v>
      </c>
      <c r="I174" s="5" t="str">
        <f>IFERROR(__xludf.DUMMYFUNCTION("GOOGLETRANSLATE(D174, ""en"", ""Hi"")"),"A) अर्थशास्त्र")</f>
        <v>A) अर्थशास्त्र</v>
      </c>
    </row>
    <row r="175" ht="22.5" customHeight="1">
      <c r="A175" s="9">
        <v>174.0</v>
      </c>
      <c r="B175" s="4" t="s">
        <v>9097</v>
      </c>
      <c r="C175" s="4" t="s">
        <v>9098</v>
      </c>
      <c r="D175" s="4" t="s">
        <v>9099</v>
      </c>
      <c r="F175" s="5" t="str">
        <f>IFERROR(__xludf.DUMMYFUNCTION("GOOGLETRANSLATE(A175, ""en"", ""Hi"")"),"174")</f>
        <v>174</v>
      </c>
      <c r="G175" s="5" t="str">
        <f>IFERROR(__xludf.DUMMYFUNCTION("GOOGLETRANSLATE(B175, ""en"", ""Hi"")"),"कलारीपयट्टू की पारंपरिक प्रथा में 'गुरु' की क्या भूमिका होती है?")</f>
        <v>कलारीपयट्टू की पारंपरिक प्रथा में 'गुरु' की क्या भूमिका होती है?</v>
      </c>
      <c r="H175" s="5" t="str">
        <f>IFERROR(__xludf.DUMMYFUNCTION("GOOGLETRANSLATE(C175, ""en"", ""Hi"")"),"A) छात्र, B) शिक्षक और संरक्षक, C) हथियार निर्माता, D) चिकित्सक")</f>
        <v>A) छात्र, B) शिक्षक और संरक्षक, C) हथियार निर्माता, D) चिकित्सक</v>
      </c>
      <c r="I175" s="5" t="str">
        <f>IFERROR(__xludf.DUMMYFUNCTION("GOOGLETRANSLATE(D175, ""en"", ""Hi"")"),"बी) शिक्षक और संरक्षक")</f>
        <v>बी) शिक्षक और संरक्षक</v>
      </c>
    </row>
    <row r="176" ht="22.5" customHeight="1">
      <c r="A176" s="9">
        <v>175.0</v>
      </c>
      <c r="B176" s="4" t="s">
        <v>9100</v>
      </c>
      <c r="C176" s="4" t="s">
        <v>9101</v>
      </c>
      <c r="D176" s="4" t="s">
        <v>9071</v>
      </c>
      <c r="F176" s="5" t="str">
        <f>IFERROR(__xludf.DUMMYFUNCTION("GOOGLETRANSLATE(A176, ""en"", ""Hi"")"),"175")</f>
        <v>175</v>
      </c>
      <c r="G176" s="5" t="str">
        <f>IFERROR(__xludf.DUMMYFUNCTION("GOOGLETRANSLATE(B176, ""en"", ""Hi"")"),"कलारीपयट्टू की तकनीक और इतिहास को समझने के लिए किस प्राचीन ग्रंथ को प्रमुख संसाधन माना जाता है?")</f>
        <v>कलारीपयट्टू की तकनीक और इतिहास को समझने के लिए किस प्राचीन ग्रंथ को प्रमुख संसाधन माना जाता है?</v>
      </c>
      <c r="H176" s="5" t="str">
        <f>IFERROR(__xludf.DUMMYFUNCTION("GOOGLETRANSLATE(C176, ""en"", ""Hi"")"),"ए) योग सूत्र, बी) पुराण, सी) संगम साहित्य, डी) मनुस्मृति")</f>
        <v>ए) योग सूत्र, बी) पुराण, सी) संगम साहित्य, डी) मनुस्मृति</v>
      </c>
      <c r="I176" s="5" t="str">
        <f>IFERROR(__xludf.DUMMYFUNCTION("GOOGLETRANSLATE(D176, ""en"", ""Hi"")"),"C) संगम साहित्य")</f>
        <v>C) संगम साहित्य</v>
      </c>
    </row>
    <row r="177" ht="22.5" customHeight="1">
      <c r="A177" s="9">
        <v>176.0</v>
      </c>
      <c r="B177" s="4" t="s">
        <v>9102</v>
      </c>
      <c r="C177" s="4" t="s">
        <v>9103</v>
      </c>
      <c r="D177" s="4" t="s">
        <v>9104</v>
      </c>
      <c r="F177" s="5" t="str">
        <f>IFERROR(__xludf.DUMMYFUNCTION("GOOGLETRANSLATE(A177, ""en"", ""Hi"")"),"176")</f>
        <v>176</v>
      </c>
      <c r="G177" s="5" t="str">
        <f>IFERROR(__xludf.DUMMYFUNCTION("GOOGLETRANSLATE(B177, ""en"", ""Hi"")"),"कलारीपयट्टू प्रशिक्षण में 'अडावस' का क्या महत्व है?")</f>
        <v>कलारीपयट्टू प्रशिक्षण में 'अडावस' का क्या महत्व है?</v>
      </c>
      <c r="H177" s="5" t="str">
        <f>IFERROR(__xludf.DUMMYFUNCTION("GOOGLETRANSLATE(C177, ""en"", ""Hi"")"),"A) वे युद्ध अभ्यास हैं, B) वे फुटवर्क पैटर्न हैं, C) वे हथियार तकनीक हैं, D) वे उपचार पद्धतियाँ हैं")</f>
        <v>A) वे युद्ध अभ्यास हैं, B) वे फुटवर्क पैटर्न हैं, C) वे हथियार तकनीक हैं, D) वे उपचार पद्धतियाँ हैं</v>
      </c>
      <c r="I177" s="5" t="str">
        <f>IFERROR(__xludf.DUMMYFUNCTION("GOOGLETRANSLATE(D177, ""en"", ""Hi"")"),"B) वे फुटवर्क पैटर्न हैं")</f>
        <v>B) वे फुटवर्क पैटर्न हैं</v>
      </c>
    </row>
    <row r="178" ht="22.5" customHeight="1">
      <c r="A178" s="9">
        <v>177.0</v>
      </c>
      <c r="B178" s="4" t="s">
        <v>9105</v>
      </c>
      <c r="C178" s="4" t="s">
        <v>8951</v>
      </c>
      <c r="D178" s="4" t="s">
        <v>9034</v>
      </c>
      <c r="F178" s="5" t="str">
        <f>IFERROR(__xludf.DUMMYFUNCTION("GOOGLETRANSLATE(A178, ""en"", ""Hi"")"),"177")</f>
        <v>177</v>
      </c>
      <c r="G178" s="5" t="str">
        <f>IFERROR(__xludf.DUMMYFUNCTION("GOOGLETRANSLATE(B178, ""en"", ""Hi"")"),"कलारीपयट्टू में प्रयुक्त कौन सा हथियार आमतौर पर अपने घुमावदार ब्लेड के लिए जाना जाता है और इसका उपयोग आक्रमण और बचाव दोनों में किया जाता है?")</f>
        <v>कलारीपयट्टू में प्रयुक्त कौन सा हथियार आमतौर पर अपने घुमावदार ब्लेड के लिए जाना जाता है और इसका उपयोग आक्रमण और बचाव दोनों में किया जाता है?</v>
      </c>
      <c r="H178" s="5" t="str">
        <f>IFERROR(__xludf.DUMMYFUNCTION("GOOGLETRANSLATE(C178, ""en"", ""Hi"")"),"A) तलवार, B) भाला, C) गदा, D) खंजर")</f>
        <v>A) तलवार, B) भाला, C) गदा, D) खंजर</v>
      </c>
      <c r="I178" s="5" t="str">
        <f>IFERROR(__xludf.DUMMYFUNCTION("GOOGLETRANSLATE(D178, ""en"", ""Hi"")"),"ए) तलवार")</f>
        <v>ए) तलवार</v>
      </c>
    </row>
    <row r="179" ht="22.5" customHeight="1">
      <c r="A179" s="9">
        <v>178.0</v>
      </c>
      <c r="B179" s="4" t="s">
        <v>9106</v>
      </c>
      <c r="C179" s="4" t="s">
        <v>8821</v>
      </c>
      <c r="D179" s="4" t="s">
        <v>8958</v>
      </c>
      <c r="F179" s="5" t="str">
        <f>IFERROR(__xludf.DUMMYFUNCTION("GOOGLETRANSLATE(A179, ""en"", ""Hi"")"),"178")</f>
        <v>178</v>
      </c>
      <c r="G179" s="5" t="str">
        <f>IFERROR(__xludf.DUMMYFUNCTION("GOOGLETRANSLATE(B179, ""en"", ""Hi"")"),"कलारीपयट्टू में निम्नलिखित में से कौन सी प्रथा निहत्थे युद्ध पर जोर देती है?")</f>
        <v>कलारीपयट्टू में निम्नलिखित में से कौन सी प्रथा निहत्थे युद्ध पर जोर देती है?</v>
      </c>
      <c r="H179" s="5" t="str">
        <f>IFERROR(__xludf.DUMMYFUNCTION("GOOGLETRANSLATE(C179, ""en"", ""Hi"")"),"ए) वेरुमकाई, बी) सिलंबम, सी) एडवस, डी) मेइपायट्टु")</f>
        <v>ए) वेरुमकाई, बी) सिलंबम, सी) एडवस, डी) मेइपायट्टु</v>
      </c>
      <c r="I179" s="5" t="str">
        <f>IFERROR(__xludf.DUMMYFUNCTION("GOOGLETRANSLATE(D179, ""en"", ""Hi"")"),"A) वेरुमकाई")</f>
        <v>A) वेरुमकाई</v>
      </c>
    </row>
    <row r="180" ht="22.5" customHeight="1">
      <c r="A180" s="9">
        <v>179.0</v>
      </c>
      <c r="B180" s="4" t="s">
        <v>9107</v>
      </c>
      <c r="C180" s="4" t="s">
        <v>9108</v>
      </c>
      <c r="D180" s="4" t="s">
        <v>9109</v>
      </c>
      <c r="F180" s="5" t="str">
        <f>IFERROR(__xludf.DUMMYFUNCTION("GOOGLETRANSLATE(A180, ""en"", ""Hi"")"),"179")</f>
        <v>179</v>
      </c>
      <c r="G180" s="5" t="str">
        <f>IFERROR(__xludf.DUMMYFUNCTION("GOOGLETRANSLATE(B180, ""en"", ""Hi"")"),"कलारीपयट्टू में 'उझिचिल' का क्या मतलब है?")</f>
        <v>कलारीपयट्टू में 'उझिचिल' का क्या मतलब है?</v>
      </c>
      <c r="H180" s="5" t="str">
        <f>IFERROR(__xludf.DUMMYFUNCTION("GOOGLETRANSLATE(C180, ""en"", ""Hi"")"),"A) हथियार तकनीक, B) उपचार और पुनर्प्राप्ति, C) युद्ध अभ्यास, D) शारीरिक कंडीशनिंग")</f>
        <v>A) हथियार तकनीक, B) उपचार और पुनर्प्राप्ति, C) युद्ध अभ्यास, D) शारीरिक कंडीशनिंग</v>
      </c>
      <c r="I180" s="5" t="str">
        <f>IFERROR(__xludf.DUMMYFUNCTION("GOOGLETRANSLATE(D180, ""en"", ""Hi"")"),"बी) उपचार और पुनर्प्राप्ति")</f>
        <v>बी) उपचार और पुनर्प्राप्ति</v>
      </c>
    </row>
    <row r="181" ht="22.5" customHeight="1">
      <c r="A181" s="9">
        <v>180.0</v>
      </c>
      <c r="B181" s="4" t="s">
        <v>9110</v>
      </c>
      <c r="C181" s="4" t="s">
        <v>9091</v>
      </c>
      <c r="D181" s="4" t="s">
        <v>8803</v>
      </c>
      <c r="F181" s="5" t="str">
        <f>IFERROR(__xludf.DUMMYFUNCTION("GOOGLETRANSLATE(A181, ""en"", ""Hi"")"),"180")</f>
        <v>180</v>
      </c>
      <c r="G181" s="5" t="str">
        <f>IFERROR(__xludf.DUMMYFUNCTION("GOOGLETRANSLATE(B181, ""en"", ""Hi"")"),"कौन सी कलारीपयट्टू तकनीक पारंपरिक युद्ध अनुक्रमों और हथियार संचालन पर केंद्रित है?")</f>
        <v>कौन सी कलारीपयट्टू तकनीक पारंपरिक युद्ध अनुक्रमों और हथियार संचालन पर केंद्रित है?</v>
      </c>
      <c r="H181" s="5" t="str">
        <f>IFERROR(__xludf.DUMMYFUNCTION("GOOGLETRANSLATE(C181, ""en"", ""Hi"")"),"ए) सिलंबम, बी) मीपायट्टु, सी) एडवस, डी) वेरुमकाई")</f>
        <v>ए) सिलंबम, बी) मीपायट्टु, सी) एडवस, डी) वेरुमकाई</v>
      </c>
      <c r="I181" s="5" t="str">
        <f>IFERROR(__xludf.DUMMYFUNCTION("GOOGLETRANSLATE(D181, ""en"", ""Hi"")"),"ए) सिलंबम")</f>
        <v>ए) सिलंबम</v>
      </c>
    </row>
    <row r="182" ht="22.5" customHeight="1">
      <c r="A182" s="9">
        <v>181.0</v>
      </c>
      <c r="B182" s="4" t="s">
        <v>9111</v>
      </c>
      <c r="C182" s="4" t="s">
        <v>9112</v>
      </c>
      <c r="D182" s="4" t="s">
        <v>9022</v>
      </c>
      <c r="F182" s="5" t="str">
        <f>IFERROR(__xludf.DUMMYFUNCTION("GOOGLETRANSLATE(A182, ""en"", ""Hi"")"),"181")</f>
        <v>181</v>
      </c>
      <c r="G182" s="5" t="str">
        <f>IFERROR(__xludf.DUMMYFUNCTION("GOOGLETRANSLATE(B182, ""en"", ""Hi"")"),"कौन सी ऐतिहासिक भारतीय हस्ती कलारीपयट्टू के संरक्षण और संवर्धन से जुड़ी है?")</f>
        <v>कौन सी ऐतिहासिक भारतीय हस्ती कलारीपयट्टू के संरक्षण और संवर्धन से जुड़ी है?</v>
      </c>
      <c r="H182" s="5" t="str">
        <f>IFERROR(__xludf.DUMMYFUNCTION("GOOGLETRANSLATE(C182, ""en"", ""Hi"")"),"ए) राजा राजा चोल, बी) चंद्रगुप्त मौर्य, सी) अशोक, डी) शिवाजी महाराज")</f>
        <v>ए) राजा राजा चोल, बी) चंद्रगुप्त मौर्य, सी) अशोक, डी) शिवाजी महाराज</v>
      </c>
      <c r="I182" s="5" t="str">
        <f>IFERROR(__xludf.DUMMYFUNCTION("GOOGLETRANSLATE(D182, ""en"", ""Hi"")"),"A) राजा राजा चोल")</f>
        <v>A) राजा राजा चोल</v>
      </c>
    </row>
    <row r="183" ht="22.5" customHeight="1">
      <c r="A183" s="9">
        <v>182.0</v>
      </c>
      <c r="B183" s="4" t="s">
        <v>9113</v>
      </c>
      <c r="C183" s="4" t="s">
        <v>9114</v>
      </c>
      <c r="D183" s="4" t="s">
        <v>9115</v>
      </c>
      <c r="F183" s="5" t="str">
        <f>IFERROR(__xludf.DUMMYFUNCTION("GOOGLETRANSLATE(A183, ""en"", ""Hi"")"),"182")</f>
        <v>182</v>
      </c>
      <c r="G183" s="5" t="str">
        <f>IFERROR(__xludf.DUMMYFUNCTION("GOOGLETRANSLATE(B183, ""en"", ""Hi"")"),"कलारीपयट्टू प्रशिक्षण के संदर्भ में 'कलारी' का क्या अर्थ है?")</f>
        <v>कलारीपयट्टू प्रशिक्षण के संदर्भ में 'कलारी' का क्या अर्थ है?</v>
      </c>
      <c r="H183" s="5" t="str">
        <f>IFERROR(__xludf.DUMMYFUNCTION("GOOGLETRANSLATE(C183, ""en"", ""Hi"")"),"A) एक प्रकार का हथियार, B) एक युद्ध तकनीक, C) एक प्रशिक्षण स्थान, D) एक अभ्यास विधि")</f>
        <v>A) एक प्रकार का हथियार, B) एक युद्ध तकनीक, C) एक प्रशिक्षण स्थान, D) एक अभ्यास विधि</v>
      </c>
      <c r="I183" s="5" t="str">
        <f>IFERROR(__xludf.DUMMYFUNCTION("GOOGLETRANSLATE(D183, ""en"", ""Hi"")"),"C) एक प्रशिक्षण स्थान")</f>
        <v>C) एक प्रशिक्षण स्थान</v>
      </c>
    </row>
    <row r="184" ht="22.5" customHeight="1">
      <c r="A184" s="9">
        <v>183.0</v>
      </c>
      <c r="B184" s="4" t="s">
        <v>9116</v>
      </c>
      <c r="C184" s="4" t="s">
        <v>9059</v>
      </c>
      <c r="D184" s="4" t="s">
        <v>8803</v>
      </c>
      <c r="F184" s="5" t="str">
        <f>IFERROR(__xludf.DUMMYFUNCTION("GOOGLETRANSLATE(A184, ""en"", ""Hi"")"),"183")</f>
        <v>183</v>
      </c>
      <c r="G184" s="5" t="str">
        <f>IFERROR(__xludf.DUMMYFUNCTION("GOOGLETRANSLATE(B184, ""en"", ""Hi"")"),"कौन सी कलारीपयट्टू प्रथा में छोटे हथियारों के साथ गहन अभ्यास और तकनीक शामिल है?")</f>
        <v>कौन सी कलारीपयट्टू प्रथा में छोटे हथियारों के साथ गहन अभ्यास और तकनीक शामिल है?</v>
      </c>
      <c r="H184" s="5" t="str">
        <f>IFERROR(__xludf.DUMMYFUNCTION("GOOGLETRANSLATE(C184, ""en"", ""Hi"")"),"ए) सिलंबम, बी) एडवस, सी) मीपायट्टु, डी) वेरुमकाई")</f>
        <v>ए) सिलंबम, बी) एडवस, सी) मीपायट्टु, डी) वेरुमकाई</v>
      </c>
      <c r="I184" s="5" t="str">
        <f>IFERROR(__xludf.DUMMYFUNCTION("GOOGLETRANSLATE(D184, ""en"", ""Hi"")"),"ए) सिलंबम")</f>
        <v>ए) सिलंबम</v>
      </c>
    </row>
    <row r="185" ht="22.5" customHeight="1">
      <c r="A185" s="9">
        <v>184.0</v>
      </c>
      <c r="B185" s="4" t="s">
        <v>9117</v>
      </c>
      <c r="C185" s="4" t="s">
        <v>9118</v>
      </c>
      <c r="D185" s="4" t="s">
        <v>9119</v>
      </c>
      <c r="F185" s="5" t="str">
        <f>IFERROR(__xludf.DUMMYFUNCTION("GOOGLETRANSLATE(A185, ""en"", ""Hi"")"),"184")</f>
        <v>184</v>
      </c>
      <c r="G185" s="5" t="str">
        <f>IFERROR(__xludf.DUMMYFUNCTION("GOOGLETRANSLATE(B185, ""en"", ""Hi"")"),"कलारीपयट्टू में 'मर्म शास्त्र' की क्या भूमिका है?")</f>
        <v>कलारीपयट्टू में 'मर्म शास्त्र' की क्या भूमिका है?</v>
      </c>
      <c r="H185" s="5" t="str">
        <f>IFERROR(__xludf.DUMMYFUNCTION("GOOGLETRANSLATE(C185, ""en"", ""Hi"")"),"A) हथियार तकनीक सिखाना, B) स्वास्थ्य और हमले के लिए महत्वपूर्ण बिंदुओं को समझना और उनका उपयोग करना, C) युद्ध अभ्यास का अभ्यास करना, D) शारीरिक शक्ति विकसित करना")</f>
        <v>A) हथियार तकनीक सिखाना, B) स्वास्थ्य और हमले के लिए महत्वपूर्ण बिंदुओं को समझना और उनका उपयोग करना, C) युद्ध अभ्यास का अभ्यास करना, D) शारीरिक शक्ति विकसित करना</v>
      </c>
      <c r="I185" s="5" t="str">
        <f>IFERROR(__xludf.DUMMYFUNCTION("GOOGLETRANSLATE(D185, ""en"", ""Hi"")"),"बी) स्वास्थ्य और हमले के लिए महत्वपूर्ण बिंदुओं को समझना और उनका उपयोग करना")</f>
        <v>बी) स्वास्थ्य और हमले के लिए महत्वपूर्ण बिंदुओं को समझना और उनका उपयोग करना</v>
      </c>
    </row>
    <row r="186" ht="22.5" customHeight="1">
      <c r="A186" s="9">
        <v>185.0</v>
      </c>
      <c r="B186" s="4" t="s">
        <v>9120</v>
      </c>
      <c r="C186" s="4" t="s">
        <v>9121</v>
      </c>
      <c r="D186" s="4" t="s">
        <v>2616</v>
      </c>
      <c r="F186" s="5" t="str">
        <f>IFERROR(__xludf.DUMMYFUNCTION("GOOGLETRANSLATE(A186, ""en"", ""Hi"")"),"185")</f>
        <v>185</v>
      </c>
      <c r="G186" s="5" t="str">
        <f>IFERROR(__xludf.DUMMYFUNCTION("GOOGLETRANSLATE(B186, ""en"", ""Hi"")"),"कौन सा ऐतिहासिक ग्रंथ कलारीपयट्टू की युद्ध तकनीकों और प्रशिक्षण विधियों से जुड़ा है?")</f>
        <v>कौन सा ऐतिहासिक ग्रंथ कलारीपयट्टू की युद्ध तकनीकों और प्रशिक्षण विधियों से जुड़ा है?</v>
      </c>
      <c r="H186" s="5" t="str">
        <f>IFERROR(__xludf.DUMMYFUNCTION("GOOGLETRANSLATE(C186, ""en"", ""Hi"")"),"ए) अर्थशास्त्र, बी) रामायण, सी) वेद, डी) महाभारत")</f>
        <v>ए) अर्थशास्त्र, बी) रामायण, सी) वेद, डी) महाभारत</v>
      </c>
      <c r="I186" s="5" t="str">
        <f>IFERROR(__xludf.DUMMYFUNCTION("GOOGLETRANSLATE(D186, ""en"", ""Hi"")"),"A) अर्थशास्त्र")</f>
        <v>A) अर्थशास्त्र</v>
      </c>
    </row>
    <row r="187" ht="22.5" customHeight="1">
      <c r="A187" s="9">
        <v>186.0</v>
      </c>
      <c r="B187" s="4" t="s">
        <v>9080</v>
      </c>
      <c r="C187" s="4" t="s">
        <v>9122</v>
      </c>
      <c r="D187" s="4" t="s">
        <v>9123</v>
      </c>
      <c r="F187" s="5" t="str">
        <f>IFERROR(__xludf.DUMMYFUNCTION("GOOGLETRANSLATE(A187, ""en"", ""Hi"")"),"186")</f>
        <v>186</v>
      </c>
      <c r="G187" s="5" t="str">
        <f>IFERROR(__xludf.DUMMYFUNCTION("GOOGLETRANSLATE(B187, ""en"", ""Hi"")"),"कलारीपयट्टू प्रशिक्षण में 'मेईपयट्टू' का प्राथमिक फोकस क्या है?")</f>
        <v>कलारीपयट्टू प्रशिक्षण में 'मेईपयट्टू' का प्राथमिक फोकस क्या है?</v>
      </c>
      <c r="H187" s="5" t="str">
        <f>IFERROR(__xludf.DUMMYFUNCTION("GOOGLETRANSLATE(C187, ""en"", ""Hi"")"),"A) हथियार तकनीक, B) युद्ध अभ्यास, C) शारीरिक कंडीशनिंग और लचीलापन, D) उपचार")</f>
        <v>A) हथियार तकनीक, B) युद्ध अभ्यास, C) शारीरिक कंडीशनिंग और लचीलापन, D) उपचार</v>
      </c>
      <c r="I187" s="5" t="str">
        <f>IFERROR(__xludf.DUMMYFUNCTION("GOOGLETRANSLATE(D187, ""en"", ""Hi"")"),"C) शारीरिक कंडीशनिंग और लचीलापन")</f>
        <v>C) शारीरिक कंडीशनिंग और लचीलापन</v>
      </c>
    </row>
    <row r="188" ht="22.5" customHeight="1">
      <c r="A188" s="9">
        <v>187.0</v>
      </c>
      <c r="B188" s="4" t="s">
        <v>9124</v>
      </c>
      <c r="C188" s="4" t="s">
        <v>9089</v>
      </c>
      <c r="D188" s="4" t="s">
        <v>8803</v>
      </c>
      <c r="F188" s="5" t="str">
        <f>IFERROR(__xludf.DUMMYFUNCTION("GOOGLETRANSLATE(A188, ""en"", ""Hi"")"),"187")</f>
        <v>187</v>
      </c>
      <c r="G188" s="5" t="str">
        <f>IFERROR(__xludf.DUMMYFUNCTION("GOOGLETRANSLATE(B188, ""en"", ""Hi"")"),"कौन सी कलारीपयट्टू तकनीक में लंबे और लचीले हथियारों के साथ अभ्यास करना शामिल है?")</f>
        <v>कौन सी कलारीपयट्टू तकनीक में लंबे और लचीले हथियारों के साथ अभ्यास करना शामिल है?</v>
      </c>
      <c r="H188" s="5" t="str">
        <f>IFERROR(__xludf.DUMMYFUNCTION("GOOGLETRANSLATE(C188, ""en"", ""Hi"")"),"ए) सिलंबम, बी) मीपायट्टु, सी) अंगम, डी) वेरुमकाई")</f>
        <v>ए) सिलंबम, बी) मीपायट्टु, सी) अंगम, डी) वेरुमकाई</v>
      </c>
      <c r="I188" s="5" t="str">
        <f>IFERROR(__xludf.DUMMYFUNCTION("GOOGLETRANSLATE(D188, ""en"", ""Hi"")"),"ए) सिलंबम")</f>
        <v>ए) सिलंबम</v>
      </c>
    </row>
    <row r="189" ht="22.5" customHeight="1">
      <c r="A189" s="9">
        <v>188.0</v>
      </c>
      <c r="B189" s="4" t="s">
        <v>9125</v>
      </c>
      <c r="C189" s="4" t="s">
        <v>9126</v>
      </c>
      <c r="D189" s="4" t="s">
        <v>9127</v>
      </c>
      <c r="F189" s="5" t="str">
        <f>IFERROR(__xludf.DUMMYFUNCTION("GOOGLETRANSLATE(A189, ""en"", ""Hi"")"),"188")</f>
        <v>188</v>
      </c>
      <c r="G189" s="5" t="str">
        <f>IFERROR(__xludf.DUMMYFUNCTION("GOOGLETRANSLATE(B189, ""en"", ""Hi"")"),"प्राचीन भारत में कलारीपयट्टू तकनीक के संरक्षण का श्रेय किस ऐतिहासिक व्यक्ति को दिया जाता है?")</f>
        <v>प्राचीन भारत में कलारीपयट्टू तकनीक के संरक्षण का श्रेय किस ऐतिहासिक व्यक्ति को दिया जाता है?</v>
      </c>
      <c r="H189" s="5" t="str">
        <f>IFERROR(__xludf.DUMMYFUNCTION("GOOGLETRANSLATE(C189, ""en"", ""Hi"")"),"ए) बलराम, बी) चंद्रगुप्त मौर्य, सी) अशोक, डी) शिवाजी महाराज")</f>
        <v>ए) बलराम, बी) चंद्रगुप्त मौर्य, सी) अशोक, डी) शिवाजी महाराज</v>
      </c>
      <c r="I189" s="5" t="str">
        <f>IFERROR(__xludf.DUMMYFUNCTION("GOOGLETRANSLATE(D189, ""en"", ""Hi"")"),"A) बलराम")</f>
        <v>A) बलराम</v>
      </c>
    </row>
    <row r="190" ht="22.5" customHeight="1">
      <c r="A190" s="9">
        <v>189.0</v>
      </c>
      <c r="B190" s="4" t="s">
        <v>9128</v>
      </c>
      <c r="C190" s="4" t="s">
        <v>9129</v>
      </c>
      <c r="D190" s="4" t="s">
        <v>9062</v>
      </c>
      <c r="F190" s="5" t="str">
        <f>IFERROR(__xludf.DUMMYFUNCTION("GOOGLETRANSLATE(A190, ""en"", ""Hi"")"),"189")</f>
        <v>189</v>
      </c>
      <c r="G190" s="5" t="str">
        <f>IFERROR(__xludf.DUMMYFUNCTION("GOOGLETRANSLATE(B190, ""en"", ""Hi"")"),"कलारीपयट्टू में 'संकल्प' का मुख्य उद्देश्य क्या है?")</f>
        <v>कलारीपयट्टू में 'संकल्प' का मुख्य उद्देश्य क्या है?</v>
      </c>
      <c r="H190" s="5" t="str">
        <f>IFERROR(__xludf.DUMMYFUNCTION("GOOGLETRANSLATE(C190, ""en"", ""Hi"")"),"A) लचीलेपन में सुधार करने के लिए, B) युद्ध के लिए मानसिक रूप से तैयार करने के लिए, C) हथियार तकनीकों का अभ्यास करने के लिए, D) उपचार विधियों को सीखने के लिए")</f>
        <v>A) लचीलेपन में सुधार करने के लिए, B) युद्ध के लिए मानसिक रूप से तैयार करने के लिए, C) हथियार तकनीकों का अभ्यास करने के लिए, D) उपचार विधियों को सीखने के लिए</v>
      </c>
      <c r="I190" s="5" t="str">
        <f>IFERROR(__xludf.DUMMYFUNCTION("GOOGLETRANSLATE(D190, ""en"", ""Hi"")"),"बी) युद्ध के लिए मानसिक रूप से तैयार करना")</f>
        <v>बी) युद्ध के लिए मानसिक रूप से तैयार करना</v>
      </c>
    </row>
    <row r="191" ht="22.5" customHeight="1">
      <c r="A191" s="9">
        <v>190.0</v>
      </c>
      <c r="B191" s="4" t="s">
        <v>9130</v>
      </c>
      <c r="C191" s="4" t="s">
        <v>9131</v>
      </c>
      <c r="D191" s="4" t="s">
        <v>9115</v>
      </c>
      <c r="F191" s="5" t="str">
        <f>IFERROR(__xludf.DUMMYFUNCTION("GOOGLETRANSLATE(A191, ""en"", ""Hi"")"),"190")</f>
        <v>190</v>
      </c>
      <c r="G191" s="5" t="str">
        <f>IFERROR(__xludf.DUMMYFUNCTION("GOOGLETRANSLATE(B191, ""en"", ""Hi"")"),"कलारीपयट्टु के संदर्भ में 'कलारी' क्या दर्शाता है?")</f>
        <v>कलारीपयट्टु के संदर्भ में 'कलारी' क्या दर्शाता है?</v>
      </c>
      <c r="H191" s="5" t="str">
        <f>IFERROR(__xludf.DUMMYFUNCTION("GOOGLETRANSLATE(C191, ""en"", ""Hi"")"),"A) एक हथियार, B) एक प्रकार का अभ्यास, C) एक प्रशिक्षण स्थान, D) एक युद्ध तकनीक")</f>
        <v>A) एक हथियार, B) एक प्रकार का अभ्यास, C) एक प्रशिक्षण स्थान, D) एक युद्ध तकनीक</v>
      </c>
      <c r="I191" s="5" t="str">
        <f>IFERROR(__xludf.DUMMYFUNCTION("GOOGLETRANSLATE(D191, ""en"", ""Hi"")"),"C) एक प्रशिक्षण स्थान")</f>
        <v>C) एक प्रशिक्षण स्थान</v>
      </c>
    </row>
    <row r="192" ht="22.5" customHeight="1">
      <c r="A192" s="9">
        <v>191.0</v>
      </c>
      <c r="B192" s="4" t="s">
        <v>9132</v>
      </c>
      <c r="C192" s="4" t="s">
        <v>9133</v>
      </c>
      <c r="D192" s="4" t="s">
        <v>8803</v>
      </c>
      <c r="F192" s="5" t="str">
        <f>IFERROR(__xludf.DUMMYFUNCTION("GOOGLETRANSLATE(A192, ""en"", ""Hi"")"),"191")</f>
        <v>191</v>
      </c>
      <c r="G192" s="5" t="str">
        <f>IFERROR(__xludf.DUMMYFUNCTION("GOOGLETRANSLATE(B192, ""en"", ""Hi"")"),"कौन सी कलारीपयट्टू तकनीक में विभिन्न छोटे और लंबे हथियारों के साथ अभ्यास करना शामिल है?")</f>
        <v>कौन सी कलारीपयट्टू तकनीक में विभिन्न छोटे और लंबे हथियारों के साथ अभ्यास करना शामिल है?</v>
      </c>
      <c r="H192" s="5" t="str">
        <f>IFERROR(__xludf.DUMMYFUNCTION("GOOGLETRANSLATE(C192, ""en"", ""Hi"")"),"ए) सिलंबम, बी) मीपायट्टु, सी) अंगम, डी) एडवस")</f>
        <v>ए) सिलंबम, बी) मीपायट्टु, सी) अंगम, डी) एडवस</v>
      </c>
      <c r="I192" s="5" t="str">
        <f>IFERROR(__xludf.DUMMYFUNCTION("GOOGLETRANSLATE(D192, ""en"", ""Hi"")"),"ए) सिलंबम")</f>
        <v>ए) सिलंबम</v>
      </c>
    </row>
    <row r="193" ht="22.5" customHeight="1">
      <c r="A193" s="9">
        <v>192.0</v>
      </c>
      <c r="B193" s="4" t="s">
        <v>9134</v>
      </c>
      <c r="C193" s="4" t="s">
        <v>9135</v>
      </c>
      <c r="D193" s="4" t="s">
        <v>2616</v>
      </c>
      <c r="F193" s="5" t="str">
        <f>IFERROR(__xludf.DUMMYFUNCTION("GOOGLETRANSLATE(A193, ""en"", ""Hi"")"),"192")</f>
        <v>192</v>
      </c>
      <c r="G193" s="5" t="str">
        <f>IFERROR(__xludf.DUMMYFUNCTION("GOOGLETRANSLATE(B193, ""en"", ""Hi"")"),"कौन सा ऐतिहासिक पाठ कलारीपयट्टु के इतिहास और तकनीकों के बारे में जानकारी प्रदान करता है?")</f>
        <v>कौन सा ऐतिहासिक पाठ कलारीपयट्टु के इतिहास और तकनीकों के बारे में जानकारी प्रदान करता है?</v>
      </c>
      <c r="H193" s="5" t="str">
        <f>IFERROR(__xludf.DUMMYFUNCTION("GOOGLETRANSLATE(C193, ""en"", ""Hi"")"),"ए) अर्थशास्त्र, बी) रामायण, सी) महाभारत, डी) वेद")</f>
        <v>ए) अर्थशास्त्र, बी) रामायण, सी) महाभारत, डी) वेद</v>
      </c>
      <c r="I193" s="5" t="str">
        <f>IFERROR(__xludf.DUMMYFUNCTION("GOOGLETRANSLATE(D193, ""en"", ""Hi"")"),"A) अर्थशास्त्र")</f>
        <v>A) अर्थशास्त्र</v>
      </c>
    </row>
    <row r="194" ht="22.5" customHeight="1">
      <c r="A194" s="9">
        <v>193.0</v>
      </c>
      <c r="B194" s="4" t="s">
        <v>9136</v>
      </c>
      <c r="C194" s="4" t="s">
        <v>9093</v>
      </c>
      <c r="D194" s="4" t="s">
        <v>9094</v>
      </c>
      <c r="F194" s="5" t="str">
        <f>IFERROR(__xludf.DUMMYFUNCTION("GOOGLETRANSLATE(A194, ""en"", ""Hi"")"),"193")</f>
        <v>193</v>
      </c>
      <c r="G194" s="5" t="str">
        <f>IFERROR(__xludf.DUMMYFUNCTION("GOOGLETRANSLATE(B194, ""en"", ""Hi"")"),"कलारीपयट्टू अभ्यास में 'मर्म' बिंदुओं का क्या महत्व है?")</f>
        <v>कलारीपयट्टू अभ्यास में 'मर्म' बिंदुओं का क्या महत्व है?</v>
      </c>
      <c r="H194" s="5" t="str">
        <f>IFERROR(__xludf.DUMMYFUNCTION("GOOGLETRANSLATE(C194, ""en"", ""Hi"")"),"A) इनका उपयोग हथियार प्रशिक्षण के लिए किया जाता है, B) ये स्वास्थ्य और युद्ध के लिए महत्वपूर्ण बिंदु हैं, C) ये युद्ध तकनीकें हैं, D) ये हथियारों के प्रकार हैं")</f>
        <v>A) इनका उपयोग हथियार प्रशिक्षण के लिए किया जाता है, B) ये स्वास्थ्य और युद्ध के लिए महत्वपूर्ण बिंदु हैं, C) ये युद्ध तकनीकें हैं, D) ये हथियारों के प्रकार हैं</v>
      </c>
      <c r="I194" s="5" t="str">
        <f>IFERROR(__xludf.DUMMYFUNCTION("GOOGLETRANSLATE(D194, ""en"", ""Hi"")"),"बी) वे स्वास्थ्य और युद्ध के लिए महत्वपूर्ण बिंदु हैं")</f>
        <v>बी) वे स्वास्थ्य और युद्ध के लिए महत्वपूर्ण बिंदु हैं</v>
      </c>
    </row>
    <row r="195" ht="22.5" customHeight="1">
      <c r="A195" s="9">
        <v>194.0</v>
      </c>
      <c r="B195" s="4" t="s">
        <v>9137</v>
      </c>
      <c r="C195" s="4" t="s">
        <v>8924</v>
      </c>
      <c r="D195" s="4" t="s">
        <v>8758</v>
      </c>
      <c r="F195" s="5" t="str">
        <f>IFERROR(__xludf.DUMMYFUNCTION("GOOGLETRANSLATE(A195, ""en"", ""Hi"")"),"194")</f>
        <v>194</v>
      </c>
      <c r="G195" s="5" t="str">
        <f>IFERROR(__xludf.DUMMYFUNCTION("GOOGLETRANSLATE(B195, ""en"", ""Hi"")"),"कौन सा कलारीपयट्टू अभ्यास अपने जटिल पैरों के काम और शरीर की गतिविधियों के लिए जाना जाता है?")</f>
        <v>कौन सा कलारीपयट्टू अभ्यास अपने जटिल पैरों के काम और शरीर की गतिविधियों के लिए जाना जाता है?</v>
      </c>
      <c r="H195" s="5" t="str">
        <f>IFERROR(__xludf.DUMMYFUNCTION("GOOGLETRANSLATE(C195, ""en"", ""Hi"")"),"ए) एडवस, बी) मीपायट्टु, सी) सिलंबम, डी) अंगम")</f>
        <v>ए) एडवस, बी) मीपायट्टु, सी) सिलंबम, डी) अंगम</v>
      </c>
      <c r="I195" s="5" t="str">
        <f>IFERROR(__xludf.DUMMYFUNCTION("GOOGLETRANSLATE(D195, ""en"", ""Hi"")"),"ए) एडवस")</f>
        <v>ए) एडवस</v>
      </c>
    </row>
    <row r="196" ht="22.5" customHeight="1">
      <c r="A196" s="9">
        <v>195.0</v>
      </c>
      <c r="B196" s="4" t="s">
        <v>9138</v>
      </c>
      <c r="C196" s="4" t="s">
        <v>9098</v>
      </c>
      <c r="D196" s="4" t="s">
        <v>9099</v>
      </c>
      <c r="F196" s="5" t="str">
        <f>IFERROR(__xludf.DUMMYFUNCTION("GOOGLETRANSLATE(A196, ""en"", ""Hi"")"),"195")</f>
        <v>195</v>
      </c>
      <c r="G196" s="5" t="str">
        <f>IFERROR(__xludf.DUMMYFUNCTION("GOOGLETRANSLATE(B196, ""en"", ""Hi"")"),"कलारीपयट्टू के अभ्यास में 'गुरु' की क्या भूमिका है?")</f>
        <v>कलारीपयट्टू के अभ्यास में 'गुरु' की क्या भूमिका है?</v>
      </c>
      <c r="H196" s="5" t="str">
        <f>IFERROR(__xludf.DUMMYFUNCTION("GOOGLETRANSLATE(C196, ""en"", ""Hi"")"),"A) छात्र, B) शिक्षक और संरक्षक, C) हथियार निर्माता, D) चिकित्सक")</f>
        <v>A) छात्र, B) शिक्षक और संरक्षक, C) हथियार निर्माता, D) चिकित्सक</v>
      </c>
      <c r="I196" s="5" t="str">
        <f>IFERROR(__xludf.DUMMYFUNCTION("GOOGLETRANSLATE(D196, ""en"", ""Hi"")"),"बी) शिक्षक और संरक्षक")</f>
        <v>बी) शिक्षक और संरक्षक</v>
      </c>
    </row>
    <row r="197" ht="22.5" customHeight="1">
      <c r="A197" s="9">
        <v>196.0</v>
      </c>
      <c r="B197" s="4" t="s">
        <v>9139</v>
      </c>
      <c r="C197" s="4" t="s">
        <v>9059</v>
      </c>
      <c r="D197" s="4" t="s">
        <v>8803</v>
      </c>
      <c r="F197" s="5" t="str">
        <f>IFERROR(__xludf.DUMMYFUNCTION("GOOGLETRANSLATE(A197, ""en"", ""Hi"")"),"196")</f>
        <v>196</v>
      </c>
      <c r="G197" s="5" t="str">
        <f>IFERROR(__xludf.DUMMYFUNCTION("GOOGLETRANSLATE(B197, ""en"", ""Hi"")"),"कौन सी कलारीपयट्टू तकनीक विभिन्न लचीले हथियारों के साथ प्रशिक्षण पर जोर देती है?")</f>
        <v>कौन सी कलारीपयट्टू तकनीक विभिन्न लचीले हथियारों के साथ प्रशिक्षण पर जोर देती है?</v>
      </c>
      <c r="H197" s="5" t="str">
        <f>IFERROR(__xludf.DUMMYFUNCTION("GOOGLETRANSLATE(C197, ""en"", ""Hi"")"),"ए) सिलंबम, बी) एडवस, सी) मीपायट्टु, डी) वेरुमकाई")</f>
        <v>ए) सिलंबम, बी) एडवस, सी) मीपायट्टु, डी) वेरुमकाई</v>
      </c>
      <c r="I197" s="5" t="str">
        <f>IFERROR(__xludf.DUMMYFUNCTION("GOOGLETRANSLATE(D197, ""en"", ""Hi"")"),"ए) सिलंबम")</f>
        <v>ए) सिलंबम</v>
      </c>
    </row>
    <row r="198" ht="22.5" customHeight="1">
      <c r="A198" s="9">
        <v>197.0</v>
      </c>
      <c r="B198" s="4" t="s">
        <v>9140</v>
      </c>
      <c r="C198" s="4" t="s">
        <v>9141</v>
      </c>
      <c r="D198" s="4" t="s">
        <v>2616</v>
      </c>
      <c r="F198" s="5" t="str">
        <f>IFERROR(__xludf.DUMMYFUNCTION("GOOGLETRANSLATE(A198, ""en"", ""Hi"")"),"197")</f>
        <v>197</v>
      </c>
      <c r="G198" s="5" t="str">
        <f>IFERROR(__xludf.DUMMYFUNCTION("GOOGLETRANSLATE(B198, ""en"", ""Hi"")"),"कलारीपयट्टू के इतिहास और तकनीक को समझने के लिए कौन सा प्राचीन ग्रंथ महत्वपूर्ण माना जाता है?")</f>
        <v>कलारीपयट्टू के इतिहास और तकनीक को समझने के लिए कौन सा प्राचीन ग्रंथ महत्वपूर्ण माना जाता है?</v>
      </c>
      <c r="H198" s="5" t="str">
        <f>IFERROR(__xludf.DUMMYFUNCTION("GOOGLETRANSLATE(C198, ""en"", ""Hi"")"),"ए) अर्थशास्त्र, बी) महाभारत, सी) रामायण, डी) पुराण")</f>
        <v>ए) अर्थशास्त्र, बी) महाभारत, सी) रामायण, डी) पुराण</v>
      </c>
      <c r="I198" s="5" t="str">
        <f>IFERROR(__xludf.DUMMYFUNCTION("GOOGLETRANSLATE(D198, ""en"", ""Hi"")"),"A) अर्थशास्त्र")</f>
        <v>A) अर्थशास्त्र</v>
      </c>
    </row>
    <row r="199" ht="22.5" customHeight="1">
      <c r="A199" s="9">
        <v>198.0</v>
      </c>
      <c r="B199" s="4" t="s">
        <v>9142</v>
      </c>
      <c r="C199" s="4" t="s">
        <v>9143</v>
      </c>
      <c r="D199" s="4" t="s">
        <v>9123</v>
      </c>
      <c r="F199" s="5" t="str">
        <f>IFERROR(__xludf.DUMMYFUNCTION("GOOGLETRANSLATE(A199, ""en"", ""Hi"")"),"198")</f>
        <v>198</v>
      </c>
      <c r="G199" s="5" t="str">
        <f>IFERROR(__xludf.DUMMYFUNCTION("GOOGLETRANSLATE(B199, ""en"", ""Hi"")"),"कलारीपयट्टू में 'मीपायट्टू' मुख्य रूप से किस पर केंद्रित है?")</f>
        <v>कलारीपयट्टू में 'मीपायट्टू' मुख्य रूप से किस पर केंद्रित है?</v>
      </c>
      <c r="H199" s="5" t="str">
        <f>IFERROR(__xludf.DUMMYFUNCTION("GOOGLETRANSLATE(C199, ""en"", ""Hi"")"),"A) हथियार चलाना, B) युद्ध अभ्यास, C) शारीरिक कंडीशनिंग और लचीलापन, D) उपचार")</f>
        <v>A) हथियार चलाना, B) युद्ध अभ्यास, C) शारीरिक कंडीशनिंग और लचीलापन, D) उपचार</v>
      </c>
      <c r="I199" s="5" t="str">
        <f>IFERROR(__xludf.DUMMYFUNCTION("GOOGLETRANSLATE(D199, ""en"", ""Hi"")"),"C) शारीरिक कंडीशनिंग और लचीलापन")</f>
        <v>C) शारीरिक कंडीशनिंग और लचीलापन</v>
      </c>
    </row>
    <row r="200" ht="22.5" customHeight="1">
      <c r="A200" s="9">
        <v>199.0</v>
      </c>
      <c r="B200" s="4" t="s">
        <v>9144</v>
      </c>
      <c r="C200" s="4" t="s">
        <v>9145</v>
      </c>
      <c r="D200" s="4" t="s">
        <v>9146</v>
      </c>
      <c r="F200" s="5" t="str">
        <f>IFERROR(__xludf.DUMMYFUNCTION("GOOGLETRANSLATE(A200, ""en"", ""Hi"")"),"199")</f>
        <v>199</v>
      </c>
      <c r="G200" s="5" t="str">
        <f>IFERROR(__xludf.DUMMYFUNCTION("GOOGLETRANSLATE(B200, ""en"", ""Hi"")"),"कलारीपयट्टू में 'कलारी' की ऐतिहासिक भूमिका क्या है?")</f>
        <v>कलारीपयट्टू में 'कलारी' की ऐतिहासिक भूमिका क्या है?</v>
      </c>
      <c r="H200" s="5" t="str">
        <f>IFERROR(__xludf.DUMMYFUNCTION("GOOGLETRANSLATE(C200, ""en"", ""Hi"")"),"A) यह एक प्रकार का हथियार है, B) यह एक प्रशिक्षण स्थान है, C) यह एक युद्ध तकनीक है, D) यह एक अभ्यास विधि है")</f>
        <v>A) यह एक प्रकार का हथियार है, B) यह एक प्रशिक्षण स्थान है, C) यह एक युद्ध तकनीक है, D) यह एक अभ्यास विधि है</v>
      </c>
      <c r="I200" s="5" t="str">
        <f>IFERROR(__xludf.DUMMYFUNCTION("GOOGLETRANSLATE(D200, ""en"", ""Hi"")"),"B) यह एक प्रशिक्षण स्थान है")</f>
        <v>B) यह एक प्रशिक्षण स्थान है</v>
      </c>
    </row>
    <row r="201" ht="22.5" customHeight="1">
      <c r="A201" s="9">
        <v>200.0</v>
      </c>
      <c r="B201" s="4" t="s">
        <v>9147</v>
      </c>
      <c r="C201" s="4" t="s">
        <v>9133</v>
      </c>
      <c r="D201" s="4" t="s">
        <v>8803</v>
      </c>
      <c r="F201" s="5" t="str">
        <f>IFERROR(__xludf.DUMMYFUNCTION("GOOGLETRANSLATE(A201, ""en"", ""Hi"")"),"200")</f>
        <v>200</v>
      </c>
      <c r="G201" s="5" t="str">
        <f>IFERROR(__xludf.DUMMYFUNCTION("GOOGLETRANSLATE(B201, ""en"", ""Hi"")"),"कौन सी कलारीपयट्टू प्रथा में विभिन्न छोटे और लंबे हथियारों के साथ प्रशिक्षण शामिल है?")</f>
        <v>कौन सी कलारीपयट्टू प्रथा में विभिन्न छोटे और लंबे हथियारों के साथ प्रशिक्षण शामिल है?</v>
      </c>
      <c r="H201" s="5" t="str">
        <f>IFERROR(__xludf.DUMMYFUNCTION("GOOGLETRANSLATE(C201, ""en"", ""Hi"")"),"ए) सिलंबम, बी) मीपायट्टु, सी) अंगम, डी) एडवस")</f>
        <v>ए) सिलंबम, बी) मीपायट्टु, सी) अंगम, डी) एडवस</v>
      </c>
      <c r="I201" s="5" t="str">
        <f>IFERROR(__xludf.DUMMYFUNCTION("GOOGLETRANSLATE(D201, ""en"", ""Hi"")"),"ए) सिलंबम")</f>
        <v>ए) सिलंबम</v>
      </c>
    </row>
    <row r="202" ht="22.5" customHeight="1">
      <c r="A202" s="9">
        <v>201.0</v>
      </c>
      <c r="B202" s="4" t="s">
        <v>9148</v>
      </c>
      <c r="C202" s="4" t="s">
        <v>9112</v>
      </c>
      <c r="D202" s="4" t="s">
        <v>9022</v>
      </c>
      <c r="F202" s="5" t="str">
        <f>IFERROR(__xludf.DUMMYFUNCTION("GOOGLETRANSLATE(A202, ""en"", ""Hi"")"),"201")</f>
        <v>201</v>
      </c>
      <c r="G202" s="5" t="str">
        <f>IFERROR(__xludf.DUMMYFUNCTION("GOOGLETRANSLATE(B202, ""en"", ""Hi"")"),"कलारीपयट्टू के प्रचार और संरक्षण से कौन सा ऐतिहासिक व्यक्ति जुड़ा हुआ है?")</f>
        <v>कलारीपयट्टू के प्रचार और संरक्षण से कौन सा ऐतिहासिक व्यक्ति जुड़ा हुआ है?</v>
      </c>
      <c r="H202" s="5" t="str">
        <f>IFERROR(__xludf.DUMMYFUNCTION("GOOGLETRANSLATE(C202, ""en"", ""Hi"")"),"ए) राजा राजा चोल, बी) चंद्रगुप्त मौर्य, सी) अशोक, डी) शिवाजी महाराज")</f>
        <v>ए) राजा राजा चोल, बी) चंद्रगुप्त मौर्य, सी) अशोक, डी) शिवाजी महाराज</v>
      </c>
      <c r="I202" s="5" t="str">
        <f>IFERROR(__xludf.DUMMYFUNCTION("GOOGLETRANSLATE(D202, ""en"", ""Hi"")"),"A) राजा राजा चोल")</f>
        <v>A) राजा राजा चोल</v>
      </c>
    </row>
    <row r="203" ht="22.5" customHeight="1">
      <c r="A203" s="9">
        <v>202.0</v>
      </c>
      <c r="B203" s="4" t="s">
        <v>9149</v>
      </c>
      <c r="C203" s="4" t="s">
        <v>9061</v>
      </c>
      <c r="D203" s="4" t="s">
        <v>9062</v>
      </c>
      <c r="F203" s="5" t="str">
        <f>IFERROR(__xludf.DUMMYFUNCTION("GOOGLETRANSLATE(A203, ""en"", ""Hi"")"),"202")</f>
        <v>202</v>
      </c>
      <c r="G203" s="5" t="str">
        <f>IFERROR(__xludf.DUMMYFUNCTION("GOOGLETRANSLATE(B203, ""en"", ""Hi"")"),"कलारीपयट्टू प्रशिक्षण में 'संकल्प' का प्राथमिक उद्देश्य क्या है?")</f>
        <v>कलारीपयट्टू प्रशिक्षण में 'संकल्प' का प्राथमिक उद्देश्य क्या है?</v>
      </c>
      <c r="H203" s="5" t="str">
        <f>IFERROR(__xludf.DUMMYFUNCTION("GOOGLETRANSLATE(C203, ""en"", ""Hi"")"),"A) लचीलेपन में सुधार करने के लिए, B) युद्ध के लिए मानसिक रूप से तैयार करने के लिए, C) हथियार तकनीक सीखने के लिए, D) उपचार का अभ्यास करने के लिए")</f>
        <v>A) लचीलेपन में सुधार करने के लिए, B) युद्ध के लिए मानसिक रूप से तैयार करने के लिए, C) हथियार तकनीक सीखने के लिए, D) उपचार का अभ्यास करने के लिए</v>
      </c>
      <c r="I203" s="5" t="str">
        <f>IFERROR(__xludf.DUMMYFUNCTION("GOOGLETRANSLATE(D203, ""en"", ""Hi"")"),"बी) युद्ध के लिए मानसिक रूप से तैयार करना")</f>
        <v>बी) युद्ध के लिए मानसिक रूप से तैयार करना</v>
      </c>
    </row>
    <row r="204" ht="22.5" customHeight="1">
      <c r="A204" s="9">
        <v>203.0</v>
      </c>
      <c r="B204" s="4" t="s">
        <v>9150</v>
      </c>
      <c r="C204" s="4" t="s">
        <v>9078</v>
      </c>
      <c r="D204" s="4" t="s">
        <v>9079</v>
      </c>
      <c r="F204" s="5" t="str">
        <f>IFERROR(__xludf.DUMMYFUNCTION("GOOGLETRANSLATE(A204, ""en"", ""Hi"")"),"203")</f>
        <v>203</v>
      </c>
      <c r="G204" s="5" t="str">
        <f>IFERROR(__xludf.DUMMYFUNCTION("GOOGLETRANSLATE(B204, ""en"", ""Hi"")"),"कलारीपयट्टू का कौन सा पहलू स्वास्थ्य और युद्ध के लिए महत्वपूर्ण बिंदुओं को समझने और उपयोग करने से जुड़ा है?")</f>
        <v>कलारीपयट्टू का कौन सा पहलू स्वास्थ्य और युद्ध के लिए महत्वपूर्ण बिंदुओं को समझने और उपयोग करने से जुड़ा है?</v>
      </c>
      <c r="H204" s="5" t="str">
        <f>IFERROR(__xludf.DUMMYFUNCTION("GOOGLETRANSLATE(C204, ""en"", ""Hi"")"),"ए) मर्म शास्त्र, बी) अंगम, सी) मीपायट्टु, डी) एडवस")</f>
        <v>ए) मर्म शास्त्र, बी) अंगम, सी) मीपायट्टु, डी) एडवस</v>
      </c>
      <c r="I204" s="5" t="str">
        <f>IFERROR(__xludf.DUMMYFUNCTION("GOOGLETRANSLATE(D204, ""en"", ""Hi"")"),"A) मर्म शास्त्र")</f>
        <v>A) मर्म शास्त्र</v>
      </c>
    </row>
    <row r="205" ht="22.5" customHeight="1">
      <c r="A205" s="9">
        <v>204.0</v>
      </c>
      <c r="B205" s="4" t="s">
        <v>9151</v>
      </c>
      <c r="C205" s="4" t="s">
        <v>9059</v>
      </c>
      <c r="D205" s="4" t="s">
        <v>8803</v>
      </c>
      <c r="F205" s="5" t="str">
        <f>IFERROR(__xludf.DUMMYFUNCTION("GOOGLETRANSLATE(A205, ""en"", ""Hi"")"),"204")</f>
        <v>204</v>
      </c>
      <c r="G205" s="5" t="str">
        <f>IFERROR(__xludf.DUMMYFUNCTION("GOOGLETRANSLATE(B205, ""en"", ""Hi"")"),"कौन सी कलारीपयट्टू तकनीक पारंपरिक युद्ध अनुक्रमों और हथियार संचालन पर ध्यान केंद्रित करने के लिए जानी जाती है?")</f>
        <v>कौन सी कलारीपयट्टू तकनीक पारंपरिक युद्ध अनुक्रमों और हथियार संचालन पर ध्यान केंद्रित करने के लिए जानी जाती है?</v>
      </c>
      <c r="H205" s="5" t="str">
        <f>IFERROR(__xludf.DUMMYFUNCTION("GOOGLETRANSLATE(C205, ""en"", ""Hi"")"),"ए) सिलंबम, बी) एडवस, सी) मीपायट्टु, डी) वेरुमकाई")</f>
        <v>ए) सिलंबम, बी) एडवस, सी) मीपायट्टु, डी) वेरुमकाई</v>
      </c>
      <c r="I205" s="5" t="str">
        <f>IFERROR(__xludf.DUMMYFUNCTION("GOOGLETRANSLATE(D205, ""en"", ""Hi"")"),"ए) सिलंबम")</f>
        <v>ए) सिलंबम</v>
      </c>
    </row>
    <row r="206" ht="22.5" customHeight="1">
      <c r="A206" s="9">
        <v>205.0</v>
      </c>
      <c r="B206" s="4" t="s">
        <v>9152</v>
      </c>
      <c r="C206" s="4" t="s">
        <v>9153</v>
      </c>
      <c r="D206" s="4" t="s">
        <v>3272</v>
      </c>
      <c r="F206" s="5" t="str">
        <f>IFERROR(__xludf.DUMMYFUNCTION("GOOGLETRANSLATE(A206, ""en"", ""Hi"")"),"205")</f>
        <v>205</v>
      </c>
      <c r="G206" s="5" t="str">
        <f>IFERROR(__xludf.DUMMYFUNCTION("GOOGLETRANSLATE(B206, ""en"", ""Hi"")"),"कलारीपयट्टू की प्राचीन मार्शल आर्ट तकनीकों के लिए अक्सर किस ऐतिहासिक ग्रंथ का संदर्भ दिया जाता है?")</f>
        <v>कलारीपयट्टू की प्राचीन मार्शल आर्ट तकनीकों के लिए अक्सर किस ऐतिहासिक ग्रंथ का संदर्भ दिया जाता है?</v>
      </c>
      <c r="H206" s="5" t="str">
        <f>IFERROR(__xludf.DUMMYFUNCTION("GOOGLETRANSLATE(C206, ""en"", ""Hi"")"),"ए) योग सूत्र, बी) अर्थशास्त्र, सी) वेद, डी) मनुस्मृति")</f>
        <v>ए) योग सूत्र, बी) अर्थशास्त्र, सी) वेद, डी) मनुस्मृति</v>
      </c>
      <c r="I206" s="5" t="str">
        <f>IFERROR(__xludf.DUMMYFUNCTION("GOOGLETRANSLATE(D206, ""en"", ""Hi"")"),"बी) अर्थशास्त्र")</f>
        <v>बी) अर्थशास्त्र</v>
      </c>
    </row>
    <row r="207" ht="22.5" customHeight="1">
      <c r="A207" s="9">
        <v>206.0</v>
      </c>
      <c r="B207" s="4" t="s">
        <v>9154</v>
      </c>
      <c r="C207" s="4" t="s">
        <v>9155</v>
      </c>
      <c r="D207" s="4" t="s">
        <v>9156</v>
      </c>
      <c r="F207" s="5" t="str">
        <f>IFERROR(__xludf.DUMMYFUNCTION("GOOGLETRANSLATE(A207, ""en"", ""Hi"")"),"206")</f>
        <v>206</v>
      </c>
      <c r="G207" s="5" t="str">
        <f>IFERROR(__xludf.DUMMYFUNCTION("GOOGLETRANSLATE(B207, ""en"", ""Hi"")"),"कलारीपयट्टू में, कौन सा शब्द शरीर के महत्वपूर्ण ऊर्जा बिंदुओं को संदर्भित करता है?")</f>
        <v>कलारीपयट्टू में, कौन सा शब्द शरीर के महत्वपूर्ण ऊर्जा बिंदुओं को संदर्भित करता है?</v>
      </c>
      <c r="H207" s="5" t="str">
        <f>IFERROR(__xludf.DUMMYFUNCTION("GOOGLETRANSLATE(C207, ""en"", ""Hi"")"),"ए) मार्मा, बी) अदावु, सी) उझिचिल, डी) कलारी")</f>
        <v>ए) मार्मा, बी) अदावु, सी) उझिचिल, डी) कलारी</v>
      </c>
      <c r="I207" s="5" t="str">
        <f>IFERROR(__xludf.DUMMYFUNCTION("GOOGLETRANSLATE(D207, ""en"", ""Hi"")"),"A) मर्म")</f>
        <v>A) मर्म</v>
      </c>
    </row>
    <row r="208" ht="22.5" customHeight="1">
      <c r="A208" s="9">
        <v>207.0</v>
      </c>
      <c r="B208" s="4" t="s">
        <v>9157</v>
      </c>
      <c r="C208" s="4" t="s">
        <v>9158</v>
      </c>
      <c r="D208" s="4" t="s">
        <v>9159</v>
      </c>
      <c r="F208" s="5" t="str">
        <f>IFERROR(__xludf.DUMMYFUNCTION("GOOGLETRANSLATE(A208, ""en"", ""Hi"")"),"207")</f>
        <v>207</v>
      </c>
      <c r="G208" s="5" t="str">
        <f>IFERROR(__xludf.DUMMYFUNCTION("GOOGLETRANSLATE(B208, ""en"", ""Hi"")"),"कलारीपयट्टू के प्रारंभिक विकास का श्रेय किस प्राचीन भारतीय साम्राज्य को दिया जाता है?")</f>
        <v>कलारीपयट्टू के प्रारंभिक विकास का श्रेय किस प्राचीन भारतीय साम्राज्य को दिया जाता है?</v>
      </c>
      <c r="H208" s="5" t="str">
        <f>IFERROR(__xludf.DUMMYFUNCTION("GOOGLETRANSLATE(C208, ""en"", ""Hi"")"),"A) चोल वंश, B) गुप्त साम्राज्य, C) मौर्य साम्राज्य, D) विजयनगर साम्राज्य")</f>
        <v>A) चोल वंश, B) गुप्त साम्राज्य, C) मौर्य साम्राज्य, D) विजयनगर साम्राज्य</v>
      </c>
      <c r="I208" s="5" t="str">
        <f>IFERROR(__xludf.DUMMYFUNCTION("GOOGLETRANSLATE(D208, ""en"", ""Hi"")"),"A) चोल राजवंश")</f>
        <v>A) चोल राजवंश</v>
      </c>
    </row>
    <row r="209" ht="22.5" customHeight="1">
      <c r="A209" s="9">
        <v>208.0</v>
      </c>
      <c r="B209" s="4" t="s">
        <v>9160</v>
      </c>
      <c r="C209" s="4" t="s">
        <v>9161</v>
      </c>
      <c r="D209" s="4" t="s">
        <v>9162</v>
      </c>
      <c r="F209" s="5" t="str">
        <f>IFERROR(__xludf.DUMMYFUNCTION("GOOGLETRANSLATE(A209, ""en"", ""Hi"")"),"208")</f>
        <v>208</v>
      </c>
      <c r="G209" s="5" t="str">
        <f>IFERROR(__xludf.DUMMYFUNCTION("GOOGLETRANSLATE(B209, ""en"", ""Hi"")"),"कलारीपयट्टू की परंपरा में 'गुरु' का क्या महत्व है?")</f>
        <v>कलारीपयट्टू की परंपरा में 'गुरु' का क्या महत्व है?</v>
      </c>
      <c r="H209" s="5" t="str">
        <f>IFERROR(__xludf.DUMMYFUNCTION("GOOGLETRANSLATE(C209, ""en"", ""Hi"")"),"A) हथियार निर्माता, B) छात्र, C) शिक्षक और संरक्षक, D) योद्धा")</f>
        <v>A) हथियार निर्माता, B) छात्र, C) शिक्षक और संरक्षक, D) योद्धा</v>
      </c>
      <c r="I209" s="5" t="str">
        <f>IFERROR(__xludf.DUMMYFUNCTION("GOOGLETRANSLATE(D209, ""en"", ""Hi"")"),"C) शिक्षक और संरक्षक")</f>
        <v>C) शिक्षक और संरक्षक</v>
      </c>
    </row>
    <row r="210" ht="22.5" customHeight="1">
      <c r="A210" s="9">
        <v>209.0</v>
      </c>
      <c r="B210" s="4" t="s">
        <v>9163</v>
      </c>
      <c r="C210" s="4" t="s">
        <v>9164</v>
      </c>
      <c r="D210" s="4" t="s">
        <v>8830</v>
      </c>
      <c r="F210" s="5" t="str">
        <f>IFERROR(__xludf.DUMMYFUNCTION("GOOGLETRANSLATE(A210, ""en"", ""Hi"")"),"209")</f>
        <v>209</v>
      </c>
      <c r="G210" s="5" t="str">
        <f>IFERROR(__xludf.DUMMYFUNCTION("GOOGLETRANSLATE(B210, ""en"", ""Hi"")"),"कलारीपयट्टू प्रशिक्षण का कौन सा रूप लचीलापन और शारीरिक कंडीशनिंग विकसित करने पर केंद्रित है?")</f>
        <v>कलारीपयट्टू प्रशिक्षण का कौन सा रूप लचीलापन और शारीरिक कंडीशनिंग विकसित करने पर केंद्रित है?</v>
      </c>
      <c r="H210" s="5" t="str">
        <f>IFERROR(__xludf.DUMMYFUNCTION("GOOGLETRANSLATE(C210, ""en"", ""Hi"")"),"ए) मीपायट्टु, बी) सिलंबम, सी) एडवस, डी) वेरुमकाई")</f>
        <v>ए) मीपायट्टु, बी) सिलंबम, सी) एडवस, डी) वेरुमकाई</v>
      </c>
      <c r="I210" s="5" t="str">
        <f>IFERROR(__xludf.DUMMYFUNCTION("GOOGLETRANSLATE(D210, ""en"", ""Hi"")"),"A) मेइपयट्टू")</f>
        <v>A) मेइपयट्टू</v>
      </c>
    </row>
    <row r="211" ht="22.5" customHeight="1">
      <c r="A211" s="9">
        <v>210.0</v>
      </c>
      <c r="B211" s="4" t="s">
        <v>9165</v>
      </c>
      <c r="C211" s="4" t="s">
        <v>8862</v>
      </c>
      <c r="D211" s="4" t="s">
        <v>8803</v>
      </c>
      <c r="F211" s="5" t="str">
        <f>IFERROR(__xludf.DUMMYFUNCTION("GOOGLETRANSLATE(A211, ""en"", ""Hi"")"),"210")</f>
        <v>210</v>
      </c>
      <c r="G211" s="5" t="str">
        <f>IFERROR(__xludf.DUMMYFUNCTION("GOOGLETRANSLATE(B211, ""en"", ""Hi"")"),"कलारीपयट्टू में कौन सी प्रथा लचीले और लंबी दूरी के हथियारों के उपयोग के लिए जानी जाती है?")</f>
        <v>कलारीपयट्टू में कौन सी प्रथा लचीले और लंबी दूरी के हथियारों के उपयोग के लिए जानी जाती है?</v>
      </c>
      <c r="H211" s="5" t="str">
        <f>IFERROR(__xludf.DUMMYFUNCTION("GOOGLETRANSLATE(C211, ""en"", ""Hi"")"),"ए) सिलंबम, बी) मीपायट्टु, सी) एडवस, डी) अंगम")</f>
        <v>ए) सिलंबम, बी) मीपायट्टु, सी) एडवस, डी) अंगम</v>
      </c>
      <c r="I211" s="5" t="str">
        <f>IFERROR(__xludf.DUMMYFUNCTION("GOOGLETRANSLATE(D211, ""en"", ""Hi"")"),"ए) सिलंबम")</f>
        <v>ए) सिलंबम</v>
      </c>
    </row>
    <row r="212" ht="22.5" customHeight="1">
      <c r="A212" s="9">
        <v>211.0</v>
      </c>
      <c r="B212" s="4" t="s">
        <v>9166</v>
      </c>
      <c r="C212" s="4" t="s">
        <v>9167</v>
      </c>
      <c r="D212" s="4" t="s">
        <v>9168</v>
      </c>
      <c r="F212" s="5" t="str">
        <f>IFERROR(__xludf.DUMMYFUNCTION("GOOGLETRANSLATE(A212, ""en"", ""Hi"")"),"211")</f>
        <v>211</v>
      </c>
      <c r="G212" s="5" t="str">
        <f>IFERROR(__xludf.DUMMYFUNCTION("GOOGLETRANSLATE(B212, ""en"", ""Hi"")"),"कलारीपयट्टू की युद्ध तकनीकों में कौन सी महत्वपूर्ण अंक प्रणाली अभिन्न है?")</f>
        <v>कलारीपयट्टू की युद्ध तकनीकों में कौन सी महत्वपूर्ण अंक प्रणाली अभिन्न है?</v>
      </c>
      <c r="H212" s="5" t="str">
        <f>IFERROR(__xludf.DUMMYFUNCTION("GOOGLETRANSLATE(C212, ""en"", ""Hi"")"),"ए) आयुर्वेद, बी) मर्म शास्त्र, सी) योग सूत्र, डी) सांख्य")</f>
        <v>ए) आयुर्वेद, बी) मर्म शास्त्र, सी) योग सूत्र, डी) सांख्य</v>
      </c>
      <c r="I212" s="5" t="str">
        <f>IFERROR(__xludf.DUMMYFUNCTION("GOOGLETRANSLATE(D212, ""en"", ""Hi"")"),"बी) मर्म शास्त्र")</f>
        <v>बी) मर्म शास्त्र</v>
      </c>
    </row>
    <row r="213" ht="22.5" customHeight="1">
      <c r="A213" s="9">
        <v>212.0</v>
      </c>
      <c r="B213" s="4" t="s">
        <v>9075</v>
      </c>
      <c r="C213" s="4" t="s">
        <v>9169</v>
      </c>
      <c r="D213" s="4" t="s">
        <v>9170</v>
      </c>
      <c r="F213" s="5" t="str">
        <f>IFERROR(__xludf.DUMMYFUNCTION("GOOGLETRANSLATE(A213, ""en"", ""Hi"")"),"212")</f>
        <v>212</v>
      </c>
      <c r="G213" s="5" t="str">
        <f>IFERROR(__xludf.DUMMYFUNCTION("GOOGLETRANSLATE(B213, ""en"", ""Hi"")"),"कौन सा प्राचीन भारतीय राजा कलारीपयट्टू के संरक्षण के लिए जाना जाता है?")</f>
        <v>कौन सा प्राचीन भारतीय राजा कलारीपयट्टू के संरक्षण के लिए जाना जाता है?</v>
      </c>
      <c r="H213" s="5" t="str">
        <f>IFERROR(__xludf.DUMMYFUNCTION("GOOGLETRANSLATE(C213, ""en"", ""Hi"")"),"ए) अशोक, बी) राजा राजा चोल, सी) चंद्रगुप्त मौर्य, डी) हर्ष")</f>
        <v>ए) अशोक, बी) राजा राजा चोल, सी) चंद्रगुप्त मौर्य, डी) हर्ष</v>
      </c>
      <c r="I213" s="5" t="str">
        <f>IFERROR(__xludf.DUMMYFUNCTION("GOOGLETRANSLATE(D213, ""en"", ""Hi"")"),"बी) राजा राज चोल")</f>
        <v>बी) राजा राज चोल</v>
      </c>
    </row>
    <row r="214" ht="22.5" customHeight="1">
      <c r="A214" s="9">
        <v>213.0</v>
      </c>
      <c r="B214" s="4" t="s">
        <v>9171</v>
      </c>
      <c r="C214" s="4" t="s">
        <v>9172</v>
      </c>
      <c r="D214" s="4" t="s">
        <v>9173</v>
      </c>
      <c r="F214" s="5" t="str">
        <f>IFERROR(__xludf.DUMMYFUNCTION("GOOGLETRANSLATE(A214, ""en"", ""Hi"")"),"213")</f>
        <v>213</v>
      </c>
      <c r="G214" s="5" t="str">
        <f>IFERROR(__xludf.DUMMYFUNCTION("GOOGLETRANSLATE(B214, ""en"", ""Hi"")"),"कलारीपयट्टू प्रशिक्षण में 'सिलम्बम' का प्राथमिक फोकस क्या है?")</f>
        <v>कलारीपयट्टू प्रशिक्षण में 'सिलम्बम' का प्राथमिक फोकस क्या है?</v>
      </c>
      <c r="H214" s="5" t="str">
        <f>IFERROR(__xludf.DUMMYFUNCTION("GOOGLETRANSLATE(C214, ""en"", ""Hi"")"),"A) हथियार चलाना, B) शारीरिक कंडीशनिंग, C) उपचार, D) युद्ध अभ्यास")</f>
        <v>A) हथियार चलाना, B) शारीरिक कंडीशनिंग, C) उपचार, D) युद्ध अभ्यास</v>
      </c>
      <c r="I214" s="5" t="str">
        <f>IFERROR(__xludf.DUMMYFUNCTION("GOOGLETRANSLATE(D214, ""en"", ""Hi"")"),"A) हथियार संचालन")</f>
        <v>A) हथियार संचालन</v>
      </c>
    </row>
    <row r="215" ht="22.5" customHeight="1">
      <c r="A215" s="9">
        <v>214.0</v>
      </c>
      <c r="B215" s="4" t="s">
        <v>9174</v>
      </c>
      <c r="C215" s="4" t="s">
        <v>9175</v>
      </c>
      <c r="D215" s="4" t="s">
        <v>9071</v>
      </c>
      <c r="F215" s="5" t="str">
        <f>IFERROR(__xludf.DUMMYFUNCTION("GOOGLETRANSLATE(A215, ""en"", ""Hi"")"),"214")</f>
        <v>214</v>
      </c>
      <c r="G215" s="5" t="str">
        <f>IFERROR(__xludf.DUMMYFUNCTION("GOOGLETRANSLATE(B215, ""en"", ""Hi"")"),"कलारीपयट्टू के इतिहास और तकनीकों को समझने के लिए कौन सा ग्रंथ प्रमुख स्रोत है?")</f>
        <v>कलारीपयट्टू के इतिहास और तकनीकों को समझने के लिए कौन सा ग्रंथ प्रमुख स्रोत है?</v>
      </c>
      <c r="H215" s="5" t="str">
        <f>IFERROR(__xludf.DUMMYFUNCTION("GOOGLETRANSLATE(C215, ""en"", ""Hi"")"),"ए) पुराण, बी) रामायण, सी) संगम साहित्य, डी) मनुस्मृति")</f>
        <v>ए) पुराण, बी) रामायण, सी) संगम साहित्य, डी) मनुस्मृति</v>
      </c>
      <c r="I215" s="5" t="str">
        <f>IFERROR(__xludf.DUMMYFUNCTION("GOOGLETRANSLATE(D215, ""en"", ""Hi"")"),"C) संगम साहित्य")</f>
        <v>C) संगम साहित्य</v>
      </c>
    </row>
    <row r="216" ht="22.5" customHeight="1">
      <c r="A216" s="9">
        <v>215.0</v>
      </c>
      <c r="B216" s="4" t="s">
        <v>9176</v>
      </c>
      <c r="C216" s="4" t="s">
        <v>9131</v>
      </c>
      <c r="D216" s="4" t="s">
        <v>9115</v>
      </c>
      <c r="F216" s="5" t="str">
        <f>IFERROR(__xludf.DUMMYFUNCTION("GOOGLETRANSLATE(A216, ""en"", ""Hi"")"),"215")</f>
        <v>215</v>
      </c>
      <c r="G216" s="5" t="str">
        <f>IFERROR(__xludf.DUMMYFUNCTION("GOOGLETRANSLATE(B216, ""en"", ""Hi"")"),"कलारीपयट्टू में 'कलारी' क्या दर्शाता है?")</f>
        <v>कलारीपयट्टू में 'कलारी' क्या दर्शाता है?</v>
      </c>
      <c r="H216" s="5" t="str">
        <f>IFERROR(__xludf.DUMMYFUNCTION("GOOGLETRANSLATE(C216, ""en"", ""Hi"")"),"A) एक हथियार, B) एक प्रकार का अभ्यास, C) एक प्रशिक्षण स्थान, D) एक युद्ध तकनीक")</f>
        <v>A) एक हथियार, B) एक प्रकार का अभ्यास, C) एक प्रशिक्षण स्थान, D) एक युद्ध तकनीक</v>
      </c>
      <c r="I216" s="5" t="str">
        <f>IFERROR(__xludf.DUMMYFUNCTION("GOOGLETRANSLATE(D216, ""en"", ""Hi"")"),"C) एक प्रशिक्षण स्थान")</f>
        <v>C) एक प्रशिक्षण स्थान</v>
      </c>
    </row>
    <row r="217" ht="22.5" customHeight="1">
      <c r="A217" s="9">
        <v>216.0</v>
      </c>
      <c r="B217" s="4" t="s">
        <v>9177</v>
      </c>
      <c r="C217" s="4" t="s">
        <v>9178</v>
      </c>
      <c r="D217" s="4" t="s">
        <v>9179</v>
      </c>
      <c r="F217" s="5" t="str">
        <f>IFERROR(__xludf.DUMMYFUNCTION("GOOGLETRANSLATE(A217, ""en"", ""Hi"")"),"216")</f>
        <v>216</v>
      </c>
      <c r="G217" s="5" t="str">
        <f>IFERROR(__xludf.DUMMYFUNCTION("GOOGLETRANSLATE(B217, ""en"", ""Hi"")"),"'अडावस' के अभ्यास से कलरीपयट्टू के किस पहलू पर जोर दिया जाता है?")</f>
        <v>'अडावस' के अभ्यास से कलरीपयट्टू के किस पहलू पर जोर दिया जाता है?</v>
      </c>
      <c r="H217" s="5" t="str">
        <f>IFERROR(__xludf.DUMMYFUNCTION("GOOGLETRANSLATE(C217, ""en"", ""Hi"")"),"A) पैरों की गति और शरीर की गतिविधियाँ, B) हथियार तकनीकें, C) उपचार विधियाँ, D) युद्ध अभ्यास")</f>
        <v>A) पैरों की गति और शरीर की गतिविधियाँ, B) हथियार तकनीकें, C) उपचार विधियाँ, D) युद्ध अभ्यास</v>
      </c>
      <c r="I217" s="5" t="str">
        <f>IFERROR(__xludf.DUMMYFUNCTION("GOOGLETRANSLATE(D217, ""en"", ""Hi"")"),"A) पैरों की गति और शरीर की गतिविधियाँ")</f>
        <v>A) पैरों की गति और शरीर की गतिविधियाँ</v>
      </c>
    </row>
    <row r="218" ht="22.5" customHeight="1">
      <c r="A218" s="9">
        <v>217.0</v>
      </c>
      <c r="B218" s="4" t="s">
        <v>9065</v>
      </c>
      <c r="C218" s="4" t="s">
        <v>9066</v>
      </c>
      <c r="D218" s="4" t="s">
        <v>9067</v>
      </c>
      <c r="F218" s="5" t="str">
        <f>IFERROR(__xludf.DUMMYFUNCTION("GOOGLETRANSLATE(A218, ""en"", ""Hi"")"),"217")</f>
        <v>217</v>
      </c>
      <c r="G218" s="5" t="str">
        <f>IFERROR(__xludf.DUMMYFUNCTION("GOOGLETRANSLATE(B218, ""en"", ""Hi"")"),"कलारीपयट्टू में, 'उझिचिल' विशेष रूप से क्या लक्ष्य करता है?")</f>
        <v>कलारीपयट्टू में, 'उझिचिल' विशेष रूप से क्या लक्ष्य करता है?</v>
      </c>
      <c r="H218" s="5" t="str">
        <f>IFERROR(__xludf.DUMMYFUNCTION("GOOGLETRANSLATE(C218, ""en"", ""Hi"")"),"A) युद्ध अभ्यास, B) शारीरिक कंडीशनिंग, C) चोटों का उपचार, D) हथियार प्रशिक्षण")</f>
        <v>A) युद्ध अभ्यास, B) शारीरिक कंडीशनिंग, C) चोटों का उपचार, D) हथियार प्रशिक्षण</v>
      </c>
      <c r="I218" s="5" t="str">
        <f>IFERROR(__xludf.DUMMYFUNCTION("GOOGLETRANSLATE(D218, ""en"", ""Hi"")"),"C) चोटों का उपचार")</f>
        <v>C) चोटों का उपचार</v>
      </c>
    </row>
    <row r="219" ht="22.5" customHeight="1">
      <c r="A219" s="9">
        <v>218.0</v>
      </c>
      <c r="B219" s="4" t="s">
        <v>9180</v>
      </c>
      <c r="C219" s="4" t="s">
        <v>9181</v>
      </c>
      <c r="D219" s="4" t="s">
        <v>9127</v>
      </c>
      <c r="F219" s="5" t="str">
        <f>IFERROR(__xludf.DUMMYFUNCTION("GOOGLETRANSLATE(A219, ""en"", ""Hi"")"),"218")</f>
        <v>218</v>
      </c>
      <c r="G219" s="5" t="str">
        <f>IFERROR(__xludf.DUMMYFUNCTION("GOOGLETRANSLATE(B219, ""en"", ""Hi"")"),"कौन सा ऐतिहासिक व्यक्तित्व कलारीपयट्टू तकनीक के संरक्षण से जुड़ा है?")</f>
        <v>कौन सा ऐतिहासिक व्यक्तित्व कलारीपयट्टू तकनीक के संरक्षण से जुड़ा है?</v>
      </c>
      <c r="H219" s="5" t="str">
        <f>IFERROR(__xludf.DUMMYFUNCTION("GOOGLETRANSLATE(C219, ""en"", ""Hi"")"),"ए) बलराम, बी) अशोक, सी) चंद्रगुप्त मौर्य, डी) शिवाजी महाराज")</f>
        <v>ए) बलराम, बी) अशोक, सी) चंद्रगुप्त मौर्य, डी) शिवाजी महाराज</v>
      </c>
      <c r="I219" s="5" t="str">
        <f>IFERROR(__xludf.DUMMYFUNCTION("GOOGLETRANSLATE(D219, ""en"", ""Hi"")"),"A) बलराम")</f>
        <v>A) बलराम</v>
      </c>
    </row>
    <row r="220" ht="22.5" customHeight="1">
      <c r="A220" s="9">
        <v>219.0</v>
      </c>
      <c r="B220" s="4" t="s">
        <v>9182</v>
      </c>
      <c r="C220" s="4" t="s">
        <v>9135</v>
      </c>
      <c r="D220" s="4" t="s">
        <v>2616</v>
      </c>
      <c r="F220" s="5" t="str">
        <f>IFERROR(__xludf.DUMMYFUNCTION("GOOGLETRANSLATE(A220, ""en"", ""Hi"")"),"219")</f>
        <v>219</v>
      </c>
      <c r="G220" s="5" t="str">
        <f>IFERROR(__xludf.DUMMYFUNCTION("GOOGLETRANSLATE(B220, ""en"", ""Hi"")"),"कौन सा प्राचीन ग्रंथ कलारीपयट्टू की तकनीकों और प्रशिक्षण विधियों के बारे में जानकारी प्रदान करता है?")</f>
        <v>कौन सा प्राचीन ग्रंथ कलारीपयट्टू की तकनीकों और प्रशिक्षण विधियों के बारे में जानकारी प्रदान करता है?</v>
      </c>
      <c r="H220" s="5" t="str">
        <f>IFERROR(__xludf.DUMMYFUNCTION("GOOGLETRANSLATE(C220, ""en"", ""Hi"")"),"ए) अर्थशास्त्र, बी) रामायण, सी) महाभारत, डी) वेद")</f>
        <v>ए) अर्थशास्त्र, बी) रामायण, सी) महाभारत, डी) वेद</v>
      </c>
      <c r="I220" s="5" t="str">
        <f>IFERROR(__xludf.DUMMYFUNCTION("GOOGLETRANSLATE(D220, ""en"", ""Hi"")"),"A) अर्थशास्त्र")</f>
        <v>A) अर्थशास्त्र</v>
      </c>
    </row>
    <row r="221" ht="22.5" customHeight="1">
      <c r="A221" s="9">
        <v>220.0</v>
      </c>
      <c r="B221" s="4" t="s">
        <v>9144</v>
      </c>
      <c r="C221" s="4" t="s">
        <v>9145</v>
      </c>
      <c r="D221" s="4" t="s">
        <v>9146</v>
      </c>
      <c r="F221" s="5" t="str">
        <f>IFERROR(__xludf.DUMMYFUNCTION("GOOGLETRANSLATE(A221, ""en"", ""Hi"")"),"220")</f>
        <v>220</v>
      </c>
      <c r="G221" s="5" t="str">
        <f>IFERROR(__xludf.DUMMYFUNCTION("GOOGLETRANSLATE(B221, ""en"", ""Hi"")"),"कलारीपयट्टू में 'कलारी' की ऐतिहासिक भूमिका क्या है?")</f>
        <v>कलारीपयट्टू में 'कलारी' की ऐतिहासिक भूमिका क्या है?</v>
      </c>
      <c r="H221" s="5" t="str">
        <f>IFERROR(__xludf.DUMMYFUNCTION("GOOGLETRANSLATE(C221, ""en"", ""Hi"")"),"A) यह एक प्रकार का हथियार है, B) यह एक प्रशिक्षण स्थान है, C) यह एक युद्ध तकनीक है, D) यह एक अभ्यास विधि है")</f>
        <v>A) यह एक प्रकार का हथियार है, B) यह एक प्रशिक्षण स्थान है, C) यह एक युद्ध तकनीक है, D) यह एक अभ्यास विधि है</v>
      </c>
      <c r="I221" s="5" t="str">
        <f>IFERROR(__xludf.DUMMYFUNCTION("GOOGLETRANSLATE(D221, ""en"", ""Hi"")"),"B) यह एक प्रशिक्षण स्थान है")</f>
        <v>B) यह एक प्रशिक्षण स्थान है</v>
      </c>
    </row>
    <row r="222" ht="22.5" customHeight="1">
      <c r="A222" s="9">
        <v>221.0</v>
      </c>
      <c r="B222" s="4" t="s">
        <v>9132</v>
      </c>
      <c r="C222" s="4" t="s">
        <v>9133</v>
      </c>
      <c r="D222" s="4" t="s">
        <v>8803</v>
      </c>
      <c r="F222" s="5" t="str">
        <f>IFERROR(__xludf.DUMMYFUNCTION("GOOGLETRANSLATE(A222, ""en"", ""Hi"")"),"221")</f>
        <v>221</v>
      </c>
      <c r="G222" s="5" t="str">
        <f>IFERROR(__xludf.DUMMYFUNCTION("GOOGLETRANSLATE(B222, ""en"", ""Hi"")"),"कौन सी कलारीपयट्टू तकनीक में विभिन्न छोटे और लंबे हथियारों के साथ अभ्यास करना शामिल है?")</f>
        <v>कौन सी कलारीपयट्टू तकनीक में विभिन्न छोटे और लंबे हथियारों के साथ अभ्यास करना शामिल है?</v>
      </c>
      <c r="H222" s="5" t="str">
        <f>IFERROR(__xludf.DUMMYFUNCTION("GOOGLETRANSLATE(C222, ""en"", ""Hi"")"),"ए) सिलंबम, बी) मीपायट्टु, सी) अंगम, डी) एडवस")</f>
        <v>ए) सिलंबम, बी) मीपायट्टु, सी) अंगम, डी) एडवस</v>
      </c>
      <c r="I222" s="5" t="str">
        <f>IFERROR(__xludf.DUMMYFUNCTION("GOOGLETRANSLATE(D222, ""en"", ""Hi"")"),"ए) सिलंबम")</f>
        <v>ए) सिलंबम</v>
      </c>
    </row>
    <row r="223" ht="22.5" customHeight="1">
      <c r="A223" s="9">
        <v>222.0</v>
      </c>
      <c r="B223" s="4" t="s">
        <v>9183</v>
      </c>
      <c r="C223" s="4" t="s">
        <v>9143</v>
      </c>
      <c r="D223" s="4" t="s">
        <v>9123</v>
      </c>
      <c r="F223" s="5" t="str">
        <f>IFERROR(__xludf.DUMMYFUNCTION("GOOGLETRANSLATE(A223, ""en"", ""Hi"")"),"222")</f>
        <v>222</v>
      </c>
      <c r="G223" s="5" t="str">
        <f>IFERROR(__xludf.DUMMYFUNCTION("GOOGLETRANSLATE(B223, ""en"", ""Hi"")"),"कलारीपयट्टू में 'मीपायट्टू' किस पर केंद्रित है?")</f>
        <v>कलारीपयट्टू में 'मीपायट्टू' किस पर केंद्रित है?</v>
      </c>
      <c r="H223" s="5" t="str">
        <f>IFERROR(__xludf.DUMMYFUNCTION("GOOGLETRANSLATE(C223, ""en"", ""Hi"")"),"A) हथियार चलाना, B) युद्ध अभ्यास, C) शारीरिक कंडीशनिंग और लचीलापन, D) उपचार")</f>
        <v>A) हथियार चलाना, B) युद्ध अभ्यास, C) शारीरिक कंडीशनिंग और लचीलापन, D) उपचार</v>
      </c>
      <c r="I223" s="5" t="str">
        <f>IFERROR(__xludf.DUMMYFUNCTION("GOOGLETRANSLATE(D223, ""en"", ""Hi"")"),"C) शारीरिक कंडीशनिंग और लचीलापन")</f>
        <v>C) शारीरिक कंडीशनिंग और लचीलापन</v>
      </c>
    </row>
    <row r="224" ht="22.5" customHeight="1">
      <c r="A224" s="9">
        <v>223.0</v>
      </c>
      <c r="B224" s="4" t="s">
        <v>9184</v>
      </c>
      <c r="C224" s="4" t="s">
        <v>8821</v>
      </c>
      <c r="D224" s="4" t="s">
        <v>8958</v>
      </c>
      <c r="F224" s="5" t="str">
        <f>IFERROR(__xludf.DUMMYFUNCTION("GOOGLETRANSLATE(A224, ""en"", ""Hi"")"),"223")</f>
        <v>223</v>
      </c>
      <c r="G224" s="5" t="str">
        <f>IFERROR(__xludf.DUMMYFUNCTION("GOOGLETRANSLATE(B224, ""en"", ""Hi"")"),"कलारीपयट्टू में कौन सी तकनीक निहत्थे युद्ध पर जोर देने के लिए जानी जाती है?")</f>
        <v>कलारीपयट्टू में कौन सी तकनीक निहत्थे युद्ध पर जोर देने के लिए जानी जाती है?</v>
      </c>
      <c r="H224" s="5" t="str">
        <f>IFERROR(__xludf.DUMMYFUNCTION("GOOGLETRANSLATE(C224, ""en"", ""Hi"")"),"ए) वेरुमकाई, बी) सिलंबम, सी) एडवस, डी) मेइपायट्टु")</f>
        <v>ए) वेरुमकाई, बी) सिलंबम, सी) एडवस, डी) मेइपायट्टु</v>
      </c>
      <c r="I224" s="5" t="str">
        <f>IFERROR(__xludf.DUMMYFUNCTION("GOOGLETRANSLATE(D224, ""en"", ""Hi"")"),"A) वेरुमकाई")</f>
        <v>A) वेरुमकाई</v>
      </c>
    </row>
    <row r="225" ht="22.5" customHeight="1">
      <c r="A225" s="9">
        <v>224.0</v>
      </c>
      <c r="B225" s="4" t="s">
        <v>9185</v>
      </c>
      <c r="C225" s="4" t="s">
        <v>8924</v>
      </c>
      <c r="D225" s="4" t="s">
        <v>8758</v>
      </c>
      <c r="F225" s="5" t="str">
        <f>IFERROR(__xludf.DUMMYFUNCTION("GOOGLETRANSLATE(A225, ""en"", ""Hi"")"),"224")</f>
        <v>224</v>
      </c>
      <c r="G225" s="5" t="str">
        <f>IFERROR(__xludf.DUMMYFUNCTION("GOOGLETRANSLATE(B225, ""en"", ""Hi"")"),"कौन सा कलारीपयट्टू अभ्यास अपने जटिल पैर की गति और शरीर की गतिविधियों के लिए प्रसिद्ध है?")</f>
        <v>कौन सा कलारीपयट्टू अभ्यास अपने जटिल पैर की गति और शरीर की गतिविधियों के लिए प्रसिद्ध है?</v>
      </c>
      <c r="H225" s="5" t="str">
        <f>IFERROR(__xludf.DUMMYFUNCTION("GOOGLETRANSLATE(C225, ""en"", ""Hi"")"),"ए) एडवस, बी) मीपायट्टु, सी) सिलंबम, डी) अंगम")</f>
        <v>ए) एडवस, बी) मीपायट्टु, सी) सिलंबम, डी) अंगम</v>
      </c>
      <c r="I225" s="5" t="str">
        <f>IFERROR(__xludf.DUMMYFUNCTION("GOOGLETRANSLATE(D225, ""en"", ""Hi"")"),"ए) एडवस")</f>
        <v>ए) एडवस</v>
      </c>
    </row>
    <row r="226" ht="22.5" customHeight="1">
      <c r="A226" s="9">
        <v>225.0</v>
      </c>
      <c r="B226" s="4" t="s">
        <v>9186</v>
      </c>
      <c r="C226" s="4" t="s">
        <v>9187</v>
      </c>
      <c r="D226" s="4" t="s">
        <v>9188</v>
      </c>
      <c r="F226" s="5" t="str">
        <f>IFERROR(__xludf.DUMMYFUNCTION("GOOGLETRANSLATE(A226, ""en"", ""Hi"")"),"225")</f>
        <v>225</v>
      </c>
      <c r="G226" s="5" t="str">
        <f>IFERROR(__xludf.DUMMYFUNCTION("GOOGLETRANSLATE(B226, ""en"", ""Hi"")"),"कलारीपयट्टू में 'मर्म शास्त्र' की क्या भूमिका है?")</f>
        <v>कलारीपयट्टू में 'मर्म शास्त्र' की क्या भूमिका है?</v>
      </c>
      <c r="H226" s="5" t="str">
        <f>IFERROR(__xludf.DUMMYFUNCTION("GOOGLETRANSLATE(C226, ""en"", ""Hi"")"),"A) हथियार तकनीक सिखाना, B) स्वास्थ्य और युद्ध के लिए महत्वपूर्ण बिंदुओं को समझना और उनका उपयोग करना, C) युद्ध अभ्यास का अभ्यास करना, D) शारीरिक शक्ति विकसित करना")</f>
        <v>A) हथियार तकनीक सिखाना, B) स्वास्थ्य और युद्ध के लिए महत्वपूर्ण बिंदुओं को समझना और उनका उपयोग करना, C) युद्ध अभ्यास का अभ्यास करना, D) शारीरिक शक्ति विकसित करना</v>
      </c>
      <c r="I226" s="5" t="str">
        <f>IFERROR(__xludf.DUMMYFUNCTION("GOOGLETRANSLATE(D226, ""en"", ""Hi"")"),"बी) स्वास्थ्य और युद्ध के लिए महत्वपूर्ण बिंदुओं को समझना और उनका उपयोग करना")</f>
        <v>बी) स्वास्थ्य और युद्ध के लिए महत्वपूर्ण बिंदुओं को समझना और उनका उपयोग करना</v>
      </c>
    </row>
    <row r="227" ht="22.5" customHeight="1">
      <c r="A227" s="9">
        <v>226.0</v>
      </c>
      <c r="B227" s="4" t="s">
        <v>9189</v>
      </c>
      <c r="C227" s="4" t="s">
        <v>9141</v>
      </c>
      <c r="D227" s="4" t="s">
        <v>2616</v>
      </c>
      <c r="F227" s="5" t="str">
        <f>IFERROR(__xludf.DUMMYFUNCTION("GOOGLETRANSLATE(A227, ""en"", ""Hi"")"),"226")</f>
        <v>226</v>
      </c>
      <c r="G227" s="5" t="str">
        <f>IFERROR(__xludf.DUMMYFUNCTION("GOOGLETRANSLATE(B227, ""en"", ""Hi"")"),"कलारीपयट्टू के इतिहास और तकनीक को समझने के लिए कौन सा प्राचीन ग्रंथ महत्वपूर्ण है?")</f>
        <v>कलारीपयट्टू के इतिहास और तकनीक को समझने के लिए कौन सा प्राचीन ग्रंथ महत्वपूर्ण है?</v>
      </c>
      <c r="H227" s="5" t="str">
        <f>IFERROR(__xludf.DUMMYFUNCTION("GOOGLETRANSLATE(C227, ""en"", ""Hi"")"),"ए) अर्थशास्त्र, बी) महाभारत, सी) रामायण, डी) पुराण")</f>
        <v>ए) अर्थशास्त्र, बी) महाभारत, सी) रामायण, डी) पुराण</v>
      </c>
      <c r="I227" s="5" t="str">
        <f>IFERROR(__xludf.DUMMYFUNCTION("GOOGLETRANSLATE(D227, ""en"", ""Hi"")"),"A) अर्थशास्त्र")</f>
        <v>A) अर्थशास्त्र</v>
      </c>
    </row>
    <row r="228" ht="22.5" customHeight="1">
      <c r="A228" s="9">
        <v>227.0</v>
      </c>
      <c r="B228" s="4" t="s">
        <v>9190</v>
      </c>
      <c r="C228" s="4" t="s">
        <v>9191</v>
      </c>
      <c r="D228" s="4" t="s">
        <v>9192</v>
      </c>
      <c r="F228" s="5" t="str">
        <f>IFERROR(__xludf.DUMMYFUNCTION("GOOGLETRANSLATE(A228, ""en"", ""Hi"")"),"227")</f>
        <v>227</v>
      </c>
      <c r="G228" s="5" t="str">
        <f>IFERROR(__xludf.DUMMYFUNCTION("GOOGLETRANSLATE(B228, ""en"", ""Hi"")"),"कलारीपयट्टू में 'संकल्प' में क्या शामिल है?")</f>
        <v>कलारीपयट्टू में 'संकल्प' में क्या शामिल है?</v>
      </c>
      <c r="H228" s="5" t="str">
        <f>IFERROR(__xludf.DUMMYFUNCTION("GOOGLETRANSLATE(C228, ""en"", ""Hi"")"),"A) लचीलेपन में सुधार, B) युद्ध के लिए मानसिक तैयारी, C) हथियार तकनीक सीखना, D) उपचार का अभ्यास करना")</f>
        <v>A) लचीलेपन में सुधार, B) युद्ध के लिए मानसिक तैयारी, C) हथियार तकनीक सीखना, D) उपचार का अभ्यास करना</v>
      </c>
      <c r="I228" s="5" t="str">
        <f>IFERROR(__xludf.DUMMYFUNCTION("GOOGLETRANSLATE(D228, ""en"", ""Hi"")"),"बी) युद्ध के लिए मानसिक तैयारी")</f>
        <v>बी) युद्ध के लिए मानसिक तैयारी</v>
      </c>
    </row>
    <row r="229" ht="22.5" customHeight="1">
      <c r="A229" s="9">
        <v>228.0</v>
      </c>
      <c r="B229" s="4" t="s">
        <v>9193</v>
      </c>
      <c r="C229" s="4" t="s">
        <v>9059</v>
      </c>
      <c r="D229" s="4" t="s">
        <v>8803</v>
      </c>
      <c r="F229" s="5" t="str">
        <f>IFERROR(__xludf.DUMMYFUNCTION("GOOGLETRANSLATE(A229, ""en"", ""Hi"")"),"228")</f>
        <v>228</v>
      </c>
      <c r="G229" s="5" t="str">
        <f>IFERROR(__xludf.DUMMYFUNCTION("GOOGLETRANSLATE(B229, ""en"", ""Hi"")"),"कौन सी कलारीपयट्टू तकनीक लचीले हथियारों के उपयोग पर जोर देती है?")</f>
        <v>कौन सी कलारीपयट्टू तकनीक लचीले हथियारों के उपयोग पर जोर देती है?</v>
      </c>
      <c r="H229" s="5" t="str">
        <f>IFERROR(__xludf.DUMMYFUNCTION("GOOGLETRANSLATE(C229, ""en"", ""Hi"")"),"ए) सिलंबम, बी) एडवस, सी) मीपायट्टु, डी) वेरुमकाई")</f>
        <v>ए) सिलंबम, बी) एडवस, सी) मीपायट्टु, डी) वेरुमकाई</v>
      </c>
      <c r="I229" s="5" t="str">
        <f>IFERROR(__xludf.DUMMYFUNCTION("GOOGLETRANSLATE(D229, ""en"", ""Hi"")"),"ए) सिलंबम")</f>
        <v>ए) सिलंबम</v>
      </c>
    </row>
    <row r="230" ht="22.5" customHeight="1">
      <c r="A230" s="9">
        <v>229.0</v>
      </c>
      <c r="B230" s="4" t="s">
        <v>9136</v>
      </c>
      <c r="C230" s="4" t="s">
        <v>9093</v>
      </c>
      <c r="D230" s="4" t="s">
        <v>9094</v>
      </c>
      <c r="F230" s="5" t="str">
        <f>IFERROR(__xludf.DUMMYFUNCTION("GOOGLETRANSLATE(A230, ""en"", ""Hi"")"),"229")</f>
        <v>229</v>
      </c>
      <c r="G230" s="5" t="str">
        <f>IFERROR(__xludf.DUMMYFUNCTION("GOOGLETRANSLATE(B230, ""en"", ""Hi"")"),"कलारीपयट्टू अभ्यास में 'मर्म' बिंदुओं का क्या महत्व है?")</f>
        <v>कलारीपयट्टू अभ्यास में 'मर्म' बिंदुओं का क्या महत्व है?</v>
      </c>
      <c r="H230" s="5" t="str">
        <f>IFERROR(__xludf.DUMMYFUNCTION("GOOGLETRANSLATE(C230, ""en"", ""Hi"")"),"A) इनका उपयोग हथियार प्रशिक्षण के लिए किया जाता है, B) ये स्वास्थ्य और युद्ध के लिए महत्वपूर्ण बिंदु हैं, C) ये युद्ध तकनीकें हैं, D) ये हथियारों के प्रकार हैं")</f>
        <v>A) इनका उपयोग हथियार प्रशिक्षण के लिए किया जाता है, B) ये स्वास्थ्य और युद्ध के लिए महत्वपूर्ण बिंदु हैं, C) ये युद्ध तकनीकें हैं, D) ये हथियारों के प्रकार हैं</v>
      </c>
      <c r="I230" s="5" t="str">
        <f>IFERROR(__xludf.DUMMYFUNCTION("GOOGLETRANSLATE(D230, ""en"", ""Hi"")"),"बी) वे स्वास्थ्य और युद्ध के लिए महत्वपूर्ण बिंदु हैं")</f>
        <v>बी) वे स्वास्थ्य और युद्ध के लिए महत्वपूर्ण बिंदु हैं</v>
      </c>
    </row>
    <row r="231" ht="22.5" customHeight="1">
      <c r="A231" s="9">
        <v>230.0</v>
      </c>
      <c r="B231" s="4" t="s">
        <v>9194</v>
      </c>
      <c r="C231" s="4" t="s">
        <v>9112</v>
      </c>
      <c r="D231" s="4" t="s">
        <v>9022</v>
      </c>
      <c r="F231" s="5" t="str">
        <f>IFERROR(__xludf.DUMMYFUNCTION("GOOGLETRANSLATE(A231, ""en"", ""Hi"")"),"230")</f>
        <v>230</v>
      </c>
      <c r="G231" s="5" t="str">
        <f>IFERROR(__xludf.DUMMYFUNCTION("GOOGLETRANSLATE(B231, ""en"", ""Hi"")"),"कलारीपयट्टू को बढ़ावा देने का श्रेय किस ऐतिहासिक राजा को दिया जाता है?")</f>
        <v>कलारीपयट्टू को बढ़ावा देने का श्रेय किस ऐतिहासिक राजा को दिया जाता है?</v>
      </c>
      <c r="H231" s="5" t="str">
        <f>IFERROR(__xludf.DUMMYFUNCTION("GOOGLETRANSLATE(C231, ""en"", ""Hi"")"),"ए) राजा राजा चोल, बी) चंद्रगुप्त मौर्य, सी) अशोक, डी) शिवाजी महाराज")</f>
        <v>ए) राजा राजा चोल, बी) चंद्रगुप्त मौर्य, सी) अशोक, डी) शिवाजी महाराज</v>
      </c>
      <c r="I231" s="5" t="str">
        <f>IFERROR(__xludf.DUMMYFUNCTION("GOOGLETRANSLATE(D231, ""en"", ""Hi"")"),"A) राजा राजा चोल")</f>
        <v>A) राजा राजा चोल</v>
      </c>
    </row>
    <row r="232" ht="22.5" customHeight="1">
      <c r="A232" s="9">
        <v>231.0</v>
      </c>
      <c r="B232" s="4" t="s">
        <v>9195</v>
      </c>
      <c r="C232" s="4" t="s">
        <v>9059</v>
      </c>
      <c r="D232" s="4" t="s">
        <v>8803</v>
      </c>
      <c r="F232" s="5" t="str">
        <f>IFERROR(__xludf.DUMMYFUNCTION("GOOGLETRANSLATE(A232, ""en"", ""Hi"")"),"231")</f>
        <v>231</v>
      </c>
      <c r="G232" s="5" t="str">
        <f>IFERROR(__xludf.DUMMYFUNCTION("GOOGLETRANSLATE(B232, ""en"", ""Hi"")"),"कौन सा कलारीपयट्टू अभ्यास पारंपरिक युद्ध अनुक्रम और हथियार संचालन पर ध्यान केंद्रित करने के लिए जाना जाता है?")</f>
        <v>कौन सा कलारीपयट्टू अभ्यास पारंपरिक युद्ध अनुक्रम और हथियार संचालन पर ध्यान केंद्रित करने के लिए जाना जाता है?</v>
      </c>
      <c r="H232" s="5" t="str">
        <f>IFERROR(__xludf.DUMMYFUNCTION("GOOGLETRANSLATE(C232, ""en"", ""Hi"")"),"ए) सिलंबम, बी) एडवस, सी) मीपायट्टु, डी) वेरुमकाई")</f>
        <v>ए) सिलंबम, बी) एडवस, सी) मीपायट्टु, डी) वेरुमकाई</v>
      </c>
      <c r="I232" s="5" t="str">
        <f>IFERROR(__xludf.DUMMYFUNCTION("GOOGLETRANSLATE(D232, ""en"", ""Hi"")"),"ए) सिलंबम")</f>
        <v>ए) सिलंबम</v>
      </c>
    </row>
    <row r="233" ht="22.5" customHeight="1">
      <c r="A233" s="9">
        <v>232.0</v>
      </c>
      <c r="B233" s="4" t="s">
        <v>9072</v>
      </c>
      <c r="C233" s="4" t="s">
        <v>9073</v>
      </c>
      <c r="D233" s="4" t="s">
        <v>9074</v>
      </c>
      <c r="F233" s="5" t="str">
        <f>IFERROR(__xludf.DUMMYFUNCTION("GOOGLETRANSLATE(A233, ""en"", ""Hi"")"),"232")</f>
        <v>232</v>
      </c>
      <c r="G233" s="5" t="str">
        <f>IFERROR(__xludf.DUMMYFUNCTION("GOOGLETRANSLATE(B233, ""en"", ""Hi"")"),"कलारीपयट्टू में 'कलारी' का ऐतिहासिक महत्व क्या है?")</f>
        <v>कलारीपयट्टू में 'कलारी' का ऐतिहासिक महत्व क्या है?</v>
      </c>
      <c r="H233" s="5" t="str">
        <f>IFERROR(__xludf.DUMMYFUNCTION("GOOGLETRANSLATE(C233, ""en"", ""Hi"")"),"A) यह एक प्रकार का हथियार है, B) यह एक प्रशिक्षण स्थल और अभ्यास स्थल है, C) यह एक उपचार पद्धति है, D) यह एक युद्ध तकनीक है")</f>
        <v>A) यह एक प्रकार का हथियार है, B) यह एक प्रशिक्षण स्थल और अभ्यास स्थल है, C) यह एक उपचार पद्धति है, D) यह एक युद्ध तकनीक है</v>
      </c>
      <c r="I233" s="5" t="str">
        <f>IFERROR(__xludf.DUMMYFUNCTION("GOOGLETRANSLATE(D233, ""en"", ""Hi"")"),"B) यह एक प्रशिक्षण मैदान और अभ्यास स्थान है")</f>
        <v>B) यह एक प्रशिक्षण मैदान और अभ्यास स्थान है</v>
      </c>
    </row>
    <row r="234" ht="22.5" customHeight="1">
      <c r="A234" s="9">
        <v>233.0</v>
      </c>
      <c r="B234" s="4" t="s">
        <v>9196</v>
      </c>
      <c r="C234" s="4" t="s">
        <v>9096</v>
      </c>
      <c r="D234" s="4" t="s">
        <v>2616</v>
      </c>
      <c r="F234" s="5" t="str">
        <f>IFERROR(__xludf.DUMMYFUNCTION("GOOGLETRANSLATE(A234, ""en"", ""Hi"")"),"233")</f>
        <v>233</v>
      </c>
      <c r="G234" s="5" t="str">
        <f>IFERROR(__xludf.DUMMYFUNCTION("GOOGLETRANSLATE(B234, ""en"", ""Hi"")"),"कौन सा ऐतिहासिक ग्रंथ प्राचीन भारतीय युद्ध में कलारीपयट्टु के सिद्धांतों पर चर्चा करता है?")</f>
        <v>कौन सा ऐतिहासिक ग्रंथ प्राचीन भारतीय युद्ध में कलारीपयट्टु के सिद्धांतों पर चर्चा करता है?</v>
      </c>
      <c r="H234" s="5" t="str">
        <f>IFERROR(__xludf.DUMMYFUNCTION("GOOGLETRANSLATE(C234, ""en"", ""Hi"")"),"ए) अर्थशास्त्र, बी) रामायण, सी) वेद, डी) पुराण")</f>
        <v>ए) अर्थशास्त्र, बी) रामायण, सी) वेद, डी) पुराण</v>
      </c>
      <c r="I234" s="5" t="str">
        <f>IFERROR(__xludf.DUMMYFUNCTION("GOOGLETRANSLATE(D234, ""en"", ""Hi"")"),"A) अर्थशास्त्र")</f>
        <v>A) अर्थशास्त्र</v>
      </c>
    </row>
    <row r="235" ht="22.5" customHeight="1">
      <c r="A235" s="9">
        <v>234.0</v>
      </c>
      <c r="B235" s="4" t="s">
        <v>9097</v>
      </c>
      <c r="C235" s="4" t="s">
        <v>9098</v>
      </c>
      <c r="D235" s="4" t="s">
        <v>9099</v>
      </c>
      <c r="F235" s="5" t="str">
        <f>IFERROR(__xludf.DUMMYFUNCTION("GOOGLETRANSLATE(A235, ""en"", ""Hi"")"),"234")</f>
        <v>234</v>
      </c>
      <c r="G235" s="5" t="str">
        <f>IFERROR(__xludf.DUMMYFUNCTION("GOOGLETRANSLATE(B235, ""en"", ""Hi"")"),"कलारीपयट्टू की पारंपरिक प्रथा में 'गुरु' की क्या भूमिका होती है?")</f>
        <v>कलारीपयट्टू की पारंपरिक प्रथा में 'गुरु' की क्या भूमिका होती है?</v>
      </c>
      <c r="H235" s="5" t="str">
        <f>IFERROR(__xludf.DUMMYFUNCTION("GOOGLETRANSLATE(C235, ""en"", ""Hi"")"),"A) छात्र, B) शिक्षक और संरक्षक, C) हथियार निर्माता, D) चिकित्सक")</f>
        <v>A) छात्र, B) शिक्षक और संरक्षक, C) हथियार निर्माता, D) चिकित्सक</v>
      </c>
      <c r="I235" s="5" t="str">
        <f>IFERROR(__xludf.DUMMYFUNCTION("GOOGLETRANSLATE(D235, ""en"", ""Hi"")"),"बी) शिक्षक और संरक्षक")</f>
        <v>बी) शिक्षक और संरक्षक</v>
      </c>
    </row>
    <row r="236" ht="22.5" customHeight="1">
      <c r="A236" s="9">
        <v>235.0</v>
      </c>
      <c r="B236" s="4" t="s">
        <v>9197</v>
      </c>
      <c r="C236" s="4" t="s">
        <v>9078</v>
      </c>
      <c r="D236" s="4" t="s">
        <v>9079</v>
      </c>
      <c r="F236" s="5" t="str">
        <f>IFERROR(__xludf.DUMMYFUNCTION("GOOGLETRANSLATE(A236, ""en"", ""Hi"")"),"235")</f>
        <v>235</v>
      </c>
      <c r="G236" s="5" t="str">
        <f>IFERROR(__xludf.DUMMYFUNCTION("GOOGLETRANSLATE(B236, ""en"", ""Hi"")"),"कौन सी कलारीपयट्टू तकनीक महत्वपूर्ण बिंदुओं को समझने और लक्ष्य करने पर केंद्रित है?")</f>
        <v>कौन सी कलारीपयट्टू तकनीक महत्वपूर्ण बिंदुओं को समझने और लक्ष्य करने पर केंद्रित है?</v>
      </c>
      <c r="H236" s="5" t="str">
        <f>IFERROR(__xludf.DUMMYFUNCTION("GOOGLETRANSLATE(C236, ""en"", ""Hi"")"),"ए) मर्म शास्त्र, बी) अंगम, सी) मीपायट्टु, डी) एडवस")</f>
        <v>ए) मर्म शास्त्र, बी) अंगम, सी) मीपायट्टु, डी) एडवस</v>
      </c>
      <c r="I236" s="5" t="str">
        <f>IFERROR(__xludf.DUMMYFUNCTION("GOOGLETRANSLATE(D236, ""en"", ""Hi"")"),"A) मर्म शास्त्र")</f>
        <v>A) मर्म शास्त्र</v>
      </c>
    </row>
    <row r="237" ht="22.5" customHeight="1">
      <c r="A237" s="9">
        <v>236.0</v>
      </c>
      <c r="B237" s="4" t="s">
        <v>9198</v>
      </c>
      <c r="C237" s="4" t="s">
        <v>9199</v>
      </c>
      <c r="D237" s="4" t="s">
        <v>9123</v>
      </c>
      <c r="F237" s="5" t="str">
        <f>IFERROR(__xludf.DUMMYFUNCTION("GOOGLETRANSLATE(A237, ""en"", ""Hi"")"),"236")</f>
        <v>236</v>
      </c>
      <c r="G237" s="5" t="str">
        <f>IFERROR(__xludf.DUMMYFUNCTION("GOOGLETRANSLATE(B237, ""en"", ""Hi"")"),"'मेईपयाट्टू' अपने प्रशिक्षण में मुख्य रूप से किस पर जोर देता है?")</f>
        <v>'मेईपयाट्टू' अपने प्रशिक्षण में मुख्य रूप से किस पर जोर देता है?</v>
      </c>
      <c r="H237" s="5" t="str">
        <f>IFERROR(__xludf.DUMMYFUNCTION("GOOGLETRANSLATE(C237, ""en"", ""Hi"")"),"A) हथियार चलाना, B) युद्ध अभ्यास, C) शारीरिक कंडीशनिंग और लचीलापन, D) उपचार तकनीक")</f>
        <v>A) हथियार चलाना, B) युद्ध अभ्यास, C) शारीरिक कंडीशनिंग और लचीलापन, D) उपचार तकनीक</v>
      </c>
      <c r="I237" s="5" t="str">
        <f>IFERROR(__xludf.DUMMYFUNCTION("GOOGLETRANSLATE(D237, ""en"", ""Hi"")"),"C) शारीरिक कंडीशनिंग और लचीलापन")</f>
        <v>C) शारीरिक कंडीशनिंग और लचीलापन</v>
      </c>
    </row>
    <row r="238" ht="22.5" customHeight="1">
      <c r="A238" s="9">
        <v>237.0</v>
      </c>
      <c r="B238" s="4" t="s">
        <v>9200</v>
      </c>
      <c r="C238" s="4" t="s">
        <v>9112</v>
      </c>
      <c r="D238" s="4" t="s">
        <v>9022</v>
      </c>
      <c r="F238" s="5" t="str">
        <f>IFERROR(__xludf.DUMMYFUNCTION("GOOGLETRANSLATE(A238, ""en"", ""Hi"")"),"237")</f>
        <v>237</v>
      </c>
      <c r="G238" s="5" t="str">
        <f>IFERROR(__xludf.DUMMYFUNCTION("GOOGLETRANSLATE(B238, ""en"", ""Hi"")"),"कलारीपयट्टू के विकास के लिए किस प्राचीन भारतीय राजा का काल महत्वपूर्ण माना जाता है?")</f>
        <v>कलारीपयट्टू के विकास के लिए किस प्राचीन भारतीय राजा का काल महत्वपूर्ण माना जाता है?</v>
      </c>
      <c r="H238" s="5" t="str">
        <f>IFERROR(__xludf.DUMMYFUNCTION("GOOGLETRANSLATE(C238, ""en"", ""Hi"")"),"ए) राजा राजा चोल, बी) चंद्रगुप्त मौर्य, सी) अशोक, डी) शिवाजी महाराज")</f>
        <v>ए) राजा राजा चोल, बी) चंद्रगुप्त मौर्य, सी) अशोक, डी) शिवाजी महाराज</v>
      </c>
      <c r="I238" s="5" t="str">
        <f>IFERROR(__xludf.DUMMYFUNCTION("GOOGLETRANSLATE(D238, ""en"", ""Hi"")"),"A) राजा राजा चोल")</f>
        <v>A) राजा राजा चोल</v>
      </c>
    </row>
    <row r="239" ht="22.5" customHeight="1">
      <c r="A239" s="9">
        <v>238.0</v>
      </c>
      <c r="B239" s="4" t="s">
        <v>9201</v>
      </c>
      <c r="C239" s="4" t="s">
        <v>9202</v>
      </c>
      <c r="D239" s="4" t="s">
        <v>9203</v>
      </c>
      <c r="F239" s="5" t="str">
        <f>IFERROR(__xludf.DUMMYFUNCTION("GOOGLETRANSLATE(A239, ""en"", ""Hi"")"),"238")</f>
        <v>238</v>
      </c>
      <c r="G239" s="5" t="str">
        <f>IFERROR(__xludf.DUMMYFUNCTION("GOOGLETRANSLATE(B239, ""en"", ""Hi"")"),"कलारीपयट्टू के अभ्यास में 'अडावस' किस पर ध्यान केंद्रित करता है?")</f>
        <v>कलारीपयट्टू के अभ्यास में 'अडावस' किस पर ध्यान केंद्रित करता है?</v>
      </c>
      <c r="H239" s="5" t="str">
        <f>IFERROR(__xludf.DUMMYFUNCTION("GOOGLETRANSLATE(C239, ""en"", ""Hi"")"),"ए) युद्ध क्रम, बी) पैरों की क्रिया और शरीर की गतिविधियाँ, सी) हथियार चलाना, डी) उपचार")</f>
        <v>ए) युद्ध क्रम, बी) पैरों की क्रिया और शरीर की गतिविधियाँ, सी) हथियार चलाना, डी) उपचार</v>
      </c>
      <c r="I239" s="5" t="str">
        <f>IFERROR(__xludf.DUMMYFUNCTION("GOOGLETRANSLATE(D239, ""en"", ""Hi"")"),"बी) फुटवर्क और शरीर की गतिविधियाँ")</f>
        <v>बी) फुटवर्क और शरीर की गतिविधियाँ</v>
      </c>
    </row>
    <row r="240" ht="22.5" customHeight="1">
      <c r="A240" s="9">
        <v>239.0</v>
      </c>
      <c r="B240" s="4" t="s">
        <v>9204</v>
      </c>
      <c r="C240" s="4" t="s">
        <v>9205</v>
      </c>
      <c r="D240" s="4" t="s">
        <v>9206</v>
      </c>
      <c r="F240" s="5" t="str">
        <f>IFERROR(__xludf.DUMMYFUNCTION("GOOGLETRANSLATE(A240, ""en"", ""Hi"")"),"239")</f>
        <v>239</v>
      </c>
      <c r="G240" s="5" t="str">
        <f>IFERROR(__xludf.DUMMYFUNCTION("GOOGLETRANSLATE(B240, ""en"", ""Hi"")"),"कलारीपयट्टू में 'सिलम्बम' की ऐतिहासिक भूमिका क्या है?")</f>
        <v>कलारीपयट्टू में 'सिलम्बम' की ऐतिहासिक भूमिका क्या है?</v>
      </c>
      <c r="H240" s="5" t="str">
        <f>IFERROR(__xludf.DUMMYFUNCTION("GOOGLETRANSLATE(C240, ""en"", ""Hi"")"),"A) लघु और दीर्घ शस्त्र प्रशिक्षण, B) शारीरिक कंडीशनिंग, C) निहत्थे युद्ध, D) उपचार")</f>
        <v>A) लघु और दीर्घ शस्त्र प्रशिक्षण, B) शारीरिक कंडीशनिंग, C) निहत्थे युद्ध, D) उपचार</v>
      </c>
      <c r="I240" s="5" t="str">
        <f>IFERROR(__xludf.DUMMYFUNCTION("GOOGLETRANSLATE(D240, ""en"", ""Hi"")"),"A) लघु और दीर्घ हथियार प्रशिक्षण")</f>
        <v>A) लघु और दीर्घ हथियार प्रशिक्षण</v>
      </c>
    </row>
    <row r="241" ht="22.5" customHeight="1">
      <c r="A241" s="9">
        <v>240.0</v>
      </c>
      <c r="B241" s="4" t="s">
        <v>9207</v>
      </c>
      <c r="C241" s="4" t="s">
        <v>8821</v>
      </c>
      <c r="D241" s="4" t="s">
        <v>8958</v>
      </c>
      <c r="F241" s="5" t="str">
        <f>IFERROR(__xludf.DUMMYFUNCTION("GOOGLETRANSLATE(A241, ""en"", ""Hi"")"),"240")</f>
        <v>240</v>
      </c>
      <c r="G241" s="5" t="str">
        <f>IFERROR(__xludf.DUMMYFUNCTION("GOOGLETRANSLATE(B241, ""en"", ""Hi"")"),"कलारीपयट्टू में कौन सी प्रथा निहत्थे युद्ध पर जोर देने के लिए जानी जाती है?")</f>
        <v>कलारीपयट्टू में कौन सी प्रथा निहत्थे युद्ध पर जोर देने के लिए जानी जाती है?</v>
      </c>
      <c r="H241" s="5" t="str">
        <f>IFERROR(__xludf.DUMMYFUNCTION("GOOGLETRANSLATE(C241, ""en"", ""Hi"")"),"ए) वेरुमकाई, बी) सिलंबम, सी) एडवस, डी) मेइपायट्टु")</f>
        <v>ए) वेरुमकाई, बी) सिलंबम, सी) एडवस, डी) मेइपायट्टु</v>
      </c>
      <c r="I241" s="5" t="str">
        <f>IFERROR(__xludf.DUMMYFUNCTION("GOOGLETRANSLATE(D241, ""en"", ""Hi"")"),"A) वेरुमकाई")</f>
        <v>A) वेरुमकाई</v>
      </c>
    </row>
    <row r="242" ht="22.5" customHeight="1">
      <c r="A242" s="9">
        <v>241.0</v>
      </c>
      <c r="B242" s="4" t="s">
        <v>9152</v>
      </c>
      <c r="C242" s="4" t="s">
        <v>9153</v>
      </c>
      <c r="D242" s="4" t="s">
        <v>3272</v>
      </c>
      <c r="F242" s="5" t="str">
        <f>IFERROR(__xludf.DUMMYFUNCTION("GOOGLETRANSLATE(A242, ""en"", ""Hi"")"),"241")</f>
        <v>241</v>
      </c>
      <c r="G242" s="5" t="str">
        <f>IFERROR(__xludf.DUMMYFUNCTION("GOOGLETRANSLATE(B242, ""en"", ""Hi"")"),"कलारीपयट्टू की प्राचीन मार्शल आर्ट तकनीकों के लिए अक्सर किस ऐतिहासिक ग्रंथ का संदर्भ दिया जाता है?")</f>
        <v>कलारीपयट्टू की प्राचीन मार्शल आर्ट तकनीकों के लिए अक्सर किस ऐतिहासिक ग्रंथ का संदर्भ दिया जाता है?</v>
      </c>
      <c r="H242" s="5" t="str">
        <f>IFERROR(__xludf.DUMMYFUNCTION("GOOGLETRANSLATE(C242, ""en"", ""Hi"")"),"ए) योग सूत्र, बी) अर्थशास्त्र, सी) वेद, डी) मनुस्मृति")</f>
        <v>ए) योग सूत्र, बी) अर्थशास्त्र, सी) वेद, डी) मनुस्मृति</v>
      </c>
      <c r="I242" s="5" t="str">
        <f>IFERROR(__xludf.DUMMYFUNCTION("GOOGLETRANSLATE(D242, ""en"", ""Hi"")"),"बी) अर्थशास्त्र")</f>
        <v>बी) अर्थशास्त्र</v>
      </c>
    </row>
    <row r="243" ht="22.5" customHeight="1">
      <c r="A243" s="9">
        <v>242.0</v>
      </c>
      <c r="B243" s="4" t="s">
        <v>9208</v>
      </c>
      <c r="C243" s="4" t="s">
        <v>9066</v>
      </c>
      <c r="D243" s="4" t="s">
        <v>9067</v>
      </c>
      <c r="F243" s="5" t="str">
        <f>IFERROR(__xludf.DUMMYFUNCTION("GOOGLETRANSLATE(A243, ""en"", ""Hi"")"),"242")</f>
        <v>242</v>
      </c>
      <c r="G243" s="5" t="str">
        <f>IFERROR(__xludf.DUMMYFUNCTION("GOOGLETRANSLATE(B243, ""en"", ""Hi"")"),"कलारीपयट्टू में 'उझिचिल' विशेष रूप से क्या लक्षित करता है?")</f>
        <v>कलारीपयट्टू में 'उझिचिल' विशेष रूप से क्या लक्षित करता है?</v>
      </c>
      <c r="H243" s="5" t="str">
        <f>IFERROR(__xludf.DUMMYFUNCTION("GOOGLETRANSLATE(C243, ""en"", ""Hi"")"),"A) युद्ध अभ्यास, B) शारीरिक कंडीशनिंग, C) चोटों का उपचार, D) हथियार प्रशिक्षण")</f>
        <v>A) युद्ध अभ्यास, B) शारीरिक कंडीशनिंग, C) चोटों का उपचार, D) हथियार प्रशिक्षण</v>
      </c>
      <c r="I243" s="5" t="str">
        <f>IFERROR(__xludf.DUMMYFUNCTION("GOOGLETRANSLATE(D243, ""en"", ""Hi"")"),"C) चोटों का उपचार")</f>
        <v>C) चोटों का उपचार</v>
      </c>
    </row>
    <row r="244" ht="22.5" customHeight="1">
      <c r="A244" s="9">
        <v>243.0</v>
      </c>
      <c r="B244" s="4" t="s">
        <v>9209</v>
      </c>
      <c r="C244" s="4" t="s">
        <v>9210</v>
      </c>
      <c r="D244" s="4" t="s">
        <v>8941</v>
      </c>
      <c r="F244" s="5" t="str">
        <f>IFERROR(__xludf.DUMMYFUNCTION("GOOGLETRANSLATE(A244, ""en"", ""Hi"")"),"243")</f>
        <v>243</v>
      </c>
      <c r="G244" s="5" t="str">
        <f>IFERROR(__xludf.DUMMYFUNCTION("GOOGLETRANSLATE(B244, ""en"", ""Hi"")"),"'अंगम' में कलारीपयट्टू के किस पहलू पर ध्यान केंद्रित किया गया है?")</f>
        <v>'अंगम' में कलारीपयट्टू के किस पहलू पर ध्यान केंद्रित किया गया है?</v>
      </c>
      <c r="H244" s="5" t="str">
        <f>IFERROR(__xludf.DUMMYFUNCTION("GOOGLETRANSLATE(C244, ""en"", ""Hi"")"),"ए) महत्वपूर्ण बिंदु, बी) युद्ध तकनीक, सी) हथियार संचालन, डी) शारीरिक कंडीशनिंग")</f>
        <v>ए) महत्वपूर्ण बिंदु, बी) युद्ध तकनीक, सी) हथियार संचालन, डी) शारीरिक कंडीशनिंग</v>
      </c>
      <c r="I244" s="5" t="str">
        <f>IFERROR(__xludf.DUMMYFUNCTION("GOOGLETRANSLATE(D244, ""en"", ""Hi"")"),"बी) युद्ध तकनीक")</f>
        <v>बी) युद्ध तकनीक</v>
      </c>
    </row>
    <row r="245" ht="22.5" customHeight="1">
      <c r="A245" s="9">
        <v>244.0</v>
      </c>
      <c r="B245" s="4" t="s">
        <v>9211</v>
      </c>
      <c r="C245" s="4" t="s">
        <v>9212</v>
      </c>
      <c r="D245" s="4" t="s">
        <v>9022</v>
      </c>
      <c r="F245" s="5" t="str">
        <f>IFERROR(__xludf.DUMMYFUNCTION("GOOGLETRANSLATE(A245, ""en"", ""Hi"")"),"244")</f>
        <v>244</v>
      </c>
      <c r="G245" s="5" t="str">
        <f>IFERROR(__xludf.DUMMYFUNCTION("GOOGLETRANSLATE(B245, ""en"", ""Hi"")"),"कौन सा प्राचीन भारतीय राजा कलारीपयट्टू के समर्थन के लिए जाना जाता है?")</f>
        <v>कौन सा प्राचीन भारतीय राजा कलारीपयट्टू के समर्थन के लिए जाना जाता है?</v>
      </c>
      <c r="H245" s="5" t="str">
        <f>IFERROR(__xludf.DUMMYFUNCTION("GOOGLETRANSLATE(C245, ""en"", ""Hi"")"),"ए) राजा राजा चोल, बी) चंद्रगुप्त मौर्य, सी) अशोक, डी) हर्ष")</f>
        <v>ए) राजा राजा चोल, बी) चंद्रगुप्त मौर्य, सी) अशोक, डी) हर्ष</v>
      </c>
      <c r="I245" s="5" t="str">
        <f>IFERROR(__xludf.DUMMYFUNCTION("GOOGLETRANSLATE(D245, ""en"", ""Hi"")"),"A) राजा राजा चोल")</f>
        <v>A) राजा राजा चोल</v>
      </c>
    </row>
    <row r="246" ht="22.5" customHeight="1">
      <c r="A246" s="9">
        <v>245.0</v>
      </c>
      <c r="B246" s="4" t="s">
        <v>9213</v>
      </c>
      <c r="C246" s="4" t="s">
        <v>9059</v>
      </c>
      <c r="D246" s="4" t="s">
        <v>8803</v>
      </c>
      <c r="F246" s="5" t="str">
        <f>IFERROR(__xludf.DUMMYFUNCTION("GOOGLETRANSLATE(A246, ""en"", ""Hi"")"),"245")</f>
        <v>245</v>
      </c>
      <c r="G246" s="5" t="str">
        <f>IFERROR(__xludf.DUMMYFUNCTION("GOOGLETRANSLATE(B246, ""en"", ""Hi"")"),"कौन सी कलारीपयट्टू तकनीक में विभिन्न लचीले हथियारों के साथ प्रशिक्षण शामिल है?")</f>
        <v>कौन सी कलारीपयट्टू तकनीक में विभिन्न लचीले हथियारों के साथ प्रशिक्षण शामिल है?</v>
      </c>
      <c r="H246" s="5" t="str">
        <f>IFERROR(__xludf.DUMMYFUNCTION("GOOGLETRANSLATE(C246, ""en"", ""Hi"")"),"ए) सिलंबम, बी) एडवस, सी) मीपायट्टु, डी) वेरुमकाई")</f>
        <v>ए) सिलंबम, बी) एडवस, सी) मीपायट्टु, डी) वेरुमकाई</v>
      </c>
      <c r="I246" s="5" t="str">
        <f>IFERROR(__xludf.DUMMYFUNCTION("GOOGLETRANSLATE(D246, ""en"", ""Hi"")"),"ए) सिलंबम")</f>
        <v>ए) सिलंबम</v>
      </c>
    </row>
    <row r="247" ht="22.5" customHeight="1">
      <c r="A247" s="9">
        <v>246.0</v>
      </c>
      <c r="B247" s="4" t="s">
        <v>9072</v>
      </c>
      <c r="C247" s="4" t="s">
        <v>9145</v>
      </c>
      <c r="D247" s="4" t="s">
        <v>9146</v>
      </c>
      <c r="F247" s="5" t="str">
        <f>IFERROR(__xludf.DUMMYFUNCTION("GOOGLETRANSLATE(A247, ""en"", ""Hi"")"),"246")</f>
        <v>246</v>
      </c>
      <c r="G247" s="5" t="str">
        <f>IFERROR(__xludf.DUMMYFUNCTION("GOOGLETRANSLATE(B247, ""en"", ""Hi"")"),"कलारीपयट्टू में 'कलारी' का ऐतिहासिक महत्व क्या है?")</f>
        <v>कलारीपयट्टू में 'कलारी' का ऐतिहासिक महत्व क्या है?</v>
      </c>
      <c r="H247" s="5" t="str">
        <f>IFERROR(__xludf.DUMMYFUNCTION("GOOGLETRANSLATE(C247, ""en"", ""Hi"")"),"A) यह एक प्रकार का हथियार है, B) यह एक प्रशिक्षण स्थान है, C) यह एक युद्ध तकनीक है, D) यह एक अभ्यास विधि है")</f>
        <v>A) यह एक प्रकार का हथियार है, B) यह एक प्रशिक्षण स्थान है, C) यह एक युद्ध तकनीक है, D) यह एक अभ्यास विधि है</v>
      </c>
      <c r="I247" s="5" t="str">
        <f>IFERROR(__xludf.DUMMYFUNCTION("GOOGLETRANSLATE(D247, ""en"", ""Hi"")"),"B) यह एक प्रशिक्षण स्थान है")</f>
        <v>B) यह एक प्रशिक्षण स्थान है</v>
      </c>
    </row>
    <row r="248" ht="22.5" customHeight="1">
      <c r="A248" s="9">
        <v>247.0</v>
      </c>
      <c r="B248" s="4" t="s">
        <v>9214</v>
      </c>
      <c r="C248" s="4" t="s">
        <v>9024</v>
      </c>
      <c r="D248" s="4" t="s">
        <v>8830</v>
      </c>
      <c r="F248" s="5" t="str">
        <f>IFERROR(__xludf.DUMMYFUNCTION("GOOGLETRANSLATE(A248, ""en"", ""Hi"")"),"247")</f>
        <v>247</v>
      </c>
      <c r="G248" s="5" t="str">
        <f>IFERROR(__xludf.DUMMYFUNCTION("GOOGLETRANSLATE(B248, ""en"", ""Hi"")"),"कौन सा कलारीपयट्टू अभ्यास शारीरिक कंडीशनिंग और लचीलेपन पर जोर देता है?")</f>
        <v>कौन सा कलारीपयट्टू अभ्यास शारीरिक कंडीशनिंग और लचीलेपन पर जोर देता है?</v>
      </c>
      <c r="H248" s="5" t="str">
        <f>IFERROR(__xludf.DUMMYFUNCTION("GOOGLETRANSLATE(C248, ""en"", ""Hi"")"),"ए) मीपायट्टु, बी) सिलंबम, सी) एडवस, डी) अंगम")</f>
        <v>ए) मीपायट्टु, बी) सिलंबम, सी) एडवस, डी) अंगम</v>
      </c>
      <c r="I248" s="5" t="str">
        <f>IFERROR(__xludf.DUMMYFUNCTION("GOOGLETRANSLATE(D248, ""en"", ""Hi"")"),"A) मेइपयट्टू")</f>
        <v>A) मेइपयट्टू</v>
      </c>
    </row>
    <row r="249" ht="22.5" customHeight="1">
      <c r="A249" s="9">
        <v>248.0</v>
      </c>
      <c r="B249" s="4" t="s">
        <v>9215</v>
      </c>
      <c r="C249" s="4" t="s">
        <v>9216</v>
      </c>
      <c r="D249" s="4" t="s">
        <v>9217</v>
      </c>
      <c r="F249" s="5" t="str">
        <f>IFERROR(__xludf.DUMMYFUNCTION("GOOGLETRANSLATE(A249, ""en"", ""Hi"")"),"248")</f>
        <v>248</v>
      </c>
      <c r="G249" s="5" t="str">
        <f>IFERROR(__xludf.DUMMYFUNCTION("GOOGLETRANSLATE(B249, ""en"", ""Hi"")"),"कलारीपयट्टू में 'मर्म शास्त्र' की क्या भूमिका है?")</f>
        <v>कलारीपयट्टू में 'मर्म शास्त्र' की क्या भूमिका है?</v>
      </c>
      <c r="H249" s="5" t="str">
        <f>IFERROR(__xludf.DUMMYFUNCTION("GOOGLETRANSLATE(C249, ""en"", ""Hi"")"),"ए) हथियार तकनीक, बी) स्वास्थ्य और युद्ध के लिए महत्वपूर्ण बिंदु, सी) युद्ध अभ्यास, डी) शारीरिक कंडीशनिंग")</f>
        <v>ए) हथियार तकनीक, बी) स्वास्थ्य और युद्ध के लिए महत्वपूर्ण बिंदु, सी) युद्ध अभ्यास, डी) शारीरिक कंडीशनिंग</v>
      </c>
      <c r="I249" s="5" t="str">
        <f>IFERROR(__xludf.DUMMYFUNCTION("GOOGLETRANSLATE(D249, ""en"", ""Hi"")"),"बी) स्वास्थ्य और युद्ध के लिए महत्वपूर्ण बिंदु")</f>
        <v>बी) स्वास्थ्य और युद्ध के लिए महत्वपूर्ण बिंदु</v>
      </c>
    </row>
    <row r="250" ht="22.5" customHeight="1">
      <c r="A250" s="9">
        <v>249.0</v>
      </c>
      <c r="B250" s="4" t="s">
        <v>9218</v>
      </c>
      <c r="C250" s="4" t="s">
        <v>9059</v>
      </c>
      <c r="D250" s="4" t="s">
        <v>8803</v>
      </c>
      <c r="F250" s="5" t="str">
        <f>IFERROR(__xludf.DUMMYFUNCTION("GOOGLETRANSLATE(A250, ""en"", ""Hi"")"),"249")</f>
        <v>249</v>
      </c>
      <c r="G250" s="5" t="str">
        <f>IFERROR(__xludf.DUMMYFUNCTION("GOOGLETRANSLATE(B250, ""en"", ""Hi"")"),"कौन सा कलारीपयट्टू अभ्यास पारंपरिक युद्ध तकनीकों और अनुक्रमों पर ध्यान केंद्रित करने के लिए जाना जाता है?")</f>
        <v>कौन सा कलारीपयट्टू अभ्यास पारंपरिक युद्ध तकनीकों और अनुक्रमों पर ध्यान केंद्रित करने के लिए जाना जाता है?</v>
      </c>
      <c r="H250" s="5" t="str">
        <f>IFERROR(__xludf.DUMMYFUNCTION("GOOGLETRANSLATE(C250, ""en"", ""Hi"")"),"ए) सिलंबम, बी) एडवस, सी) मीपायट्टु, डी) वेरुमकाई")</f>
        <v>ए) सिलंबम, बी) एडवस, सी) मीपायट्टु, डी) वेरुमकाई</v>
      </c>
      <c r="I250" s="5" t="str">
        <f>IFERROR(__xludf.DUMMYFUNCTION("GOOGLETRANSLATE(D250, ""en"", ""Hi"")"),"ए) सिलंबम")</f>
        <v>ए) सिलंबम</v>
      </c>
    </row>
    <row r="251" ht="22.5" customHeight="1">
      <c r="A251" s="9">
        <v>250.0</v>
      </c>
      <c r="B251" s="4" t="s">
        <v>9219</v>
      </c>
      <c r="C251" s="4" t="s">
        <v>9220</v>
      </c>
      <c r="D251" s="4" t="s">
        <v>9221</v>
      </c>
      <c r="F251" s="5" t="str">
        <f>IFERROR(__xludf.DUMMYFUNCTION("GOOGLETRANSLATE(A251, ""en"", ""Hi"")"),"250")</f>
        <v>250</v>
      </c>
      <c r="G251" s="5" t="str">
        <f>IFERROR(__xludf.DUMMYFUNCTION("GOOGLETRANSLATE(B251, ""en"", ""Hi"")"),"कलारीपयट्टू प्रशिक्षण में 'मर्म' बिंदुओं का फोकस क्या है?")</f>
        <v>कलारीपयट्टू प्रशिक्षण में 'मर्म' बिंदुओं का फोकस क्या है?</v>
      </c>
      <c r="H251" s="5" t="str">
        <f>IFERROR(__xludf.DUMMYFUNCTION("GOOGLETRANSLATE(C251, ""en"", ""Hi"")"),"ए) हथियार प्रशिक्षण, बी) युद्ध और स्वास्थ्य के लिए महत्वपूर्ण बिंदु, सी) युद्ध तकनीक, डी) हथियार के प्रकार")</f>
        <v>ए) हथियार प्रशिक्षण, बी) युद्ध और स्वास्थ्य के लिए महत्वपूर्ण बिंदु, सी) युद्ध तकनीक, डी) हथियार के प्रकार</v>
      </c>
      <c r="I251" s="5" t="str">
        <f>IFERROR(__xludf.DUMMYFUNCTION("GOOGLETRANSLATE(D251, ""en"", ""Hi"")"),"बी) युद्ध और स्वास्थ्य के लिए महत्वपूर्ण बिंदु")</f>
        <v>बी) युद्ध और स्वास्थ्य के लिए महत्वपूर्ण बिंदु</v>
      </c>
    </row>
    <row r="252" ht="22.5" customHeight="1">
      <c r="A252" s="9">
        <v>251.0</v>
      </c>
      <c r="B252" s="4" t="s">
        <v>9222</v>
      </c>
      <c r="C252" s="4" t="s">
        <v>9112</v>
      </c>
      <c r="D252" s="4" t="s">
        <v>9022</v>
      </c>
      <c r="F252" s="5" t="str">
        <f>IFERROR(__xludf.DUMMYFUNCTION("GOOGLETRANSLATE(A252, ""en"", ""Hi"")"),"251")</f>
        <v>251</v>
      </c>
      <c r="G252" s="5" t="str">
        <f>IFERROR(__xludf.DUMMYFUNCTION("GOOGLETRANSLATE(B252, ""en"", ""Hi"")"),"कलारीपयट्टू के प्रचार से कौन सा ऐतिहासिक व्यक्ति जुड़ा हुआ है?")</f>
        <v>कलारीपयट्टू के प्रचार से कौन सा ऐतिहासिक व्यक्ति जुड़ा हुआ है?</v>
      </c>
      <c r="H252" s="5" t="str">
        <f>IFERROR(__xludf.DUMMYFUNCTION("GOOGLETRANSLATE(C252, ""en"", ""Hi"")"),"ए) राजा राजा चोल, बी) चंद्रगुप्त मौर्य, सी) अशोक, डी) शिवाजी महाराज")</f>
        <v>ए) राजा राजा चोल, बी) चंद्रगुप्त मौर्य, सी) अशोक, डी) शिवाजी महाराज</v>
      </c>
      <c r="I252" s="5" t="str">
        <f>IFERROR(__xludf.DUMMYFUNCTION("GOOGLETRANSLATE(D252, ""en"", ""Hi"")"),"A) राजा राजा चोल")</f>
        <v>A) राजा राजा चोल</v>
      </c>
    </row>
    <row r="253" ht="22.5" customHeight="1">
      <c r="A253" s="9">
        <v>252.0</v>
      </c>
      <c r="B253" s="4" t="s">
        <v>9223</v>
      </c>
      <c r="C253" s="4" t="s">
        <v>9059</v>
      </c>
      <c r="D253" s="4" t="s">
        <v>8803</v>
      </c>
      <c r="F253" s="5" t="str">
        <f>IFERROR(__xludf.DUMMYFUNCTION("GOOGLETRANSLATE(A253, ""en"", ""Hi"")"),"252")</f>
        <v>252</v>
      </c>
      <c r="G253" s="5" t="str">
        <f>IFERROR(__xludf.DUMMYFUNCTION("GOOGLETRANSLATE(B253, ""en"", ""Hi"")"),"कौन सी कलारीपयट्टू प्रथा प्रशिक्षण में विभिन्न हथियारों के उपयोग पर जोर देती है?")</f>
        <v>कौन सी कलारीपयट्टू प्रथा प्रशिक्षण में विभिन्न हथियारों के उपयोग पर जोर देती है?</v>
      </c>
      <c r="H253" s="5" t="str">
        <f>IFERROR(__xludf.DUMMYFUNCTION("GOOGLETRANSLATE(C253, ""en"", ""Hi"")"),"ए) सिलंबम, बी) एडवस, सी) मीपायट्टु, डी) वेरुमकाई")</f>
        <v>ए) सिलंबम, बी) एडवस, सी) मीपायट्टु, डी) वेरुमकाई</v>
      </c>
      <c r="I253" s="5" t="str">
        <f>IFERROR(__xludf.DUMMYFUNCTION("GOOGLETRANSLATE(D253, ""en"", ""Hi"")"),"ए) सिलंबम")</f>
        <v>ए) सिलंबम</v>
      </c>
    </row>
    <row r="254" ht="22.5" customHeight="1">
      <c r="A254" s="9">
        <v>253.0</v>
      </c>
      <c r="B254" s="4" t="s">
        <v>9224</v>
      </c>
      <c r="C254" s="4" t="s">
        <v>9225</v>
      </c>
      <c r="D254" s="4" t="s">
        <v>9192</v>
      </c>
      <c r="F254" s="5" t="str">
        <f>IFERROR(__xludf.DUMMYFUNCTION("GOOGLETRANSLATE(A254, ""en"", ""Hi"")"),"253")</f>
        <v>253</v>
      </c>
      <c r="G254" s="5" t="str">
        <f>IFERROR(__xludf.DUMMYFUNCTION("GOOGLETRANSLATE(B254, ""en"", ""Hi"")"),"कलारीपयट्टू प्रशिक्षण में 'संकल्प' किस पर केंद्रित है?")</f>
        <v>कलारीपयट्टू प्रशिक्षण में 'संकल्प' किस पर केंद्रित है?</v>
      </c>
      <c r="H254" s="5" t="str">
        <f>IFERROR(__xludf.DUMMYFUNCTION("GOOGLETRANSLATE(C254, ""en"", ""Hi"")"),"A) शारीरिक कंडीशनिंग, B) युद्ध के लिए मानसिक तैयारी, C) हथियार तकनीक, D) उपचार विधियाँ")</f>
        <v>A) शारीरिक कंडीशनिंग, B) युद्ध के लिए मानसिक तैयारी, C) हथियार तकनीक, D) उपचार विधियाँ</v>
      </c>
      <c r="I254" s="5" t="str">
        <f>IFERROR(__xludf.DUMMYFUNCTION("GOOGLETRANSLATE(D254, ""en"", ""Hi"")"),"बी) युद्ध के लिए मानसिक तैयारी")</f>
        <v>बी) युद्ध के लिए मानसिक तैयारी</v>
      </c>
    </row>
    <row r="255" ht="22.5" customHeight="1">
      <c r="A255" s="9">
        <v>254.0</v>
      </c>
      <c r="B255" s="4" t="s">
        <v>9177</v>
      </c>
      <c r="C255" s="4" t="s">
        <v>9226</v>
      </c>
      <c r="D255" s="4" t="s">
        <v>9179</v>
      </c>
      <c r="F255" s="5" t="str">
        <f>IFERROR(__xludf.DUMMYFUNCTION("GOOGLETRANSLATE(A255, ""en"", ""Hi"")"),"254")</f>
        <v>254</v>
      </c>
      <c r="G255" s="5" t="str">
        <f>IFERROR(__xludf.DUMMYFUNCTION("GOOGLETRANSLATE(B255, ""en"", ""Hi"")"),"'अडावस' के अभ्यास से कलरीपयट्टू के किस पहलू पर जोर दिया जाता है?")</f>
        <v>'अडावस' के अभ्यास से कलरीपयट्टू के किस पहलू पर जोर दिया जाता है?</v>
      </c>
      <c r="H255" s="5" t="str">
        <f>IFERROR(__xludf.DUMMYFUNCTION("GOOGLETRANSLATE(C255, ""en"", ""Hi"")"),"A) पैरों की गति और शरीर की गतिविधियाँ, B) हथियार चलाना, C) उपचार तकनीकें, D) युद्ध अभ्यास")</f>
        <v>A) पैरों की गति और शरीर की गतिविधियाँ, B) हथियार चलाना, C) उपचार तकनीकें, D) युद्ध अभ्यास</v>
      </c>
      <c r="I255" s="5" t="str">
        <f>IFERROR(__xludf.DUMMYFUNCTION("GOOGLETRANSLATE(D255, ""en"", ""Hi"")"),"A) पैरों की गति और शरीर की गतिविधियाँ")</f>
        <v>A) पैरों की गति और शरीर की गतिविधियाँ</v>
      </c>
    </row>
    <row r="256" ht="22.5" customHeight="1">
      <c r="A256" s="9">
        <v>255.0</v>
      </c>
      <c r="B256" s="4" t="s">
        <v>9227</v>
      </c>
      <c r="C256" s="4" t="s">
        <v>8821</v>
      </c>
      <c r="D256" s="4" t="s">
        <v>8958</v>
      </c>
      <c r="F256" s="5" t="str">
        <f>IFERROR(__xludf.DUMMYFUNCTION("GOOGLETRANSLATE(A256, ""en"", ""Hi"")"),"255")</f>
        <v>255</v>
      </c>
      <c r="G256" s="5" t="str">
        <f>IFERROR(__xludf.DUMMYFUNCTION("GOOGLETRANSLATE(B256, ""en"", ""Hi"")"),"कौन सी कलारीपयट्टू प्रथा निहत्थे युद्ध तकनीक से जुड़ी है?")</f>
        <v>कौन सी कलारीपयट्टू प्रथा निहत्थे युद्ध तकनीक से जुड़ी है?</v>
      </c>
      <c r="H256" s="5" t="str">
        <f>IFERROR(__xludf.DUMMYFUNCTION("GOOGLETRANSLATE(C256, ""en"", ""Hi"")"),"ए) वेरुमकाई, बी) सिलंबम, सी) एडवस, डी) मेइपायट्टु")</f>
        <v>ए) वेरुमकाई, बी) सिलंबम, सी) एडवस, डी) मेइपायट्टु</v>
      </c>
      <c r="I256" s="5" t="str">
        <f>IFERROR(__xludf.DUMMYFUNCTION("GOOGLETRANSLATE(D256, ""en"", ""Hi"")"),"A) वेरुमकाई")</f>
        <v>A) वेरुमकाई</v>
      </c>
    </row>
    <row r="257" ht="22.5" customHeight="1">
      <c r="A257" s="9">
        <v>256.0</v>
      </c>
      <c r="B257" s="4" t="s">
        <v>9228</v>
      </c>
      <c r="C257" s="4" t="s">
        <v>9135</v>
      </c>
      <c r="D257" s="4" t="s">
        <v>2616</v>
      </c>
      <c r="F257" s="5" t="str">
        <f>IFERROR(__xludf.DUMMYFUNCTION("GOOGLETRANSLATE(A257, ""en"", ""Hi"")"),"256")</f>
        <v>256</v>
      </c>
      <c r="G257" s="5" t="str">
        <f>IFERROR(__xludf.DUMMYFUNCTION("GOOGLETRANSLATE(B257, ""en"", ""Hi"")"),"कौन सा प्राचीन ग्रंथ कलारीपयट्टू के इतिहास और तकनीकों के बारे में महत्वपूर्ण जानकारी प्रदान करता है?")</f>
        <v>कौन सा प्राचीन ग्रंथ कलारीपयट्टू के इतिहास और तकनीकों के बारे में महत्वपूर्ण जानकारी प्रदान करता है?</v>
      </c>
      <c r="H257" s="5" t="str">
        <f>IFERROR(__xludf.DUMMYFUNCTION("GOOGLETRANSLATE(C257, ""en"", ""Hi"")"),"ए) अर्थशास्त्र, बी) रामायण, सी) महाभारत, डी) वेद")</f>
        <v>ए) अर्थशास्त्र, बी) रामायण, सी) महाभारत, डी) वेद</v>
      </c>
      <c r="I257" s="5" t="str">
        <f>IFERROR(__xludf.DUMMYFUNCTION("GOOGLETRANSLATE(D257, ""en"", ""Hi"")"),"A) अर्थशास्त्र")</f>
        <v>A) अर्थशास्त्र</v>
      </c>
    </row>
    <row r="258" ht="22.5" customHeight="1">
      <c r="A258" s="9">
        <v>257.0</v>
      </c>
      <c r="B258" s="4" t="s">
        <v>9144</v>
      </c>
      <c r="C258" s="4" t="s">
        <v>9229</v>
      </c>
      <c r="D258" s="4" t="s">
        <v>9230</v>
      </c>
      <c r="F258" s="5" t="str">
        <f>IFERROR(__xludf.DUMMYFUNCTION("GOOGLETRANSLATE(A258, ""en"", ""Hi"")"),"257")</f>
        <v>257</v>
      </c>
      <c r="G258" s="5" t="str">
        <f>IFERROR(__xludf.DUMMYFUNCTION("GOOGLETRANSLATE(B258, ""en"", ""Hi"")"),"कलारीपयट्टू में 'कलारी' की ऐतिहासिक भूमिका क्या है?")</f>
        <v>कलारीपयट्टू में 'कलारी' की ऐतिहासिक भूमिका क्या है?</v>
      </c>
      <c r="H258" s="5" t="str">
        <f>IFERROR(__xludf.DUMMYFUNCTION("GOOGLETRANSLATE(C258, ""en"", ""Hi"")"),"A) हथियार का प्रकार, B) प्रशिक्षण स्थान, C) युद्ध तकनीक, D) अभ्यास विधि")</f>
        <v>A) हथियार का प्रकार, B) प्रशिक्षण स्थान, C) युद्ध तकनीक, D) अभ्यास विधि</v>
      </c>
      <c r="I258" s="5" t="str">
        <f>IFERROR(__xludf.DUMMYFUNCTION("GOOGLETRANSLATE(D258, ""en"", ""Hi"")"),"बी) प्रशिक्षण स्थान")</f>
        <v>बी) प्रशिक्षण स्थान</v>
      </c>
    </row>
    <row r="259" ht="22.5" customHeight="1">
      <c r="A259" s="9">
        <v>258.0</v>
      </c>
      <c r="B259" s="4" t="s">
        <v>9137</v>
      </c>
      <c r="C259" s="4" t="s">
        <v>8924</v>
      </c>
      <c r="D259" s="4" t="s">
        <v>8758</v>
      </c>
      <c r="F259" s="5" t="str">
        <f>IFERROR(__xludf.DUMMYFUNCTION("GOOGLETRANSLATE(A259, ""en"", ""Hi"")"),"258")</f>
        <v>258</v>
      </c>
      <c r="G259" s="5" t="str">
        <f>IFERROR(__xludf.DUMMYFUNCTION("GOOGLETRANSLATE(B259, ""en"", ""Hi"")"),"कौन सा कलारीपयट्टू अभ्यास अपने जटिल पैरों के काम और शरीर की गतिविधियों के लिए जाना जाता है?")</f>
        <v>कौन सा कलारीपयट्टू अभ्यास अपने जटिल पैरों के काम और शरीर की गतिविधियों के लिए जाना जाता है?</v>
      </c>
      <c r="H259" s="5" t="str">
        <f>IFERROR(__xludf.DUMMYFUNCTION("GOOGLETRANSLATE(C259, ""en"", ""Hi"")"),"ए) एडवस, बी) मीपायट्टु, सी) सिलंबम, डी) अंगम")</f>
        <v>ए) एडवस, बी) मीपायट्टु, सी) सिलंबम, डी) अंगम</v>
      </c>
      <c r="I259" s="5" t="str">
        <f>IFERROR(__xludf.DUMMYFUNCTION("GOOGLETRANSLATE(D259, ""en"", ""Hi"")"),"ए) एडवस")</f>
        <v>ए) एडवस</v>
      </c>
    </row>
    <row r="260" ht="22.5" customHeight="1">
      <c r="A260" s="9">
        <v>259.0</v>
      </c>
      <c r="B260" s="4" t="s">
        <v>9231</v>
      </c>
      <c r="C260" s="4" t="s">
        <v>9066</v>
      </c>
      <c r="D260" s="4" t="s">
        <v>9067</v>
      </c>
      <c r="F260" s="5" t="str">
        <f>IFERROR(__xludf.DUMMYFUNCTION("GOOGLETRANSLATE(A260, ""en"", ""Hi"")"),"259")</f>
        <v>259</v>
      </c>
      <c r="G260" s="5" t="str">
        <f>IFERROR(__xludf.DUMMYFUNCTION("GOOGLETRANSLATE(B260, ""en"", ""Hi"")"),"कलारीपयट्टू में 'उझिचिल' क्या लक्ष्य करता है?")</f>
        <v>कलारीपयट्टू में 'उझिचिल' क्या लक्ष्य करता है?</v>
      </c>
      <c r="H260" s="5" t="str">
        <f>IFERROR(__xludf.DUMMYFUNCTION("GOOGLETRANSLATE(C260, ""en"", ""Hi"")"),"A) युद्ध अभ्यास, B) शारीरिक कंडीशनिंग, C) चोटों का उपचार, D) हथियार प्रशिक्षण")</f>
        <v>A) युद्ध अभ्यास, B) शारीरिक कंडीशनिंग, C) चोटों का उपचार, D) हथियार प्रशिक्षण</v>
      </c>
      <c r="I260" s="5" t="str">
        <f>IFERROR(__xludf.DUMMYFUNCTION("GOOGLETRANSLATE(D260, ""en"", ""Hi"")"),"C) चोटों का उपचार")</f>
        <v>C) चोटों का उपचार</v>
      </c>
    </row>
    <row r="261" ht="22.5" customHeight="1">
      <c r="A261" s="9">
        <v>260.0</v>
      </c>
      <c r="B261" s="4" t="s">
        <v>9232</v>
      </c>
      <c r="C261" s="4" t="s">
        <v>9059</v>
      </c>
      <c r="D261" s="4" t="s">
        <v>8803</v>
      </c>
      <c r="F261" s="5" t="str">
        <f>IFERROR(__xludf.DUMMYFUNCTION("GOOGLETRANSLATE(A261, ""en"", ""Hi"")"),"260")</f>
        <v>260</v>
      </c>
      <c r="G261" s="5" t="str">
        <f>IFERROR(__xludf.DUMMYFUNCTION("GOOGLETRANSLATE(B261, ""en"", ""Hi"")"),"कौन सी कलारीपयट्टू प्रथा पारंपरिक युद्ध दृश्यों और हथियार संचालन के उपयोग के लिए प्रसिद्ध है?")</f>
        <v>कौन सी कलारीपयट्टू प्रथा पारंपरिक युद्ध दृश्यों और हथियार संचालन के उपयोग के लिए प्रसिद्ध है?</v>
      </c>
      <c r="H261" s="5" t="str">
        <f>IFERROR(__xludf.DUMMYFUNCTION("GOOGLETRANSLATE(C261, ""en"", ""Hi"")"),"ए) सिलंबम, बी) एडवस, सी) मीपायट्टु, डी) वेरुमकाई")</f>
        <v>ए) सिलंबम, बी) एडवस, सी) मीपायट्टु, डी) वेरुमकाई</v>
      </c>
      <c r="I261" s="5" t="str">
        <f>IFERROR(__xludf.DUMMYFUNCTION("GOOGLETRANSLATE(D261, ""en"", ""Hi"")"),"ए) सिलंबम")</f>
        <v>ए) सिलंबम</v>
      </c>
    </row>
    <row r="262" ht="22.5" customHeight="1">
      <c r="A262" s="9">
        <v>261.0</v>
      </c>
      <c r="B262" s="4" t="s">
        <v>9233</v>
      </c>
      <c r="C262" s="4" t="s">
        <v>9234</v>
      </c>
      <c r="D262" s="4" t="s">
        <v>9221</v>
      </c>
      <c r="F262" s="5" t="str">
        <f>IFERROR(__xludf.DUMMYFUNCTION("GOOGLETRANSLATE(A262, ""en"", ""Hi"")"),"261")</f>
        <v>261</v>
      </c>
      <c r="G262" s="5" t="str">
        <f>IFERROR(__xludf.DUMMYFUNCTION("GOOGLETRANSLATE(B262, ""en"", ""Hi"")"),"कलारीपयट्टू में 'मर्म शास्त्र' का क्या महत्व है?")</f>
        <v>कलारीपयट्टू में 'मर्म शास्त्र' का क्या महत्व है?</v>
      </c>
      <c r="H262" s="5" t="str">
        <f>IFERROR(__xludf.DUMMYFUNCTION("GOOGLETRANSLATE(C262, ""en"", ""Hi"")"),"ए) हथियार तकनीक, बी) युद्ध और स्वास्थ्य के लिए महत्वपूर्ण बिंदु, सी) युद्ध अभ्यास, डी) शारीरिक कंडीशनिंग")</f>
        <v>ए) हथियार तकनीक, बी) युद्ध और स्वास्थ्य के लिए महत्वपूर्ण बिंदु, सी) युद्ध अभ्यास, डी) शारीरिक कंडीशनिंग</v>
      </c>
      <c r="I262" s="5" t="str">
        <f>IFERROR(__xludf.DUMMYFUNCTION("GOOGLETRANSLATE(D262, ""en"", ""Hi"")"),"बी) युद्ध और स्वास्थ्य के लिए महत्वपूर्ण बिंदु")</f>
        <v>बी) युद्ध और स्वास्थ्य के लिए महत्वपूर्ण बिंदु</v>
      </c>
    </row>
    <row r="263" ht="22.5" customHeight="1">
      <c r="A263" s="9">
        <v>262.0</v>
      </c>
      <c r="B263" s="4" t="s">
        <v>9235</v>
      </c>
      <c r="C263" s="4" t="s">
        <v>9212</v>
      </c>
      <c r="D263" s="4" t="s">
        <v>9022</v>
      </c>
      <c r="F263" s="5" t="str">
        <f>IFERROR(__xludf.DUMMYFUNCTION("GOOGLETRANSLATE(A263, ""en"", ""Hi"")"),"262")</f>
        <v>262</v>
      </c>
      <c r="G263" s="5" t="str">
        <f>IFERROR(__xludf.DUMMYFUNCTION("GOOGLETRANSLATE(B263, ""en"", ""Hi"")"),"कलारीपयट्टू के विकास के लिए किस प्राचीन राजा का काल महत्वपूर्ण माना जाता है?")</f>
        <v>कलारीपयट्टू के विकास के लिए किस प्राचीन राजा का काल महत्वपूर्ण माना जाता है?</v>
      </c>
      <c r="H263" s="5" t="str">
        <f>IFERROR(__xludf.DUMMYFUNCTION("GOOGLETRANSLATE(C263, ""en"", ""Hi"")"),"ए) राजा राजा चोल, बी) चंद्रगुप्त मौर्य, सी) अशोक, डी) हर्ष")</f>
        <v>ए) राजा राजा चोल, बी) चंद्रगुप्त मौर्य, सी) अशोक, डी) हर्ष</v>
      </c>
      <c r="I263" s="5" t="str">
        <f>IFERROR(__xludf.DUMMYFUNCTION("GOOGLETRANSLATE(D263, ""en"", ""Hi"")"),"A) राजा राजा चोल")</f>
        <v>A) राजा राजा चोल</v>
      </c>
    </row>
    <row r="264" ht="22.5" customHeight="1">
      <c r="A264" s="9">
        <v>263.0</v>
      </c>
      <c r="B264" s="4" t="s">
        <v>9236</v>
      </c>
      <c r="C264" s="4" t="s">
        <v>9237</v>
      </c>
      <c r="D264" s="4" t="s">
        <v>3272</v>
      </c>
      <c r="F264" s="5" t="str">
        <f>IFERROR(__xludf.DUMMYFUNCTION("GOOGLETRANSLATE(A264, ""en"", ""Hi"")"),"263")</f>
        <v>263</v>
      </c>
      <c r="G264" s="5" t="str">
        <f>IFERROR(__xludf.DUMMYFUNCTION("GOOGLETRANSLATE(B264, ""en"", ""Hi"")"),"कौन सा ऐतिहासिक ग्रंथ कलारीपयट्टू की तकनीक और दर्शन का वर्णन करता है?")</f>
        <v>कौन सा ऐतिहासिक ग्रंथ कलारीपयट्टू की तकनीक और दर्शन का वर्णन करता है?</v>
      </c>
      <c r="H264" s="5" t="str">
        <f>IFERROR(__xludf.DUMMYFUNCTION("GOOGLETRANSLATE(C264, ""en"", ""Hi"")"),"ए) सुश्रुत संहिता, बी) अर्थशास्त्र, सी) भगवद गीता, डी) मनुस्मृति")</f>
        <v>ए) सुश्रुत संहिता, बी) अर्थशास्त्र, सी) भगवद गीता, डी) मनुस्मृति</v>
      </c>
      <c r="I264" s="5" t="str">
        <f>IFERROR(__xludf.DUMMYFUNCTION("GOOGLETRANSLATE(D264, ""en"", ""Hi"")"),"बी) अर्थशास्त्र")</f>
        <v>बी) अर्थशास्त्र</v>
      </c>
    </row>
    <row r="265" ht="22.5" customHeight="1">
      <c r="A265" s="9">
        <v>264.0</v>
      </c>
      <c r="B265" s="4" t="s">
        <v>9238</v>
      </c>
      <c r="C265" s="4" t="s">
        <v>9239</v>
      </c>
      <c r="D265" s="4" t="s">
        <v>9159</v>
      </c>
      <c r="F265" s="5" t="str">
        <f>IFERROR(__xludf.DUMMYFUNCTION("GOOGLETRANSLATE(A265, ""en"", ""Hi"")"),"264")</f>
        <v>264</v>
      </c>
      <c r="G265" s="5" t="str">
        <f>IFERROR(__xludf.DUMMYFUNCTION("GOOGLETRANSLATE(B265, ""en"", ""Hi"")"),"कौन सा भारतीय राजवंश कलारीपयट्टू के विकास में अपने योगदान के लिए जाना जाता है?")</f>
        <v>कौन सा भारतीय राजवंश कलारीपयट्टू के विकास में अपने योगदान के लिए जाना जाता है?</v>
      </c>
      <c r="H265" s="5" t="str">
        <f>IFERROR(__xludf.DUMMYFUNCTION("GOOGLETRANSLATE(C265, ""en"", ""Hi"")"),"A) चोल वंश, B) गुप्त वंश, C) मौर्य वंश, D) विजयनगर वंश")</f>
        <v>A) चोल वंश, B) गुप्त वंश, C) मौर्य वंश, D) विजयनगर वंश</v>
      </c>
      <c r="I265" s="5" t="str">
        <f>IFERROR(__xludf.DUMMYFUNCTION("GOOGLETRANSLATE(D265, ""en"", ""Hi"")"),"A) चोल राजवंश")</f>
        <v>A) चोल राजवंश</v>
      </c>
    </row>
    <row r="266" ht="22.5" customHeight="1">
      <c r="A266" s="9">
        <v>265.0</v>
      </c>
      <c r="B266" s="4" t="s">
        <v>9240</v>
      </c>
      <c r="C266" s="4" t="s">
        <v>9241</v>
      </c>
      <c r="D266" s="4" t="s">
        <v>9242</v>
      </c>
      <c r="F266" s="5" t="str">
        <f>IFERROR(__xludf.DUMMYFUNCTION("GOOGLETRANSLATE(A266, ""en"", ""Hi"")"),"265")</f>
        <v>265</v>
      </c>
      <c r="G266" s="5" t="str">
        <f>IFERROR(__xludf.DUMMYFUNCTION("GOOGLETRANSLATE(B266, ""en"", ""Hi"")"),"कलारीपयट्टु में 'मर्म' का क्या अर्थ है?")</f>
        <v>कलारीपयट्टु में 'मर्म' का क्या अर्थ है?</v>
      </c>
      <c r="H266" s="5" t="str">
        <f>IFERROR(__xludf.DUMMYFUNCTION("GOOGLETRANSLATE(C266, ""en"", ""Hi"")"),"A) एक प्रकार का हथियार, B) एक युद्ध तकनीक, C) शरीर के महत्वपूर्ण बिंदु, D) एक प्रशिक्षण पद्धति")</f>
        <v>A) एक प्रकार का हथियार, B) एक युद्ध तकनीक, C) शरीर के महत्वपूर्ण बिंदु, D) एक प्रशिक्षण पद्धति</v>
      </c>
      <c r="I266" s="5" t="str">
        <f>IFERROR(__xludf.DUMMYFUNCTION("GOOGLETRANSLATE(D266, ""en"", ""Hi"")"),"C) शरीर के महत्वपूर्ण बिंदु")</f>
        <v>C) शरीर के महत्वपूर्ण बिंदु</v>
      </c>
    </row>
    <row r="267" ht="22.5" customHeight="1">
      <c r="A267" s="9">
        <v>266.0</v>
      </c>
      <c r="B267" s="4" t="s">
        <v>9243</v>
      </c>
      <c r="C267" s="4" t="s">
        <v>4611</v>
      </c>
      <c r="D267" s="4" t="s">
        <v>9244</v>
      </c>
      <c r="F267" s="5" t="str">
        <f>IFERROR(__xludf.DUMMYFUNCTION("GOOGLETRANSLATE(A267, ""en"", ""Hi"")"),"266")</f>
        <v>266</v>
      </c>
      <c r="G267" s="5" t="str">
        <f>IFERROR(__xludf.DUMMYFUNCTION("GOOGLETRANSLATE(B267, ""en"", ""Hi"")"),"किस काल को कलारीपयट्टू विकास का स्वर्ण युग माना जाता है?")</f>
        <v>किस काल को कलारीपयट्टू विकास का स्वर्ण युग माना जाता है?</v>
      </c>
      <c r="H267" s="5" t="str">
        <f>IFERROR(__xludf.DUMMYFUNCTION("GOOGLETRANSLATE(C267, ""en"", ""Hi"")"),"A) प्राचीन काल, B) मध्यकाल, C) औपनिवेशिक काल, D) आधुनिक काल")</f>
        <v>A) प्राचीन काल, B) मध्यकाल, C) औपनिवेशिक काल, D) आधुनिक काल</v>
      </c>
      <c r="I267" s="5" t="str">
        <f>IFERROR(__xludf.DUMMYFUNCTION("GOOGLETRANSLATE(D267, ""en"", ""Hi"")"),"A) प्राचीन काल")</f>
        <v>A) प्राचीन काल</v>
      </c>
    </row>
    <row r="268" ht="22.5" customHeight="1">
      <c r="A268" s="9">
        <v>267.0</v>
      </c>
      <c r="B268" s="4" t="s">
        <v>9245</v>
      </c>
      <c r="C268" s="4" t="s">
        <v>9246</v>
      </c>
      <c r="D268" s="4" t="s">
        <v>9170</v>
      </c>
      <c r="F268" s="5" t="str">
        <f>IFERROR(__xludf.DUMMYFUNCTION("GOOGLETRANSLATE(A268, ""en"", ""Hi"")"),"267")</f>
        <v>267</v>
      </c>
      <c r="G268" s="5" t="str">
        <f>IFERROR(__xludf.DUMMYFUNCTION("GOOGLETRANSLATE(B268, ""en"", ""Hi"")"),"चोल राजवंश के दौरान कलारीपयट्टू का प्रमुख संरक्षक कौन था?")</f>
        <v>चोल राजवंश के दौरान कलारीपयट्टू का प्रमुख संरक्षक कौन था?</v>
      </c>
      <c r="H268" s="5" t="str">
        <f>IFERROR(__xludf.DUMMYFUNCTION("GOOGLETRANSLATE(C268, ""en"", ""Hi"")"),"ए) राजेंद्र चोल, बी) राजा राजा चोल, सी) राजाधिराज चोल, डी) कुलोथुंगा चोल")</f>
        <v>ए) राजेंद्र चोल, बी) राजा राजा चोल, सी) राजाधिराज चोल, डी) कुलोथुंगा चोल</v>
      </c>
      <c r="I268" s="5" t="str">
        <f>IFERROR(__xludf.DUMMYFUNCTION("GOOGLETRANSLATE(D268, ""en"", ""Hi"")"),"बी) राजा राज चोल")</f>
        <v>बी) राजा राज चोल</v>
      </c>
    </row>
    <row r="269" ht="22.5" customHeight="1">
      <c r="A269" s="9">
        <v>268.0</v>
      </c>
      <c r="B269" s="4" t="s">
        <v>9072</v>
      </c>
      <c r="C269" s="4" t="s">
        <v>9247</v>
      </c>
      <c r="D269" s="4" t="s">
        <v>9248</v>
      </c>
      <c r="F269" s="5" t="str">
        <f>IFERROR(__xludf.DUMMYFUNCTION("GOOGLETRANSLATE(A269, ""en"", ""Hi"")"),"268")</f>
        <v>268</v>
      </c>
      <c r="G269" s="5" t="str">
        <f>IFERROR(__xludf.DUMMYFUNCTION("GOOGLETRANSLATE(B269, ""en"", ""Hi"")"),"कलारीपयट्टू में 'कलारी' का ऐतिहासिक महत्व क्या है?")</f>
        <v>कलारीपयट्टू में 'कलारी' का ऐतिहासिक महत्व क्या है?</v>
      </c>
      <c r="H269" s="5" t="str">
        <f>IFERROR(__xludf.DUMMYFUNCTION("GOOGLETRANSLATE(C269, ""en"", ""Hi"")"),"A) एक युद्ध तकनीक, B) एक प्रकार का हथियार, C) एक प्रशिक्षण मैदान, D) एक महत्वपूर्ण बिंदु")</f>
        <v>A) एक युद्ध तकनीक, B) एक प्रकार का हथियार, C) एक प्रशिक्षण मैदान, D) एक महत्वपूर्ण बिंदु</v>
      </c>
      <c r="I269" s="5" t="str">
        <f>IFERROR(__xludf.DUMMYFUNCTION("GOOGLETRANSLATE(D269, ""en"", ""Hi"")"),"C) एक प्रशिक्षण मैदान")</f>
        <v>C) एक प्रशिक्षण मैदान</v>
      </c>
    </row>
    <row r="270" ht="22.5" customHeight="1">
      <c r="A270" s="9">
        <v>269.0</v>
      </c>
      <c r="B270" s="4" t="s">
        <v>9249</v>
      </c>
      <c r="C270" s="4" t="s">
        <v>9250</v>
      </c>
      <c r="D270" s="4" t="s">
        <v>8958</v>
      </c>
      <c r="F270" s="5" t="str">
        <f>IFERROR(__xludf.DUMMYFUNCTION("GOOGLETRANSLATE(A270, ""en"", ""Hi"")"),"269")</f>
        <v>269</v>
      </c>
      <c r="G270" s="5" t="str">
        <f>IFERROR(__xludf.DUMMYFUNCTION("GOOGLETRANSLATE(B270, ""en"", ""Hi"")"),"कौन सी कलारीपयट्टू तकनीक हाथ से हाथ की लड़ाई और प्रहार पर केंद्रित है?")</f>
        <v>कौन सी कलारीपयट्टू तकनीक हाथ से हाथ की लड़ाई और प्रहार पर केंद्रित है?</v>
      </c>
      <c r="H270" s="5" t="str">
        <f>IFERROR(__xludf.DUMMYFUNCTION("GOOGLETRANSLATE(C270, ""en"", ""Hi"")"),"ए) वेरुमकाई, बी) सिलंबम, सी) मीपायट्टु, डी) एडवस")</f>
        <v>ए) वेरुमकाई, बी) सिलंबम, सी) मीपायट्टु, डी) एडवस</v>
      </c>
      <c r="I270" s="5" t="str">
        <f>IFERROR(__xludf.DUMMYFUNCTION("GOOGLETRANSLATE(D270, ""en"", ""Hi"")"),"A) वेरुमकाई")</f>
        <v>A) वेरुमकाई</v>
      </c>
    </row>
    <row r="271" ht="22.5" customHeight="1">
      <c r="A271" s="9">
        <v>270.0</v>
      </c>
      <c r="B271" s="4" t="s">
        <v>9251</v>
      </c>
      <c r="C271" s="4" t="s">
        <v>9076</v>
      </c>
      <c r="D271" s="4" t="s">
        <v>8936</v>
      </c>
      <c r="F271" s="5" t="str">
        <f>IFERROR(__xludf.DUMMYFUNCTION("GOOGLETRANSLATE(A271, ""en"", ""Hi"")"),"270")</f>
        <v>270</v>
      </c>
      <c r="G271" s="5" t="str">
        <f>IFERROR(__xludf.DUMMYFUNCTION("GOOGLETRANSLATE(B271, ""en"", ""Hi"")"),"कौन सा प्राचीन भारतीय राजा कलारीपयट्टू तकनीक के प्रारंभिक दस्तावेजीकरण से जुड़ा हुआ है?")</f>
        <v>कौन सा प्राचीन भारतीय राजा कलारीपयट्टू तकनीक के प्रारंभिक दस्तावेजीकरण से जुड़ा हुआ है?</v>
      </c>
      <c r="H271" s="5" t="str">
        <f>IFERROR(__xludf.DUMMYFUNCTION("GOOGLETRANSLATE(C271, ""en"", ""Hi"")"),"ए) अशोक, बी) चंद्रगुप्त मौर्य, सी) राजा राजा चोल, डी) हर्ष")</f>
        <v>ए) अशोक, बी) चंद्रगुप्त मौर्य, सी) राजा राजा चोल, डी) हर्ष</v>
      </c>
      <c r="I271" s="5" t="str">
        <f>IFERROR(__xludf.DUMMYFUNCTION("GOOGLETRANSLATE(D271, ""en"", ""Hi"")"),"C) राजा राज चोल")</f>
        <v>C) राजा राज चोल</v>
      </c>
    </row>
    <row r="272" ht="22.5" customHeight="1">
      <c r="A272" s="9">
        <v>271.0</v>
      </c>
      <c r="B272" s="4" t="s">
        <v>8991</v>
      </c>
      <c r="C272" s="4" t="s">
        <v>9252</v>
      </c>
      <c r="D272" s="4" t="s">
        <v>9057</v>
      </c>
      <c r="F272" s="5" t="str">
        <f>IFERROR(__xludf.DUMMYFUNCTION("GOOGLETRANSLATE(A272, ""en"", ""Hi"")"),"271")</f>
        <v>271</v>
      </c>
      <c r="G272" s="5" t="str">
        <f>IFERROR(__xludf.DUMMYFUNCTION("GOOGLETRANSLATE(B272, ""en"", ""Hi"")"),"कलारीपयट्टू में 'मीपायट्टू' का प्राथमिक फोकस क्या है?")</f>
        <v>कलारीपयट्टू में 'मीपायट्टू' का प्राथमिक फोकस क्या है?</v>
      </c>
      <c r="H272" s="5" t="str">
        <f>IFERROR(__xludf.DUMMYFUNCTION("GOOGLETRANSLATE(C272, ""en"", ""Hi"")"),"A) हथियार चलाना, B) शारीरिक कंडीशनिंग और लचीलापन, C) युद्ध अभ्यास, D) उपचार")</f>
        <v>A) हथियार चलाना, B) शारीरिक कंडीशनिंग और लचीलापन, C) युद्ध अभ्यास, D) उपचार</v>
      </c>
      <c r="I272" s="5" t="str">
        <f>IFERROR(__xludf.DUMMYFUNCTION("GOOGLETRANSLATE(D272, ""en"", ""Hi"")"),"बी) शारीरिक कंडीशनिंग और लचीलापन")</f>
        <v>बी) शारीरिक कंडीशनिंग और लचीलापन</v>
      </c>
    </row>
    <row r="273" ht="22.5" customHeight="1">
      <c r="A273" s="9">
        <v>272.0</v>
      </c>
      <c r="B273" s="4" t="s">
        <v>9253</v>
      </c>
      <c r="C273" s="4" t="s">
        <v>9135</v>
      </c>
      <c r="D273" s="4" t="s">
        <v>2616</v>
      </c>
      <c r="F273" s="5" t="str">
        <f>IFERROR(__xludf.DUMMYFUNCTION("GOOGLETRANSLATE(A273, ""en"", ""Hi"")"),"272")</f>
        <v>272</v>
      </c>
      <c r="G273" s="5" t="str">
        <f>IFERROR(__xludf.DUMMYFUNCTION("GOOGLETRANSLATE(B273, ""en"", ""Hi"")"),"कलारीपयट्टू के इतिहास को समझने के लिए कौन सा ग्रंथ महत्वपूर्ण स्रोत है?")</f>
        <v>कलारीपयट्टू के इतिहास को समझने के लिए कौन सा ग्रंथ महत्वपूर्ण स्रोत है?</v>
      </c>
      <c r="H273" s="5" t="str">
        <f>IFERROR(__xludf.DUMMYFUNCTION("GOOGLETRANSLATE(C273, ""en"", ""Hi"")"),"ए) अर्थशास्त्र, बी) रामायण, सी) महाभारत, डी) वेद")</f>
        <v>ए) अर्थशास्त्र, बी) रामायण, सी) महाभारत, डी) वेद</v>
      </c>
      <c r="I273" s="5" t="str">
        <f>IFERROR(__xludf.DUMMYFUNCTION("GOOGLETRANSLATE(D273, ""en"", ""Hi"")"),"A) अर्थशास्त्र")</f>
        <v>A) अर्थशास्त्र</v>
      </c>
    </row>
    <row r="274" ht="22.5" customHeight="1">
      <c r="A274" s="9">
        <v>273.0</v>
      </c>
      <c r="B274" s="4" t="s">
        <v>9254</v>
      </c>
      <c r="C274" s="4" t="s">
        <v>9255</v>
      </c>
      <c r="D274" s="4" t="s">
        <v>8803</v>
      </c>
      <c r="F274" s="5" t="str">
        <f>IFERROR(__xludf.DUMMYFUNCTION("GOOGLETRANSLATE(A274, ""en"", ""Hi"")"),"273")</f>
        <v>273</v>
      </c>
      <c r="G274" s="5" t="str">
        <f>IFERROR(__xludf.DUMMYFUNCTION("GOOGLETRANSLATE(B274, ""en"", ""Hi"")"),"कलारीपयट्टू में कौन सी प्रथा विभिन्न हथियार रूपों और तकनीकों पर ध्यान केंद्रित करने के लिए जानी जाती है?")</f>
        <v>कलारीपयट्टू में कौन सी प्रथा विभिन्न हथियार रूपों और तकनीकों पर ध्यान केंद्रित करने के लिए जानी जाती है?</v>
      </c>
      <c r="H274" s="5" t="str">
        <f>IFERROR(__xludf.DUMMYFUNCTION("GOOGLETRANSLATE(C274, ""en"", ""Hi"")"),"ए) सिलंबम, बी) वेरुमकाई, सी) मीपायट्टु, डी) एडवस")</f>
        <v>ए) सिलंबम, बी) वेरुमकाई, सी) मीपायट्टु, डी) एडवस</v>
      </c>
      <c r="I274" s="5" t="str">
        <f>IFERROR(__xludf.DUMMYFUNCTION("GOOGLETRANSLATE(D274, ""en"", ""Hi"")"),"ए) सिलंबम")</f>
        <v>ए) सिलंबम</v>
      </c>
    </row>
    <row r="275" ht="22.5" customHeight="1">
      <c r="A275" s="9">
        <v>274.0</v>
      </c>
      <c r="B275" s="4" t="s">
        <v>9256</v>
      </c>
      <c r="C275" s="4" t="s">
        <v>9257</v>
      </c>
      <c r="D275" s="4" t="s">
        <v>9127</v>
      </c>
      <c r="F275" s="5" t="str">
        <f>IFERROR(__xludf.DUMMYFUNCTION("GOOGLETRANSLATE(A275, ""en"", ""Hi"")"),"274")</f>
        <v>274</v>
      </c>
      <c r="G275" s="5" t="str">
        <f>IFERROR(__xludf.DUMMYFUNCTION("GOOGLETRANSLATE(B275, ""en"", ""Hi"")"),"कलारीपयट्टू तकनीक को संरक्षित करने और बढ़ावा देने का श्रेय किस ऐतिहासिक व्यक्ति को दिया जाता है?")</f>
        <v>कलारीपयट्टू तकनीक को संरक्षित करने और बढ़ावा देने का श्रेय किस ऐतिहासिक व्यक्ति को दिया जाता है?</v>
      </c>
      <c r="H275" s="5" t="str">
        <f>IFERROR(__xludf.DUMMYFUNCTION("GOOGLETRANSLATE(C275, ""en"", ""Hi"")"),"ए) बलराम, बी) अशोक, सी) शिवाजी महाराज, डी) चंद्रगुप्त मौर्य")</f>
        <v>ए) बलराम, बी) अशोक, सी) शिवाजी महाराज, डी) चंद्रगुप्त मौर्य</v>
      </c>
      <c r="I275" s="5" t="str">
        <f>IFERROR(__xludf.DUMMYFUNCTION("GOOGLETRANSLATE(D275, ""en"", ""Hi"")"),"A) बलराम")</f>
        <v>A) बलराम</v>
      </c>
    </row>
    <row r="276" ht="22.5" customHeight="1">
      <c r="A276" s="9">
        <v>275.0</v>
      </c>
      <c r="B276" s="4" t="s">
        <v>9258</v>
      </c>
      <c r="C276" s="4" t="s">
        <v>9259</v>
      </c>
      <c r="D276" s="4" t="s">
        <v>9099</v>
      </c>
      <c r="F276" s="5" t="str">
        <f>IFERROR(__xludf.DUMMYFUNCTION("GOOGLETRANSLATE(A276, ""en"", ""Hi"")"),"275")</f>
        <v>275</v>
      </c>
      <c r="G276" s="5" t="str">
        <f>IFERROR(__xludf.DUMMYFUNCTION("GOOGLETRANSLATE(B276, ""en"", ""Hi"")"),"कलारीपयट्टू की परंपरा में 'गुरु' की क्या भूमिका है?")</f>
        <v>कलारीपयट्टू की परंपरा में 'गुरु' की क्या भूमिका है?</v>
      </c>
      <c r="H276" s="5" t="str">
        <f>IFERROR(__xludf.DUMMYFUNCTION("GOOGLETRANSLATE(C276, ""en"", ""Hi"")"),"A) छात्र, B) शिक्षक और संरक्षक, C) हथियार निर्माता, D) लड़ाकू")</f>
        <v>A) छात्र, B) शिक्षक और संरक्षक, C) हथियार निर्माता, D) लड़ाकू</v>
      </c>
      <c r="I276" s="5" t="str">
        <f>IFERROR(__xludf.DUMMYFUNCTION("GOOGLETRANSLATE(D276, ""en"", ""Hi"")"),"बी) शिक्षक और संरक्षक")</f>
        <v>बी) शिक्षक और संरक्षक</v>
      </c>
    </row>
    <row r="277" ht="22.5" customHeight="1">
      <c r="A277" s="9">
        <v>276.0</v>
      </c>
      <c r="B277" s="4" t="s">
        <v>9260</v>
      </c>
      <c r="C277" s="4" t="s">
        <v>9261</v>
      </c>
      <c r="D277" s="4" t="s">
        <v>9079</v>
      </c>
      <c r="F277" s="5" t="str">
        <f>IFERROR(__xludf.DUMMYFUNCTION("GOOGLETRANSLATE(A277, ""en"", ""Hi"")"),"276")</f>
        <v>276</v>
      </c>
      <c r="G277" s="5" t="str">
        <f>IFERROR(__xludf.DUMMYFUNCTION("GOOGLETRANSLATE(B277, ""en"", ""Hi"")"),"कौन सी कलारीपयट्टू प्रथा महत्वपूर्ण ऊर्जा बिंदुओं को समझने और लक्ष्य करने पर केंद्रित है?")</f>
        <v>कौन सी कलारीपयट्टू प्रथा महत्वपूर्ण ऊर्जा बिंदुओं को समझने और लक्ष्य करने पर केंद्रित है?</v>
      </c>
      <c r="H277" s="5" t="str">
        <f>IFERROR(__xludf.DUMMYFUNCTION("GOOGLETRANSLATE(C277, ""en"", ""Hi"")"),"ए) मर्म शास्त्र, बी) अंगम, सी) एडवस, डी) सिलंबम")</f>
        <v>ए) मर्म शास्त्र, बी) अंगम, सी) एडवस, डी) सिलंबम</v>
      </c>
      <c r="I277" s="5" t="str">
        <f>IFERROR(__xludf.DUMMYFUNCTION("GOOGLETRANSLATE(D277, ""en"", ""Hi"")"),"A) मर्म शास्त्र")</f>
        <v>A) मर्म शास्त्र</v>
      </c>
    </row>
    <row r="278" ht="22.5" customHeight="1">
      <c r="A278" s="9">
        <v>277.0</v>
      </c>
      <c r="B278" s="4" t="s">
        <v>9262</v>
      </c>
      <c r="C278" s="4" t="s">
        <v>9263</v>
      </c>
      <c r="D278" s="4" t="s">
        <v>9264</v>
      </c>
      <c r="F278" s="5" t="str">
        <f>IFERROR(__xludf.DUMMYFUNCTION("GOOGLETRANSLATE(A278, ""en"", ""Hi"")"),"277")</f>
        <v>277</v>
      </c>
      <c r="G278" s="5" t="str">
        <f>IFERROR(__xludf.DUMMYFUNCTION("GOOGLETRANSLATE(B278, ""en"", ""Hi"")"),"कलारीपयट्टू में 'अडावस' का क्या अर्थ है?")</f>
        <v>कलारीपयट्टू में 'अडावस' का क्या अर्थ है?</v>
      </c>
      <c r="H278" s="5" t="str">
        <f>IFERROR(__xludf.DUMMYFUNCTION("GOOGLETRANSLATE(C278, ""en"", ""Hi"")"),"A) हथियार तकनीक, B) युद्ध अभ्यास, C) पैरों की क्रिया और शरीर की गतिविधियाँ, D) उपचार विधियाँ")</f>
        <v>A) हथियार तकनीक, B) युद्ध अभ्यास, C) पैरों की क्रिया और शरीर की गतिविधियाँ, D) उपचार विधियाँ</v>
      </c>
      <c r="I278" s="5" t="str">
        <f>IFERROR(__xludf.DUMMYFUNCTION("GOOGLETRANSLATE(D278, ""en"", ""Hi"")"),"सी) फुटवर्क और शरीर की गतिविधियाँ")</f>
        <v>सी) फुटवर्क और शरीर की गतिविधियाँ</v>
      </c>
    </row>
    <row r="279" ht="22.5" customHeight="1">
      <c r="A279" s="9">
        <v>278.0</v>
      </c>
      <c r="B279" s="4" t="s">
        <v>9265</v>
      </c>
      <c r="C279" s="4" t="s">
        <v>8821</v>
      </c>
      <c r="D279" s="4" t="s">
        <v>8958</v>
      </c>
      <c r="F279" s="5" t="str">
        <f>IFERROR(__xludf.DUMMYFUNCTION("GOOGLETRANSLATE(A279, ""en"", ""Hi"")"),"278")</f>
        <v>278</v>
      </c>
      <c r="G279" s="5" t="str">
        <f>IFERROR(__xludf.DUMMYFUNCTION("GOOGLETRANSLATE(B279, ""en"", ""Hi"")"),"कौन सा कलारीपयट्टू अभ्यास निहत्थे युद्ध तकनीकों पर केंद्रित है?")</f>
        <v>कौन सा कलारीपयट्टू अभ्यास निहत्थे युद्ध तकनीकों पर केंद्रित है?</v>
      </c>
      <c r="H279" s="5" t="str">
        <f>IFERROR(__xludf.DUMMYFUNCTION("GOOGLETRANSLATE(C279, ""en"", ""Hi"")"),"ए) वेरुमकाई, बी) सिलंबम, सी) एडवस, डी) मेइपायट्टु")</f>
        <v>ए) वेरुमकाई, बी) सिलंबम, सी) एडवस, डी) मेइपायट्टु</v>
      </c>
      <c r="I279" s="5" t="str">
        <f>IFERROR(__xludf.DUMMYFUNCTION("GOOGLETRANSLATE(D279, ""en"", ""Hi"")"),"A) वेरुमकाई")</f>
        <v>A) वेरुमकाई</v>
      </c>
    </row>
    <row r="280" ht="22.5" customHeight="1">
      <c r="A280" s="9">
        <v>279.0</v>
      </c>
      <c r="B280" s="4" t="s">
        <v>9266</v>
      </c>
      <c r="C280" s="4" t="s">
        <v>9267</v>
      </c>
      <c r="D280" s="4" t="s">
        <v>9268</v>
      </c>
      <c r="F280" s="5" t="str">
        <f>IFERROR(__xludf.DUMMYFUNCTION("GOOGLETRANSLATE(A280, ""en"", ""Hi"")"),"279")</f>
        <v>279</v>
      </c>
      <c r="G280" s="5" t="str">
        <f>IFERROR(__xludf.DUMMYFUNCTION("GOOGLETRANSLATE(B280, ""en"", ""Hi"")"),"कौन सा पाठ कलारीपयट्टु की प्राचीन मार्शल आर्ट तकनीकों के बारे में जानकारी प्रदान करता है?")</f>
        <v>कौन सा पाठ कलारीपयट्टु की प्राचीन मार्शल आर्ट तकनीकों के बारे में जानकारी प्रदान करता है?</v>
      </c>
      <c r="H280" s="5" t="str">
        <f>IFERROR(__xludf.DUMMYFUNCTION("GOOGLETRANSLATE(C280, ""en"", ""Hi"")"),"ए) पुराण, बी) रामायण, सी) महाभारत, डी) संगम साहित्य")</f>
        <v>ए) पुराण, बी) रामायण, सी) महाभारत, डी) संगम साहित्य</v>
      </c>
      <c r="I280" s="5" t="str">
        <f>IFERROR(__xludf.DUMMYFUNCTION("GOOGLETRANSLATE(D280, ""en"", ""Hi"")"),"D) संगम साहित्य")</f>
        <v>D) संगम साहित्य</v>
      </c>
    </row>
    <row r="281" ht="22.5" customHeight="1">
      <c r="A281" s="9">
        <v>280.0</v>
      </c>
      <c r="B281" s="4" t="s">
        <v>9269</v>
      </c>
      <c r="C281" s="4" t="s">
        <v>9270</v>
      </c>
      <c r="D281" s="4" t="s">
        <v>8803</v>
      </c>
      <c r="F281" s="5" t="str">
        <f>IFERROR(__xludf.DUMMYFUNCTION("GOOGLETRANSLATE(A281, ""en"", ""Hi"")"),"280")</f>
        <v>280</v>
      </c>
      <c r="G281" s="5" t="str">
        <f>IFERROR(__xludf.DUMMYFUNCTION("GOOGLETRANSLATE(B281, ""en"", ""Hi"")"),"कौन सी कलारीपयट्टू प्रथा विभिन्न लचीले हथियारों के उपयोग के लिए जानी जाती है?")</f>
        <v>कौन सी कलारीपयट्टू प्रथा विभिन्न लचीले हथियारों के उपयोग के लिए जानी जाती है?</v>
      </c>
      <c r="H281" s="5" t="str">
        <f>IFERROR(__xludf.DUMMYFUNCTION("GOOGLETRANSLATE(C281, ""en"", ""Hi"")"),"ए) सिलंबम, बी) मीपायट्टु, सी) वेरुमकाई, डी) एडवस")</f>
        <v>ए) सिलंबम, बी) मीपायट्टु, सी) वेरुमकाई, डी) एडवस</v>
      </c>
      <c r="I281" s="5" t="str">
        <f>IFERROR(__xludf.DUMMYFUNCTION("GOOGLETRANSLATE(D281, ""en"", ""Hi"")"),"ए) सिलंबम")</f>
        <v>ए) सिलंबम</v>
      </c>
    </row>
    <row r="282" ht="22.5" customHeight="1">
      <c r="A282" s="9">
        <v>281.0</v>
      </c>
      <c r="B282" s="4" t="s">
        <v>9271</v>
      </c>
      <c r="C282" s="4" t="s">
        <v>9272</v>
      </c>
      <c r="D282" s="4" t="s">
        <v>9273</v>
      </c>
      <c r="F282" s="5" t="str">
        <f>IFERROR(__xludf.DUMMYFUNCTION("GOOGLETRANSLATE(A282, ""en"", ""Hi"")"),"281")</f>
        <v>281</v>
      </c>
      <c r="G282" s="5" t="str">
        <f>IFERROR(__xludf.DUMMYFUNCTION("GOOGLETRANSLATE(B282, ""en"", ""Hi"")"),"कलारीपयट्टू के अभ्यास में 'उझिचिल' क्या शामिल है?")</f>
        <v>कलारीपयट्टू के अभ्यास में 'उझिचिल' क्या शामिल है?</v>
      </c>
      <c r="H282" s="5" t="str">
        <f>IFERROR(__xludf.DUMMYFUNCTION("GOOGLETRANSLATE(C282, ""en"", ""Hi"")"),"A) चोटों का उपचार, B) हथियार प्रशिक्षण, C) युद्ध अभ्यास, D) शारीरिक कंडीशनिंग")</f>
        <v>A) चोटों का उपचार, B) हथियार प्रशिक्षण, C) युद्ध अभ्यास, D) शारीरिक कंडीशनिंग</v>
      </c>
      <c r="I282" s="5" t="str">
        <f>IFERROR(__xludf.DUMMYFUNCTION("GOOGLETRANSLATE(D282, ""en"", ""Hi"")"),"A) चोटों का उपचार")</f>
        <v>A) चोटों का उपचार</v>
      </c>
    </row>
    <row r="283" ht="22.5" customHeight="1">
      <c r="A283" s="9">
        <v>282.0</v>
      </c>
      <c r="B283" s="4" t="s">
        <v>9274</v>
      </c>
      <c r="C283" s="4" t="s">
        <v>9275</v>
      </c>
      <c r="D283" s="4" t="s">
        <v>8830</v>
      </c>
      <c r="F283" s="5" t="str">
        <f>IFERROR(__xludf.DUMMYFUNCTION("GOOGLETRANSLATE(A283, ""en"", ""Hi"")"),"282")</f>
        <v>282</v>
      </c>
      <c r="G283" s="5" t="str">
        <f>IFERROR(__xludf.DUMMYFUNCTION("GOOGLETRANSLATE(B283, ""en"", ""Hi"")"),"कलारीपयट्टू में कौन सी प्रथा शारीरिक कंडीशनिंग और ताकत पर जोर देती है?")</f>
        <v>कलारीपयट्टू में कौन सी प्रथा शारीरिक कंडीशनिंग और ताकत पर जोर देती है?</v>
      </c>
      <c r="H283" s="5" t="str">
        <f>IFERROR(__xludf.DUMMYFUNCTION("GOOGLETRANSLATE(C283, ""en"", ""Hi"")"),"ए) मीपायट्टु, बी) एडवस, सी) सिलंबम, डी) वेरुमकाई")</f>
        <v>ए) मीपायट्टु, बी) एडवस, सी) सिलंबम, डी) वेरुमकाई</v>
      </c>
      <c r="I283" s="5" t="str">
        <f>IFERROR(__xludf.DUMMYFUNCTION("GOOGLETRANSLATE(D283, ""en"", ""Hi"")"),"A) मेइपयट्टू")</f>
        <v>A) मेइपयट्टू</v>
      </c>
    </row>
    <row r="284" ht="22.5" customHeight="1">
      <c r="A284" s="9">
        <v>283.0</v>
      </c>
      <c r="B284" s="4" t="s">
        <v>9276</v>
      </c>
      <c r="C284" s="4" t="s">
        <v>9112</v>
      </c>
      <c r="D284" s="4" t="s">
        <v>9022</v>
      </c>
      <c r="F284" s="5" t="str">
        <f>IFERROR(__xludf.DUMMYFUNCTION("GOOGLETRANSLATE(A284, ""en"", ""Hi"")"),"283")</f>
        <v>283</v>
      </c>
      <c r="G284" s="5" t="str">
        <f>IFERROR(__xludf.DUMMYFUNCTION("GOOGLETRANSLATE(B284, ""en"", ""Hi"")"),"कलारीपयट्टू के विकास के लिए किस राजा का संरक्षण महत्वपूर्ण माना जाता है?")</f>
        <v>कलारीपयट्टू के विकास के लिए किस राजा का संरक्षण महत्वपूर्ण माना जाता है?</v>
      </c>
      <c r="H284" s="5" t="str">
        <f>IFERROR(__xludf.DUMMYFUNCTION("GOOGLETRANSLATE(C284, ""en"", ""Hi"")"),"ए) राजा राजा चोल, बी) चंद्रगुप्त मौर्य, सी) अशोक, डी) शिवाजी महाराज")</f>
        <v>ए) राजा राजा चोल, बी) चंद्रगुप्त मौर्य, सी) अशोक, डी) शिवाजी महाराज</v>
      </c>
      <c r="I284" s="5" t="str">
        <f>IFERROR(__xludf.DUMMYFUNCTION("GOOGLETRANSLATE(D284, ""en"", ""Hi"")"),"A) राजा राजा चोल")</f>
        <v>A) राजा राजा चोल</v>
      </c>
    </row>
    <row r="285" ht="22.5" customHeight="1">
      <c r="A285" s="9">
        <v>284.0</v>
      </c>
      <c r="B285" s="4" t="s">
        <v>9130</v>
      </c>
      <c r="C285" s="4" t="s">
        <v>9277</v>
      </c>
      <c r="D285" s="4" t="s">
        <v>8668</v>
      </c>
      <c r="F285" s="5" t="str">
        <f>IFERROR(__xludf.DUMMYFUNCTION("GOOGLETRANSLATE(A285, ""en"", ""Hi"")"),"284")</f>
        <v>284</v>
      </c>
      <c r="G285" s="5" t="str">
        <f>IFERROR(__xludf.DUMMYFUNCTION("GOOGLETRANSLATE(B285, ""en"", ""Hi"")"),"कलारीपयट्टु के संदर्भ में 'कलारी' क्या दर्शाता है?")</f>
        <v>कलारीपयट्टु के संदर्भ में 'कलारी' क्या दर्शाता है?</v>
      </c>
      <c r="H285" s="5" t="str">
        <f>IFERROR(__xludf.DUMMYFUNCTION("GOOGLETRANSLATE(C285, ""en"", ""Hi"")"),"A) हथियार का प्रकार, B) युद्ध तकनीक, C) प्रशिक्षण मैदान, D) उपचार विधि")</f>
        <v>A) हथियार का प्रकार, B) युद्ध तकनीक, C) प्रशिक्षण मैदान, D) उपचार विधि</v>
      </c>
      <c r="I285" s="5" t="str">
        <f>IFERROR(__xludf.DUMMYFUNCTION("GOOGLETRANSLATE(D285, ""en"", ""Hi"")"),"सी) प्रशिक्षण मैदान")</f>
        <v>सी) प्रशिक्षण मैदान</v>
      </c>
    </row>
    <row r="286" ht="22.5" customHeight="1">
      <c r="A286" s="9">
        <v>285.0</v>
      </c>
      <c r="B286" s="4" t="s">
        <v>9278</v>
      </c>
      <c r="C286" s="4" t="s">
        <v>9135</v>
      </c>
      <c r="D286" s="4" t="s">
        <v>2616</v>
      </c>
      <c r="F286" s="5" t="str">
        <f>IFERROR(__xludf.DUMMYFUNCTION("GOOGLETRANSLATE(A286, ""en"", ""Hi"")"),"285")</f>
        <v>285</v>
      </c>
      <c r="G286" s="5" t="str">
        <f>IFERROR(__xludf.DUMMYFUNCTION("GOOGLETRANSLATE(B286, ""en"", ""Hi"")"),"कौन सा प्राचीन ग्रंथ कलारीपयट्टू की युद्ध तकनीकों का विस्तृत विवरण प्रदान करता है?")</f>
        <v>कौन सा प्राचीन ग्रंथ कलारीपयट्टू की युद्ध तकनीकों का विस्तृत विवरण प्रदान करता है?</v>
      </c>
      <c r="H286" s="5" t="str">
        <f>IFERROR(__xludf.DUMMYFUNCTION("GOOGLETRANSLATE(C286, ""en"", ""Hi"")"),"ए) अर्थशास्त्र, बी) रामायण, सी) महाभारत, डी) वेद")</f>
        <v>ए) अर्थशास्त्र, बी) रामायण, सी) महाभारत, डी) वेद</v>
      </c>
      <c r="I286" s="5" t="str">
        <f>IFERROR(__xludf.DUMMYFUNCTION("GOOGLETRANSLATE(D286, ""en"", ""Hi"")"),"A) अर्थशास्त्र")</f>
        <v>A) अर्थशास्त्र</v>
      </c>
    </row>
    <row r="287" ht="22.5" customHeight="1">
      <c r="A287" s="9">
        <v>286.0</v>
      </c>
      <c r="B287" s="4" t="s">
        <v>9279</v>
      </c>
      <c r="C287" s="4" t="s">
        <v>9259</v>
      </c>
      <c r="D287" s="4" t="s">
        <v>9099</v>
      </c>
      <c r="F287" s="5" t="str">
        <f>IFERROR(__xludf.DUMMYFUNCTION("GOOGLETRANSLATE(A287, ""en"", ""Hi"")"),"286")</f>
        <v>286</v>
      </c>
      <c r="G287" s="5" t="str">
        <f>IFERROR(__xludf.DUMMYFUNCTION("GOOGLETRANSLATE(B287, ""en"", ""Hi"")"),"कलारीपयट्टू प्रशिक्षण में 'गुरु' की क्या भूमिका है?")</f>
        <v>कलारीपयट्टू प्रशिक्षण में 'गुरु' की क्या भूमिका है?</v>
      </c>
      <c r="H287" s="5" t="str">
        <f>IFERROR(__xludf.DUMMYFUNCTION("GOOGLETRANSLATE(C287, ""en"", ""Hi"")"),"A) छात्र, B) शिक्षक और संरक्षक, C) हथियार निर्माता, D) लड़ाकू")</f>
        <v>A) छात्र, B) शिक्षक और संरक्षक, C) हथियार निर्माता, D) लड़ाकू</v>
      </c>
      <c r="I287" s="5" t="str">
        <f>IFERROR(__xludf.DUMMYFUNCTION("GOOGLETRANSLATE(D287, ""en"", ""Hi"")"),"बी) शिक्षक और संरक्षक")</f>
        <v>बी) शिक्षक और संरक्षक</v>
      </c>
    </row>
    <row r="288" ht="22.5" customHeight="1">
      <c r="A288" s="9">
        <v>287.0</v>
      </c>
      <c r="B288" s="4" t="s">
        <v>9280</v>
      </c>
      <c r="C288" s="4" t="s">
        <v>9059</v>
      </c>
      <c r="D288" s="4" t="s">
        <v>8803</v>
      </c>
      <c r="F288" s="5" t="str">
        <f>IFERROR(__xludf.DUMMYFUNCTION("GOOGLETRANSLATE(A288, ""en"", ""Hi"")"),"287")</f>
        <v>287</v>
      </c>
      <c r="G288" s="5" t="str">
        <f>IFERROR(__xludf.DUMMYFUNCTION("GOOGLETRANSLATE(B288, ""en"", ""Hi"")"),"कौन सी कलारीपयट्टू प्रथा में विभिन्न प्रकार के हथियारों का उपयोग शामिल है?")</f>
        <v>कौन सी कलारीपयट्टू प्रथा में विभिन्न प्रकार के हथियारों का उपयोग शामिल है?</v>
      </c>
      <c r="H288" s="5" t="str">
        <f>IFERROR(__xludf.DUMMYFUNCTION("GOOGLETRANSLATE(C288, ""en"", ""Hi"")"),"ए) सिलंबम, बी) एडवस, सी) मीपायट्टु, डी) वेरुमकाई")</f>
        <v>ए) सिलंबम, बी) एडवस, सी) मीपायट्टु, डी) वेरुमकाई</v>
      </c>
      <c r="I288" s="5" t="str">
        <f>IFERROR(__xludf.DUMMYFUNCTION("GOOGLETRANSLATE(D288, ""en"", ""Hi"")"),"ए) सिलंबम")</f>
        <v>ए) सिलंबम</v>
      </c>
    </row>
    <row r="289" ht="22.5" customHeight="1">
      <c r="A289" s="9">
        <v>288.0</v>
      </c>
      <c r="B289" s="4" t="s">
        <v>9281</v>
      </c>
      <c r="C289" s="4" t="s">
        <v>9282</v>
      </c>
      <c r="D289" s="4" t="s">
        <v>9283</v>
      </c>
      <c r="F289" s="5" t="str">
        <f>IFERROR(__xludf.DUMMYFUNCTION("GOOGLETRANSLATE(A289, ""en"", ""Hi"")"),"288")</f>
        <v>288</v>
      </c>
      <c r="G289" s="5" t="str">
        <f>IFERROR(__xludf.DUMMYFUNCTION("GOOGLETRANSLATE(B289, ""en"", ""Hi"")"),"कलारीपयट्टू में 'मर्म शास्त्र' क्या शामिल है?")</f>
        <v>कलारीपयट्टू में 'मर्म शास्त्र' क्या शामिल है?</v>
      </c>
      <c r="H289" s="5" t="str">
        <f>IFERROR(__xludf.DUMMYFUNCTION("GOOGLETRANSLATE(C289, ""en"", ""Hi"")"),"A) स्वास्थ्य और युद्ध के लिए महत्वपूर्ण बिंदुओं को समझना, B) हथियार चलाना, C) शारीरिक कंडीशनिंग, D) युद्ध अभ्यास")</f>
        <v>A) स्वास्थ्य और युद्ध के लिए महत्वपूर्ण बिंदुओं को समझना, B) हथियार चलाना, C) शारीरिक कंडीशनिंग, D) युद्ध अभ्यास</v>
      </c>
      <c r="I289" s="5" t="str">
        <f>IFERROR(__xludf.DUMMYFUNCTION("GOOGLETRANSLATE(D289, ""en"", ""Hi"")"),"A) स्वास्थ्य और युद्ध के लिए महत्वपूर्ण बिंदुओं को समझना")</f>
        <v>A) स्वास्थ्य और युद्ध के लिए महत्वपूर्ण बिंदुओं को समझना</v>
      </c>
    </row>
    <row r="290" ht="22.5" customHeight="1">
      <c r="A290" s="9">
        <v>289.0</v>
      </c>
      <c r="B290" s="4" t="s">
        <v>9284</v>
      </c>
      <c r="C290" s="4" t="s">
        <v>8990</v>
      </c>
      <c r="D290" s="4" t="s">
        <v>8758</v>
      </c>
      <c r="F290" s="5" t="str">
        <f>IFERROR(__xludf.DUMMYFUNCTION("GOOGLETRANSLATE(A290, ""en"", ""Hi"")"),"289")</f>
        <v>289</v>
      </c>
      <c r="G290" s="5" t="str">
        <f>IFERROR(__xludf.DUMMYFUNCTION("GOOGLETRANSLATE(B290, ""en"", ""Hi"")"),"कलारीपयट्टू में कौन सी प्रथा जटिल पैरों की क्रिया और शरीर की गतिविधियों पर जोर देती है?")</f>
        <v>कलारीपयट्टू में कौन सी प्रथा जटिल पैरों की क्रिया और शरीर की गतिविधियों पर जोर देती है?</v>
      </c>
      <c r="H290" s="5" t="str">
        <f>IFERROR(__xludf.DUMMYFUNCTION("GOOGLETRANSLATE(C290, ""en"", ""Hi"")"),"ए) एडवस, बी) सिलंबम, सी) मीपायट्टु, डी) वेरुमकाई")</f>
        <v>ए) एडवस, बी) सिलंबम, सी) मीपायट्टु, डी) वेरुमकाई</v>
      </c>
      <c r="I290" s="5" t="str">
        <f>IFERROR(__xludf.DUMMYFUNCTION("GOOGLETRANSLATE(D290, ""en"", ""Hi"")"),"ए) एडवस")</f>
        <v>ए) एडवस</v>
      </c>
    </row>
    <row r="291" ht="22.5" customHeight="1">
      <c r="A291" s="9">
        <v>290.0</v>
      </c>
      <c r="B291" s="4" t="s">
        <v>9285</v>
      </c>
      <c r="C291" s="4" t="s">
        <v>8821</v>
      </c>
      <c r="D291" s="4" t="s">
        <v>8958</v>
      </c>
      <c r="F291" s="5" t="str">
        <f>IFERROR(__xludf.DUMMYFUNCTION("GOOGLETRANSLATE(A291, ""en"", ""Hi"")"),"290")</f>
        <v>290</v>
      </c>
      <c r="G291" s="5" t="str">
        <f>IFERROR(__xludf.DUMMYFUNCTION("GOOGLETRANSLATE(B291, ""en"", ""Hi"")"),"कौन सी कलारीपयट्टू तकनीक निहत्थे युद्ध पर ध्यान केंद्रित करने के लिए जानी जाती है?")</f>
        <v>कौन सी कलारीपयट्टू तकनीक निहत्थे युद्ध पर ध्यान केंद्रित करने के लिए जानी जाती है?</v>
      </c>
      <c r="H291" s="5" t="str">
        <f>IFERROR(__xludf.DUMMYFUNCTION("GOOGLETRANSLATE(C291, ""en"", ""Hi"")"),"ए) वेरुमकाई, बी) सिलंबम, सी) एडवस, डी) मेइपायट्टु")</f>
        <v>ए) वेरुमकाई, बी) सिलंबम, सी) एडवस, डी) मेइपायट्टु</v>
      </c>
      <c r="I291" s="5" t="str">
        <f>IFERROR(__xludf.DUMMYFUNCTION("GOOGLETRANSLATE(D291, ""en"", ""Hi"")"),"A) वेरुमकाई")</f>
        <v>A) वेरुमकाई</v>
      </c>
    </row>
    <row r="292" ht="22.5" customHeight="1">
      <c r="A292" s="9">
        <v>291.0</v>
      </c>
      <c r="B292" s="4" t="s">
        <v>9144</v>
      </c>
      <c r="C292" s="4" t="s">
        <v>9286</v>
      </c>
      <c r="D292" s="4" t="s">
        <v>9287</v>
      </c>
      <c r="F292" s="5" t="str">
        <f>IFERROR(__xludf.DUMMYFUNCTION("GOOGLETRANSLATE(A292, ""en"", ""Hi"")"),"291")</f>
        <v>291</v>
      </c>
      <c r="G292" s="5" t="str">
        <f>IFERROR(__xludf.DUMMYFUNCTION("GOOGLETRANSLATE(B292, ""en"", ""Hi"")"),"कलारीपयट्टू में 'कलारी' की ऐतिहासिक भूमिका क्या है?")</f>
        <v>कलारीपयट्टू में 'कलारी' की ऐतिहासिक भूमिका क्या है?</v>
      </c>
      <c r="H292" s="5" t="str">
        <f>IFERROR(__xludf.DUMMYFUNCTION("GOOGLETRANSLATE(C292, ""en"", ""Hi"")"),"A) एक प्रकार का हथियार, B) एक प्रशिक्षण स्थान, C) एक युद्ध तकनीक, D) एक महत्वपूर्ण बिंदु")</f>
        <v>A) एक प्रकार का हथियार, B) एक प्रशिक्षण स्थान, C) एक युद्ध तकनीक, D) एक महत्वपूर्ण बिंदु</v>
      </c>
      <c r="I292" s="5" t="str">
        <f>IFERROR(__xludf.DUMMYFUNCTION("GOOGLETRANSLATE(D292, ""en"", ""Hi"")"),"बी) एक प्रशिक्षण स्थान")</f>
        <v>बी) एक प्रशिक्षण स्थान</v>
      </c>
    </row>
    <row r="293" ht="22.5" customHeight="1">
      <c r="A293" s="9">
        <v>292.0</v>
      </c>
      <c r="B293" s="4" t="s">
        <v>9288</v>
      </c>
      <c r="C293" s="4" t="s">
        <v>9289</v>
      </c>
      <c r="D293" s="4" t="s">
        <v>9022</v>
      </c>
      <c r="F293" s="5" t="str">
        <f>IFERROR(__xludf.DUMMYFUNCTION("GOOGLETRANSLATE(A293, ""en"", ""Hi"")"),"292")</f>
        <v>292</v>
      </c>
      <c r="G293" s="5" t="str">
        <f>IFERROR(__xludf.DUMMYFUNCTION("GOOGLETRANSLATE(B293, ""en"", ""Hi"")"),"किस प्राचीन भारतीय राजा ने कलारीपयट्टू के संरक्षण और संवर्धन का समर्थन किया?")</f>
        <v>किस प्राचीन भारतीय राजा ने कलारीपयट्टू के संरक्षण और संवर्धन का समर्थन किया?</v>
      </c>
      <c r="H293" s="5" t="str">
        <f>IFERROR(__xludf.DUMMYFUNCTION("GOOGLETRANSLATE(C293, ""en"", ""Hi"")"),"ए) राजा राजा चोल, बी) अशोक, सी) चंद्रगुप्त मौर्य, डी) शिवाजी महाराज")</f>
        <v>ए) राजा राजा चोल, बी) अशोक, सी) चंद्रगुप्त मौर्य, डी) शिवाजी महाराज</v>
      </c>
      <c r="I293" s="5" t="str">
        <f>IFERROR(__xludf.DUMMYFUNCTION("GOOGLETRANSLATE(D293, ""en"", ""Hi"")"),"A) राजा राजा चोल")</f>
        <v>A) राजा राजा चोल</v>
      </c>
    </row>
    <row r="294" ht="22.5" customHeight="1">
      <c r="A294" s="9">
        <v>293.0</v>
      </c>
      <c r="B294" s="4" t="s">
        <v>9290</v>
      </c>
      <c r="C294" s="4" t="s">
        <v>9135</v>
      </c>
      <c r="D294" s="4" t="s">
        <v>2616</v>
      </c>
      <c r="F294" s="5" t="str">
        <f>IFERROR(__xludf.DUMMYFUNCTION("GOOGLETRANSLATE(A294, ""en"", ""Hi"")"),"293")</f>
        <v>293</v>
      </c>
      <c r="G294" s="5" t="str">
        <f>IFERROR(__xludf.DUMMYFUNCTION("GOOGLETRANSLATE(B294, ""en"", ""Hi"")"),"कलारीपयट्टू के इतिहास और तकनीक को समझने के लिए कौन सा पाठ महत्वपूर्ण है?")</f>
        <v>कलारीपयट्टू के इतिहास और तकनीक को समझने के लिए कौन सा पाठ महत्वपूर्ण है?</v>
      </c>
      <c r="H294" s="5" t="str">
        <f>IFERROR(__xludf.DUMMYFUNCTION("GOOGLETRANSLATE(C294, ""en"", ""Hi"")"),"ए) अर्थशास्त्र, बी) रामायण, सी) महाभारत, डी) वेद")</f>
        <v>ए) अर्थशास्त्र, बी) रामायण, सी) महाभारत, डी) वेद</v>
      </c>
      <c r="I294" s="5" t="str">
        <f>IFERROR(__xludf.DUMMYFUNCTION("GOOGLETRANSLATE(D294, ""en"", ""Hi"")"),"A) अर्थशास्त्र")</f>
        <v>A) अर्थशास्त्र</v>
      </c>
    </row>
    <row r="295" ht="22.5" customHeight="1">
      <c r="A295" s="9">
        <v>294.0</v>
      </c>
      <c r="B295" s="4" t="s">
        <v>9291</v>
      </c>
      <c r="C295" s="4" t="s">
        <v>9292</v>
      </c>
      <c r="D295" s="4" t="s">
        <v>3272</v>
      </c>
      <c r="F295" s="5" t="str">
        <f>IFERROR(__xludf.DUMMYFUNCTION("GOOGLETRANSLATE(A295, ""en"", ""Hi"")"),"294")</f>
        <v>294</v>
      </c>
      <c r="G295" s="5" t="str">
        <f>IFERROR(__xludf.DUMMYFUNCTION("GOOGLETRANSLATE(B295, ""en"", ""Hi"")"),"कौन सा प्राचीन भारतीय ग्रंथ कलारीपयट्टू में प्रयुक्त मार्शल आर्ट तकनीकों का विस्तृत विवरण प्रदान करता है?")</f>
        <v>कौन सा प्राचीन भारतीय ग्रंथ कलारीपयट्टू में प्रयुक्त मार्शल आर्ट तकनीकों का विस्तृत विवरण प्रदान करता है?</v>
      </c>
      <c r="H295" s="5" t="str">
        <f>IFERROR(__xludf.DUMMYFUNCTION("GOOGLETRANSLATE(C295, ""en"", ""Hi"")"),"ए) कामसूत्र, बी) अर्थशास्त्र, सी) योग सूत्र, डी) महाभारत")</f>
        <v>ए) कामसूत्र, बी) अर्थशास्त्र, सी) योग सूत्र, डी) महाभारत</v>
      </c>
      <c r="I295" s="5" t="str">
        <f>IFERROR(__xludf.DUMMYFUNCTION("GOOGLETRANSLATE(D295, ""en"", ""Hi"")"),"बी) अर्थशास्त्र")</f>
        <v>बी) अर्थशास्त्र</v>
      </c>
    </row>
    <row r="296" ht="22.5" customHeight="1">
      <c r="A296" s="9">
        <v>295.0</v>
      </c>
      <c r="B296" s="4" t="s">
        <v>9293</v>
      </c>
      <c r="C296" s="4" t="s">
        <v>9294</v>
      </c>
      <c r="D296" s="4" t="s">
        <v>9159</v>
      </c>
      <c r="F296" s="5" t="str">
        <f>IFERROR(__xludf.DUMMYFUNCTION("GOOGLETRANSLATE(A296, ""en"", ""Hi"")"),"295")</f>
        <v>295</v>
      </c>
      <c r="G296" s="5" t="str">
        <f>IFERROR(__xludf.DUMMYFUNCTION("GOOGLETRANSLATE(B296, ""en"", ""Hi"")"),"किस राजवंश के दौरान कलारीपयट्टू को महत्वपूर्ण रूप से विकसित और संहिताबद्ध किया गया था?")</f>
        <v>किस राजवंश के दौरान कलारीपयट्टू को महत्वपूर्ण रूप से विकसित और संहिताबद्ध किया गया था?</v>
      </c>
      <c r="H296" s="5" t="str">
        <f>IFERROR(__xludf.DUMMYFUNCTION("GOOGLETRANSLATE(C296, ""en"", ""Hi"")"),"A) चोल वंश, B) मौर्य वंश, C) गुप्त वंश, D) विजयनगर वंश")</f>
        <v>A) चोल वंश, B) मौर्य वंश, C) गुप्त वंश, D) विजयनगर वंश</v>
      </c>
      <c r="I296" s="5" t="str">
        <f>IFERROR(__xludf.DUMMYFUNCTION("GOOGLETRANSLATE(D296, ""en"", ""Hi"")"),"A) चोल राजवंश")</f>
        <v>A) चोल राजवंश</v>
      </c>
    </row>
    <row r="297" ht="22.5" customHeight="1">
      <c r="A297" s="9">
        <v>296.0</v>
      </c>
      <c r="B297" s="4" t="s">
        <v>9295</v>
      </c>
      <c r="C297" s="4" t="s">
        <v>9289</v>
      </c>
      <c r="D297" s="4" t="s">
        <v>9022</v>
      </c>
      <c r="F297" s="5" t="str">
        <f>IFERROR(__xludf.DUMMYFUNCTION("GOOGLETRANSLATE(A297, ""en"", ""Hi"")"),"296")</f>
        <v>296</v>
      </c>
      <c r="G297" s="5" t="str">
        <f>IFERROR(__xludf.DUMMYFUNCTION("GOOGLETRANSLATE(B297, ""en"", ""Hi"")"),"किस भारतीय राजा को कलारीपयट्टू को एक औपचारिक मार्शल आर्ट के रूप में स्थापित करने का श्रेय दिया जाता है?")</f>
        <v>किस भारतीय राजा को कलारीपयट्टू को एक औपचारिक मार्शल आर्ट के रूप में स्थापित करने का श्रेय दिया जाता है?</v>
      </c>
      <c r="H297" s="5" t="str">
        <f>IFERROR(__xludf.DUMMYFUNCTION("GOOGLETRANSLATE(C297, ""en"", ""Hi"")"),"ए) राजा राजा चोल, बी) अशोक, सी) चंद्रगुप्त मौर्य, डी) शिवाजी महाराज")</f>
        <v>ए) राजा राजा चोल, बी) अशोक, सी) चंद्रगुप्त मौर्य, डी) शिवाजी महाराज</v>
      </c>
      <c r="I297" s="5" t="str">
        <f>IFERROR(__xludf.DUMMYFUNCTION("GOOGLETRANSLATE(D297, ""en"", ""Hi"")"),"A) राजा राजा चोल")</f>
        <v>A) राजा राजा चोल</v>
      </c>
    </row>
    <row r="298" ht="22.5" customHeight="1">
      <c r="A298" s="9">
        <v>297.0</v>
      </c>
      <c r="B298" s="4" t="s">
        <v>9296</v>
      </c>
      <c r="C298" s="4" t="s">
        <v>9297</v>
      </c>
      <c r="D298" s="4" t="s">
        <v>9115</v>
      </c>
      <c r="F298" s="5" t="str">
        <f>IFERROR(__xludf.DUMMYFUNCTION("GOOGLETRANSLATE(A298, ""en"", ""Hi"")"),"297")</f>
        <v>297</v>
      </c>
      <c r="G298" s="5" t="str">
        <f>IFERROR(__xludf.DUMMYFUNCTION("GOOGLETRANSLATE(B298, ""en"", ""Hi"")"),"कलारीपयट्टू में 'कलारी' का क्या महत्व है?")</f>
        <v>कलारीपयट्टू में 'कलारी' का क्या महत्व है?</v>
      </c>
      <c r="H298" s="5" t="str">
        <f>IFERROR(__xludf.DUMMYFUNCTION("GOOGLETRANSLATE(C298, ""en"", ""Hi"")"),"A) एक प्रकार का हथियार, B) एक विशिष्ट तकनीक, C) एक प्रशिक्षण स्थान, D) एक युद्ध चाल")</f>
        <v>A) एक प्रकार का हथियार, B) एक विशिष्ट तकनीक, C) एक प्रशिक्षण स्थान, D) एक युद्ध चाल</v>
      </c>
      <c r="I298" s="5" t="str">
        <f>IFERROR(__xludf.DUMMYFUNCTION("GOOGLETRANSLATE(D298, ""en"", ""Hi"")"),"C) एक प्रशिक्षण स्थान")</f>
        <v>C) एक प्रशिक्षण स्थान</v>
      </c>
    </row>
    <row r="299" ht="22.5" customHeight="1">
      <c r="A299" s="9">
        <v>298.0</v>
      </c>
      <c r="B299" s="4" t="s">
        <v>9298</v>
      </c>
      <c r="C299" s="4" t="s">
        <v>9299</v>
      </c>
      <c r="D299" s="4" t="s">
        <v>8803</v>
      </c>
      <c r="F299" s="5" t="str">
        <f>IFERROR(__xludf.DUMMYFUNCTION("GOOGLETRANSLATE(A299, ""en"", ""Hi"")"),"298")</f>
        <v>298</v>
      </c>
      <c r="G299" s="5" t="str">
        <f>IFERROR(__xludf.DUMMYFUNCTION("GOOGLETRANSLATE(B299, ""en"", ""Hi"")"),"कलारीपयट्टू में कौन सी तकनीक विभिन्न हथियारों के उपयोग पर केंद्रित है?")</f>
        <v>कलारीपयट्टू में कौन सी तकनीक विभिन्न हथियारों के उपयोग पर केंद्रित है?</v>
      </c>
      <c r="H299" s="5" t="str">
        <f>IFERROR(__xludf.DUMMYFUNCTION("GOOGLETRANSLATE(C299, ""en"", ""Hi"")"),"ए) सिलंबम, बी) वेरुमकाई, सी) एडवस, डी) मेइपायट्टु")</f>
        <v>ए) सिलंबम, बी) वेरुमकाई, सी) एडवस, डी) मेइपायट्टु</v>
      </c>
      <c r="I299" s="5" t="str">
        <f>IFERROR(__xludf.DUMMYFUNCTION("GOOGLETRANSLATE(D299, ""en"", ""Hi"")"),"ए) सिलंबम")</f>
        <v>ए) सिलंबम</v>
      </c>
    </row>
    <row r="300" ht="22.5" customHeight="1">
      <c r="A300" s="9">
        <v>299.0</v>
      </c>
      <c r="B300" s="4" t="s">
        <v>9300</v>
      </c>
      <c r="C300" s="4" t="s">
        <v>9301</v>
      </c>
      <c r="D300" s="4" t="s">
        <v>9242</v>
      </c>
      <c r="F300" s="5" t="str">
        <f>IFERROR(__xludf.DUMMYFUNCTION("GOOGLETRANSLATE(A300, ""en"", ""Hi"")"),"299")</f>
        <v>299</v>
      </c>
      <c r="G300" s="5" t="str">
        <f>IFERROR(__xludf.DUMMYFUNCTION("GOOGLETRANSLATE(B300, ""en"", ""Hi"")"),"कलारीपयट्टू में 'मर्म शास्त्र' किससे संबंधित है?")</f>
        <v>कलारीपयट्टू में 'मर्म शास्त्र' किससे संबंधित है?</v>
      </c>
      <c r="H300" s="5" t="str">
        <f>IFERROR(__xludf.DUMMYFUNCTION("GOOGLETRANSLATE(C300, ""en"", ""Hi"")"),"A) हथियार प्रशिक्षण, B) उपचार पद्धतियाँ, C) शरीर के महत्वपूर्ण बिंदु, D) युद्ध क्रम")</f>
        <v>A) हथियार प्रशिक्षण, B) उपचार पद्धतियाँ, C) शरीर के महत्वपूर्ण बिंदु, D) युद्ध क्रम</v>
      </c>
      <c r="I300" s="5" t="str">
        <f>IFERROR(__xludf.DUMMYFUNCTION("GOOGLETRANSLATE(D300, ""en"", ""Hi"")"),"C) शरीर के महत्वपूर्ण बिंदु")</f>
        <v>C) शरीर के महत्वपूर्ण बिंदु</v>
      </c>
    </row>
    <row r="301" ht="22.5" customHeight="1">
      <c r="A301" s="9">
        <v>300.0</v>
      </c>
      <c r="B301" s="4" t="s">
        <v>9302</v>
      </c>
      <c r="C301" s="4" t="s">
        <v>9164</v>
      </c>
      <c r="D301" s="4" t="s">
        <v>8830</v>
      </c>
      <c r="F301" s="5" t="str">
        <f>IFERROR(__xludf.DUMMYFUNCTION("GOOGLETRANSLATE(A301, ""en"", ""Hi"")"),"300")</f>
        <v>300</v>
      </c>
      <c r="G301" s="5" t="str">
        <f>IFERROR(__xludf.DUMMYFUNCTION("GOOGLETRANSLATE(B301, ""en"", ""Hi"")"),"कौन सा कलारीपयट्टू अभ्यास शारीरिक कंडीशनिंग और लचीलेपन पर जोर देने के लिए जाना जाता है?")</f>
        <v>कौन सा कलारीपयट्टू अभ्यास शारीरिक कंडीशनिंग और लचीलेपन पर जोर देने के लिए जाना जाता है?</v>
      </c>
      <c r="H301" s="5" t="str">
        <f>IFERROR(__xludf.DUMMYFUNCTION("GOOGLETRANSLATE(C301, ""en"", ""Hi"")"),"ए) मीपायट्टु, बी) सिलंबम, सी) एडवस, डी) वेरुमकाई")</f>
        <v>ए) मीपायट्टु, बी) सिलंबम, सी) एडवस, डी) वेरुमकाई</v>
      </c>
      <c r="I301" s="5" t="str">
        <f>IFERROR(__xludf.DUMMYFUNCTION("GOOGLETRANSLATE(D301, ""en"", ""Hi"")"),"A) मेइपयट्टू")</f>
        <v>A) मेइपयट्टू</v>
      </c>
    </row>
    <row r="302" ht="22.5" customHeight="1">
      <c r="A302" s="9">
        <v>301.0</v>
      </c>
      <c r="B302" s="4" t="s">
        <v>9303</v>
      </c>
      <c r="C302" s="4" t="s">
        <v>9304</v>
      </c>
      <c r="D302" s="4" t="s">
        <v>9203</v>
      </c>
      <c r="F302" s="5" t="str">
        <f>IFERROR(__xludf.DUMMYFUNCTION("GOOGLETRANSLATE(A302, ""en"", ""Hi"")"),"301")</f>
        <v>301</v>
      </c>
      <c r="G302" s="5" t="str">
        <f>IFERROR(__xludf.DUMMYFUNCTION("GOOGLETRANSLATE(B302, ""en"", ""Hi"")"),"कलारीपयट्टू में 'अडावस' किस पर केंद्रित है?")</f>
        <v>कलारीपयट्टू में 'अडावस' किस पर केंद्रित है?</v>
      </c>
      <c r="H302" s="5" t="str">
        <f>IFERROR(__xludf.DUMMYFUNCTION("GOOGLETRANSLATE(C302, ""en"", ""Hi"")"),"A) युद्ध तकनीकें, B) पैरों की क्रिया और शरीर की गतिविधियाँ, C) उपचार विधियाँ, D) हथियार संचालन")</f>
        <v>A) युद्ध तकनीकें, B) पैरों की क्रिया और शरीर की गतिविधियाँ, C) उपचार विधियाँ, D) हथियार संचालन</v>
      </c>
      <c r="I302" s="5" t="str">
        <f>IFERROR(__xludf.DUMMYFUNCTION("GOOGLETRANSLATE(D302, ""en"", ""Hi"")"),"बी) फुटवर्क और शरीर की गतिविधियाँ")</f>
        <v>बी) फुटवर्क और शरीर की गतिविधियाँ</v>
      </c>
    </row>
    <row r="303" ht="22.5" customHeight="1">
      <c r="A303" s="9">
        <v>302.0</v>
      </c>
      <c r="B303" s="4" t="s">
        <v>9305</v>
      </c>
      <c r="C303" s="4" t="s">
        <v>9306</v>
      </c>
      <c r="D303" s="4" t="s">
        <v>9022</v>
      </c>
      <c r="F303" s="5" t="str">
        <f>IFERROR(__xludf.DUMMYFUNCTION("GOOGLETRANSLATE(A303, ""en"", ""Hi"")"),"302")</f>
        <v>302</v>
      </c>
      <c r="G303" s="5" t="str">
        <f>IFERROR(__xludf.DUMMYFUNCTION("GOOGLETRANSLATE(B303, ""en"", ""Hi"")"),"कौन सा प्राचीन भारतीय राजा कलारीपयट्टू के संरक्षण और संवर्धन से सबसे अधिक जुड़ा हुआ है?")</f>
        <v>कौन सा प्राचीन भारतीय राजा कलारीपयट्टू के संरक्षण और संवर्धन से सबसे अधिक जुड़ा हुआ है?</v>
      </c>
      <c r="H303" s="5" t="str">
        <f>IFERROR(__xludf.DUMMYFUNCTION("GOOGLETRANSLATE(C303, ""en"", ""Hi"")"),"ए) राजा राजा चोल, बी) अशोक, सी) चंद्रगुप्त मौर्य, डी) हर्ष")</f>
        <v>ए) राजा राजा चोल, बी) अशोक, सी) चंद्रगुप्त मौर्य, डी) हर्ष</v>
      </c>
      <c r="I303" s="5" t="str">
        <f>IFERROR(__xludf.DUMMYFUNCTION("GOOGLETRANSLATE(D303, ""en"", ""Hi"")"),"A) राजा राजा चोल")</f>
        <v>A) राजा राजा चोल</v>
      </c>
    </row>
    <row r="304" ht="22.5" customHeight="1">
      <c r="A304" s="9">
        <v>303.0</v>
      </c>
      <c r="B304" s="4" t="s">
        <v>9307</v>
      </c>
      <c r="C304" s="4" t="s">
        <v>9308</v>
      </c>
      <c r="D304" s="4" t="s">
        <v>2616</v>
      </c>
      <c r="F304" s="5" t="str">
        <f>IFERROR(__xludf.DUMMYFUNCTION("GOOGLETRANSLATE(A304, ""en"", ""Hi"")"),"303")</f>
        <v>303</v>
      </c>
      <c r="G304" s="5" t="str">
        <f>IFERROR(__xludf.DUMMYFUNCTION("GOOGLETRANSLATE(B304, ""en"", ""Hi"")"),"कलारीपयट्टू की युद्ध तकनीकों को समझने के लिए किस ऐतिहासिक ग्रंथ का उपयोग किया जाता है?")</f>
        <v>कलारीपयट्टू की युद्ध तकनीकों को समझने के लिए किस ऐतिहासिक ग्रंथ का उपयोग किया जाता है?</v>
      </c>
      <c r="H304" s="5" t="str">
        <f>IFERROR(__xludf.DUMMYFUNCTION("GOOGLETRANSLATE(C304, ""en"", ""Hi"")"),"ए) अर्थशास्त्र, बी) भगवद गीता, सी) वेद, डी) रामायण")</f>
        <v>ए) अर्थशास्त्र, बी) भगवद गीता, सी) वेद, डी) रामायण</v>
      </c>
      <c r="I304" s="5" t="str">
        <f>IFERROR(__xludf.DUMMYFUNCTION("GOOGLETRANSLATE(D304, ""en"", ""Hi"")"),"A) अर्थशास्त्र")</f>
        <v>A) अर्थशास्त्र</v>
      </c>
    </row>
    <row r="305" ht="22.5" customHeight="1">
      <c r="A305" s="9">
        <v>304.0</v>
      </c>
      <c r="B305" s="4" t="s">
        <v>9309</v>
      </c>
      <c r="C305" s="4" t="s">
        <v>9310</v>
      </c>
      <c r="D305" s="4" t="s">
        <v>9067</v>
      </c>
      <c r="F305" s="5" t="str">
        <f>IFERROR(__xludf.DUMMYFUNCTION("GOOGLETRANSLATE(A305, ""en"", ""Hi"")"),"304")</f>
        <v>304</v>
      </c>
      <c r="G305" s="5" t="str">
        <f>IFERROR(__xludf.DUMMYFUNCTION("GOOGLETRANSLATE(B305, ""en"", ""Hi"")"),"कलारीपयट्टू में 'उझिचिल' की क्या भूमिका है?")</f>
        <v>कलारीपयट्टू में 'उझिचिल' की क्या भूमिका है?</v>
      </c>
      <c r="H305" s="5" t="str">
        <f>IFERROR(__xludf.DUMMYFUNCTION("GOOGLETRANSLATE(C305, ""en"", ""Hi"")"),"A) हथियार प्रशिक्षण, B) युद्ध अभ्यास, C) चोटों का उपचार, D) शारीरिक कंडीशनिंग")</f>
        <v>A) हथियार प्रशिक्षण, B) युद्ध अभ्यास, C) चोटों का उपचार, D) शारीरिक कंडीशनिंग</v>
      </c>
      <c r="I305" s="5" t="str">
        <f>IFERROR(__xludf.DUMMYFUNCTION("GOOGLETRANSLATE(D305, ""en"", ""Hi"")"),"C) चोटों का उपचार")</f>
        <v>C) चोटों का उपचार</v>
      </c>
    </row>
    <row r="306" ht="22.5" customHeight="1">
      <c r="A306" s="9">
        <v>305.0</v>
      </c>
      <c r="B306" s="4" t="s">
        <v>9311</v>
      </c>
      <c r="C306" s="4" t="s">
        <v>9255</v>
      </c>
      <c r="D306" s="4" t="s">
        <v>8803</v>
      </c>
      <c r="F306" s="5" t="str">
        <f>IFERROR(__xludf.DUMMYFUNCTION("GOOGLETRANSLATE(A306, ""en"", ""Hi"")"),"305")</f>
        <v>305</v>
      </c>
      <c r="G306" s="5" t="str">
        <f>IFERROR(__xludf.DUMMYFUNCTION("GOOGLETRANSLATE(B306, ""en"", ""Hi"")"),"कौन सी कलारीपयट्टू प्रथा में लचीले और पारंपरिक हथियारों का उपयोग शामिल है?")</f>
        <v>कौन सी कलारीपयट्टू प्रथा में लचीले और पारंपरिक हथियारों का उपयोग शामिल है?</v>
      </c>
      <c r="H306" s="5" t="str">
        <f>IFERROR(__xludf.DUMMYFUNCTION("GOOGLETRANSLATE(C306, ""en"", ""Hi"")"),"ए) सिलंबम, बी) वेरुमकाई, सी) मीपायट्टु, डी) एडवस")</f>
        <v>ए) सिलंबम, बी) वेरुमकाई, सी) मीपायट्टु, डी) एडवस</v>
      </c>
      <c r="I306" s="5" t="str">
        <f>IFERROR(__xludf.DUMMYFUNCTION("GOOGLETRANSLATE(D306, ""en"", ""Hi"")"),"ए) सिलंबम")</f>
        <v>ए) सिलंबम</v>
      </c>
    </row>
    <row r="307" ht="22.5" customHeight="1">
      <c r="A307" s="9">
        <v>306.0</v>
      </c>
      <c r="B307" s="4" t="s">
        <v>9312</v>
      </c>
      <c r="C307" s="4" t="s">
        <v>9313</v>
      </c>
      <c r="D307" s="4" t="s">
        <v>9314</v>
      </c>
      <c r="F307" s="5" t="str">
        <f>IFERROR(__xludf.DUMMYFUNCTION("GOOGLETRANSLATE(A307, ""en"", ""Hi"")"),"306")</f>
        <v>306</v>
      </c>
      <c r="G307" s="5" t="str">
        <f>IFERROR(__xludf.DUMMYFUNCTION("GOOGLETRANSLATE(B307, ""en"", ""Hi"")"),"कलारीपयट्टु में 'वेरुमकई' किस पर जोर देता है?")</f>
        <v>कलारीपयट्टु में 'वेरुमकई' किस पर जोर देता है?</v>
      </c>
      <c r="H307" s="5" t="str">
        <f>IFERROR(__xludf.DUMMYFUNCTION("GOOGLETRANSLATE(C307, ""en"", ""Hi"")"),"A) हथियार चलाना, B) निहत्थे युद्ध तकनीक, C) शारीरिक कंडीशनिंग, D) उपचार विधियाँ")</f>
        <v>A) हथियार चलाना, B) निहत्थे युद्ध तकनीक, C) शारीरिक कंडीशनिंग, D) उपचार विधियाँ</v>
      </c>
      <c r="I307" s="5" t="str">
        <f>IFERROR(__xludf.DUMMYFUNCTION("GOOGLETRANSLATE(D307, ""en"", ""Hi"")"),"बी) निहत्थे युद्ध तकनीक")</f>
        <v>बी) निहत्थे युद्ध तकनीक</v>
      </c>
    </row>
    <row r="308" ht="22.5" customHeight="1">
      <c r="A308" s="9">
        <v>307.0</v>
      </c>
      <c r="B308" s="4" t="s">
        <v>9315</v>
      </c>
      <c r="C308" s="4" t="s">
        <v>9316</v>
      </c>
      <c r="D308" s="4" t="s">
        <v>9022</v>
      </c>
      <c r="F308" s="5" t="str">
        <f>IFERROR(__xludf.DUMMYFUNCTION("GOOGLETRANSLATE(A308, ""en"", ""Hi"")"),"307")</f>
        <v>307</v>
      </c>
      <c r="G308" s="5" t="str">
        <f>IFERROR(__xludf.DUMMYFUNCTION("GOOGLETRANSLATE(B308, ""en"", ""Hi"")"),"कौन सा ऐतिहासिक व्यक्ति कलारीपयट्टु के विकास में अपने योगदान के लिए जाना जाता है?")</f>
        <v>कौन सा ऐतिहासिक व्यक्ति कलारीपयट्टु के विकास में अपने योगदान के लिए जाना जाता है?</v>
      </c>
      <c r="H308" s="5" t="str">
        <f>IFERROR(__xludf.DUMMYFUNCTION("GOOGLETRANSLATE(C308, ""en"", ""Hi"")"),"ए) राजा राजा चोल, बी) शिवाजी महाराज, सी) अशोक, डी) चंद्रगुप्त मौर्य")</f>
        <v>ए) राजा राजा चोल, बी) शिवाजी महाराज, सी) अशोक, डी) चंद्रगुप्त मौर्य</v>
      </c>
      <c r="I308" s="5" t="str">
        <f>IFERROR(__xludf.DUMMYFUNCTION("GOOGLETRANSLATE(D308, ""en"", ""Hi"")"),"A) राजा राजा चोल")</f>
        <v>A) राजा राजा चोल</v>
      </c>
    </row>
    <row r="309" ht="22.5" customHeight="1">
      <c r="A309" s="9">
        <v>308.0</v>
      </c>
      <c r="B309" s="4" t="s">
        <v>9317</v>
      </c>
      <c r="C309" s="4" t="s">
        <v>9318</v>
      </c>
      <c r="D309" s="4" t="s">
        <v>2616</v>
      </c>
      <c r="F309" s="5" t="str">
        <f>IFERROR(__xludf.DUMMYFUNCTION("GOOGLETRANSLATE(A309, ""en"", ""Hi"")"),"308")</f>
        <v>308</v>
      </c>
      <c r="G309" s="5" t="str">
        <f>IFERROR(__xludf.DUMMYFUNCTION("GOOGLETRANSLATE(B309, ""en"", ""Hi"")"),"कलारीपयट्टू के इतिहास को समझने के लिए कौन सा प्राचीन ग्रंथ आवश्यक है?")</f>
        <v>कलारीपयट्टू के इतिहास को समझने के लिए कौन सा प्राचीन ग्रंथ आवश्यक है?</v>
      </c>
      <c r="H309" s="5" t="str">
        <f>IFERROR(__xludf.DUMMYFUNCTION("GOOGLETRANSLATE(C309, ""en"", ""Hi"")"),"ए) अर्थशास्त्र, बी) वेद, सी) रामायण, डी) महाभारत")</f>
        <v>ए) अर्थशास्त्र, बी) वेद, सी) रामायण, डी) महाभारत</v>
      </c>
      <c r="I309" s="5" t="str">
        <f>IFERROR(__xludf.DUMMYFUNCTION("GOOGLETRANSLATE(D309, ""en"", ""Hi"")"),"A) अर्थशास्त्र")</f>
        <v>A) अर्थशास्त्र</v>
      </c>
    </row>
    <row r="310" ht="22.5" customHeight="1">
      <c r="A310" s="9">
        <v>309.0</v>
      </c>
      <c r="B310" s="4" t="s">
        <v>9319</v>
      </c>
      <c r="C310" s="4" t="s">
        <v>9320</v>
      </c>
      <c r="D310" s="4" t="s">
        <v>9248</v>
      </c>
      <c r="F310" s="5" t="str">
        <f>IFERROR(__xludf.DUMMYFUNCTION("GOOGLETRANSLATE(A310, ""en"", ""Hi"")"),"309")</f>
        <v>309</v>
      </c>
      <c r="G310" s="5" t="str">
        <f>IFERROR(__xludf.DUMMYFUNCTION("GOOGLETRANSLATE(B310, ""en"", ""Hi"")"),"कलारीपयट्टु के संदर्भ में 'कलारी' का तात्पर्य क्या है?")</f>
        <v>कलारीपयट्टु के संदर्भ में 'कलारी' का तात्पर्य क्या है?</v>
      </c>
      <c r="H310" s="5" t="str">
        <f>IFERROR(__xludf.DUMMYFUNCTION("GOOGLETRANSLATE(C310, ""en"", ""Hi"")"),"A) एक युद्ध तकनीक, B) एक प्रकार का हथियार, C) एक प्रशिक्षण मैदान, D) एक शारीरिक व्यायाम")</f>
        <v>A) एक युद्ध तकनीक, B) एक प्रकार का हथियार, C) एक प्रशिक्षण मैदान, D) एक शारीरिक व्यायाम</v>
      </c>
      <c r="I310" s="5" t="str">
        <f>IFERROR(__xludf.DUMMYFUNCTION("GOOGLETRANSLATE(D310, ""en"", ""Hi"")"),"C) एक प्रशिक्षण मैदान")</f>
        <v>C) एक प्रशिक्षण मैदान</v>
      </c>
    </row>
    <row r="311" ht="22.5" customHeight="1">
      <c r="A311" s="9">
        <v>310.0</v>
      </c>
      <c r="B311" s="4" t="s">
        <v>9321</v>
      </c>
      <c r="C311" s="4" t="s">
        <v>9250</v>
      </c>
      <c r="D311" s="4" t="s">
        <v>8958</v>
      </c>
      <c r="F311" s="5" t="str">
        <f>IFERROR(__xludf.DUMMYFUNCTION("GOOGLETRANSLATE(A311, ""en"", ""Hi"")"),"310")</f>
        <v>310</v>
      </c>
      <c r="G311" s="5" t="str">
        <f>IFERROR(__xludf.DUMMYFUNCTION("GOOGLETRANSLATE(B311, ""en"", ""Hi"")"),"कलारीपयट्टू में कौन सा अभ्यास निहत्थे युद्ध कौशल पर केंद्रित है?")</f>
        <v>कलारीपयट्टू में कौन सा अभ्यास निहत्थे युद्ध कौशल पर केंद्रित है?</v>
      </c>
      <c r="H311" s="5" t="str">
        <f>IFERROR(__xludf.DUMMYFUNCTION("GOOGLETRANSLATE(C311, ""en"", ""Hi"")"),"ए) वेरुमकाई, बी) सिलंबम, सी) मीपायट्टु, डी) एडवस")</f>
        <v>ए) वेरुमकाई, बी) सिलंबम, सी) मीपायट्टु, डी) एडवस</v>
      </c>
      <c r="I311" s="5" t="str">
        <f>IFERROR(__xludf.DUMMYFUNCTION("GOOGLETRANSLATE(D311, ""en"", ""Hi"")"),"A) वेरुमकाई")</f>
        <v>A) वेरुमकाई</v>
      </c>
    </row>
    <row r="312" ht="22.5" customHeight="1">
      <c r="A312" s="9">
        <v>311.0</v>
      </c>
      <c r="B312" s="4" t="s">
        <v>9322</v>
      </c>
      <c r="C312" s="4" t="s">
        <v>9323</v>
      </c>
      <c r="D312" s="4" t="s">
        <v>9324</v>
      </c>
      <c r="F312" s="5" t="str">
        <f>IFERROR(__xludf.DUMMYFUNCTION("GOOGLETRANSLATE(A312, ""en"", ""Hi"")"),"311")</f>
        <v>311</v>
      </c>
      <c r="G312" s="5" t="str">
        <f>IFERROR(__xludf.DUMMYFUNCTION("GOOGLETRANSLATE(B312, ""en"", ""Hi"")"),"कलारीपयट्टू में 'सिलम्बम' का प्राथमिक केंद्र क्या है?")</f>
        <v>कलारीपयट्टू में 'सिलम्बम' का प्राथमिक केंद्र क्या है?</v>
      </c>
      <c r="H312" s="5" t="str">
        <f>IFERROR(__xludf.DUMMYFUNCTION("GOOGLETRANSLATE(C312, ""en"", ""Hi"")"),"A) निहत्थे युद्ध, B) हथियार चलाना, C) शारीरिक कंडीशनिंग, D) उपचार")</f>
        <v>A) निहत्थे युद्ध, B) हथियार चलाना, C) शारीरिक कंडीशनिंग, D) उपचार</v>
      </c>
      <c r="I312" s="5" t="str">
        <f>IFERROR(__xludf.DUMMYFUNCTION("GOOGLETRANSLATE(D312, ""en"", ""Hi"")"),"बी) हथियार संचालन")</f>
        <v>बी) हथियार संचालन</v>
      </c>
    </row>
    <row r="313" ht="22.5" customHeight="1">
      <c r="A313" s="9">
        <v>312.0</v>
      </c>
      <c r="B313" s="4" t="s">
        <v>9325</v>
      </c>
      <c r="C313" s="4" t="s">
        <v>4611</v>
      </c>
      <c r="D313" s="4" t="s">
        <v>9244</v>
      </c>
      <c r="F313" s="5" t="str">
        <f>IFERROR(__xludf.DUMMYFUNCTION("GOOGLETRANSLATE(A313, ""en"", ""Hi"")"),"312")</f>
        <v>312</v>
      </c>
      <c r="G313" s="5" t="str">
        <f>IFERROR(__xludf.DUMMYFUNCTION("GOOGLETRANSLATE(B313, ""en"", ""Hi"")"),"कलारीपयट्टु के शोधन के लिए कौन सा ऐतिहासिक काल जाना जाता है?")</f>
        <v>कलारीपयट्टु के शोधन के लिए कौन सा ऐतिहासिक काल जाना जाता है?</v>
      </c>
      <c r="H313" s="5" t="str">
        <f>IFERROR(__xludf.DUMMYFUNCTION("GOOGLETRANSLATE(C313, ""en"", ""Hi"")"),"A) प्राचीन काल, B) मध्यकाल, C) औपनिवेशिक काल, D) आधुनिक काल")</f>
        <v>A) प्राचीन काल, B) मध्यकाल, C) औपनिवेशिक काल, D) आधुनिक काल</v>
      </c>
      <c r="I313" s="5" t="str">
        <f>IFERROR(__xludf.DUMMYFUNCTION("GOOGLETRANSLATE(D313, ""en"", ""Hi"")"),"A) प्राचीन काल")</f>
        <v>A) प्राचीन काल</v>
      </c>
    </row>
    <row r="314" ht="22.5" customHeight="1">
      <c r="A314" s="9">
        <v>313.0</v>
      </c>
      <c r="B314" s="4" t="s">
        <v>9326</v>
      </c>
      <c r="C314" s="4" t="s">
        <v>9327</v>
      </c>
      <c r="D314" s="4" t="s">
        <v>9217</v>
      </c>
      <c r="F314" s="5" t="str">
        <f>IFERROR(__xludf.DUMMYFUNCTION("GOOGLETRANSLATE(A314, ""en"", ""Hi"")"),"313")</f>
        <v>313</v>
      </c>
      <c r="G314" s="5" t="str">
        <f>IFERROR(__xludf.DUMMYFUNCTION("GOOGLETRANSLATE(B314, ""en"", ""Hi"")"),"कलारीपयट्टू में 'मर्म' किस पर केंद्रित है?")</f>
        <v>कलारीपयट्टू में 'मर्म' किस पर केंद्रित है?</v>
      </c>
      <c r="H314" s="5" t="str">
        <f>IFERROR(__xludf.DUMMYFUNCTION("GOOGLETRANSLATE(C314, ""en"", ""Hi"")"),"ए) युद्ध तकनीक, बी) स्वास्थ्य और युद्ध के लिए महत्वपूर्ण बिंदु, सी) हथियार के प्रकार, डी) शारीरिक कंडीशनिंग")</f>
        <v>ए) युद्ध तकनीक, बी) स्वास्थ्य और युद्ध के लिए महत्वपूर्ण बिंदु, सी) हथियार के प्रकार, डी) शारीरिक कंडीशनिंग</v>
      </c>
      <c r="I314" s="5" t="str">
        <f>IFERROR(__xludf.DUMMYFUNCTION("GOOGLETRANSLATE(D314, ""en"", ""Hi"")"),"बी) स्वास्थ्य और युद्ध के लिए महत्वपूर्ण बिंदु")</f>
        <v>बी) स्वास्थ्य और युद्ध के लिए महत्वपूर्ण बिंदु</v>
      </c>
    </row>
    <row r="315" ht="22.5" customHeight="1">
      <c r="A315" s="9">
        <v>314.0</v>
      </c>
      <c r="B315" s="4" t="s">
        <v>9328</v>
      </c>
      <c r="C315" s="4" t="s">
        <v>9306</v>
      </c>
      <c r="D315" s="4" t="s">
        <v>9022</v>
      </c>
      <c r="F315" s="5" t="str">
        <f>IFERROR(__xludf.DUMMYFUNCTION("GOOGLETRANSLATE(A315, ""en"", ""Hi"")"),"314")</f>
        <v>314</v>
      </c>
      <c r="G315" s="5" t="str">
        <f>IFERROR(__xludf.DUMMYFUNCTION("GOOGLETRANSLATE(B315, ""en"", ""Hi"")"),"कलारीपयट्टु के विकास के लिए किस राजा का संरक्षण महत्वपूर्ण है?")</f>
        <v>कलारीपयट्टु के विकास के लिए किस राजा का संरक्षण महत्वपूर्ण है?</v>
      </c>
      <c r="H315" s="5" t="str">
        <f>IFERROR(__xludf.DUMMYFUNCTION("GOOGLETRANSLATE(C315, ""en"", ""Hi"")"),"ए) राजा राजा चोल, बी) अशोक, सी) चंद्रगुप्त मौर्य, डी) हर्ष")</f>
        <v>ए) राजा राजा चोल, बी) अशोक, सी) चंद्रगुप्त मौर्य, डी) हर्ष</v>
      </c>
      <c r="I315" s="5" t="str">
        <f>IFERROR(__xludf.DUMMYFUNCTION("GOOGLETRANSLATE(D315, ""en"", ""Hi"")"),"A) राजा राजा चोल")</f>
        <v>A) राजा राजा चोल</v>
      </c>
    </row>
    <row r="316" ht="22.5" customHeight="1">
      <c r="A316" s="9">
        <v>315.0</v>
      </c>
      <c r="B316" s="4" t="s">
        <v>9329</v>
      </c>
      <c r="C316" s="4" t="s">
        <v>8990</v>
      </c>
      <c r="D316" s="4" t="s">
        <v>8758</v>
      </c>
      <c r="F316" s="5" t="str">
        <f>IFERROR(__xludf.DUMMYFUNCTION("GOOGLETRANSLATE(A316, ""en"", ""Hi"")"),"315")</f>
        <v>315</v>
      </c>
      <c r="G316" s="5" t="str">
        <f>IFERROR(__xludf.DUMMYFUNCTION("GOOGLETRANSLATE(B316, ""en"", ""Hi"")"),"कलारीपयट्टू में किस अभ्यास में जटिल पैर की क्रिया और शरीर की गतिविधियां शामिल होती हैं?")</f>
        <v>कलारीपयट्टू में किस अभ्यास में जटिल पैर की क्रिया और शरीर की गतिविधियां शामिल होती हैं?</v>
      </c>
      <c r="H316" s="5" t="str">
        <f>IFERROR(__xludf.DUMMYFUNCTION("GOOGLETRANSLATE(C316, ""en"", ""Hi"")"),"ए) एडवस, बी) सिलंबम, सी) मीपायट्टु, डी) वेरुमकाई")</f>
        <v>ए) एडवस, बी) सिलंबम, सी) मीपायट्टु, डी) वेरुमकाई</v>
      </c>
      <c r="I316" s="5" t="str">
        <f>IFERROR(__xludf.DUMMYFUNCTION("GOOGLETRANSLATE(D316, ""en"", ""Hi"")"),"ए) एडवस")</f>
        <v>ए) एडवस</v>
      </c>
    </row>
    <row r="317" ht="22.5" customHeight="1">
      <c r="A317" s="9">
        <v>316.0</v>
      </c>
      <c r="B317" s="4" t="s">
        <v>9330</v>
      </c>
      <c r="C317" s="4" t="s">
        <v>9331</v>
      </c>
      <c r="D317" s="4" t="s">
        <v>2616</v>
      </c>
      <c r="F317" s="5" t="str">
        <f>IFERROR(__xludf.DUMMYFUNCTION("GOOGLETRANSLATE(A317, ""en"", ""Hi"")"),"316")</f>
        <v>316</v>
      </c>
      <c r="G317" s="5" t="str">
        <f>IFERROR(__xludf.DUMMYFUNCTION("GOOGLETRANSLATE(B317, ""en"", ""Hi"")"),"कलारीपयट्टू की तकनीक और इतिहास को समझने के लिए कौन सा ऐतिहासिक ग्रंथ महत्वपूर्ण है?")</f>
        <v>कलारीपयट्टू की तकनीक और इतिहास को समझने के लिए कौन सा ऐतिहासिक ग्रंथ महत्वपूर्ण है?</v>
      </c>
      <c r="H317" s="5" t="str">
        <f>IFERROR(__xludf.DUMMYFUNCTION("GOOGLETRANSLATE(C317, ""en"", ""Hi"")"),"ए) अर्थशास्त्र, बी) भगवद गीता, सी) महाभारत, डी) रामायण")</f>
        <v>ए) अर्थशास्त्र, बी) भगवद गीता, सी) महाभारत, डी) रामायण</v>
      </c>
      <c r="I317" s="5" t="str">
        <f>IFERROR(__xludf.DUMMYFUNCTION("GOOGLETRANSLATE(D317, ""en"", ""Hi"")"),"A) अर्थशास्त्र")</f>
        <v>A) अर्थशास्त्र</v>
      </c>
    </row>
    <row r="318" ht="22.5" customHeight="1">
      <c r="A318" s="9">
        <v>317.0</v>
      </c>
      <c r="B318" s="4" t="s">
        <v>8991</v>
      </c>
      <c r="C318" s="4" t="s">
        <v>9332</v>
      </c>
      <c r="D318" s="4" t="s">
        <v>9123</v>
      </c>
      <c r="F318" s="5" t="str">
        <f>IFERROR(__xludf.DUMMYFUNCTION("GOOGLETRANSLATE(A318, ""en"", ""Hi"")"),"317")</f>
        <v>317</v>
      </c>
      <c r="G318" s="5" t="str">
        <f>IFERROR(__xludf.DUMMYFUNCTION("GOOGLETRANSLATE(B318, ""en"", ""Hi"")"),"कलारीपयट्टू में 'मीपायट्टू' का प्राथमिक फोकस क्या है?")</f>
        <v>कलारीपयट्टू में 'मीपायट्टू' का प्राथमिक फोकस क्या है?</v>
      </c>
      <c r="H318" s="5" t="str">
        <f>IFERROR(__xludf.DUMMYFUNCTION("GOOGLETRANSLATE(C318, ""en"", ""Hi"")"),"A) हथियार प्रशिक्षण, B) युद्ध अभ्यास, C) शारीरिक कंडीशनिंग और लचीलापन, D) उपचार")</f>
        <v>A) हथियार प्रशिक्षण, B) युद्ध अभ्यास, C) शारीरिक कंडीशनिंग और लचीलापन, D) उपचार</v>
      </c>
      <c r="I318" s="5" t="str">
        <f>IFERROR(__xludf.DUMMYFUNCTION("GOOGLETRANSLATE(D318, ""en"", ""Hi"")"),"C) शारीरिक कंडीशनिंग और लचीलापन")</f>
        <v>C) शारीरिक कंडीशनिंग और लचीलापन</v>
      </c>
    </row>
    <row r="319" ht="22.5" customHeight="1">
      <c r="A319" s="9">
        <v>318.0</v>
      </c>
      <c r="B319" s="4" t="s">
        <v>9138</v>
      </c>
      <c r="C319" s="4" t="s">
        <v>9259</v>
      </c>
      <c r="D319" s="4" t="s">
        <v>9099</v>
      </c>
      <c r="F319" s="5" t="str">
        <f>IFERROR(__xludf.DUMMYFUNCTION("GOOGLETRANSLATE(A319, ""en"", ""Hi"")"),"318")</f>
        <v>318</v>
      </c>
      <c r="G319" s="5" t="str">
        <f>IFERROR(__xludf.DUMMYFUNCTION("GOOGLETRANSLATE(B319, ""en"", ""Hi"")"),"कलारीपयट्टू के अभ्यास में 'गुरु' की क्या भूमिका है?")</f>
        <v>कलारीपयट्टू के अभ्यास में 'गुरु' की क्या भूमिका है?</v>
      </c>
      <c r="H319" s="5" t="str">
        <f>IFERROR(__xludf.DUMMYFUNCTION("GOOGLETRANSLATE(C319, ""en"", ""Hi"")"),"A) छात्र, B) शिक्षक और संरक्षक, C) हथियार निर्माता, D) लड़ाकू")</f>
        <v>A) छात्र, B) शिक्षक और संरक्षक, C) हथियार निर्माता, D) लड़ाकू</v>
      </c>
      <c r="I319" s="5" t="str">
        <f>IFERROR(__xludf.DUMMYFUNCTION("GOOGLETRANSLATE(D319, ""en"", ""Hi"")"),"बी) शिक्षक और संरक्षक")</f>
        <v>बी) शिक्षक और संरक्षक</v>
      </c>
    </row>
    <row r="320" ht="22.5" customHeight="1">
      <c r="A320" s="9">
        <v>319.0</v>
      </c>
      <c r="B320" s="4" t="s">
        <v>9333</v>
      </c>
      <c r="C320" s="4" t="s">
        <v>9059</v>
      </c>
      <c r="D320" s="4" t="s">
        <v>8803</v>
      </c>
      <c r="F320" s="5" t="str">
        <f>IFERROR(__xludf.DUMMYFUNCTION("GOOGLETRANSLATE(A320, ""en"", ""Hi"")"),"319")</f>
        <v>319</v>
      </c>
      <c r="G320" s="5" t="str">
        <f>IFERROR(__xludf.DUMMYFUNCTION("GOOGLETRANSLATE(B320, ""en"", ""Hi"")"),"कौन सा कलारीपयट्टू अभ्यास लचीले हथियारों के उपयोग पर केंद्रित है?")</f>
        <v>कौन सा कलारीपयट्टू अभ्यास लचीले हथियारों के उपयोग पर केंद्रित है?</v>
      </c>
      <c r="H320" s="5" t="str">
        <f>IFERROR(__xludf.DUMMYFUNCTION("GOOGLETRANSLATE(C320, ""en"", ""Hi"")"),"ए) सिलंबम, बी) एडवस, सी) मीपायट्टु, डी) वेरुमकाई")</f>
        <v>ए) सिलंबम, बी) एडवस, सी) मीपायट्टु, डी) वेरुमकाई</v>
      </c>
      <c r="I320" s="5" t="str">
        <f>IFERROR(__xludf.DUMMYFUNCTION("GOOGLETRANSLATE(D320, ""en"", ""Hi"")"),"ए) सिलंबम")</f>
        <v>ए) सिलंबम</v>
      </c>
    </row>
    <row r="321" ht="22.5" customHeight="1">
      <c r="A321" s="9">
        <v>320.0</v>
      </c>
      <c r="B321" s="4" t="s">
        <v>9334</v>
      </c>
      <c r="C321" s="4" t="s">
        <v>9289</v>
      </c>
      <c r="D321" s="4" t="s">
        <v>9022</v>
      </c>
      <c r="F321" s="5" t="str">
        <f>IFERROR(__xludf.DUMMYFUNCTION("GOOGLETRANSLATE(A321, ""en"", ""Hi"")"),"320")</f>
        <v>320</v>
      </c>
      <c r="G321" s="5" t="str">
        <f>IFERROR(__xludf.DUMMYFUNCTION("GOOGLETRANSLATE(B321, ""en"", ""Hi"")"),"कौन सा प्राचीन भारतीय राजा कलारीपयट्टू के प्रारंभिक विकास से जुड़ा हुआ है?")</f>
        <v>कौन सा प्राचीन भारतीय राजा कलारीपयट्टू के प्रारंभिक विकास से जुड़ा हुआ है?</v>
      </c>
      <c r="H321" s="5" t="str">
        <f>IFERROR(__xludf.DUMMYFUNCTION("GOOGLETRANSLATE(C321, ""en"", ""Hi"")"),"ए) राजा राजा चोल, बी) अशोक, सी) चंद्रगुप्त मौर्य, डी) शिवाजी महाराज")</f>
        <v>ए) राजा राजा चोल, बी) अशोक, सी) चंद्रगुप्त मौर्य, डी) शिवाजी महाराज</v>
      </c>
      <c r="I321" s="5" t="str">
        <f>IFERROR(__xludf.DUMMYFUNCTION("GOOGLETRANSLATE(D321, ""en"", ""Hi"")"),"A) राजा राजा चोल")</f>
        <v>A) राजा राजा चोल</v>
      </c>
    </row>
    <row r="322" ht="22.5" customHeight="1">
      <c r="A322" s="9">
        <v>321.0</v>
      </c>
      <c r="B322" s="4" t="s">
        <v>8920</v>
      </c>
      <c r="C322" s="4" t="s">
        <v>9335</v>
      </c>
      <c r="D322" s="4" t="s">
        <v>9336</v>
      </c>
      <c r="F322" s="5" t="str">
        <f>IFERROR(__xludf.DUMMYFUNCTION("GOOGLETRANSLATE(A322, ""en"", ""Hi"")"),"321")</f>
        <v>321</v>
      </c>
      <c r="G322" s="5" t="str">
        <f>IFERROR(__xludf.DUMMYFUNCTION("GOOGLETRANSLATE(B322, ""en"", ""Hi"")"),"कलारीपयट्टू में 'उझिचिल' का क्या महत्व है?")</f>
        <v>कलारीपयट्टू में 'उझिचिल' का क्या महत्व है?</v>
      </c>
      <c r="H322" s="5" t="str">
        <f>IFERROR(__xludf.DUMMYFUNCTION("GOOGLETRANSLATE(C322, ""en"", ""Hi"")"),"A) युद्ध प्रशिक्षण, B) शारीरिक कंडीशनिंग, C) चोटों को ठीक करना, D) हथियार चलाना")</f>
        <v>A) युद्ध प्रशिक्षण, B) शारीरिक कंडीशनिंग, C) चोटों को ठीक करना, D) हथियार चलाना</v>
      </c>
      <c r="I322" s="5" t="str">
        <f>IFERROR(__xludf.DUMMYFUNCTION("GOOGLETRANSLATE(D322, ""en"", ""Hi"")"),"C) चोटों को ठीक करना")</f>
        <v>C) चोटों को ठीक करना</v>
      </c>
    </row>
    <row r="323" ht="22.5" customHeight="1">
      <c r="A323" s="9">
        <v>322.0</v>
      </c>
      <c r="B323" s="4" t="s">
        <v>9337</v>
      </c>
      <c r="C323" s="4" t="s">
        <v>9338</v>
      </c>
      <c r="D323" s="4" t="s">
        <v>8758</v>
      </c>
      <c r="F323" s="5" t="str">
        <f>IFERROR(__xludf.DUMMYFUNCTION("GOOGLETRANSLATE(A323, ""en"", ""Hi"")"),"322")</f>
        <v>322</v>
      </c>
      <c r="G323" s="5" t="str">
        <f>IFERROR(__xludf.DUMMYFUNCTION("GOOGLETRANSLATE(B323, ""en"", ""Hi"")"),"कौन से कलारीपयट्टू अभ्यास में पैरों की क्रिया और शरीर की गति का अभ्यास शामिल है?")</f>
        <v>कौन से कलारीपयट्टू अभ्यास में पैरों की क्रिया और शरीर की गति का अभ्यास शामिल है?</v>
      </c>
      <c r="H323" s="5" t="str">
        <f>IFERROR(__xludf.DUMMYFUNCTION("GOOGLETRANSLATE(C323, ""en"", ""Hi"")"),"ए) एडवस, बी) वेरुमकाई, सी) सिलंबम, डी) मेइपायट्टु")</f>
        <v>ए) एडवस, बी) वेरुमकाई, सी) सिलंबम, डी) मेइपायट्टु</v>
      </c>
      <c r="I323" s="5" t="str">
        <f>IFERROR(__xludf.DUMMYFUNCTION("GOOGLETRANSLATE(D323, ""en"", ""Hi"")"),"ए) एडवस")</f>
        <v>ए) एडवस</v>
      </c>
    </row>
    <row r="324" ht="22.5" customHeight="1">
      <c r="A324" s="9">
        <v>323.0</v>
      </c>
      <c r="B324" s="4" t="s">
        <v>9339</v>
      </c>
      <c r="C324" s="4" t="s">
        <v>9135</v>
      </c>
      <c r="D324" s="4" t="s">
        <v>2616</v>
      </c>
      <c r="F324" s="5" t="str">
        <f>IFERROR(__xludf.DUMMYFUNCTION("GOOGLETRANSLATE(A324, ""en"", ""Hi"")"),"323")</f>
        <v>323</v>
      </c>
      <c r="G324" s="5" t="str">
        <f>IFERROR(__xludf.DUMMYFUNCTION("GOOGLETRANSLATE(B324, ""en"", ""Hi"")"),"कलारीपयट्टू तकनीक को समझने के लिए कौन सा ऐतिहासिक ग्रंथ महत्वपूर्ण है?")</f>
        <v>कलारीपयट्टू तकनीक को समझने के लिए कौन सा ऐतिहासिक ग्रंथ महत्वपूर्ण है?</v>
      </c>
      <c r="H324" s="5" t="str">
        <f>IFERROR(__xludf.DUMMYFUNCTION("GOOGLETRANSLATE(C324, ""en"", ""Hi"")"),"ए) अर्थशास्त्र, बी) रामायण, सी) महाभारत, डी) वेद")</f>
        <v>ए) अर्थशास्त्र, बी) रामायण, सी) महाभारत, डी) वेद</v>
      </c>
      <c r="I324" s="5" t="str">
        <f>IFERROR(__xludf.DUMMYFUNCTION("GOOGLETRANSLATE(D324, ""en"", ""Hi"")"),"A) अर्थशास्त्र")</f>
        <v>A) अर्थशास्त्र</v>
      </c>
    </row>
    <row r="325" ht="22.5" customHeight="1">
      <c r="A325" s="9">
        <v>324.0</v>
      </c>
      <c r="B325" s="4" t="s">
        <v>9340</v>
      </c>
      <c r="C325" s="4" t="s">
        <v>9341</v>
      </c>
      <c r="D325" s="4" t="s">
        <v>8668</v>
      </c>
      <c r="F325" s="5" t="str">
        <f>IFERROR(__xludf.DUMMYFUNCTION("GOOGLETRANSLATE(A325, ""en"", ""Hi"")"),"324")</f>
        <v>324</v>
      </c>
      <c r="G325" s="5" t="str">
        <f>IFERROR(__xludf.DUMMYFUNCTION("GOOGLETRANSLATE(B325, ""en"", ""Hi"")"),"कलारीपयट्टू में 'कलारी' की क्या भूमिका है?")</f>
        <v>कलारीपयट्टू में 'कलारी' की क्या भूमिका है?</v>
      </c>
      <c r="H325" s="5" t="str">
        <f>IFERROR(__xludf.DUMMYFUNCTION("GOOGLETRANSLATE(C325, ""en"", ""Hi"")"),"A) हथियार का प्रकार, B) युद्ध तकनीक, C) प्रशिक्षण मैदान, D) शारीरिक व्यायाम")</f>
        <v>A) हथियार का प्रकार, B) युद्ध तकनीक, C) प्रशिक्षण मैदान, D) शारीरिक व्यायाम</v>
      </c>
      <c r="I325" s="5" t="str">
        <f>IFERROR(__xludf.DUMMYFUNCTION("GOOGLETRANSLATE(D325, ""en"", ""Hi"")"),"सी) प्रशिक्षण मैदान")</f>
        <v>सी) प्रशिक्षण मैदान</v>
      </c>
    </row>
    <row r="326" ht="22.5" customHeight="1">
      <c r="A326" s="9">
        <v>325.0</v>
      </c>
      <c r="B326" s="4" t="s">
        <v>9342</v>
      </c>
      <c r="C326" s="4" t="s">
        <v>9250</v>
      </c>
      <c r="D326" s="4" t="s">
        <v>8958</v>
      </c>
      <c r="F326" s="5" t="str">
        <f>IFERROR(__xludf.DUMMYFUNCTION("GOOGLETRANSLATE(A326, ""en"", ""Hi"")"),"325")</f>
        <v>325</v>
      </c>
      <c r="G326" s="5" t="str">
        <f>IFERROR(__xludf.DUMMYFUNCTION("GOOGLETRANSLATE(B326, ""en"", ""Hi"")"),"कलारीपयट्टू में कौन सी प्रथा निहत्थे युद्ध तकनीक पर केंद्रित है?")</f>
        <v>कलारीपयट्टू में कौन सी प्रथा निहत्थे युद्ध तकनीक पर केंद्रित है?</v>
      </c>
      <c r="H326" s="5" t="str">
        <f>IFERROR(__xludf.DUMMYFUNCTION("GOOGLETRANSLATE(C326, ""en"", ""Hi"")"),"ए) वेरुमकाई, बी) सिलंबम, सी) मीपायट्टु, डी) एडवस")</f>
        <v>ए) वेरुमकाई, बी) सिलंबम, सी) मीपायट्टु, डी) एडवस</v>
      </c>
      <c r="I326" s="5" t="str">
        <f>IFERROR(__xludf.DUMMYFUNCTION("GOOGLETRANSLATE(D326, ""en"", ""Hi"")"),"A) वेरुमकाई")</f>
        <v>A) वेरुमकाई</v>
      </c>
    </row>
    <row r="327" ht="22.5" customHeight="1">
      <c r="A327" s="9">
        <v>326.0</v>
      </c>
      <c r="B327" s="4" t="s">
        <v>9343</v>
      </c>
      <c r="C327" s="4" t="s">
        <v>9344</v>
      </c>
      <c r="D327" s="4" t="s">
        <v>9099</v>
      </c>
      <c r="F327" s="5" t="str">
        <f>IFERROR(__xludf.DUMMYFUNCTION("GOOGLETRANSLATE(A327, ""en"", ""Hi"")"),"326")</f>
        <v>326</v>
      </c>
      <c r="G327" s="5" t="str">
        <f>IFERROR(__xludf.DUMMYFUNCTION("GOOGLETRANSLATE(B327, ""en"", ""Hi"")"),"कलारीपयट्टू में 'गुरु' की ऐतिहासिक भूमिका क्या है?")</f>
        <v>कलारीपयट्टू में 'गुरु' की ऐतिहासिक भूमिका क्या है?</v>
      </c>
      <c r="H327" s="5" t="str">
        <f>IFERROR(__xludf.DUMMYFUNCTION("GOOGLETRANSLATE(C327, ""en"", ""Hi"")"),"A) छात्र, B) शिक्षक और संरक्षक, C) योद्धा, D) हथियार निर्माता")</f>
        <v>A) छात्र, B) शिक्षक और संरक्षक, C) योद्धा, D) हथियार निर्माता</v>
      </c>
      <c r="I327" s="5" t="str">
        <f>IFERROR(__xludf.DUMMYFUNCTION("GOOGLETRANSLATE(D327, ""en"", ""Hi"")"),"बी) शिक्षक और संरक्षक")</f>
        <v>बी) शिक्षक और संरक्षक</v>
      </c>
    </row>
    <row r="328" ht="22.5" customHeight="1">
      <c r="A328" s="9">
        <v>327.0</v>
      </c>
      <c r="B328" s="4" t="s">
        <v>9345</v>
      </c>
      <c r="C328" s="4" t="s">
        <v>9270</v>
      </c>
      <c r="D328" s="4" t="s">
        <v>8803</v>
      </c>
      <c r="F328" s="5" t="str">
        <f>IFERROR(__xludf.DUMMYFUNCTION("GOOGLETRANSLATE(A328, ""en"", ""Hi"")"),"327")</f>
        <v>327</v>
      </c>
      <c r="G328" s="5" t="str">
        <f>IFERROR(__xludf.DUMMYFUNCTION("GOOGLETRANSLATE(B328, ""en"", ""Hi"")"),"कौन सी कलारीपयट्टू प्रथा विभिन्न पारंपरिक हथियार रूपों पर केंद्रित है?")</f>
        <v>कौन सी कलारीपयट्टू प्रथा विभिन्न पारंपरिक हथियार रूपों पर केंद्रित है?</v>
      </c>
      <c r="H328" s="5" t="str">
        <f>IFERROR(__xludf.DUMMYFUNCTION("GOOGLETRANSLATE(C328, ""en"", ""Hi"")"),"ए) सिलंबम, बी) मीपायट्टु, सी) वेरुमकाई, डी) एडवस")</f>
        <v>ए) सिलंबम, बी) मीपायट्टु, सी) वेरुमकाई, डी) एडवस</v>
      </c>
      <c r="I328" s="5" t="str">
        <f>IFERROR(__xludf.DUMMYFUNCTION("GOOGLETRANSLATE(D328, ""en"", ""Hi"")"),"ए) सिलंबम")</f>
        <v>ए) सिलंबम</v>
      </c>
    </row>
    <row r="329" ht="22.5" customHeight="1">
      <c r="A329" s="9">
        <v>328.0</v>
      </c>
      <c r="B329" s="4" t="s">
        <v>9281</v>
      </c>
      <c r="C329" s="4" t="s">
        <v>9346</v>
      </c>
      <c r="D329" s="4" t="s">
        <v>9347</v>
      </c>
      <c r="F329" s="5" t="str">
        <f>IFERROR(__xludf.DUMMYFUNCTION("GOOGLETRANSLATE(A329, ""en"", ""Hi"")"),"328")</f>
        <v>328</v>
      </c>
      <c r="G329" s="5" t="str">
        <f>IFERROR(__xludf.DUMMYFUNCTION("GOOGLETRANSLATE(B329, ""en"", ""Hi"")"),"कलारीपयट्टू में 'मर्म शास्त्र' क्या शामिल है?")</f>
        <v>कलारीपयट्टू में 'मर्म शास्त्र' क्या शामिल है?</v>
      </c>
      <c r="H329" s="5" t="str">
        <f>IFERROR(__xludf.DUMMYFUNCTION("GOOGLETRANSLATE(C329, ""en"", ""Hi"")"),"ए) उपचार तकनीक, बी) हथियार प्रशिक्षण, सी) स्वास्थ्य और युद्ध के लिए महत्वपूर्ण बिंदु, डी) युद्ध अभ्यास")</f>
        <v>ए) उपचार तकनीक, बी) हथियार प्रशिक्षण, सी) स्वास्थ्य और युद्ध के लिए महत्वपूर्ण बिंदु, डी) युद्ध अभ्यास</v>
      </c>
      <c r="I329" s="5" t="str">
        <f>IFERROR(__xludf.DUMMYFUNCTION("GOOGLETRANSLATE(D329, ""en"", ""Hi"")"),"C) स्वास्थ्य और युद्ध के लिए महत्वपूर्ण बिंदु")</f>
        <v>C) स्वास्थ्य और युद्ध के लिए महत्वपूर्ण बिंदु</v>
      </c>
    </row>
    <row r="330" ht="22.5" customHeight="1">
      <c r="A330" s="9">
        <v>329.0</v>
      </c>
      <c r="B330" s="4" t="s">
        <v>9348</v>
      </c>
      <c r="C330" s="4" t="s">
        <v>9135</v>
      </c>
      <c r="D330" s="4" t="s">
        <v>2616</v>
      </c>
      <c r="F330" s="5" t="str">
        <f>IFERROR(__xludf.DUMMYFUNCTION("GOOGLETRANSLATE(A330, ""en"", ""Hi"")"),"329")</f>
        <v>329</v>
      </c>
      <c r="G330" s="5" t="str">
        <f>IFERROR(__xludf.DUMMYFUNCTION("GOOGLETRANSLATE(B330, ""en"", ""Hi"")"),"कलारीपयट्टू के इतिहास और तकनीकों को समझने के लिए कौन सा प्राचीन ग्रंथ आवश्यक है?")</f>
        <v>कलारीपयट्टू के इतिहास और तकनीकों को समझने के लिए कौन सा प्राचीन ग्रंथ आवश्यक है?</v>
      </c>
      <c r="H330" s="5" t="str">
        <f>IFERROR(__xludf.DUMMYFUNCTION("GOOGLETRANSLATE(C330, ""en"", ""Hi"")"),"ए) अर्थशास्त्र, बी) रामायण, सी) महाभारत, डी) वेद")</f>
        <v>ए) अर्थशास्त्र, बी) रामायण, सी) महाभारत, डी) वेद</v>
      </c>
      <c r="I330" s="5" t="str">
        <f>IFERROR(__xludf.DUMMYFUNCTION("GOOGLETRANSLATE(D330, ""en"", ""Hi"")"),"A) अर्थशास्त्र")</f>
        <v>A) अर्थशास्त्र</v>
      </c>
    </row>
    <row r="331" ht="22.5" customHeight="1">
      <c r="A331" s="9">
        <v>330.0</v>
      </c>
      <c r="B331" s="4" t="s">
        <v>9349</v>
      </c>
      <c r="C331" s="4" t="s">
        <v>9350</v>
      </c>
      <c r="D331" s="4" t="s">
        <v>9057</v>
      </c>
      <c r="F331" s="5" t="str">
        <f>IFERROR(__xludf.DUMMYFUNCTION("GOOGLETRANSLATE(A331, ""en"", ""Hi"")"),"330")</f>
        <v>330</v>
      </c>
      <c r="G331" s="5" t="str">
        <f>IFERROR(__xludf.DUMMYFUNCTION("GOOGLETRANSLATE(B331, ""en"", ""Hi"")"),"'मेईपयाट्टू' मुख्य रूप से किस पर केंद्रित है?")</f>
        <v>'मेईपयाट्टू' मुख्य रूप से किस पर केंद्रित है?</v>
      </c>
      <c r="H331" s="5" t="str">
        <f>IFERROR(__xludf.DUMMYFUNCTION("GOOGLETRANSLATE(C331, ""en"", ""Hi"")"),"A) हथियार प्रशिक्षण, B) शारीरिक कंडीशनिंग और लचीलापन, C) युद्ध तकनीक, D) उपचार")</f>
        <v>A) हथियार प्रशिक्षण, B) शारीरिक कंडीशनिंग और लचीलापन, C) युद्ध तकनीक, D) उपचार</v>
      </c>
      <c r="I331" s="5" t="str">
        <f>IFERROR(__xludf.DUMMYFUNCTION("GOOGLETRANSLATE(D331, ""en"", ""Hi"")"),"बी) शारीरिक कंडीशनिंग और लचीलापन")</f>
        <v>बी) शारीरिक कंडीशनिंग और लचीलापन</v>
      </c>
    </row>
    <row r="332" ht="22.5" customHeight="1">
      <c r="A332" s="9">
        <v>331.0</v>
      </c>
      <c r="B332" s="4" t="s">
        <v>9351</v>
      </c>
      <c r="C332" s="4" t="s">
        <v>9306</v>
      </c>
      <c r="D332" s="4" t="s">
        <v>9022</v>
      </c>
      <c r="F332" s="5" t="str">
        <f>IFERROR(__xludf.DUMMYFUNCTION("GOOGLETRANSLATE(A332, ""en"", ""Hi"")"),"331")</f>
        <v>331</v>
      </c>
      <c r="G332" s="5" t="str">
        <f>IFERROR(__xludf.DUMMYFUNCTION("GOOGLETRANSLATE(B332, ""en"", ""Hi"")"),"कलारीपयट्टू के विकास के लिए किस राजा का संरक्षण महत्वपूर्ण था?")</f>
        <v>कलारीपयट्टू के विकास के लिए किस राजा का संरक्षण महत्वपूर्ण था?</v>
      </c>
      <c r="H332" s="5" t="str">
        <f>IFERROR(__xludf.DUMMYFUNCTION("GOOGLETRANSLATE(C332, ""en"", ""Hi"")"),"ए) राजा राजा चोल, बी) अशोक, सी) चंद्रगुप्त मौर्य, डी) हर्ष")</f>
        <v>ए) राजा राजा चोल, बी) अशोक, सी) चंद्रगुप्त मौर्य, डी) हर्ष</v>
      </c>
      <c r="I332" s="5" t="str">
        <f>IFERROR(__xludf.DUMMYFUNCTION("GOOGLETRANSLATE(D332, ""en"", ""Hi"")"),"A) राजा राजा चोल")</f>
        <v>A) राजा राजा चोल</v>
      </c>
    </row>
    <row r="333" ht="22.5" customHeight="1">
      <c r="A333" s="9">
        <v>332.0</v>
      </c>
      <c r="B333" s="4" t="s">
        <v>9352</v>
      </c>
      <c r="C333" s="4" t="s">
        <v>8990</v>
      </c>
      <c r="D333" s="4" t="s">
        <v>8758</v>
      </c>
      <c r="F333" s="5" t="str">
        <f>IFERROR(__xludf.DUMMYFUNCTION("GOOGLETRANSLATE(A333, ""en"", ""Hi"")"),"332")</f>
        <v>332</v>
      </c>
      <c r="G333" s="5" t="str">
        <f>IFERROR(__xludf.DUMMYFUNCTION("GOOGLETRANSLATE(B333, ""en"", ""Hi"")"),"कौन सा कलारीपयट्टू अभ्यास पैरों की क्रिया और जटिल शारीरिक गतिविधियों पर जोर देता है?")</f>
        <v>कौन सा कलारीपयट्टू अभ्यास पैरों की क्रिया और जटिल शारीरिक गतिविधियों पर जोर देता है?</v>
      </c>
      <c r="H333" s="5" t="str">
        <f>IFERROR(__xludf.DUMMYFUNCTION("GOOGLETRANSLATE(C333, ""en"", ""Hi"")"),"ए) एडवस, बी) सिलंबम, सी) मीपायट्टु, डी) वेरुमकाई")</f>
        <v>ए) एडवस, बी) सिलंबम, सी) मीपायट्टु, डी) वेरुमकाई</v>
      </c>
      <c r="I333" s="5" t="str">
        <f>IFERROR(__xludf.DUMMYFUNCTION("GOOGLETRANSLATE(D333, ""en"", ""Hi"")"),"ए) एडवस")</f>
        <v>ए) एडवस</v>
      </c>
    </row>
    <row r="334" ht="22.5" customHeight="1">
      <c r="A334" s="9">
        <v>333.0</v>
      </c>
      <c r="B334" s="4" t="s">
        <v>9353</v>
      </c>
      <c r="C334" s="4" t="s">
        <v>9331</v>
      </c>
      <c r="D334" s="4" t="s">
        <v>2616</v>
      </c>
      <c r="F334" s="5" t="str">
        <f>IFERROR(__xludf.DUMMYFUNCTION("GOOGLETRANSLATE(A334, ""en"", ""Hi"")"),"333")</f>
        <v>333</v>
      </c>
      <c r="G334" s="5" t="str">
        <f>IFERROR(__xludf.DUMMYFUNCTION("GOOGLETRANSLATE(B334, ""en"", ""Hi"")"),"कलारीपयट्टू की युद्ध तकनीकों को समझने के लिए कौन सा ऐतिहासिक ग्रंथ महत्वपूर्ण है?")</f>
        <v>कलारीपयट्टू की युद्ध तकनीकों को समझने के लिए कौन सा ऐतिहासिक ग्रंथ महत्वपूर्ण है?</v>
      </c>
      <c r="H334" s="5" t="str">
        <f>IFERROR(__xludf.DUMMYFUNCTION("GOOGLETRANSLATE(C334, ""en"", ""Hi"")"),"ए) अर्थशास्त्र, बी) भगवद गीता, सी) महाभारत, डी) रामायण")</f>
        <v>ए) अर्थशास्त्र, बी) भगवद गीता, सी) महाभारत, डी) रामायण</v>
      </c>
      <c r="I334" s="5" t="str">
        <f>IFERROR(__xludf.DUMMYFUNCTION("GOOGLETRANSLATE(D334, ""en"", ""Hi"")"),"A) अर्थशास्त्र")</f>
        <v>A) अर्थशास्त्र</v>
      </c>
    </row>
    <row r="335" ht="22.5" customHeight="1">
      <c r="A335" s="9">
        <v>334.0</v>
      </c>
      <c r="B335" s="4" t="s">
        <v>9354</v>
      </c>
      <c r="C335" s="4" t="s">
        <v>9355</v>
      </c>
      <c r="D335" s="4" t="s">
        <v>9087</v>
      </c>
      <c r="F335" s="5" t="str">
        <f>IFERROR(__xludf.DUMMYFUNCTION("GOOGLETRANSLATE(A335, ""en"", ""Hi"")"),"334")</f>
        <v>334</v>
      </c>
      <c r="G335" s="5" t="str">
        <f>IFERROR(__xludf.DUMMYFUNCTION("GOOGLETRANSLATE(B335, ""en"", ""Hi"")"),"कलारीपयट्टू के अभ्यास में 'कलारी' की क्या भूमिका है?")</f>
        <v>कलारीपयट्टू के अभ्यास में 'कलारी' की क्या भूमिका है?</v>
      </c>
      <c r="H335" s="5" t="str">
        <f>IFERROR(__xludf.DUMMYFUNCTION("GOOGLETRANSLATE(C335, ""en"", ""Hi"")"),"A) एक प्रकार का हथियार, B) एक प्रशिक्षण मैदान, C) एक युद्ध तकनीक, D) एक शारीरिक व्यायाम")</f>
        <v>A) एक प्रकार का हथियार, B) एक प्रशिक्षण मैदान, C) एक युद्ध तकनीक, D) एक शारीरिक व्यायाम</v>
      </c>
      <c r="I335" s="5" t="str">
        <f>IFERROR(__xludf.DUMMYFUNCTION("GOOGLETRANSLATE(D335, ""en"", ""Hi"")"),"बी) एक प्रशिक्षण मैदान")</f>
        <v>बी) एक प्रशिक्षण मैदान</v>
      </c>
    </row>
    <row r="336" ht="22.5" customHeight="1">
      <c r="A336" s="9">
        <v>335.0</v>
      </c>
      <c r="B336" s="4" t="s">
        <v>9342</v>
      </c>
      <c r="C336" s="4" t="s">
        <v>8821</v>
      </c>
      <c r="D336" s="4" t="s">
        <v>8958</v>
      </c>
      <c r="F336" s="5" t="str">
        <f>IFERROR(__xludf.DUMMYFUNCTION("GOOGLETRANSLATE(A336, ""en"", ""Hi"")"),"335")</f>
        <v>335</v>
      </c>
      <c r="G336" s="5" t="str">
        <f>IFERROR(__xludf.DUMMYFUNCTION("GOOGLETRANSLATE(B336, ""en"", ""Hi"")"),"कलारीपयट्टू में कौन सी प्रथा निहत्थे युद्ध तकनीक पर केंद्रित है?")</f>
        <v>कलारीपयट्टू में कौन सी प्रथा निहत्थे युद्ध तकनीक पर केंद्रित है?</v>
      </c>
      <c r="H336" s="5" t="str">
        <f>IFERROR(__xludf.DUMMYFUNCTION("GOOGLETRANSLATE(C336, ""en"", ""Hi"")"),"ए) वेरुमकाई, बी) सिलंबम, सी) एडवस, डी) मेइपायट्टु")</f>
        <v>ए) वेरुमकाई, बी) सिलंबम, सी) एडवस, डी) मेइपायट्टु</v>
      </c>
      <c r="I336" s="5" t="str">
        <f>IFERROR(__xludf.DUMMYFUNCTION("GOOGLETRANSLATE(D336, ""en"", ""Hi"")"),"A) वेरुमकाई")</f>
        <v>A) वेरुमकाई</v>
      </c>
    </row>
    <row r="337" ht="22.5" customHeight="1">
      <c r="A337" s="9">
        <v>336.0</v>
      </c>
      <c r="B337" s="4" t="s">
        <v>9322</v>
      </c>
      <c r="C337" s="4" t="s">
        <v>9356</v>
      </c>
      <c r="D337" s="4" t="s">
        <v>9173</v>
      </c>
      <c r="F337" s="5" t="str">
        <f>IFERROR(__xludf.DUMMYFUNCTION("GOOGLETRANSLATE(A337, ""en"", ""Hi"")"),"336")</f>
        <v>336</v>
      </c>
      <c r="G337" s="5" t="str">
        <f>IFERROR(__xludf.DUMMYFUNCTION("GOOGLETRANSLATE(B337, ""en"", ""Hi"")"),"कलारीपयट्टू में 'सिलम्बम' का प्राथमिक केंद्र क्या है?")</f>
        <v>कलारीपयट्टू में 'सिलम्बम' का प्राथमिक केंद्र क्या है?</v>
      </c>
      <c r="H337" s="5" t="str">
        <f>IFERROR(__xludf.DUMMYFUNCTION("GOOGLETRANSLATE(C337, ""en"", ""Hi"")"),"A) हथियार चलाना, B) निहत्थे युद्ध, C) शारीरिक कंडीशनिंग, D) उपचार")</f>
        <v>A) हथियार चलाना, B) निहत्थे युद्ध, C) शारीरिक कंडीशनिंग, D) उपचार</v>
      </c>
      <c r="I337" s="5" t="str">
        <f>IFERROR(__xludf.DUMMYFUNCTION("GOOGLETRANSLATE(D337, ""en"", ""Hi"")"),"A) हथियार संचालन")</f>
        <v>A) हथियार संचालन</v>
      </c>
    </row>
    <row r="338" ht="22.5" customHeight="1">
      <c r="A338" s="9">
        <v>337.0</v>
      </c>
      <c r="B338" s="4" t="s">
        <v>9325</v>
      </c>
      <c r="C338" s="4" t="s">
        <v>4611</v>
      </c>
      <c r="D338" s="4" t="s">
        <v>9244</v>
      </c>
      <c r="F338" s="5" t="str">
        <f>IFERROR(__xludf.DUMMYFUNCTION("GOOGLETRANSLATE(A338, ""en"", ""Hi"")"),"337")</f>
        <v>337</v>
      </c>
      <c r="G338" s="5" t="str">
        <f>IFERROR(__xludf.DUMMYFUNCTION("GOOGLETRANSLATE(B338, ""en"", ""Hi"")"),"कलारीपयट्टु के शोधन के लिए कौन सा ऐतिहासिक काल जाना जाता है?")</f>
        <v>कलारीपयट्टु के शोधन के लिए कौन सा ऐतिहासिक काल जाना जाता है?</v>
      </c>
      <c r="H338" s="5" t="str">
        <f>IFERROR(__xludf.DUMMYFUNCTION("GOOGLETRANSLATE(C338, ""en"", ""Hi"")"),"A) प्राचीन काल, B) मध्यकाल, C) औपनिवेशिक काल, D) आधुनिक काल")</f>
        <v>A) प्राचीन काल, B) मध्यकाल, C) औपनिवेशिक काल, D) आधुनिक काल</v>
      </c>
      <c r="I338" s="5" t="str">
        <f>IFERROR(__xludf.DUMMYFUNCTION("GOOGLETRANSLATE(D338, ""en"", ""Hi"")"),"A) प्राचीन काल")</f>
        <v>A) प्राचीन काल</v>
      </c>
    </row>
    <row r="339" ht="22.5" customHeight="1">
      <c r="A339" s="9">
        <v>338.0</v>
      </c>
      <c r="B339" s="4" t="s">
        <v>9357</v>
      </c>
      <c r="C339" s="4" t="s">
        <v>9327</v>
      </c>
      <c r="D339" s="4" t="s">
        <v>9217</v>
      </c>
      <c r="F339" s="5" t="str">
        <f>IFERROR(__xludf.DUMMYFUNCTION("GOOGLETRANSLATE(A339, ""en"", ""Hi"")"),"338")</f>
        <v>338</v>
      </c>
      <c r="G339" s="5" t="str">
        <f>IFERROR(__xludf.DUMMYFUNCTION("GOOGLETRANSLATE(B339, ""en"", ""Hi"")"),"कलारीपयट्टू में 'मर्म' किस पर केंद्रित है?")</f>
        <v>कलारीपयट्टू में 'मर्म' किस पर केंद्रित है?</v>
      </c>
      <c r="H339" s="5" t="str">
        <f>IFERROR(__xludf.DUMMYFUNCTION("GOOGLETRANSLATE(C339, ""en"", ""Hi"")"),"ए) युद्ध तकनीक, बी) स्वास्थ्य और युद्ध के लिए महत्वपूर्ण बिंदु, सी) हथियार के प्रकार, डी) शारीरिक कंडीशनिंग")</f>
        <v>ए) युद्ध तकनीक, बी) स्वास्थ्य और युद्ध के लिए महत्वपूर्ण बिंदु, सी) हथियार के प्रकार, डी) शारीरिक कंडीशनिंग</v>
      </c>
      <c r="I339" s="5" t="str">
        <f>IFERROR(__xludf.DUMMYFUNCTION("GOOGLETRANSLATE(D339, ""en"", ""Hi"")"),"बी) स्वास्थ्य और युद्ध के लिए महत्वपूर्ण बिंदु")</f>
        <v>बी) स्वास्थ्य और युद्ध के लिए महत्वपूर्ण बिंदु</v>
      </c>
    </row>
    <row r="340" ht="22.5" customHeight="1">
      <c r="A340" s="9">
        <v>339.0</v>
      </c>
      <c r="B340" s="4" t="s">
        <v>9328</v>
      </c>
      <c r="C340" s="4" t="s">
        <v>9306</v>
      </c>
      <c r="D340" s="4" t="s">
        <v>9022</v>
      </c>
      <c r="F340" s="5" t="str">
        <f>IFERROR(__xludf.DUMMYFUNCTION("GOOGLETRANSLATE(A340, ""en"", ""Hi"")"),"339")</f>
        <v>339</v>
      </c>
      <c r="G340" s="5" t="str">
        <f>IFERROR(__xludf.DUMMYFUNCTION("GOOGLETRANSLATE(B340, ""en"", ""Hi"")"),"कलारीपयट्टु के विकास के लिए किस राजा का संरक्षण महत्वपूर्ण है?")</f>
        <v>कलारीपयट्टु के विकास के लिए किस राजा का संरक्षण महत्वपूर्ण है?</v>
      </c>
      <c r="H340" s="5" t="str">
        <f>IFERROR(__xludf.DUMMYFUNCTION("GOOGLETRANSLATE(C340, ""en"", ""Hi"")"),"ए) राजा राजा चोल, बी) अशोक, सी) चंद्रगुप्त मौर्य, डी) हर्ष")</f>
        <v>ए) राजा राजा चोल, बी) अशोक, सी) चंद्रगुप्त मौर्य, डी) हर्ष</v>
      </c>
      <c r="I340" s="5" t="str">
        <f>IFERROR(__xludf.DUMMYFUNCTION("GOOGLETRANSLATE(D340, ""en"", ""Hi"")"),"A) राजा राजा चोल")</f>
        <v>A) राजा राजा चोल</v>
      </c>
    </row>
    <row r="341" ht="22.5" customHeight="1">
      <c r="A341" s="9">
        <v>340.0</v>
      </c>
      <c r="B341" s="4" t="s">
        <v>9329</v>
      </c>
      <c r="C341" s="4" t="s">
        <v>8990</v>
      </c>
      <c r="D341" s="4" t="s">
        <v>8758</v>
      </c>
      <c r="F341" s="5" t="str">
        <f>IFERROR(__xludf.DUMMYFUNCTION("GOOGLETRANSLATE(A341, ""en"", ""Hi"")"),"340")</f>
        <v>340</v>
      </c>
      <c r="G341" s="5" t="str">
        <f>IFERROR(__xludf.DUMMYFUNCTION("GOOGLETRANSLATE(B341, ""en"", ""Hi"")"),"कलारीपयट्टू में किस अभ्यास में जटिल पैर की क्रिया और शरीर की गतिविधियां शामिल होती हैं?")</f>
        <v>कलारीपयट्टू में किस अभ्यास में जटिल पैर की क्रिया और शरीर की गतिविधियां शामिल होती हैं?</v>
      </c>
      <c r="H341" s="5" t="str">
        <f>IFERROR(__xludf.DUMMYFUNCTION("GOOGLETRANSLATE(C341, ""en"", ""Hi"")"),"ए) एडवस, बी) सिलंबम, सी) मीपायट्टु, डी) वेरुमकाई")</f>
        <v>ए) एडवस, बी) सिलंबम, सी) मीपायट्टु, डी) वेरुमकाई</v>
      </c>
      <c r="I341" s="5" t="str">
        <f>IFERROR(__xludf.DUMMYFUNCTION("GOOGLETRANSLATE(D341, ""en"", ""Hi"")"),"ए) एडवस")</f>
        <v>ए) एडवस</v>
      </c>
    </row>
    <row r="342" ht="22.5" customHeight="1">
      <c r="A342" s="9">
        <v>341.0</v>
      </c>
      <c r="B342" s="4" t="s">
        <v>9358</v>
      </c>
      <c r="C342" s="4" t="s">
        <v>9135</v>
      </c>
      <c r="D342" s="4" t="s">
        <v>2616</v>
      </c>
      <c r="F342" s="5" t="str">
        <f>IFERROR(__xludf.DUMMYFUNCTION("GOOGLETRANSLATE(A342, ""en"", ""Hi"")"),"341")</f>
        <v>341</v>
      </c>
      <c r="G342" s="5" t="str">
        <f>IFERROR(__xludf.DUMMYFUNCTION("GOOGLETRANSLATE(B342, ""en"", ""Hi"")"),"कलारीपयट्टू तकनीक को समझने के लिए कौन सा प्राचीन ग्रंथ महत्वपूर्ण है?")</f>
        <v>कलारीपयट्टू तकनीक को समझने के लिए कौन सा प्राचीन ग्रंथ महत्वपूर्ण है?</v>
      </c>
      <c r="H342" s="5" t="str">
        <f>IFERROR(__xludf.DUMMYFUNCTION("GOOGLETRANSLATE(C342, ""en"", ""Hi"")"),"ए) अर्थशास्त्र, बी) रामायण, सी) महाभारत, डी) वेद")</f>
        <v>ए) अर्थशास्त्र, बी) रामायण, सी) महाभारत, डी) वेद</v>
      </c>
      <c r="I342" s="5" t="str">
        <f>IFERROR(__xludf.DUMMYFUNCTION("GOOGLETRANSLATE(D342, ""en"", ""Hi"")"),"A) अर्थशास्त्र")</f>
        <v>A) अर्थशास्त्र</v>
      </c>
    </row>
    <row r="343" ht="22.5" customHeight="1">
      <c r="A343" s="9">
        <v>342.0</v>
      </c>
      <c r="B343" s="4" t="s">
        <v>9340</v>
      </c>
      <c r="C343" s="4" t="s">
        <v>9341</v>
      </c>
      <c r="D343" s="4" t="s">
        <v>8668</v>
      </c>
      <c r="F343" s="5" t="str">
        <f>IFERROR(__xludf.DUMMYFUNCTION("GOOGLETRANSLATE(A343, ""en"", ""Hi"")"),"342")</f>
        <v>342</v>
      </c>
      <c r="G343" s="5" t="str">
        <f>IFERROR(__xludf.DUMMYFUNCTION("GOOGLETRANSLATE(B343, ""en"", ""Hi"")"),"कलारीपयट्टू में 'कलारी' की क्या भूमिका है?")</f>
        <v>कलारीपयट्टू में 'कलारी' की क्या भूमिका है?</v>
      </c>
      <c r="H343" s="5" t="str">
        <f>IFERROR(__xludf.DUMMYFUNCTION("GOOGLETRANSLATE(C343, ""en"", ""Hi"")"),"A) हथियार का प्रकार, B) युद्ध तकनीक, C) प्रशिक्षण मैदान, D) शारीरिक व्यायाम")</f>
        <v>A) हथियार का प्रकार, B) युद्ध तकनीक, C) प्रशिक्षण मैदान, D) शारीरिक व्यायाम</v>
      </c>
      <c r="I343" s="5" t="str">
        <f>IFERROR(__xludf.DUMMYFUNCTION("GOOGLETRANSLATE(D343, ""en"", ""Hi"")"),"सी) प्रशिक्षण मैदान")</f>
        <v>सी) प्रशिक्षण मैदान</v>
      </c>
    </row>
    <row r="344" ht="22.5" customHeight="1">
      <c r="A344" s="9">
        <v>343.0</v>
      </c>
      <c r="B344" s="4" t="s">
        <v>9265</v>
      </c>
      <c r="C344" s="4" t="s">
        <v>9250</v>
      </c>
      <c r="D344" s="4" t="s">
        <v>8958</v>
      </c>
      <c r="F344" s="5" t="str">
        <f>IFERROR(__xludf.DUMMYFUNCTION("GOOGLETRANSLATE(A344, ""en"", ""Hi"")"),"343")</f>
        <v>343</v>
      </c>
      <c r="G344" s="5" t="str">
        <f>IFERROR(__xludf.DUMMYFUNCTION("GOOGLETRANSLATE(B344, ""en"", ""Hi"")"),"कौन सा कलारीपयट्टू अभ्यास निहत्थे युद्ध तकनीकों पर केंद्रित है?")</f>
        <v>कौन सा कलारीपयट्टू अभ्यास निहत्थे युद्ध तकनीकों पर केंद्रित है?</v>
      </c>
      <c r="H344" s="5" t="str">
        <f>IFERROR(__xludf.DUMMYFUNCTION("GOOGLETRANSLATE(C344, ""en"", ""Hi"")"),"ए) वेरुमकाई, बी) सिलंबम, सी) मीपायट्टु, डी) एडवस")</f>
        <v>ए) वेरुमकाई, बी) सिलंबम, सी) मीपायट्टु, डी) एडवस</v>
      </c>
      <c r="I344" s="5" t="str">
        <f>IFERROR(__xludf.DUMMYFUNCTION("GOOGLETRANSLATE(D344, ""en"", ""Hi"")"),"A) वेरुमकाई")</f>
        <v>A) वेरुमकाई</v>
      </c>
    </row>
    <row r="345" ht="22.5" customHeight="1">
      <c r="A345" s="9">
        <v>344.0</v>
      </c>
      <c r="B345" s="4" t="s">
        <v>9343</v>
      </c>
      <c r="C345" s="4" t="s">
        <v>9344</v>
      </c>
      <c r="D345" s="4" t="s">
        <v>9099</v>
      </c>
      <c r="F345" s="5" t="str">
        <f>IFERROR(__xludf.DUMMYFUNCTION("GOOGLETRANSLATE(A345, ""en"", ""Hi"")"),"344")</f>
        <v>344</v>
      </c>
      <c r="G345" s="5" t="str">
        <f>IFERROR(__xludf.DUMMYFUNCTION("GOOGLETRANSLATE(B345, ""en"", ""Hi"")"),"कलारीपयट्टू में 'गुरु' की ऐतिहासिक भूमिका क्या है?")</f>
        <v>कलारीपयट्टू में 'गुरु' की ऐतिहासिक भूमिका क्या है?</v>
      </c>
      <c r="H345" s="5" t="str">
        <f>IFERROR(__xludf.DUMMYFUNCTION("GOOGLETRANSLATE(C345, ""en"", ""Hi"")"),"A) छात्र, B) शिक्षक और संरक्षक, C) योद्धा, D) हथियार निर्माता")</f>
        <v>A) छात्र, B) शिक्षक और संरक्षक, C) योद्धा, D) हथियार निर्माता</v>
      </c>
      <c r="I345" s="5" t="str">
        <f>IFERROR(__xludf.DUMMYFUNCTION("GOOGLETRANSLATE(D345, ""en"", ""Hi"")"),"बी) शिक्षक और संरक्षक")</f>
        <v>बी) शिक्षक और संरक्षक</v>
      </c>
    </row>
    <row r="346" ht="22.5" customHeight="1">
      <c r="A346" s="9">
        <v>345.0</v>
      </c>
      <c r="B346" s="4" t="s">
        <v>9345</v>
      </c>
      <c r="C346" s="4" t="s">
        <v>9270</v>
      </c>
      <c r="D346" s="4" t="s">
        <v>8803</v>
      </c>
      <c r="F346" s="5" t="str">
        <f>IFERROR(__xludf.DUMMYFUNCTION("GOOGLETRANSLATE(A346, ""en"", ""Hi"")"),"345")</f>
        <v>345</v>
      </c>
      <c r="G346" s="5" t="str">
        <f>IFERROR(__xludf.DUMMYFUNCTION("GOOGLETRANSLATE(B346, ""en"", ""Hi"")"),"कौन सी कलारीपयट्टू प्रथा विभिन्न पारंपरिक हथियार रूपों पर केंद्रित है?")</f>
        <v>कौन सी कलारीपयट्टू प्रथा विभिन्न पारंपरिक हथियार रूपों पर केंद्रित है?</v>
      </c>
      <c r="H346" s="5" t="str">
        <f>IFERROR(__xludf.DUMMYFUNCTION("GOOGLETRANSLATE(C346, ""en"", ""Hi"")"),"ए) सिलंबम, बी) मीपायट्टु, सी) वेरुमकाई, डी) एडवस")</f>
        <v>ए) सिलंबम, बी) मीपायट्टु, सी) वेरुमकाई, डी) एडवस</v>
      </c>
      <c r="I346" s="5" t="str">
        <f>IFERROR(__xludf.DUMMYFUNCTION("GOOGLETRANSLATE(D346, ""en"", ""Hi"")"),"ए) सिलंबम")</f>
        <v>ए) सिलंबम</v>
      </c>
    </row>
    <row r="347" ht="22.5" customHeight="1">
      <c r="A347" s="9">
        <v>346.0</v>
      </c>
      <c r="B347" s="4" t="s">
        <v>9281</v>
      </c>
      <c r="C347" s="4" t="s">
        <v>9346</v>
      </c>
      <c r="D347" s="4" t="s">
        <v>9347</v>
      </c>
      <c r="F347" s="5" t="str">
        <f>IFERROR(__xludf.DUMMYFUNCTION("GOOGLETRANSLATE(A347, ""en"", ""Hi"")"),"346")</f>
        <v>346</v>
      </c>
      <c r="G347" s="5" t="str">
        <f>IFERROR(__xludf.DUMMYFUNCTION("GOOGLETRANSLATE(B347, ""en"", ""Hi"")"),"कलारीपयट्टू में 'मर्म शास्त्र' क्या शामिल है?")</f>
        <v>कलारीपयट्टू में 'मर्म शास्त्र' क्या शामिल है?</v>
      </c>
      <c r="H347" s="5" t="str">
        <f>IFERROR(__xludf.DUMMYFUNCTION("GOOGLETRANSLATE(C347, ""en"", ""Hi"")"),"ए) उपचार तकनीक, बी) हथियार प्रशिक्षण, सी) स्वास्थ्य और युद्ध के लिए महत्वपूर्ण बिंदु, डी) युद्ध अभ्यास")</f>
        <v>ए) उपचार तकनीक, बी) हथियार प्रशिक्षण, सी) स्वास्थ्य और युद्ध के लिए महत्वपूर्ण बिंदु, डी) युद्ध अभ्यास</v>
      </c>
      <c r="I347" s="5" t="str">
        <f>IFERROR(__xludf.DUMMYFUNCTION("GOOGLETRANSLATE(D347, ""en"", ""Hi"")"),"C) स्वास्थ्य और युद्ध के लिए महत्वपूर्ण बिंदु")</f>
        <v>C) स्वास्थ्य और युद्ध के लिए महत्वपूर्ण बिंदु</v>
      </c>
    </row>
    <row r="348" ht="22.5" customHeight="1">
      <c r="A348" s="9">
        <v>347.0</v>
      </c>
      <c r="B348" s="4" t="s">
        <v>9348</v>
      </c>
      <c r="C348" s="4" t="s">
        <v>9135</v>
      </c>
      <c r="D348" s="4" t="s">
        <v>2616</v>
      </c>
      <c r="F348" s="5" t="str">
        <f>IFERROR(__xludf.DUMMYFUNCTION("GOOGLETRANSLATE(A348, ""en"", ""Hi"")"),"347")</f>
        <v>347</v>
      </c>
      <c r="G348" s="5" t="str">
        <f>IFERROR(__xludf.DUMMYFUNCTION("GOOGLETRANSLATE(B348, ""en"", ""Hi"")"),"कलारीपयट्टू के इतिहास और तकनीकों को समझने के लिए कौन सा प्राचीन ग्रंथ आवश्यक है?")</f>
        <v>कलारीपयट्टू के इतिहास और तकनीकों को समझने के लिए कौन सा प्राचीन ग्रंथ आवश्यक है?</v>
      </c>
      <c r="H348" s="5" t="str">
        <f>IFERROR(__xludf.DUMMYFUNCTION("GOOGLETRANSLATE(C348, ""en"", ""Hi"")"),"ए) अर्थशास्त्र, बी) रामायण, सी) महाभारत, डी) वेद")</f>
        <v>ए) अर्थशास्त्र, बी) रामायण, सी) महाभारत, डी) वेद</v>
      </c>
      <c r="I348" s="5" t="str">
        <f>IFERROR(__xludf.DUMMYFUNCTION("GOOGLETRANSLATE(D348, ""en"", ""Hi"")"),"A) अर्थशास्त्र")</f>
        <v>A) अर्थशास्त्र</v>
      </c>
    </row>
    <row r="349" ht="22.5" customHeight="1">
      <c r="A349" s="9">
        <v>348.0</v>
      </c>
      <c r="B349" s="4" t="s">
        <v>9349</v>
      </c>
      <c r="C349" s="4" t="s">
        <v>9350</v>
      </c>
      <c r="D349" s="4" t="s">
        <v>9057</v>
      </c>
      <c r="F349" s="5" t="str">
        <f>IFERROR(__xludf.DUMMYFUNCTION("GOOGLETRANSLATE(A349, ""en"", ""Hi"")"),"348")</f>
        <v>348</v>
      </c>
      <c r="G349" s="5" t="str">
        <f>IFERROR(__xludf.DUMMYFUNCTION("GOOGLETRANSLATE(B349, ""en"", ""Hi"")"),"'मेईपयाट्टू' मुख्य रूप से किस पर केंद्रित है?")</f>
        <v>'मेईपयाट्टू' मुख्य रूप से किस पर केंद्रित है?</v>
      </c>
      <c r="H349" s="5" t="str">
        <f>IFERROR(__xludf.DUMMYFUNCTION("GOOGLETRANSLATE(C349, ""en"", ""Hi"")"),"A) हथियार प्रशिक्षण, B) शारीरिक कंडीशनिंग और लचीलापन, C) युद्ध तकनीक, D) उपचार")</f>
        <v>A) हथियार प्रशिक्षण, B) शारीरिक कंडीशनिंग और लचीलापन, C) युद्ध तकनीक, D) उपचार</v>
      </c>
      <c r="I349" s="5" t="str">
        <f>IFERROR(__xludf.DUMMYFUNCTION("GOOGLETRANSLATE(D349, ""en"", ""Hi"")"),"बी) शारीरिक कंडीशनिंग और लचीलापन")</f>
        <v>बी) शारीरिक कंडीशनिंग और लचीलापन</v>
      </c>
    </row>
    <row r="350" ht="22.5" customHeight="1">
      <c r="A350" s="9">
        <v>349.0</v>
      </c>
      <c r="B350" s="4" t="s">
        <v>9351</v>
      </c>
      <c r="C350" s="4" t="s">
        <v>9306</v>
      </c>
      <c r="D350" s="4" t="s">
        <v>9022</v>
      </c>
      <c r="F350" s="5" t="str">
        <f>IFERROR(__xludf.DUMMYFUNCTION("GOOGLETRANSLATE(A350, ""en"", ""Hi"")"),"349")</f>
        <v>349</v>
      </c>
      <c r="G350" s="5" t="str">
        <f>IFERROR(__xludf.DUMMYFUNCTION("GOOGLETRANSLATE(B350, ""en"", ""Hi"")"),"कलारीपयट्टू के विकास के लिए किस राजा का संरक्षण महत्वपूर्ण था?")</f>
        <v>कलारीपयट्टू के विकास के लिए किस राजा का संरक्षण महत्वपूर्ण था?</v>
      </c>
      <c r="H350" s="5" t="str">
        <f>IFERROR(__xludf.DUMMYFUNCTION("GOOGLETRANSLATE(C350, ""en"", ""Hi"")"),"ए) राजा राजा चोल, बी) अशोक, सी) चंद्रगुप्त मौर्य, डी) हर्ष")</f>
        <v>ए) राजा राजा चोल, बी) अशोक, सी) चंद्रगुप्त मौर्य, डी) हर्ष</v>
      </c>
      <c r="I350" s="5" t="str">
        <f>IFERROR(__xludf.DUMMYFUNCTION("GOOGLETRANSLATE(D350, ""en"", ""Hi"")"),"A) राजा राजा चोल")</f>
        <v>A) राजा राजा चोल</v>
      </c>
    </row>
    <row r="351" ht="22.5" customHeight="1">
      <c r="A351" s="9">
        <v>350.0</v>
      </c>
      <c r="B351" s="4" t="s">
        <v>9352</v>
      </c>
      <c r="C351" s="4" t="s">
        <v>8990</v>
      </c>
      <c r="D351" s="4" t="s">
        <v>8758</v>
      </c>
      <c r="F351" s="5" t="str">
        <f>IFERROR(__xludf.DUMMYFUNCTION("GOOGLETRANSLATE(A351, ""en"", ""Hi"")"),"350")</f>
        <v>350</v>
      </c>
      <c r="G351" s="5" t="str">
        <f>IFERROR(__xludf.DUMMYFUNCTION("GOOGLETRANSLATE(B351, ""en"", ""Hi"")"),"कौन सा कलारीपयट्टू अभ्यास पैरों की क्रिया और जटिल शारीरिक गतिविधियों पर जोर देता है?")</f>
        <v>कौन सा कलारीपयट्टू अभ्यास पैरों की क्रिया और जटिल शारीरिक गतिविधियों पर जोर देता है?</v>
      </c>
      <c r="H351" s="5" t="str">
        <f>IFERROR(__xludf.DUMMYFUNCTION("GOOGLETRANSLATE(C351, ""en"", ""Hi"")"),"ए) एडवस, बी) सिलंबम, सी) मीपायट्टु, डी) वेरुमकाई")</f>
        <v>ए) एडवस, बी) सिलंबम, सी) मीपायट्टु, डी) वेरुमकाई</v>
      </c>
      <c r="I351" s="5" t="str">
        <f>IFERROR(__xludf.DUMMYFUNCTION("GOOGLETRANSLATE(D351, ""en"", ""Hi"")"),"ए) एडवस")</f>
        <v>ए) एडवस</v>
      </c>
    </row>
    <row r="352" ht="22.5" customHeight="1">
      <c r="A352" s="9">
        <v>351.0</v>
      </c>
      <c r="B352" s="4" t="s">
        <v>9353</v>
      </c>
      <c r="C352" s="4" t="s">
        <v>9331</v>
      </c>
      <c r="D352" s="4" t="s">
        <v>2616</v>
      </c>
      <c r="F352" s="5" t="str">
        <f>IFERROR(__xludf.DUMMYFUNCTION("GOOGLETRANSLATE(A352, ""en"", ""Hi"")"),"351")</f>
        <v>351</v>
      </c>
      <c r="G352" s="5" t="str">
        <f>IFERROR(__xludf.DUMMYFUNCTION("GOOGLETRANSLATE(B352, ""en"", ""Hi"")"),"कलारीपयट्टू की युद्ध तकनीकों को समझने के लिए कौन सा ऐतिहासिक ग्रंथ महत्वपूर्ण है?")</f>
        <v>कलारीपयट्टू की युद्ध तकनीकों को समझने के लिए कौन सा ऐतिहासिक ग्रंथ महत्वपूर्ण है?</v>
      </c>
      <c r="H352" s="5" t="str">
        <f>IFERROR(__xludf.DUMMYFUNCTION("GOOGLETRANSLATE(C352, ""en"", ""Hi"")"),"ए) अर्थशास्त्र, बी) भगवद गीता, सी) महाभारत, डी) रामायण")</f>
        <v>ए) अर्थशास्त्र, बी) भगवद गीता, सी) महाभारत, डी) रामायण</v>
      </c>
      <c r="I352" s="5" t="str">
        <f>IFERROR(__xludf.DUMMYFUNCTION("GOOGLETRANSLATE(D352, ""en"", ""Hi"")"),"A) अर्थशास्त्र")</f>
        <v>A) अर्थशास्त्र</v>
      </c>
    </row>
    <row r="353" ht="22.5" customHeight="1">
      <c r="A353" s="9">
        <v>352.0</v>
      </c>
      <c r="B353" s="4" t="s">
        <v>9354</v>
      </c>
      <c r="C353" s="4" t="s">
        <v>9355</v>
      </c>
      <c r="D353" s="4" t="s">
        <v>9087</v>
      </c>
      <c r="F353" s="5" t="str">
        <f>IFERROR(__xludf.DUMMYFUNCTION("GOOGLETRANSLATE(A353, ""en"", ""Hi"")"),"352")</f>
        <v>352</v>
      </c>
      <c r="G353" s="5" t="str">
        <f>IFERROR(__xludf.DUMMYFUNCTION("GOOGLETRANSLATE(B353, ""en"", ""Hi"")"),"कलारीपयट्टू के अभ्यास में 'कलारी' की क्या भूमिका है?")</f>
        <v>कलारीपयट्टू के अभ्यास में 'कलारी' की क्या भूमिका है?</v>
      </c>
      <c r="H353" s="5" t="str">
        <f>IFERROR(__xludf.DUMMYFUNCTION("GOOGLETRANSLATE(C353, ""en"", ""Hi"")"),"A) एक प्रकार का हथियार, B) एक प्रशिक्षण मैदान, C) एक युद्ध तकनीक, D) एक शारीरिक व्यायाम")</f>
        <v>A) एक प्रकार का हथियार, B) एक प्रशिक्षण मैदान, C) एक युद्ध तकनीक, D) एक शारीरिक व्यायाम</v>
      </c>
      <c r="I353" s="5" t="str">
        <f>IFERROR(__xludf.DUMMYFUNCTION("GOOGLETRANSLATE(D353, ""en"", ""Hi"")"),"बी) एक प्रशिक्षण मैदान")</f>
        <v>बी) एक प्रशिक्षण मैदान</v>
      </c>
    </row>
    <row r="354" ht="22.5" customHeight="1">
      <c r="A354" s="9">
        <v>353.0</v>
      </c>
      <c r="B354" s="4" t="s">
        <v>9342</v>
      </c>
      <c r="C354" s="4" t="s">
        <v>8821</v>
      </c>
      <c r="D354" s="4" t="s">
        <v>8958</v>
      </c>
      <c r="F354" s="5" t="str">
        <f>IFERROR(__xludf.DUMMYFUNCTION("GOOGLETRANSLATE(A354, ""en"", ""Hi"")"),"353")</f>
        <v>353</v>
      </c>
      <c r="G354" s="5" t="str">
        <f>IFERROR(__xludf.DUMMYFUNCTION("GOOGLETRANSLATE(B354, ""en"", ""Hi"")"),"कलारीपयट्टू में कौन सी प्रथा निहत्थे युद्ध तकनीक पर केंद्रित है?")</f>
        <v>कलारीपयट्टू में कौन सी प्रथा निहत्थे युद्ध तकनीक पर केंद्रित है?</v>
      </c>
      <c r="H354" s="5" t="str">
        <f>IFERROR(__xludf.DUMMYFUNCTION("GOOGLETRANSLATE(C354, ""en"", ""Hi"")"),"ए) वेरुमकाई, बी) सिलंबम, सी) एडवस, डी) मेइपायट्टु")</f>
        <v>ए) वेरुमकाई, बी) सिलंबम, सी) एडवस, डी) मेइपायट्टु</v>
      </c>
      <c r="I354" s="5" t="str">
        <f>IFERROR(__xludf.DUMMYFUNCTION("GOOGLETRANSLATE(D354, ""en"", ""Hi"")"),"A) वेरुमकाई")</f>
        <v>A) वेरुमकाई</v>
      </c>
    </row>
    <row r="355" ht="22.5" customHeight="1">
      <c r="A355" s="9">
        <v>354.0</v>
      </c>
      <c r="B355" s="4" t="s">
        <v>9322</v>
      </c>
      <c r="C355" s="4" t="s">
        <v>9356</v>
      </c>
      <c r="D355" s="4" t="s">
        <v>9173</v>
      </c>
      <c r="F355" s="5" t="str">
        <f>IFERROR(__xludf.DUMMYFUNCTION("GOOGLETRANSLATE(A355, ""en"", ""Hi"")"),"354")</f>
        <v>354</v>
      </c>
      <c r="G355" s="5" t="str">
        <f>IFERROR(__xludf.DUMMYFUNCTION("GOOGLETRANSLATE(B355, ""en"", ""Hi"")"),"कलारीपयट्टू में 'सिलम्बम' का प्राथमिक केंद्र क्या है?")</f>
        <v>कलारीपयट्टू में 'सिलम्बम' का प्राथमिक केंद्र क्या है?</v>
      </c>
      <c r="H355" s="5" t="str">
        <f>IFERROR(__xludf.DUMMYFUNCTION("GOOGLETRANSLATE(C355, ""en"", ""Hi"")"),"A) हथियार चलाना, B) निहत्थे युद्ध, C) शारीरिक कंडीशनिंग, D) उपचार")</f>
        <v>A) हथियार चलाना, B) निहत्थे युद्ध, C) शारीरिक कंडीशनिंग, D) उपचार</v>
      </c>
      <c r="I355" s="5" t="str">
        <f>IFERROR(__xludf.DUMMYFUNCTION("GOOGLETRANSLATE(D355, ""en"", ""Hi"")"),"A) हथियार संचालन")</f>
        <v>A) हथियार संचालन</v>
      </c>
    </row>
    <row r="356" ht="22.5" customHeight="1">
      <c r="A356" s="9">
        <v>355.0</v>
      </c>
      <c r="B356" s="4" t="s">
        <v>9325</v>
      </c>
      <c r="C356" s="4" t="s">
        <v>4611</v>
      </c>
      <c r="D356" s="4" t="s">
        <v>9244</v>
      </c>
      <c r="F356" s="5" t="str">
        <f>IFERROR(__xludf.DUMMYFUNCTION("GOOGLETRANSLATE(A356, ""en"", ""Hi"")"),"355")</f>
        <v>355</v>
      </c>
      <c r="G356" s="5" t="str">
        <f>IFERROR(__xludf.DUMMYFUNCTION("GOOGLETRANSLATE(B356, ""en"", ""Hi"")"),"कलारीपयट्टु के शोधन के लिए कौन सा ऐतिहासिक काल जाना जाता है?")</f>
        <v>कलारीपयट्टु के शोधन के लिए कौन सा ऐतिहासिक काल जाना जाता है?</v>
      </c>
      <c r="H356" s="5" t="str">
        <f>IFERROR(__xludf.DUMMYFUNCTION("GOOGLETRANSLATE(C356, ""en"", ""Hi"")"),"A) प्राचीन काल, B) मध्यकाल, C) औपनिवेशिक काल, D) आधुनिक काल")</f>
        <v>A) प्राचीन काल, B) मध्यकाल, C) औपनिवेशिक काल, D) आधुनिक काल</v>
      </c>
      <c r="I356" s="5" t="str">
        <f>IFERROR(__xludf.DUMMYFUNCTION("GOOGLETRANSLATE(D356, ""en"", ""Hi"")"),"A) प्राचीन काल")</f>
        <v>A) प्राचीन काल</v>
      </c>
    </row>
    <row r="357" ht="22.5" customHeight="1">
      <c r="A357" s="9">
        <v>356.0</v>
      </c>
      <c r="B357" s="4" t="s">
        <v>9357</v>
      </c>
      <c r="C357" s="4" t="s">
        <v>9327</v>
      </c>
      <c r="D357" s="4" t="s">
        <v>9217</v>
      </c>
      <c r="F357" s="5" t="str">
        <f>IFERROR(__xludf.DUMMYFUNCTION("GOOGLETRANSLATE(A357, ""en"", ""Hi"")"),"356")</f>
        <v>356</v>
      </c>
      <c r="G357" s="5" t="str">
        <f>IFERROR(__xludf.DUMMYFUNCTION("GOOGLETRANSLATE(B357, ""en"", ""Hi"")"),"कलारीपयट्टू में 'मर्म' किस पर केंद्रित है?")</f>
        <v>कलारीपयट्टू में 'मर्म' किस पर केंद्रित है?</v>
      </c>
      <c r="H357" s="5" t="str">
        <f>IFERROR(__xludf.DUMMYFUNCTION("GOOGLETRANSLATE(C357, ""en"", ""Hi"")"),"ए) युद्ध तकनीक, बी) स्वास्थ्य और युद्ध के लिए महत्वपूर्ण बिंदु, सी) हथियार के प्रकार, डी) शारीरिक कंडीशनिंग")</f>
        <v>ए) युद्ध तकनीक, बी) स्वास्थ्य और युद्ध के लिए महत्वपूर्ण बिंदु, सी) हथियार के प्रकार, डी) शारीरिक कंडीशनिंग</v>
      </c>
      <c r="I357" s="5" t="str">
        <f>IFERROR(__xludf.DUMMYFUNCTION("GOOGLETRANSLATE(D357, ""en"", ""Hi"")"),"बी) स्वास्थ्य और युद्ध के लिए महत्वपूर्ण बिंदु")</f>
        <v>बी) स्वास्थ्य और युद्ध के लिए महत्वपूर्ण बिंदु</v>
      </c>
    </row>
    <row r="358" ht="22.5" customHeight="1">
      <c r="A358" s="9">
        <v>357.0</v>
      </c>
      <c r="B358" s="4" t="s">
        <v>9328</v>
      </c>
      <c r="C358" s="4" t="s">
        <v>9306</v>
      </c>
      <c r="D358" s="4" t="s">
        <v>9022</v>
      </c>
      <c r="F358" s="5" t="str">
        <f>IFERROR(__xludf.DUMMYFUNCTION("GOOGLETRANSLATE(A358, ""en"", ""Hi"")"),"357")</f>
        <v>357</v>
      </c>
      <c r="G358" s="5" t="str">
        <f>IFERROR(__xludf.DUMMYFUNCTION("GOOGLETRANSLATE(B358, ""en"", ""Hi"")"),"कलारीपयट्टु के विकास के लिए किस राजा का संरक्षण महत्वपूर्ण है?")</f>
        <v>कलारीपयट्टु के विकास के लिए किस राजा का संरक्षण महत्वपूर्ण है?</v>
      </c>
      <c r="H358" s="5" t="str">
        <f>IFERROR(__xludf.DUMMYFUNCTION("GOOGLETRANSLATE(C358, ""en"", ""Hi"")"),"ए) राजा राजा चोल, बी) अशोक, सी) चंद्रगुप्त मौर्य, डी) हर्ष")</f>
        <v>ए) राजा राजा चोल, बी) अशोक, सी) चंद्रगुप्त मौर्य, डी) हर्ष</v>
      </c>
      <c r="I358" s="5" t="str">
        <f>IFERROR(__xludf.DUMMYFUNCTION("GOOGLETRANSLATE(D358, ""en"", ""Hi"")"),"A) राजा राजा चोल")</f>
        <v>A) राजा राजा चोल</v>
      </c>
    </row>
    <row r="359" ht="22.5" customHeight="1">
      <c r="A359" s="9">
        <v>358.0</v>
      </c>
      <c r="B359" s="4" t="s">
        <v>9329</v>
      </c>
      <c r="C359" s="4" t="s">
        <v>8990</v>
      </c>
      <c r="D359" s="4" t="s">
        <v>8758</v>
      </c>
      <c r="F359" s="5" t="str">
        <f>IFERROR(__xludf.DUMMYFUNCTION("GOOGLETRANSLATE(A359, ""en"", ""Hi"")"),"358")</f>
        <v>358</v>
      </c>
      <c r="G359" s="5" t="str">
        <f>IFERROR(__xludf.DUMMYFUNCTION("GOOGLETRANSLATE(B359, ""en"", ""Hi"")"),"कलारीपयट्टू में किस अभ्यास में जटिल पैर की क्रिया और शरीर की गतिविधियां शामिल होती हैं?")</f>
        <v>कलारीपयट्टू में किस अभ्यास में जटिल पैर की क्रिया और शरीर की गतिविधियां शामिल होती हैं?</v>
      </c>
      <c r="H359" s="5" t="str">
        <f>IFERROR(__xludf.DUMMYFUNCTION("GOOGLETRANSLATE(C359, ""en"", ""Hi"")"),"ए) एडवस, बी) सिलंबम, सी) मीपायट्टु, डी) वेरुमकाई")</f>
        <v>ए) एडवस, बी) सिलंबम, सी) मीपायट्टु, डी) वेरुमकाई</v>
      </c>
      <c r="I359" s="5" t="str">
        <f>IFERROR(__xludf.DUMMYFUNCTION("GOOGLETRANSLATE(D359, ""en"", ""Hi"")"),"ए) एडवस")</f>
        <v>ए) एडवस</v>
      </c>
    </row>
    <row r="360" ht="22.5" customHeight="1">
      <c r="A360" s="9">
        <v>359.0</v>
      </c>
      <c r="B360" s="4" t="s">
        <v>9358</v>
      </c>
      <c r="C360" s="4" t="s">
        <v>9135</v>
      </c>
      <c r="D360" s="4" t="s">
        <v>2616</v>
      </c>
      <c r="F360" s="5" t="str">
        <f>IFERROR(__xludf.DUMMYFUNCTION("GOOGLETRANSLATE(A360, ""en"", ""Hi"")"),"359")</f>
        <v>359</v>
      </c>
      <c r="G360" s="5" t="str">
        <f>IFERROR(__xludf.DUMMYFUNCTION("GOOGLETRANSLATE(B360, ""en"", ""Hi"")"),"कलारीपयट्टू तकनीक को समझने के लिए कौन सा प्राचीन ग्रंथ महत्वपूर्ण है?")</f>
        <v>कलारीपयट्टू तकनीक को समझने के लिए कौन सा प्राचीन ग्रंथ महत्वपूर्ण है?</v>
      </c>
      <c r="H360" s="5" t="str">
        <f>IFERROR(__xludf.DUMMYFUNCTION("GOOGLETRANSLATE(C360, ""en"", ""Hi"")"),"ए) अर्थशास्त्र, बी) रामायण, सी) महाभारत, डी) वेद")</f>
        <v>ए) अर्थशास्त्र, बी) रामायण, सी) महाभारत, डी) वेद</v>
      </c>
      <c r="I360" s="5" t="str">
        <f>IFERROR(__xludf.DUMMYFUNCTION("GOOGLETRANSLATE(D360, ""en"", ""Hi"")"),"A) अर्थशास्त्र")</f>
        <v>A) अर्थशास्त्र</v>
      </c>
    </row>
    <row r="361" ht="22.5" customHeight="1">
      <c r="A361" s="9">
        <v>360.0</v>
      </c>
      <c r="B361" s="4" t="s">
        <v>9359</v>
      </c>
      <c r="C361" s="4" t="s">
        <v>9360</v>
      </c>
      <c r="D361" s="4" t="s">
        <v>9361</v>
      </c>
      <c r="F361" s="5" t="str">
        <f>IFERROR(__xludf.DUMMYFUNCTION("GOOGLETRANSLATE(A361, ""en"", ""Hi"")"),"360")</f>
        <v>360</v>
      </c>
      <c r="G361" s="5" t="str">
        <f>IFERROR(__xludf.DUMMYFUNCTION("GOOGLETRANSLATE(B361, ""en"", ""Hi"")"),"कलारीपयट्टू में 'अडावस' का प्राथमिक फोकस क्या है?")</f>
        <v>कलारीपयट्टू में 'अडावस' का प्राथमिक फोकस क्या है?</v>
      </c>
      <c r="H361" s="5" t="str">
        <f>IFERROR(__xludf.DUMMYFUNCTION("GOOGLETRANSLATE(C361, ""en"", ""Hi"")"),"A) युद्ध अभ्यास, B) हथियार संचालन, C) शारीरिक कंडीशनिंग, D) उपचार तकनीक")</f>
        <v>A) युद्ध अभ्यास, B) हथियार संचालन, C) शारीरिक कंडीशनिंग, D) उपचार तकनीक</v>
      </c>
      <c r="I361" s="5" t="str">
        <f>IFERROR(__xludf.DUMMYFUNCTION("GOOGLETRANSLATE(D361, ""en"", ""Hi"")"),"ए) युद्ध अभ्यास")</f>
        <v>ए) युद्ध अभ्यास</v>
      </c>
    </row>
    <row r="362" ht="22.5" customHeight="1">
      <c r="A362" s="9">
        <v>361.0</v>
      </c>
      <c r="B362" s="4" t="s">
        <v>8996</v>
      </c>
      <c r="C362" s="4" t="s">
        <v>4842</v>
      </c>
      <c r="D362" s="4" t="s">
        <v>4960</v>
      </c>
      <c r="F362" s="5" t="str">
        <f>IFERROR(__xludf.DUMMYFUNCTION("GOOGLETRANSLATE(A362, ""en"", ""Hi"")"),"361")</f>
        <v>361</v>
      </c>
      <c r="G362" s="5" t="str">
        <f>IFERROR(__xludf.DUMMYFUNCTION("GOOGLETRANSLATE(B362, ""en"", ""Hi"")"),"कलारीपयट्टू की उत्पत्ति किस भारतीय राज्य में हुई?")</f>
        <v>कलारीपयट्टू की उत्पत्ति किस भारतीय राज्य में हुई?</v>
      </c>
      <c r="H362" s="5" t="str">
        <f>IFERROR(__xludf.DUMMYFUNCTION("GOOGLETRANSLATE(C362, ""en"", ""Hi"")"),"A) तमिलनाडु, B) केरल, C) कर्नाटक, D) आंध्र प्रदेश")</f>
        <v>A) तमिलनाडु, B) केरल, C) कर्नाटक, D) आंध्र प्रदेश</v>
      </c>
      <c r="I362" s="5" t="str">
        <f>IFERROR(__xludf.DUMMYFUNCTION("GOOGLETRANSLATE(D362, ""en"", ""Hi"")"),"बी) केरल")</f>
        <v>बी) केरल</v>
      </c>
    </row>
    <row r="363" ht="22.5" customHeight="1">
      <c r="A363" s="9">
        <v>362.0</v>
      </c>
      <c r="B363" s="4" t="s">
        <v>9362</v>
      </c>
      <c r="C363" s="4" t="s">
        <v>9363</v>
      </c>
      <c r="D363" s="4" t="s">
        <v>9364</v>
      </c>
      <c r="F363" s="5" t="str">
        <f>IFERROR(__xludf.DUMMYFUNCTION("GOOGLETRANSLATE(A363, ""en"", ""Hi"")"),"362")</f>
        <v>362</v>
      </c>
      <c r="G363" s="5" t="str">
        <f>IFERROR(__xludf.DUMMYFUNCTION("GOOGLETRANSLATE(B363, ""en"", ""Hi"")"),"कलारीपयट्टु के संदर्भ में 'पिझिचिल' का क्या अर्थ है?")</f>
        <v>कलारीपयट्टु के संदर्भ में 'पिझिचिल' का क्या अर्थ है?</v>
      </c>
      <c r="H363" s="5" t="str">
        <f>IFERROR(__xludf.DUMMYFUNCTION("GOOGLETRANSLATE(C363, ""en"", ""Hi"")"),"A) एक प्रकार का हथियार, B) मालिश चिकित्सा का एक रूप, C) एक युद्ध तकनीक, D) एक पारंपरिक नृत्य")</f>
        <v>A) एक प्रकार का हथियार, B) मालिश चिकित्सा का एक रूप, C) एक युद्ध तकनीक, D) एक पारंपरिक नृत्य</v>
      </c>
      <c r="I363" s="5" t="str">
        <f>IFERROR(__xludf.DUMMYFUNCTION("GOOGLETRANSLATE(D363, ""en"", ""Hi"")"),"बी) मालिश चिकित्सा का एक रूप")</f>
        <v>बी) मालिश चिकित्सा का एक रूप</v>
      </c>
    </row>
    <row r="364" ht="22.5" customHeight="1">
      <c r="A364" s="9">
        <v>363.0</v>
      </c>
      <c r="B364" s="4" t="s">
        <v>9365</v>
      </c>
      <c r="C364" s="4" t="s">
        <v>9366</v>
      </c>
      <c r="D364" s="4" t="s">
        <v>8849</v>
      </c>
      <c r="F364" s="5" t="str">
        <f>IFERROR(__xludf.DUMMYFUNCTION("GOOGLETRANSLATE(A364, ""en"", ""Hi"")"),"363")</f>
        <v>363</v>
      </c>
      <c r="G364" s="5" t="str">
        <f>IFERROR(__xludf.DUMMYFUNCTION("GOOGLETRANSLATE(B364, ""en"", ""Hi"")"),"कलारीपयट्टू को एक व्यवस्थित मार्शल आर्ट के रूप में स्थापित करने का श्रेय किस राजवंश को दिया जाता है?")</f>
        <v>कलारीपयट्टू को एक व्यवस्थित मार्शल आर्ट के रूप में स्थापित करने का श्रेय किस राजवंश को दिया जाता है?</v>
      </c>
      <c r="H364" s="5" t="str">
        <f>IFERROR(__xludf.DUMMYFUNCTION("GOOGLETRANSLATE(C364, ""en"", ""Hi"")"),"A) चोल वंश, B) चेर वंश, C) पांड्य वंश, D) मौर्य वंश")</f>
        <v>A) चोल वंश, B) चेर वंश, C) पांड्य वंश, D) मौर्य वंश</v>
      </c>
      <c r="I364" s="5" t="str">
        <f>IFERROR(__xludf.DUMMYFUNCTION("GOOGLETRANSLATE(D364, ""en"", ""Hi"")"),"बी) चेर राजवंश")</f>
        <v>बी) चेर राजवंश</v>
      </c>
    </row>
    <row r="365" ht="22.5" customHeight="1">
      <c r="A365" s="9">
        <v>364.0</v>
      </c>
      <c r="B365" s="4" t="s">
        <v>9367</v>
      </c>
      <c r="C365" s="4" t="s">
        <v>9368</v>
      </c>
      <c r="D365" s="4" t="s">
        <v>9369</v>
      </c>
      <c r="F365" s="5" t="str">
        <f>IFERROR(__xludf.DUMMYFUNCTION("GOOGLETRANSLATE(A365, ""en"", ""Hi"")"),"364")</f>
        <v>364</v>
      </c>
      <c r="G365" s="5" t="str">
        <f>IFERROR(__xludf.DUMMYFUNCTION("GOOGLETRANSLATE(B365, ""en"", ""Hi"")"),"'कलारी' शब्द का अंग्रेजी में क्या अर्थ है?")</f>
        <v>'कलारी' शब्द का अंग्रेजी में क्या अर्थ है?</v>
      </c>
      <c r="H365" s="5" t="str">
        <f>IFERROR(__xludf.DUMMYFUNCTION("GOOGLETRANSLATE(C365, ""en"", ""Hi"")"),"A) योद्धा, B) प्रशिक्षण स्थल, C) हथियार, D) तकनीक")</f>
        <v>A) योद्धा, B) प्रशिक्षण स्थल, C) हथियार, D) तकनीक</v>
      </c>
      <c r="I365" s="5" t="str">
        <f>IFERROR(__xludf.DUMMYFUNCTION("GOOGLETRANSLATE(D365, ""en"", ""Hi"")"),"बी) प्रशिक्षण मैदान")</f>
        <v>बी) प्रशिक्षण मैदान</v>
      </c>
    </row>
    <row r="366" ht="22.5" customHeight="1">
      <c r="A366" s="9">
        <v>365.0</v>
      </c>
      <c r="B366" s="4" t="s">
        <v>9370</v>
      </c>
      <c r="C366" s="4" t="s">
        <v>9371</v>
      </c>
      <c r="D366" s="4" t="s">
        <v>8843</v>
      </c>
      <c r="F366" s="5" t="str">
        <f>IFERROR(__xludf.DUMMYFUNCTION("GOOGLETRANSLATE(A366, ""en"", ""Hi"")"),"365")</f>
        <v>365</v>
      </c>
      <c r="G366" s="5" t="str">
        <f>IFERROR(__xludf.DUMMYFUNCTION("GOOGLETRANSLATE(B366, ""en"", ""Hi"")"),"कौन सी कलारीपयट्टू तकनीक में लंबी छड़ी का उपयोग शामिल है?")</f>
        <v>कौन सी कलारीपयट्टू तकनीक में लंबी छड़ी का उपयोग शामिल है?</v>
      </c>
      <c r="H366" s="5" t="str">
        <f>IFERROR(__xludf.DUMMYFUNCTION("GOOGLETRANSLATE(C366, ""en"", ""Hi"")"),"ए) गदा, बी) तलवार, सी) सिलंबम, डी) खंजर")</f>
        <v>ए) गदा, बी) तलवार, सी) सिलंबम, डी) खंजर</v>
      </c>
      <c r="I366" s="5" t="str">
        <f>IFERROR(__xludf.DUMMYFUNCTION("GOOGLETRANSLATE(D366, ""en"", ""Hi"")"),"C) सिलंबम")</f>
        <v>C) सिलंबम</v>
      </c>
    </row>
    <row r="367" ht="22.5" customHeight="1">
      <c r="A367" s="9">
        <v>366.0</v>
      </c>
      <c r="B367" s="4" t="s">
        <v>9372</v>
      </c>
      <c r="C367" s="4" t="s">
        <v>9373</v>
      </c>
      <c r="D367" s="4" t="s">
        <v>3272</v>
      </c>
      <c r="F367" s="5" t="str">
        <f>IFERROR(__xludf.DUMMYFUNCTION("GOOGLETRANSLATE(A367, ""en"", ""Hi"")"),"366")</f>
        <v>366</v>
      </c>
      <c r="G367" s="5" t="str">
        <f>IFERROR(__xludf.DUMMYFUNCTION("GOOGLETRANSLATE(B367, ""en"", ""Hi"")"),"कौन सा प्राचीन ग्रंथ कलारीपयट्टू की तकनीक और इतिहास का वर्णन करता है?")</f>
        <v>कौन सा प्राचीन ग्रंथ कलारीपयट्टू की तकनीक और इतिहास का वर्णन करता है?</v>
      </c>
      <c r="H367" s="5" t="str">
        <f>IFERROR(__xludf.DUMMYFUNCTION("GOOGLETRANSLATE(C367, ""en"", ""Hi"")"),"ए) नाट्य शास्त्र, बी) अर्थशास्त्र, सी) योग सूत्र, डी) मनुस्मृति")</f>
        <v>ए) नाट्य शास्त्र, बी) अर्थशास्त्र, सी) योग सूत्र, डी) मनुस्मृति</v>
      </c>
      <c r="I367" s="5" t="str">
        <f>IFERROR(__xludf.DUMMYFUNCTION("GOOGLETRANSLATE(D367, ""en"", ""Hi"")"),"बी) अर्थशास्त्र")</f>
        <v>बी) अर्थशास्त्र</v>
      </c>
    </row>
    <row r="368" ht="22.5" customHeight="1">
      <c r="A368" s="9">
        <v>367.0</v>
      </c>
      <c r="B368" s="4" t="s">
        <v>9374</v>
      </c>
      <c r="C368" s="4" t="s">
        <v>9375</v>
      </c>
      <c r="D368" s="4" t="s">
        <v>9376</v>
      </c>
      <c r="F368" s="5" t="str">
        <f>IFERROR(__xludf.DUMMYFUNCTION("GOOGLETRANSLATE(A368, ""en"", ""Hi"")"),"367")</f>
        <v>367</v>
      </c>
      <c r="G368" s="5" t="str">
        <f>IFERROR(__xludf.DUMMYFUNCTION("GOOGLETRANSLATE(B368, ""en"", ""Hi"")"),"कलारीपयट्टु में 'चुवडु' क्या है?")</f>
        <v>कलारीपयट्टु में 'चुवडु' क्या है?</v>
      </c>
      <c r="H368" s="5" t="str">
        <f>IFERROR(__xludf.DUMMYFUNCTION("GOOGLETRANSLATE(C368, ""en"", ""Hi"")"),"A) एक हथियार प्रकार, B) एक युद्ध तकनीक, C) एक प्रशिक्षण सत्र, D) एक स्वास्थ्य अभ्यास")</f>
        <v>A) एक हथियार प्रकार, B) एक युद्ध तकनीक, C) एक प्रशिक्षण सत्र, D) एक स्वास्थ्य अभ्यास</v>
      </c>
      <c r="I368" s="5" t="str">
        <f>IFERROR(__xludf.DUMMYFUNCTION("GOOGLETRANSLATE(D368, ""en"", ""Hi"")"),"बी) एक युद्ध तकनीक")</f>
        <v>बी) एक युद्ध तकनीक</v>
      </c>
    </row>
    <row r="369" ht="22.5" customHeight="1">
      <c r="A369" s="9">
        <v>368.0</v>
      </c>
      <c r="B369" s="4" t="s">
        <v>9215</v>
      </c>
      <c r="C369" s="4" t="s">
        <v>9377</v>
      </c>
      <c r="D369" s="4" t="s">
        <v>9378</v>
      </c>
      <c r="F369" s="5" t="str">
        <f>IFERROR(__xludf.DUMMYFUNCTION("GOOGLETRANSLATE(A369, ""en"", ""Hi"")"),"368")</f>
        <v>368</v>
      </c>
      <c r="G369" s="5" t="str">
        <f>IFERROR(__xludf.DUMMYFUNCTION("GOOGLETRANSLATE(B369, ""en"", ""Hi"")"),"कलारीपयट्टू में 'मर्म शास्त्र' की क्या भूमिका है?")</f>
        <v>कलारीपयट्टू में 'मर्म शास्त्र' की क्या भूमिका है?</v>
      </c>
      <c r="H369" s="5" t="str">
        <f>IFERROR(__xludf.DUMMYFUNCTION("GOOGLETRANSLATE(C369, ""en"", ""Hi"")"),"A) हथियारों का प्रशिक्षण, B) महत्वपूर्ण बिंदुओं को समझना, C) उपचार विधियाँ, D) युद्ध रणनीतियाँ")</f>
        <v>A) हथियारों का प्रशिक्षण, B) महत्वपूर्ण बिंदुओं को समझना, C) उपचार विधियाँ, D) युद्ध रणनीतियाँ</v>
      </c>
      <c r="I369" s="5" t="str">
        <f>IFERROR(__xludf.DUMMYFUNCTION("GOOGLETRANSLATE(D369, ""en"", ""Hi"")"),"बी) महत्वपूर्ण बिंदुओं को समझना")</f>
        <v>बी) महत्वपूर्ण बिंदुओं को समझना</v>
      </c>
    </row>
    <row r="370" ht="22.5" customHeight="1">
      <c r="A370" s="9">
        <v>369.0</v>
      </c>
      <c r="B370" s="4" t="s">
        <v>9379</v>
      </c>
      <c r="C370" s="4" t="s">
        <v>9380</v>
      </c>
      <c r="D370" s="4" t="s">
        <v>8843</v>
      </c>
      <c r="F370" s="5" t="str">
        <f>IFERROR(__xludf.DUMMYFUNCTION("GOOGLETRANSLATE(A370, ""en"", ""Hi"")"),"369")</f>
        <v>369</v>
      </c>
      <c r="G370" s="5" t="str">
        <f>IFERROR(__xludf.DUMMYFUNCTION("GOOGLETRANSLATE(B370, ""en"", ""Hi"")"),"हथियारों पर ध्यान केंद्रित करने के कारण किस मार्शल आर्ट की तुलना अक्सर कलरीपयट्टू से की जाती है?")</f>
        <v>हथियारों पर ध्यान केंद्रित करने के कारण किस मार्शल आर्ट की तुलना अक्सर कलरीपयट्टू से की जाती है?</v>
      </c>
      <c r="H370" s="5" t="str">
        <f>IFERROR(__xludf.DUMMYFUNCTION("GOOGLETRANSLATE(C370, ""en"", ""Hi"")"),"ए) ताइक्वांडो, बी) जूडो, सी) सिलंबम, डी) कराटे")</f>
        <v>ए) ताइक्वांडो, बी) जूडो, सी) सिलंबम, डी) कराटे</v>
      </c>
      <c r="I370" s="5" t="str">
        <f>IFERROR(__xludf.DUMMYFUNCTION("GOOGLETRANSLATE(D370, ""en"", ""Hi"")"),"C) सिलंबम")</f>
        <v>C) सिलंबम</v>
      </c>
    </row>
    <row r="371" ht="22.5" customHeight="1">
      <c r="A371" s="9">
        <v>370.0</v>
      </c>
      <c r="B371" s="4" t="s">
        <v>9381</v>
      </c>
      <c r="C371" s="4" t="s">
        <v>9382</v>
      </c>
      <c r="D371" s="4" t="s">
        <v>9383</v>
      </c>
      <c r="F371" s="5" t="str">
        <f>IFERROR(__xludf.DUMMYFUNCTION("GOOGLETRANSLATE(A371, ""en"", ""Hi"")"),"370")</f>
        <v>370</v>
      </c>
      <c r="G371" s="5" t="str">
        <f>IFERROR(__xludf.DUMMYFUNCTION("GOOGLETRANSLATE(B371, ""en"", ""Hi"")"),"कलारीपयट्टू में 'मेइपायट्टू' शब्द का क्या अर्थ है?")</f>
        <v>कलारीपयट्टू में 'मेइपायट्टू' शब्द का क्या अर्थ है?</v>
      </c>
      <c r="H371" s="5" t="str">
        <f>IFERROR(__xludf.DUMMYFUNCTION("GOOGLETRANSLATE(C371, ""en"", ""Hi"")"),"A) निहत्थे युद्ध, B) हथियार प्रशिक्षण, C) स्वास्थ्य और लचीलेपन के अभ्यास, D) युद्ध तकनीक")</f>
        <v>A) निहत्थे युद्ध, B) हथियार प्रशिक्षण, C) स्वास्थ्य और लचीलेपन के अभ्यास, D) युद्ध तकनीक</v>
      </c>
      <c r="I371" s="5" t="str">
        <f>IFERROR(__xludf.DUMMYFUNCTION("GOOGLETRANSLATE(D371, ""en"", ""Hi"")"),"सी) स्वास्थ्य और लचीलेपन के व्यायाम")</f>
        <v>सी) स्वास्थ्य और लचीलेपन के व्यायाम</v>
      </c>
    </row>
    <row r="372" ht="22.5" customHeight="1">
      <c r="A372" s="9">
        <v>371.0</v>
      </c>
      <c r="B372" s="4" t="s">
        <v>9384</v>
      </c>
      <c r="C372" s="4" t="s">
        <v>9385</v>
      </c>
      <c r="D372" s="4" t="s">
        <v>8677</v>
      </c>
      <c r="F372" s="5" t="str">
        <f>IFERROR(__xludf.DUMMYFUNCTION("GOOGLETRANSLATE(A372, ""en"", ""Hi"")"),"371")</f>
        <v>371</v>
      </c>
      <c r="G372" s="5" t="str">
        <f>IFERROR(__xludf.DUMMYFUNCTION("GOOGLETRANSLATE(B372, ""en"", ""Hi"")"),"कलारीपयट्टू की उत्पत्ति के साथ अक्सर किस पौराणिक व्यक्ति को जोड़ा जाता है?")</f>
        <v>कलारीपयट्टू की उत्पत्ति के साथ अक्सर किस पौराणिक व्यक्ति को जोड़ा जाता है?</v>
      </c>
      <c r="H372" s="5" t="str">
        <f>IFERROR(__xludf.DUMMYFUNCTION("GOOGLETRANSLATE(C372, ""en"", ""Hi"")"),"A) विष्णु, B) शिव, C) ब्रह्मा, D) कृष्ण")</f>
        <v>A) विष्णु, B) शिव, C) ब्रह्मा, D) कृष्ण</v>
      </c>
      <c r="I372" s="5" t="str">
        <f>IFERROR(__xludf.DUMMYFUNCTION("GOOGLETRANSLATE(D372, ""en"", ""Hi"")"),"बी) शिव")</f>
        <v>बी) शिव</v>
      </c>
    </row>
    <row r="373" ht="22.5" customHeight="1">
      <c r="A373" s="9">
        <v>372.0</v>
      </c>
      <c r="B373" s="4" t="s">
        <v>9386</v>
      </c>
      <c r="C373" s="4" t="s">
        <v>9387</v>
      </c>
      <c r="D373" s="4" t="s">
        <v>9388</v>
      </c>
      <c r="F373" s="5" t="str">
        <f>IFERROR(__xludf.DUMMYFUNCTION("GOOGLETRANSLATE(A373, ""en"", ""Hi"")"),"372")</f>
        <v>372</v>
      </c>
      <c r="G373" s="5" t="str">
        <f>IFERROR(__xludf.DUMMYFUNCTION("GOOGLETRANSLATE(B373, ""en"", ""Hi"")"),"कलारीपयट्टू के अभ्यास में 'गुरु' का क्या महत्व है?")</f>
        <v>कलारीपयट्टू के अभ्यास में 'गुरु' का क्या महत्व है?</v>
      </c>
      <c r="H373" s="5" t="str">
        <f>IFERROR(__xludf.DUMMYFUNCTION("GOOGLETRANSLATE(C373, ""en"", ""Hi"")"),"A) छात्र, B) गुरु और शिक्षक, C) हथियार निर्माता, D) लड़ाकू")</f>
        <v>A) छात्र, B) गुरु और शिक्षक, C) हथियार निर्माता, D) लड़ाकू</v>
      </c>
      <c r="I373" s="5" t="str">
        <f>IFERROR(__xludf.DUMMYFUNCTION("GOOGLETRANSLATE(D373, ""en"", ""Hi"")"),"बी) संरक्षक और शिक्षक")</f>
        <v>बी) संरक्षक और शिक्षक</v>
      </c>
    </row>
    <row r="374" ht="22.5" customHeight="1">
      <c r="A374" s="9">
        <v>373.0</v>
      </c>
      <c r="B374" s="4" t="s">
        <v>9389</v>
      </c>
      <c r="C374" s="4" t="s">
        <v>9390</v>
      </c>
      <c r="D374" s="4" t="s">
        <v>2616</v>
      </c>
      <c r="F374" s="5" t="str">
        <f>IFERROR(__xludf.DUMMYFUNCTION("GOOGLETRANSLATE(A374, ""en"", ""Hi"")"),"373")</f>
        <v>373</v>
      </c>
      <c r="G374" s="5" t="str">
        <f>IFERROR(__xludf.DUMMYFUNCTION("GOOGLETRANSLATE(B374, ""en"", ""Hi"")"),"कौन सा प्राचीन ग्रंथ कलारीपयट्टू के अभ्यास से सबसे अधिक जुड़ा हुआ है?")</f>
        <v>कौन सा प्राचीन ग्रंथ कलारीपयट्टू के अभ्यास से सबसे अधिक जुड़ा हुआ है?</v>
      </c>
      <c r="H374" s="5" t="str">
        <f>IFERROR(__xludf.DUMMYFUNCTION("GOOGLETRANSLATE(C374, ""en"", ""Hi"")"),"ए) अर्थशास्त्र, बी) रामायण, सी) महाभारत, डी) उपनिषद")</f>
        <v>ए) अर्थशास्त्र, बी) रामायण, सी) महाभारत, डी) उपनिषद</v>
      </c>
      <c r="I374" s="5" t="str">
        <f>IFERROR(__xludf.DUMMYFUNCTION("GOOGLETRANSLATE(D374, ""en"", ""Hi"")"),"A) अर्थशास्त्र")</f>
        <v>A) अर्थशास्त्र</v>
      </c>
    </row>
    <row r="375" ht="22.5" customHeight="1">
      <c r="A375" s="9">
        <v>374.0</v>
      </c>
      <c r="B375" s="4" t="s">
        <v>9391</v>
      </c>
      <c r="C375" s="4" t="s">
        <v>9392</v>
      </c>
      <c r="D375" s="4" t="s">
        <v>9393</v>
      </c>
      <c r="F375" s="5" t="str">
        <f>IFERROR(__xludf.DUMMYFUNCTION("GOOGLETRANSLATE(A375, ""en"", ""Hi"")"),"374")</f>
        <v>374</v>
      </c>
      <c r="G375" s="5" t="str">
        <f>IFERROR(__xludf.DUMMYFUNCTION("GOOGLETRANSLATE(B375, ""en"", ""Hi"")"),"कलारीपयट्टू में 'अडावस' का क्या अर्थ है?")</f>
        <v>कलारीपयट्टू में 'अडावस' का क्या अर्थ है?</v>
      </c>
      <c r="H375" s="5" t="str">
        <f>IFERROR(__xludf.DUMMYFUNCTION("GOOGLETRANSLATE(C375, ""en"", ""Hi"")"),"ए) युद्ध क्रम, बी) हथियार रूप, सी) प्रशिक्षण अभ्यास, डी) उपचार तकनीक")</f>
        <v>ए) युद्ध क्रम, बी) हथियार रूप, सी) प्रशिक्षण अभ्यास, डी) उपचार तकनीक</v>
      </c>
      <c r="I375" s="5" t="str">
        <f>IFERROR(__xludf.DUMMYFUNCTION("GOOGLETRANSLATE(D375, ""en"", ""Hi"")"),"A) युद्ध अनुक्रम")</f>
        <v>A) युद्ध अनुक्रम</v>
      </c>
    </row>
    <row r="376" ht="22.5" customHeight="1">
      <c r="A376" s="9">
        <v>375.0</v>
      </c>
      <c r="B376" s="4" t="s">
        <v>9394</v>
      </c>
      <c r="C376" s="4" t="s">
        <v>9169</v>
      </c>
      <c r="D376" s="4" t="s">
        <v>9170</v>
      </c>
      <c r="F376" s="5" t="str">
        <f>IFERROR(__xludf.DUMMYFUNCTION("GOOGLETRANSLATE(A376, ""en"", ""Hi"")"),"375")</f>
        <v>375</v>
      </c>
      <c r="G376" s="5" t="str">
        <f>IFERROR(__xludf.DUMMYFUNCTION("GOOGLETRANSLATE(B376, ""en"", ""Hi"")"),"कौन सा भारतीय राजा कलारीपयट्टू के संरक्षण के लिए जाना जाता था?")</f>
        <v>कौन सा भारतीय राजा कलारीपयट्टू के संरक्षण के लिए जाना जाता था?</v>
      </c>
      <c r="H376" s="5" t="str">
        <f>IFERROR(__xludf.DUMMYFUNCTION("GOOGLETRANSLATE(C376, ""en"", ""Hi"")"),"ए) अशोक, बी) राजा राजा चोल, सी) चंद्रगुप्त मौर्य, डी) हर्ष")</f>
        <v>ए) अशोक, बी) राजा राजा चोल, सी) चंद्रगुप्त मौर्य, डी) हर्ष</v>
      </c>
      <c r="I376" s="5" t="str">
        <f>IFERROR(__xludf.DUMMYFUNCTION("GOOGLETRANSLATE(D376, ""en"", ""Hi"")"),"बी) राजा राज चोल")</f>
        <v>बी) राजा राज चोल</v>
      </c>
    </row>
    <row r="377" ht="22.5" customHeight="1">
      <c r="A377" s="9">
        <v>376.0</v>
      </c>
      <c r="B377" s="4" t="s">
        <v>9395</v>
      </c>
      <c r="C377" s="4" t="s">
        <v>9396</v>
      </c>
      <c r="D377" s="4" t="s">
        <v>9397</v>
      </c>
      <c r="F377" s="5" t="str">
        <f>IFERROR(__xludf.DUMMYFUNCTION("GOOGLETRANSLATE(A377, ""en"", ""Hi"")"),"376")</f>
        <v>376</v>
      </c>
      <c r="G377" s="5" t="str">
        <f>IFERROR(__xludf.DUMMYFUNCTION("GOOGLETRANSLATE(B377, ""en"", ""Hi"")"),"कलारीपयट्टु में, 'वेरुमकई' का क्या अर्थ है?")</f>
        <v>कलारीपयट्टु में, 'वेरुमकई' का क्या अर्थ है?</v>
      </c>
      <c r="H377" s="5" t="str">
        <f>IFERROR(__xludf.DUMMYFUNCTION("GOOGLETRANSLATE(C377, ""en"", ""Hi"")"),"A) निहत्थे युद्ध, B) हथियार प्रशिक्षण, C) शारीरिक कंडीशनिंग, D) उपचार तकनीक")</f>
        <v>A) निहत्थे युद्ध, B) हथियार प्रशिक्षण, C) शारीरिक कंडीशनिंग, D) उपचार तकनीक</v>
      </c>
      <c r="I377" s="5" t="str">
        <f>IFERROR(__xludf.DUMMYFUNCTION("GOOGLETRANSLATE(D377, ""en"", ""Hi"")"),"A) निहत्थे युद्ध")</f>
        <v>A) निहत्थे युद्ध</v>
      </c>
    </row>
    <row r="378" ht="22.5" customHeight="1">
      <c r="A378" s="9">
        <v>377.0</v>
      </c>
      <c r="B378" s="4" t="s">
        <v>9398</v>
      </c>
      <c r="C378" s="4" t="s">
        <v>9250</v>
      </c>
      <c r="D378" s="4" t="s">
        <v>9399</v>
      </c>
      <c r="F378" s="5" t="str">
        <f>IFERROR(__xludf.DUMMYFUNCTION("GOOGLETRANSLATE(A378, ""en"", ""Hi"")"),"377")</f>
        <v>377</v>
      </c>
      <c r="G378" s="5" t="str">
        <f>IFERROR(__xludf.DUMMYFUNCTION("GOOGLETRANSLATE(B378, ""en"", ""Hi"")"),"कौन सा कलारीपयट्टू अभ्यास शारीरिक कंडीशनिंग और लचीलेपन पर केंद्रित है?")</f>
        <v>कौन सा कलारीपयट्टू अभ्यास शारीरिक कंडीशनिंग और लचीलेपन पर केंद्रित है?</v>
      </c>
      <c r="H378" s="5" t="str">
        <f>IFERROR(__xludf.DUMMYFUNCTION("GOOGLETRANSLATE(C378, ""en"", ""Hi"")"),"ए) वेरुमकाई, बी) सिलंबम, सी) मीपायट्टु, डी) एडवस")</f>
        <v>ए) वेरुमकाई, बी) सिलंबम, सी) मीपायट्टु, डी) एडवस</v>
      </c>
      <c r="I378" s="5" t="str">
        <f>IFERROR(__xludf.DUMMYFUNCTION("GOOGLETRANSLATE(D378, ""en"", ""Hi"")"),"C) मेइपयट्टू")</f>
        <v>C) मेइपयट्टू</v>
      </c>
    </row>
    <row r="379" ht="22.5" customHeight="1">
      <c r="A379" s="9">
        <v>378.0</v>
      </c>
      <c r="B379" s="4" t="s">
        <v>9400</v>
      </c>
      <c r="C379" s="4" t="s">
        <v>9401</v>
      </c>
      <c r="D379" s="4" t="s">
        <v>9402</v>
      </c>
      <c r="F379" s="5" t="str">
        <f>IFERROR(__xludf.DUMMYFUNCTION("GOOGLETRANSLATE(A379, ""en"", ""Hi"")"),"378")</f>
        <v>378</v>
      </c>
      <c r="G379" s="5" t="str">
        <f>IFERROR(__xludf.DUMMYFUNCTION("GOOGLETRANSLATE(B379, ""en"", ""Hi"")"),"'सिलम्बम' प्रथा में किस हथियार का प्रमुखता से प्रयोग किया जाता है?")</f>
        <v>'सिलम्बम' प्रथा में किस हथियार का प्रमुखता से प्रयोग किया जाता है?</v>
      </c>
      <c r="H379" s="5" t="str">
        <f>IFERROR(__xludf.DUMMYFUNCTION("GOOGLETRANSLATE(C379, ""en"", ""Hi"")"),"A) तलवार, B) भाला, C) लंबी छड़ी, D) खंजर")</f>
        <v>A) तलवार, B) भाला, C) लंबी छड़ी, D) खंजर</v>
      </c>
      <c r="I379" s="5" t="str">
        <f>IFERROR(__xludf.DUMMYFUNCTION("GOOGLETRANSLATE(D379, ""en"", ""Hi"")"),"सी) लंबी छड़ी")</f>
        <v>सी) लंबी छड़ी</v>
      </c>
    </row>
    <row r="380" ht="22.5" customHeight="1">
      <c r="A380" s="9">
        <v>379.0</v>
      </c>
      <c r="B380" s="4" t="s">
        <v>9403</v>
      </c>
      <c r="C380" s="4" t="s">
        <v>9404</v>
      </c>
      <c r="D380" s="4" t="s">
        <v>9405</v>
      </c>
      <c r="F380" s="5" t="str">
        <f>IFERROR(__xludf.DUMMYFUNCTION("GOOGLETRANSLATE(A380, ""en"", ""Hi"")"),"379")</f>
        <v>379</v>
      </c>
      <c r="G380" s="5" t="str">
        <f>IFERROR(__xludf.DUMMYFUNCTION("GOOGLETRANSLATE(B380, ""en"", ""Hi"")"),"कलारीपयट्टु के संदर्भ में 'मर्म' का तात्पर्य क्या है?")</f>
        <v>कलारीपयट्टु के संदर्भ में 'मर्म' का तात्पर्य क्या है?</v>
      </c>
      <c r="H380" s="5" t="str">
        <f>IFERROR(__xludf.DUMMYFUNCTION("GOOGLETRANSLATE(C380, ""en"", ""Hi"")"),"A) महत्वपूर्ण बिंदु, B) हथियार तकनीक, C) युद्ध रणनीतियाँ, D) शारीरिक व्यायाम")</f>
        <v>A) महत्वपूर्ण बिंदु, B) हथियार तकनीक, C) युद्ध रणनीतियाँ, D) शारीरिक व्यायाम</v>
      </c>
      <c r="I380" s="5" t="str">
        <f>IFERROR(__xludf.DUMMYFUNCTION("GOOGLETRANSLATE(D380, ""en"", ""Hi"")"),"ए) महत्वपूर्ण बिंदु")</f>
        <v>ए) महत्वपूर्ण बिंदु</v>
      </c>
    </row>
    <row r="381" ht="22.5" customHeight="1">
      <c r="A381" s="9">
        <v>380.0</v>
      </c>
      <c r="B381" s="4" t="s">
        <v>9406</v>
      </c>
      <c r="C381" s="4" t="s">
        <v>9407</v>
      </c>
      <c r="D381" s="4" t="s">
        <v>9369</v>
      </c>
      <c r="F381" s="5" t="str">
        <f>IFERROR(__xludf.DUMMYFUNCTION("GOOGLETRANSLATE(A381, ""en"", ""Hi"")"),"380")</f>
        <v>380</v>
      </c>
      <c r="G381" s="5" t="str">
        <f>IFERROR(__xludf.DUMMYFUNCTION("GOOGLETRANSLATE(B381, ""en"", ""Hi"")"),"कलारीपयट्टू में 'कलारी' का प्राथमिक उद्देश्य क्या है?")</f>
        <v>कलारीपयट्टू में 'कलारी' का प्राथमिक उद्देश्य क्या है?</v>
      </c>
      <c r="H381" s="5" t="str">
        <f>IFERROR(__xludf.DUMMYFUNCTION("GOOGLETRANSLATE(C381, ""en"", ""Hi"")"),"A) हथियार भंडारण, B) प्रशिक्षण मैदान, C) चिकित्सा केंद्र, D) युद्ध क्षेत्र")</f>
        <v>A) हथियार भंडारण, B) प्रशिक्षण मैदान, C) चिकित्सा केंद्र, D) युद्ध क्षेत्र</v>
      </c>
      <c r="I381" s="5" t="str">
        <f>IFERROR(__xludf.DUMMYFUNCTION("GOOGLETRANSLATE(D381, ""en"", ""Hi"")"),"बी) प्रशिक्षण मैदान")</f>
        <v>बी) प्रशिक्षण मैदान</v>
      </c>
    </row>
    <row r="382" ht="22.5" customHeight="1">
      <c r="A382" s="9">
        <v>381.0</v>
      </c>
      <c r="B382" s="4" t="s">
        <v>9408</v>
      </c>
      <c r="C382" s="4" t="s">
        <v>9409</v>
      </c>
      <c r="D382" s="4" t="s">
        <v>8775</v>
      </c>
      <c r="F382" s="5" t="str">
        <f>IFERROR(__xludf.DUMMYFUNCTION("GOOGLETRANSLATE(A382, ""en"", ""Hi"")"),"381")</f>
        <v>381</v>
      </c>
      <c r="G382" s="5" t="str">
        <f>IFERROR(__xludf.DUMMYFUNCTION("GOOGLETRANSLATE(B382, ""en"", ""Hi"")"),"कलारीपयट्टु में 'चुवडु' का क्या मतलब है?")</f>
        <v>कलारीपयट्टु में 'चुवडु' का क्या मतलब है?</v>
      </c>
      <c r="H382" s="5" t="str">
        <f>IFERROR(__xludf.DUMMYFUNCTION("GOOGLETRANSLATE(C382, ""en"", ""Hi"")"),"A) निहत्थे युद्ध, B) हथियार चलाना, C) युद्ध तकनीक, D) स्वास्थ्य अभ्यास")</f>
        <v>A) निहत्थे युद्ध, B) हथियार चलाना, C) युद्ध तकनीक, D) स्वास्थ्य अभ्यास</v>
      </c>
      <c r="I382" s="5" t="str">
        <f>IFERROR(__xludf.DUMMYFUNCTION("GOOGLETRANSLATE(D382, ""en"", ""Hi"")"),"C) युद्ध तकनीकें")</f>
        <v>C) युद्ध तकनीकें</v>
      </c>
    </row>
    <row r="383" ht="22.5" customHeight="1">
      <c r="A383" s="9">
        <v>382.0</v>
      </c>
      <c r="B383" s="4" t="s">
        <v>9325</v>
      </c>
      <c r="C383" s="4" t="s">
        <v>4611</v>
      </c>
      <c r="D383" s="4" t="s">
        <v>9244</v>
      </c>
      <c r="F383" s="5" t="str">
        <f>IFERROR(__xludf.DUMMYFUNCTION("GOOGLETRANSLATE(A383, ""en"", ""Hi"")"),"382")</f>
        <v>382</v>
      </c>
      <c r="G383" s="5" t="str">
        <f>IFERROR(__xludf.DUMMYFUNCTION("GOOGLETRANSLATE(B383, ""en"", ""Hi"")"),"कलारीपयट्टु के शोधन के लिए कौन सा ऐतिहासिक काल जाना जाता है?")</f>
        <v>कलारीपयट्टु के शोधन के लिए कौन सा ऐतिहासिक काल जाना जाता है?</v>
      </c>
      <c r="H383" s="5" t="str">
        <f>IFERROR(__xludf.DUMMYFUNCTION("GOOGLETRANSLATE(C383, ""en"", ""Hi"")"),"A) प्राचीन काल, B) मध्यकाल, C) औपनिवेशिक काल, D) आधुनिक काल")</f>
        <v>A) प्राचीन काल, B) मध्यकाल, C) औपनिवेशिक काल, D) आधुनिक काल</v>
      </c>
      <c r="I383" s="5" t="str">
        <f>IFERROR(__xludf.DUMMYFUNCTION("GOOGLETRANSLATE(D383, ""en"", ""Hi"")"),"A) प्राचीन काल")</f>
        <v>A) प्राचीन काल</v>
      </c>
    </row>
    <row r="384" ht="22.5" customHeight="1">
      <c r="A384" s="9">
        <v>383.0</v>
      </c>
      <c r="B384" s="4" t="s">
        <v>9410</v>
      </c>
      <c r="C384" s="4" t="s">
        <v>9411</v>
      </c>
      <c r="D384" s="4" t="s">
        <v>9412</v>
      </c>
      <c r="F384" s="5" t="str">
        <f>IFERROR(__xludf.DUMMYFUNCTION("GOOGLETRANSLATE(A384, ""en"", ""Hi"")"),"383")</f>
        <v>383</v>
      </c>
      <c r="G384" s="5" t="str">
        <f>IFERROR(__xludf.DUMMYFUNCTION("GOOGLETRANSLATE(B384, ""en"", ""Hi"")"),"कलारीपयट्टू में 'मर्म शास्त्र' किस पर केंद्रित है?")</f>
        <v>कलारीपयट्टू में 'मर्म शास्त्र' किस पर केंद्रित है?</v>
      </c>
      <c r="H384" s="5" t="str">
        <f>IFERROR(__xludf.DUMMYFUNCTION("GOOGLETRANSLATE(C384, ""en"", ""Hi"")"),"A) युद्ध तकनीकें, B) उपचार विधियाँ, C) युद्ध के लिए महत्वपूर्ण बिंदु, D) हथियार संचालन")</f>
        <v>A) युद्ध तकनीकें, B) उपचार विधियाँ, C) युद्ध के लिए महत्वपूर्ण बिंदु, D) हथियार संचालन</v>
      </c>
      <c r="I384" s="5" t="str">
        <f>IFERROR(__xludf.DUMMYFUNCTION("GOOGLETRANSLATE(D384, ""en"", ""Hi"")"),"C) युद्ध के लिए महत्वपूर्ण बिंदु")</f>
        <v>C) युद्ध के लिए महत्वपूर्ण बिंदु</v>
      </c>
    </row>
    <row r="385" ht="22.5" customHeight="1">
      <c r="A385" s="9">
        <v>384.0</v>
      </c>
      <c r="B385" s="4" t="s">
        <v>9413</v>
      </c>
      <c r="C385" s="4" t="s">
        <v>9414</v>
      </c>
      <c r="D385" s="4" t="s">
        <v>2616</v>
      </c>
      <c r="F385" s="5" t="str">
        <f>IFERROR(__xludf.DUMMYFUNCTION("GOOGLETRANSLATE(A385, ""en"", ""Hi"")"),"384")</f>
        <v>384</v>
      </c>
      <c r="G385" s="5" t="str">
        <f>IFERROR(__xludf.DUMMYFUNCTION("GOOGLETRANSLATE(B385, ""en"", ""Hi"")"),"कलारीपयट्टू की ऐतिहासिक तकनीकों को समझने के लिए कौन सा ग्रंथ महत्वपूर्ण है?")</f>
        <v>कलारीपयट्टू की ऐतिहासिक तकनीकों को समझने के लिए कौन सा ग्रंथ महत्वपूर्ण है?</v>
      </c>
      <c r="H385" s="5" t="str">
        <f>IFERROR(__xludf.DUMMYFUNCTION("GOOGLETRANSLATE(C385, ""en"", ""Hi"")"),"ए) अर्थशास्त्र, बी) भगवद गीता, सी) रामायण, डी) महाभारत")</f>
        <v>ए) अर्थशास्त्र, बी) भगवद गीता, सी) रामायण, डी) महाभारत</v>
      </c>
      <c r="I385" s="5" t="str">
        <f>IFERROR(__xludf.DUMMYFUNCTION("GOOGLETRANSLATE(D385, ""en"", ""Hi"")"),"A) अर्थशास्त्र")</f>
        <v>A) अर्थशास्त्र</v>
      </c>
    </row>
    <row r="386" ht="22.5" customHeight="1">
      <c r="A386" s="9">
        <v>385.0</v>
      </c>
      <c r="B386" s="4" t="s">
        <v>9415</v>
      </c>
      <c r="C386" s="4" t="s">
        <v>9416</v>
      </c>
      <c r="D386" s="4" t="s">
        <v>9388</v>
      </c>
      <c r="F386" s="5" t="str">
        <f>IFERROR(__xludf.DUMMYFUNCTION("GOOGLETRANSLATE(A386, ""en"", ""Hi"")"),"385")</f>
        <v>385</v>
      </c>
      <c r="G386" s="5" t="str">
        <f>IFERROR(__xludf.DUMMYFUNCTION("GOOGLETRANSLATE(B386, ""en"", ""Hi"")"),"कलारीपयट्टू प्रशिक्षण में 'गुरु' की क्या भूमिका है?")</f>
        <v>कलारीपयट्टू प्रशिक्षण में 'गुरु' की क्या भूमिका है?</v>
      </c>
      <c r="H386" s="5" t="str">
        <f>IFERROR(__xludf.DUMMYFUNCTION("GOOGLETRANSLATE(C386, ""en"", ""Hi"")"),"A) योद्धा, B) गुरु और शिक्षक, C) हथियार निर्माता, D) छात्र")</f>
        <v>A) योद्धा, B) गुरु और शिक्षक, C) हथियार निर्माता, D) छात्र</v>
      </c>
      <c r="I386" s="5" t="str">
        <f>IFERROR(__xludf.DUMMYFUNCTION("GOOGLETRANSLATE(D386, ""en"", ""Hi"")"),"बी) संरक्षक और शिक्षक")</f>
        <v>बी) संरक्षक और शिक्षक</v>
      </c>
    </row>
    <row r="387" ht="22.5" customHeight="1">
      <c r="A387" s="9">
        <v>386.0</v>
      </c>
      <c r="B387" s="4" t="s">
        <v>9417</v>
      </c>
      <c r="C387" s="4" t="s">
        <v>8990</v>
      </c>
      <c r="D387" s="4" t="s">
        <v>8758</v>
      </c>
      <c r="F387" s="5" t="str">
        <f>IFERROR(__xludf.DUMMYFUNCTION("GOOGLETRANSLATE(A387, ""en"", ""Hi"")"),"386")</f>
        <v>386</v>
      </c>
      <c r="G387" s="5" t="str">
        <f>IFERROR(__xludf.DUMMYFUNCTION("GOOGLETRANSLATE(B387, ""en"", ""Hi"")"),"कौन सी कलारीपयट्टू प्रथा में जटिल पैरों की क्रिया और शरीर की गतिविधियां शामिल होती हैं?")</f>
        <v>कौन सी कलारीपयट्टू प्रथा में जटिल पैरों की क्रिया और शरीर की गतिविधियां शामिल होती हैं?</v>
      </c>
      <c r="H387" s="5" t="str">
        <f>IFERROR(__xludf.DUMMYFUNCTION("GOOGLETRANSLATE(C387, ""en"", ""Hi"")"),"ए) एडवस, बी) सिलंबम, सी) मीपायट्टु, डी) वेरुमकाई")</f>
        <v>ए) एडवस, बी) सिलंबम, सी) मीपायट्टु, डी) वेरुमकाई</v>
      </c>
      <c r="I387" s="5" t="str">
        <f>IFERROR(__xludf.DUMMYFUNCTION("GOOGLETRANSLATE(D387, ""en"", ""Hi"")"),"ए) एडवस")</f>
        <v>ए) एडवस</v>
      </c>
    </row>
    <row r="388" ht="22.5" customHeight="1">
      <c r="A388" s="9">
        <v>387.0</v>
      </c>
      <c r="B388" s="4" t="s">
        <v>9183</v>
      </c>
      <c r="C388" s="4" t="s">
        <v>9418</v>
      </c>
      <c r="D388" s="4" t="s">
        <v>9419</v>
      </c>
      <c r="F388" s="5" t="str">
        <f>IFERROR(__xludf.DUMMYFUNCTION("GOOGLETRANSLATE(A388, ""en"", ""Hi"")"),"387")</f>
        <v>387</v>
      </c>
      <c r="G388" s="5" t="str">
        <f>IFERROR(__xludf.DUMMYFUNCTION("GOOGLETRANSLATE(B388, ""en"", ""Hi"")"),"कलारीपयट्टू में 'मीपायट्टू' किस पर केंद्रित है?")</f>
        <v>कलारीपयट्टू में 'मीपायट्टू' किस पर केंद्रित है?</v>
      </c>
      <c r="H388" s="5" t="str">
        <f>IFERROR(__xludf.DUMMYFUNCTION("GOOGLETRANSLATE(C388, ""en"", ""Hi"")"),"A) शारीरिक कंडीशनिंग, B) हथियार प्रशिक्षण, C) युद्ध तकनीक, D) उपचार")</f>
        <v>A) शारीरिक कंडीशनिंग, B) हथियार प्रशिक्षण, C) युद्ध तकनीक, D) उपचार</v>
      </c>
      <c r="I388" s="5" t="str">
        <f>IFERROR(__xludf.DUMMYFUNCTION("GOOGLETRANSLATE(D388, ""en"", ""Hi"")"),"A) शारीरिक कंडीशनिंग")</f>
        <v>A) शारीरिक कंडीशनिंग</v>
      </c>
    </row>
    <row r="389" ht="22.5" customHeight="1">
      <c r="A389" s="9">
        <v>388.0</v>
      </c>
      <c r="B389" s="4" t="s">
        <v>9420</v>
      </c>
      <c r="C389" s="4" t="s">
        <v>9306</v>
      </c>
      <c r="D389" s="4" t="s">
        <v>9022</v>
      </c>
      <c r="F389" s="5" t="str">
        <f>IFERROR(__xludf.DUMMYFUNCTION("GOOGLETRANSLATE(A389, ""en"", ""Hi"")"),"388")</f>
        <v>388</v>
      </c>
      <c r="G389" s="5" t="str">
        <f>IFERROR(__xludf.DUMMYFUNCTION("GOOGLETRANSLATE(B389, ""en"", ""Hi"")"),"कलारीपयट्टू के विकास में किस राजा का सहयोग महत्वपूर्ण था?")</f>
        <v>कलारीपयट्टू के विकास में किस राजा का सहयोग महत्वपूर्ण था?</v>
      </c>
      <c r="H389" s="5" t="str">
        <f>IFERROR(__xludf.DUMMYFUNCTION("GOOGLETRANSLATE(C389, ""en"", ""Hi"")"),"ए) राजा राजा चोल, बी) अशोक, सी) चंद्रगुप्त मौर्य, डी) हर्ष")</f>
        <v>ए) राजा राजा चोल, बी) अशोक, सी) चंद्रगुप्त मौर्य, डी) हर्ष</v>
      </c>
      <c r="I389" s="5" t="str">
        <f>IFERROR(__xludf.DUMMYFUNCTION("GOOGLETRANSLATE(D389, ""en"", ""Hi"")"),"A) राजा राजा चोल")</f>
        <v>A) राजा राजा चोल</v>
      </c>
    </row>
    <row r="390" ht="22.5" customHeight="1">
      <c r="A390" s="9">
        <v>389.0</v>
      </c>
      <c r="B390" s="4" t="s">
        <v>9421</v>
      </c>
      <c r="C390" s="4" t="s">
        <v>9270</v>
      </c>
      <c r="D390" s="4" t="s">
        <v>8803</v>
      </c>
      <c r="F390" s="5" t="str">
        <f>IFERROR(__xludf.DUMMYFUNCTION("GOOGLETRANSLATE(A390, ""en"", ""Hi"")"),"389")</f>
        <v>389</v>
      </c>
      <c r="G390" s="5" t="str">
        <f>IFERROR(__xludf.DUMMYFUNCTION("GOOGLETRANSLATE(B390, ""en"", ""Hi"")"),"कौन सी कलारीपयट्टू प्रथा में लंबी छड़ी के उपयोग पर जोर दिया जाता है?")</f>
        <v>कौन सी कलारीपयट्टू प्रथा में लंबी छड़ी के उपयोग पर जोर दिया जाता है?</v>
      </c>
      <c r="H390" s="5" t="str">
        <f>IFERROR(__xludf.DUMMYFUNCTION("GOOGLETRANSLATE(C390, ""en"", ""Hi"")"),"ए) सिलंबम, बी) मीपायट्टु, सी) वेरुमकाई, डी) एडवस")</f>
        <v>ए) सिलंबम, बी) मीपायट्टु, सी) वेरुमकाई, डी) एडवस</v>
      </c>
      <c r="I390" s="5" t="str">
        <f>IFERROR(__xludf.DUMMYFUNCTION("GOOGLETRANSLATE(D390, ""en"", ""Hi"")"),"ए) सिलंबम")</f>
        <v>ए) सिलंबम</v>
      </c>
    </row>
    <row r="391" ht="22.5" customHeight="1">
      <c r="A391" s="9">
        <v>390.0</v>
      </c>
      <c r="B391" s="4" t="s">
        <v>9296</v>
      </c>
      <c r="C391" s="4" t="s">
        <v>9422</v>
      </c>
      <c r="D391" s="4" t="s">
        <v>8668</v>
      </c>
      <c r="F391" s="5" t="str">
        <f>IFERROR(__xludf.DUMMYFUNCTION("GOOGLETRANSLATE(A391, ""en"", ""Hi"")"),"390")</f>
        <v>390</v>
      </c>
      <c r="G391" s="5" t="str">
        <f>IFERROR(__xludf.DUMMYFUNCTION("GOOGLETRANSLATE(B391, ""en"", ""Hi"")"),"कलारीपयट्टू में 'कलारी' का क्या महत्व है?")</f>
        <v>कलारीपयट्टू में 'कलारी' का क्या महत्व है?</v>
      </c>
      <c r="H391" s="5" t="str">
        <f>IFERROR(__xludf.DUMMYFUNCTION("GOOGLETRANSLATE(C391, ""en"", ""Hi"")"),"A) हथियार का प्रकार, B) युद्ध तकनीक, C) प्रशिक्षण मैदान, D) स्वास्थ्य अभ्यास")</f>
        <v>A) हथियार का प्रकार, B) युद्ध तकनीक, C) प्रशिक्षण मैदान, D) स्वास्थ्य अभ्यास</v>
      </c>
      <c r="I391" s="5" t="str">
        <f>IFERROR(__xludf.DUMMYFUNCTION("GOOGLETRANSLATE(D391, ""en"", ""Hi"")"),"सी) प्रशिक्षण मैदान")</f>
        <v>सी) प्रशिक्षण मैदान</v>
      </c>
    </row>
    <row r="392" ht="22.5" customHeight="1">
      <c r="A392" s="9">
        <v>391.0</v>
      </c>
      <c r="B392" s="4" t="s">
        <v>9322</v>
      </c>
      <c r="C392" s="4" t="s">
        <v>9356</v>
      </c>
      <c r="D392" s="4" t="s">
        <v>9173</v>
      </c>
      <c r="F392" s="5" t="str">
        <f>IFERROR(__xludf.DUMMYFUNCTION("GOOGLETRANSLATE(A392, ""en"", ""Hi"")"),"391")</f>
        <v>391</v>
      </c>
      <c r="G392" s="5" t="str">
        <f>IFERROR(__xludf.DUMMYFUNCTION("GOOGLETRANSLATE(B392, ""en"", ""Hi"")"),"कलारीपयट्टू में 'सिलम्बम' का प्राथमिक केंद्र क्या है?")</f>
        <v>कलारीपयट्टू में 'सिलम्बम' का प्राथमिक केंद्र क्या है?</v>
      </c>
      <c r="H392" s="5" t="str">
        <f>IFERROR(__xludf.DUMMYFUNCTION("GOOGLETRANSLATE(C392, ""en"", ""Hi"")"),"A) हथियार चलाना, B) निहत्थे युद्ध, C) शारीरिक कंडीशनिंग, D) उपचार")</f>
        <v>A) हथियार चलाना, B) निहत्थे युद्ध, C) शारीरिक कंडीशनिंग, D) उपचार</v>
      </c>
      <c r="I392" s="5" t="str">
        <f>IFERROR(__xludf.DUMMYFUNCTION("GOOGLETRANSLATE(D392, ""en"", ""Hi"")"),"A) हथियार संचालन")</f>
        <v>A) हथियार संचालन</v>
      </c>
    </row>
    <row r="393" ht="22.5" customHeight="1">
      <c r="A393" s="9">
        <v>392.0</v>
      </c>
      <c r="B393" s="4" t="s">
        <v>9423</v>
      </c>
      <c r="C393" s="4" t="s">
        <v>9327</v>
      </c>
      <c r="D393" s="4" t="s">
        <v>9217</v>
      </c>
      <c r="F393" s="5" t="str">
        <f>IFERROR(__xludf.DUMMYFUNCTION("GOOGLETRANSLATE(A393, ""en"", ""Hi"")"),"392")</f>
        <v>392</v>
      </c>
      <c r="G393" s="5" t="str">
        <f>IFERROR(__xludf.DUMMYFUNCTION("GOOGLETRANSLATE(B393, ""en"", ""Hi"")"),"कलारीपयट्टू में 'मर्म' का क्या मतलब है?")</f>
        <v>कलारीपयट्टू में 'मर्म' का क्या मतलब है?</v>
      </c>
      <c r="H393" s="5" t="str">
        <f>IFERROR(__xludf.DUMMYFUNCTION("GOOGLETRANSLATE(C393, ""en"", ""Hi"")"),"ए) युद्ध तकनीक, बी) स्वास्थ्य और युद्ध के लिए महत्वपूर्ण बिंदु, सी) हथियार के प्रकार, डी) शारीरिक कंडीशनिंग")</f>
        <v>ए) युद्ध तकनीक, बी) स्वास्थ्य और युद्ध के लिए महत्वपूर्ण बिंदु, सी) हथियार के प्रकार, डी) शारीरिक कंडीशनिंग</v>
      </c>
      <c r="I393" s="5" t="str">
        <f>IFERROR(__xludf.DUMMYFUNCTION("GOOGLETRANSLATE(D393, ""en"", ""Hi"")"),"बी) स्वास्थ्य और युद्ध के लिए महत्वपूर्ण बिंदु")</f>
        <v>बी) स्वास्थ्य और युद्ध के लिए महत्वपूर्ण बिंदु</v>
      </c>
    </row>
    <row r="394" ht="22.5" customHeight="1">
      <c r="A394" s="9">
        <v>393.0</v>
      </c>
      <c r="B394" s="4" t="s">
        <v>9424</v>
      </c>
      <c r="C394" s="4" t="s">
        <v>9425</v>
      </c>
      <c r="D394" s="4" t="s">
        <v>2616</v>
      </c>
      <c r="F394" s="5" t="str">
        <f>IFERROR(__xludf.DUMMYFUNCTION("GOOGLETRANSLATE(A394, ""en"", ""Hi"")"),"393")</f>
        <v>393</v>
      </c>
      <c r="G394" s="5" t="str">
        <f>IFERROR(__xludf.DUMMYFUNCTION("GOOGLETRANSLATE(B394, ""en"", ""Hi"")"),"कौन सा ग्रंथ कलारीपयट्टू तकनीक और इतिहास से सबसे अधिक जुड़ा हुआ है?")</f>
        <v>कौन सा ग्रंथ कलारीपयट्टू तकनीक और इतिहास से सबसे अधिक जुड़ा हुआ है?</v>
      </c>
      <c r="H394" s="5" t="str">
        <f>IFERROR(__xludf.DUMMYFUNCTION("GOOGLETRANSLATE(C394, ""en"", ""Hi"")"),"ए) अर्थशास्त्र, बी) रामायण, सी) योग सूत्र, डी) उपनिषद")</f>
        <v>ए) अर्थशास्त्र, बी) रामायण, सी) योग सूत्र, डी) उपनिषद</v>
      </c>
      <c r="I394" s="5" t="str">
        <f>IFERROR(__xludf.DUMMYFUNCTION("GOOGLETRANSLATE(D394, ""en"", ""Hi"")"),"A) अर्थशास्त्र")</f>
        <v>A) अर्थशास्त्र</v>
      </c>
    </row>
    <row r="395" ht="22.5" customHeight="1">
      <c r="A395" s="9">
        <v>394.0</v>
      </c>
      <c r="B395" s="4" t="s">
        <v>9426</v>
      </c>
      <c r="C395" s="4" t="s">
        <v>9427</v>
      </c>
      <c r="D395" s="4" t="s">
        <v>9428</v>
      </c>
      <c r="F395" s="5" t="str">
        <f>IFERROR(__xludf.DUMMYFUNCTION("GOOGLETRANSLATE(A395, ""en"", ""Hi"")"),"394")</f>
        <v>394</v>
      </c>
      <c r="G395" s="5" t="str">
        <f>IFERROR(__xludf.DUMMYFUNCTION("GOOGLETRANSLATE(B395, ""en"", ""Hi"")"),"कलारीपयट्टु में 'चुवडु' का क्या अर्थ है?")</f>
        <v>कलारीपयट्टु में 'चुवडु' का क्या अर्थ है?</v>
      </c>
      <c r="H395" s="5" t="str">
        <f>IFERROR(__xludf.DUMMYFUNCTION("GOOGLETRANSLATE(C395, ""en"", ""Hi"")"),"A) युद्ध तकनीक, B) हथियार प्रशिक्षण, C) स्वास्थ्य अभ्यास, D) प्रशिक्षण अभ्यास")</f>
        <v>A) युद्ध तकनीक, B) हथियार प्रशिक्षण, C) स्वास्थ्य अभ्यास, D) प्रशिक्षण अभ्यास</v>
      </c>
      <c r="I395" s="5" t="str">
        <f>IFERROR(__xludf.DUMMYFUNCTION("GOOGLETRANSLATE(D395, ""en"", ""Hi"")"),"A) युद्ध तकनीक")</f>
        <v>A) युद्ध तकनीक</v>
      </c>
    </row>
    <row r="396" ht="22.5" customHeight="1">
      <c r="A396" s="9">
        <v>395.0</v>
      </c>
      <c r="B396" s="4" t="s">
        <v>9429</v>
      </c>
      <c r="C396" s="4" t="s">
        <v>9430</v>
      </c>
      <c r="D396" s="4" t="s">
        <v>8993</v>
      </c>
      <c r="F396" s="5" t="str">
        <f>IFERROR(__xludf.DUMMYFUNCTION("GOOGLETRANSLATE(A396, ""en"", ""Hi"")"),"395")</f>
        <v>395</v>
      </c>
      <c r="G396" s="5" t="str">
        <f>IFERROR(__xludf.DUMMYFUNCTION("GOOGLETRANSLATE(B396, ""en"", ""Hi"")"),"कलारीपयट्टू में 'मीपयट्टू' की क्या भूमिका है?")</f>
        <v>कलारीपयट्टू में 'मीपयट्टू' की क्या भूमिका है?</v>
      </c>
      <c r="H396" s="5" t="str">
        <f>IFERROR(__xludf.DUMMYFUNCTION("GOOGLETRANSLATE(C396, ""en"", ""Hi"")"),"A) हथियार प्रशिक्षण, B) शारीरिक कंडीशनिंग, C) युद्ध तकनीक, D) उपचार विधियाँ")</f>
        <v>A) हथियार प्रशिक्षण, B) शारीरिक कंडीशनिंग, C) युद्ध तकनीक, D) उपचार विधियाँ</v>
      </c>
      <c r="I396" s="5" t="str">
        <f>IFERROR(__xludf.DUMMYFUNCTION("GOOGLETRANSLATE(D396, ""en"", ""Hi"")"),"बी) शारीरिक कंडीशनिंग")</f>
        <v>बी) शारीरिक कंडीशनिंग</v>
      </c>
    </row>
    <row r="397" ht="22.5" customHeight="1">
      <c r="A397" s="9">
        <v>396.0</v>
      </c>
      <c r="B397" s="4" t="s">
        <v>9431</v>
      </c>
      <c r="C397" s="4" t="s">
        <v>9212</v>
      </c>
      <c r="D397" s="4" t="s">
        <v>9022</v>
      </c>
      <c r="F397" s="5" t="str">
        <f>IFERROR(__xludf.DUMMYFUNCTION("GOOGLETRANSLATE(A397, ""en"", ""Hi"")"),"396")</f>
        <v>396</v>
      </c>
      <c r="G397" s="5" t="str">
        <f>IFERROR(__xludf.DUMMYFUNCTION("GOOGLETRANSLATE(B397, ""en"", ""Hi"")"),"कौन सा राजा कलारीपयट्टू प्रथा को बढ़ावा देने के लिए जाना जाता है?")</f>
        <v>कौन सा राजा कलारीपयट्टू प्रथा को बढ़ावा देने के लिए जाना जाता है?</v>
      </c>
      <c r="H397" s="5" t="str">
        <f>IFERROR(__xludf.DUMMYFUNCTION("GOOGLETRANSLATE(C397, ""en"", ""Hi"")"),"ए) राजा राजा चोल, बी) चंद्रगुप्त मौर्य, सी) अशोक, डी) हर्ष")</f>
        <v>ए) राजा राजा चोल, बी) चंद्रगुप्त मौर्य, सी) अशोक, डी) हर्ष</v>
      </c>
      <c r="I397" s="5" t="str">
        <f>IFERROR(__xludf.DUMMYFUNCTION("GOOGLETRANSLATE(D397, ""en"", ""Hi"")"),"A) राजा राजा चोल")</f>
        <v>A) राजा राजा चोल</v>
      </c>
    </row>
    <row r="398" ht="22.5" customHeight="1">
      <c r="A398" s="9">
        <v>397.0</v>
      </c>
      <c r="B398" s="4" t="s">
        <v>9359</v>
      </c>
      <c r="C398" s="4" t="s">
        <v>9432</v>
      </c>
      <c r="D398" s="4" t="s">
        <v>8913</v>
      </c>
      <c r="F398" s="5" t="str">
        <f>IFERROR(__xludf.DUMMYFUNCTION("GOOGLETRANSLATE(A398, ""en"", ""Hi"")"),"397")</f>
        <v>397</v>
      </c>
      <c r="G398" s="5" t="str">
        <f>IFERROR(__xludf.DUMMYFUNCTION("GOOGLETRANSLATE(B398, ""en"", ""Hi"")"),"कलारीपयट्टू में 'अडावस' का प्राथमिक फोकस क्या है?")</f>
        <v>कलारीपयट्टू में 'अडावस' का प्राथमिक फोकस क्या है?</v>
      </c>
      <c r="H398" s="5" t="str">
        <f>IFERROR(__xludf.DUMMYFUNCTION("GOOGLETRANSLATE(C398, ""en"", ""Hi"")"),"A) हथियार तकनीक, B) युद्ध अभ्यास, C) स्वास्थ्य अभ्यास, D) शारीरिक व्यायाम")</f>
        <v>A) हथियार तकनीक, B) युद्ध अभ्यास, C) स्वास्थ्य अभ्यास, D) शारीरिक व्यायाम</v>
      </c>
      <c r="I398" s="5" t="str">
        <f>IFERROR(__xludf.DUMMYFUNCTION("GOOGLETRANSLATE(D398, ""en"", ""Hi"")"),"बी) युद्ध अभ्यास")</f>
        <v>बी) युद्ध अभ्यास</v>
      </c>
    </row>
    <row r="399" ht="22.5" customHeight="1">
      <c r="A399" s="9">
        <v>398.0</v>
      </c>
      <c r="B399" s="4" t="s">
        <v>9433</v>
      </c>
      <c r="C399" s="4" t="s">
        <v>9434</v>
      </c>
      <c r="D399" s="4" t="s">
        <v>9435</v>
      </c>
      <c r="F399" s="5" t="str">
        <f>IFERROR(__xludf.DUMMYFUNCTION("GOOGLETRANSLATE(A399, ""en"", ""Hi"")"),"398")</f>
        <v>398</v>
      </c>
      <c r="G399" s="5" t="str">
        <f>IFERROR(__xludf.DUMMYFUNCTION("GOOGLETRANSLATE(B399, ""en"", ""Hi"")"),"'सिलम्बम' अभ्यास में आमतौर पर किस हथियार का उपयोग किया जाता है?")</f>
        <v>'सिलम्बम' अभ्यास में आमतौर पर किस हथियार का उपयोग किया जाता है?</v>
      </c>
      <c r="H399" s="5" t="str">
        <f>IFERROR(__xludf.DUMMYFUNCTION("GOOGLETRANSLATE(C399, ""en"", ""Hi"")"),"A) लंबी छड़ी, B) तलवार, C) खंजर, D) गदा")</f>
        <v>A) लंबी छड़ी, B) तलवार, C) खंजर, D) गदा</v>
      </c>
      <c r="I399" s="5" t="str">
        <f>IFERROR(__xludf.DUMMYFUNCTION("GOOGLETRANSLATE(D399, ""en"", ""Hi"")"),"A) लंबी छड़ी")</f>
        <v>A) लंबी छड़ी</v>
      </c>
    </row>
    <row r="400" ht="22.5" customHeight="1">
      <c r="A400" s="9">
        <v>399.0</v>
      </c>
      <c r="B400" s="4" t="s">
        <v>9436</v>
      </c>
      <c r="C400" s="4" t="s">
        <v>9259</v>
      </c>
      <c r="D400" s="4" t="s">
        <v>9099</v>
      </c>
      <c r="F400" s="5" t="str">
        <f>IFERROR(__xludf.DUMMYFUNCTION("GOOGLETRANSLATE(A400, ""en"", ""Hi"")"),"399")</f>
        <v>399</v>
      </c>
      <c r="G400" s="5" t="str">
        <f>IFERROR(__xludf.DUMMYFUNCTION("GOOGLETRANSLATE(B400, ""en"", ""Hi"")"),"कलारीपयट्टू में 'गुरु' का क्या महत्व है?")</f>
        <v>कलारीपयट्टू में 'गुरु' का क्या महत्व है?</v>
      </c>
      <c r="H400" s="5" t="str">
        <f>IFERROR(__xludf.DUMMYFUNCTION("GOOGLETRANSLATE(C400, ""en"", ""Hi"")"),"A) छात्र, B) शिक्षक और संरक्षक, C) हथियार निर्माता, D) लड़ाकू")</f>
        <v>A) छात्र, B) शिक्षक और संरक्षक, C) हथियार निर्माता, D) लड़ाकू</v>
      </c>
      <c r="I400" s="5" t="str">
        <f>IFERROR(__xludf.DUMMYFUNCTION("GOOGLETRANSLATE(D400, ""en"", ""Hi"")"),"बी) शिक्षक और संरक्षक")</f>
        <v>बी) शिक्षक और संरक्षक</v>
      </c>
    </row>
    <row r="401" ht="22.5" customHeight="1">
      <c r="A401" s="9">
        <v>400.0</v>
      </c>
      <c r="B401" s="4" t="s">
        <v>9410</v>
      </c>
      <c r="C401" s="4" t="s">
        <v>9437</v>
      </c>
      <c r="D401" s="4" t="s">
        <v>9438</v>
      </c>
      <c r="F401" s="5" t="str">
        <f>IFERROR(__xludf.DUMMYFUNCTION("GOOGLETRANSLATE(A401, ""en"", ""Hi"")"),"400")</f>
        <v>400</v>
      </c>
      <c r="G401" s="5" t="str">
        <f>IFERROR(__xludf.DUMMYFUNCTION("GOOGLETRANSLATE(B401, ""en"", ""Hi"")"),"कलारीपयट्टू में 'मर्म शास्त्र' किस पर केंद्रित है?")</f>
        <v>कलारीपयट्टू में 'मर्म शास्त्र' किस पर केंद्रित है?</v>
      </c>
      <c r="H401" s="5" t="str">
        <f>IFERROR(__xludf.DUMMYFUNCTION("GOOGLETRANSLATE(C401, ""en"", ""Hi"")"),"A) उपचार विधियाँ, B) युद्ध के लिए महत्वपूर्ण बिंदु, C) हथियार तकनीकें, D) युद्ध रणनीतियाँ")</f>
        <v>A) उपचार विधियाँ, B) युद्ध के लिए महत्वपूर्ण बिंदु, C) हथियार तकनीकें, D) युद्ध रणनीतियाँ</v>
      </c>
      <c r="I401" s="5" t="str">
        <f>IFERROR(__xludf.DUMMYFUNCTION("GOOGLETRANSLATE(D401, ""en"", ""Hi"")"),"बी) युद्ध के लिए महत्वपूर्ण बिंदु")</f>
        <v>बी) युद्ध के लिए महत्वपूर्ण बिंदु</v>
      </c>
    </row>
    <row r="402" ht="22.5" customHeight="1">
      <c r="A402" s="9">
        <v>401.0</v>
      </c>
      <c r="B402" s="4" t="s">
        <v>9439</v>
      </c>
      <c r="C402" s="4" t="s">
        <v>9250</v>
      </c>
      <c r="D402" s="4" t="s">
        <v>8958</v>
      </c>
      <c r="F402" s="5" t="str">
        <f>IFERROR(__xludf.DUMMYFUNCTION("GOOGLETRANSLATE(A402, ""en"", ""Hi"")"),"401")</f>
        <v>401</v>
      </c>
      <c r="G402" s="5" t="str">
        <f>IFERROR(__xludf.DUMMYFUNCTION("GOOGLETRANSLATE(B402, ""en"", ""Hi"")"),"कलारीपयट्टू में किस अभ्यास में निहत्थे युद्ध तकनीक शामिल है?")</f>
        <v>कलारीपयट्टू में किस अभ्यास में निहत्थे युद्ध तकनीक शामिल है?</v>
      </c>
      <c r="H402" s="5" t="str">
        <f>IFERROR(__xludf.DUMMYFUNCTION("GOOGLETRANSLATE(C402, ""en"", ""Hi"")"),"ए) वेरुमकाई, बी) सिलंबम, सी) मीपायट्टु, डी) एडवस")</f>
        <v>ए) वेरुमकाई, बी) सिलंबम, सी) मीपायट्टु, डी) एडवस</v>
      </c>
      <c r="I402" s="5" t="str">
        <f>IFERROR(__xludf.DUMMYFUNCTION("GOOGLETRANSLATE(D402, ""en"", ""Hi"")"),"A) वेरुमकाई")</f>
        <v>A) वेरुमकाई</v>
      </c>
    </row>
    <row r="403" ht="22.5" customHeight="1">
      <c r="A403" s="9">
        <v>402.0</v>
      </c>
      <c r="B403" s="4" t="s">
        <v>9440</v>
      </c>
      <c r="C403" s="4" t="s">
        <v>9441</v>
      </c>
      <c r="D403" s="4" t="s">
        <v>2616</v>
      </c>
      <c r="F403" s="5" t="str">
        <f>IFERROR(__xludf.DUMMYFUNCTION("GOOGLETRANSLATE(A403, ""en"", ""Hi"")"),"402")</f>
        <v>402</v>
      </c>
      <c r="G403" s="5" t="str">
        <f>IFERROR(__xludf.DUMMYFUNCTION("GOOGLETRANSLATE(B403, ""en"", ""Hi"")"),"कौन सा प्राचीन ग्रंथ कलारीपयट्टू की युद्ध तकनीकों से जुड़ा है?")</f>
        <v>कौन सा प्राचीन ग्रंथ कलारीपयट्टू की युद्ध तकनीकों से जुड़ा है?</v>
      </c>
      <c r="H403" s="5" t="str">
        <f>IFERROR(__xludf.DUMMYFUNCTION("GOOGLETRANSLATE(C403, ""en"", ""Hi"")"),"ए) अर्थशास्त्र, बी) वेद, सी) उपनिषद, डी) रामायण")</f>
        <v>ए) अर्थशास्त्र, बी) वेद, सी) उपनिषद, डी) रामायण</v>
      </c>
      <c r="I403" s="5" t="str">
        <f>IFERROR(__xludf.DUMMYFUNCTION("GOOGLETRANSLATE(D403, ""en"", ""Hi"")"),"A) अर्थशास्त्र")</f>
        <v>A) अर्थशास्त्र</v>
      </c>
    </row>
    <row r="404" ht="22.5" customHeight="1">
      <c r="A404" s="9">
        <v>403.0</v>
      </c>
      <c r="B404" s="4" t="s">
        <v>9442</v>
      </c>
      <c r="C404" s="4" t="s">
        <v>9443</v>
      </c>
      <c r="D404" s="4" t="s">
        <v>8668</v>
      </c>
      <c r="F404" s="5" t="str">
        <f>IFERROR(__xludf.DUMMYFUNCTION("GOOGLETRANSLATE(A404, ""en"", ""Hi"")"),"403")</f>
        <v>403</v>
      </c>
      <c r="G404" s="5" t="str">
        <f>IFERROR(__xludf.DUMMYFUNCTION("GOOGLETRANSLATE(B404, ""en"", ""Hi"")"),"कलारीपयट्टू में 'कलारी' की प्राथमिक भूमिका क्या है?")</f>
        <v>कलारीपयट्टू में 'कलारी' की प्राथमिक भूमिका क्या है?</v>
      </c>
      <c r="H404" s="5" t="str">
        <f>IFERROR(__xludf.DUMMYFUNCTION("GOOGLETRANSLATE(C404, ""en"", ""Hi"")"),"A) युद्ध तकनीक, B) हथियार प्रशिक्षण, C) प्रशिक्षण मैदान, D) स्वास्थ्य प्रथाएँ")</f>
        <v>A) युद्ध तकनीक, B) हथियार प्रशिक्षण, C) प्रशिक्षण मैदान, D) स्वास्थ्य प्रथाएँ</v>
      </c>
      <c r="I404" s="5" t="str">
        <f>IFERROR(__xludf.DUMMYFUNCTION("GOOGLETRANSLATE(D404, ""en"", ""Hi"")"),"सी) प्रशिक्षण मैदान")</f>
        <v>सी) प्रशिक्षण मैदान</v>
      </c>
    </row>
    <row r="405" ht="22.5" customHeight="1">
      <c r="A405" s="9">
        <v>404.0</v>
      </c>
      <c r="B405" s="4" t="s">
        <v>9444</v>
      </c>
      <c r="C405" s="4" t="s">
        <v>9306</v>
      </c>
      <c r="D405" s="4" t="s">
        <v>9022</v>
      </c>
      <c r="F405" s="5" t="str">
        <f>IFERROR(__xludf.DUMMYFUNCTION("GOOGLETRANSLATE(A405, ""en"", ""Hi"")"),"404")</f>
        <v>404</v>
      </c>
      <c r="G405" s="5" t="str">
        <f>IFERROR(__xludf.DUMMYFUNCTION("GOOGLETRANSLATE(B405, ""en"", ""Hi"")"),"कौन सा राजा ऐतिहासिक रूप से कलारीपयट्टू के समर्थन और विकास से जुड़ा हुआ है?")</f>
        <v>कौन सा राजा ऐतिहासिक रूप से कलारीपयट्टू के समर्थन और विकास से जुड़ा हुआ है?</v>
      </c>
      <c r="H405" s="5" t="str">
        <f>IFERROR(__xludf.DUMMYFUNCTION("GOOGLETRANSLATE(C405, ""en"", ""Hi"")"),"ए) राजा राजा चोल, बी) अशोक, सी) चंद्रगुप्त मौर्य, डी) हर्ष")</f>
        <v>ए) राजा राजा चोल, बी) अशोक, सी) चंद्रगुप्त मौर्य, डी) हर्ष</v>
      </c>
      <c r="I405" s="5" t="str">
        <f>IFERROR(__xludf.DUMMYFUNCTION("GOOGLETRANSLATE(D405, ""en"", ""Hi"")"),"A) राजा राजा चोल")</f>
        <v>A) राजा राजा चोल</v>
      </c>
    </row>
    <row r="406" ht="22.5" customHeight="1">
      <c r="A406" s="9">
        <v>405.0</v>
      </c>
      <c r="B406" s="4" t="s">
        <v>9445</v>
      </c>
      <c r="C406" s="4" t="s">
        <v>9446</v>
      </c>
      <c r="D406" s="4" t="s">
        <v>9447</v>
      </c>
      <c r="F406" s="5" t="str">
        <f>IFERROR(__xludf.DUMMYFUNCTION("GOOGLETRANSLATE(A406, ""en"", ""Hi"")"),"405")</f>
        <v>405</v>
      </c>
      <c r="G406" s="5" t="str">
        <f>IFERROR(__xludf.DUMMYFUNCTION("GOOGLETRANSLATE(B406, ""en"", ""Hi"")"),"कलारीपयट्टु के अभ्यास में 'चुवडु' का क्या अर्थ है?")</f>
        <v>कलारीपयट्टु के अभ्यास में 'चुवडु' का क्या अर्थ है?</v>
      </c>
      <c r="H406" s="5" t="str">
        <f>IFERROR(__xludf.DUMMYFUNCTION("GOOGLETRANSLATE(C406, ""en"", ""Hi"")"),"A) युद्ध तकनीक, B) हथियार संचालन, C) शारीरिक कंडीशनिंग, D) स्वास्थ्य प्रथाएँ")</f>
        <v>A) युद्ध तकनीक, B) हथियार संचालन, C) शारीरिक कंडीशनिंग, D) स्वास्थ्य प्रथाएँ</v>
      </c>
      <c r="I406" s="5" t="str">
        <f>IFERROR(__xludf.DUMMYFUNCTION("GOOGLETRANSLATE(D406, ""en"", ""Hi"")"),"A) युद्ध तकनीकें")</f>
        <v>A) युद्ध तकनीकें</v>
      </c>
    </row>
    <row r="407" ht="22.5" customHeight="1">
      <c r="A407" s="9">
        <v>406.0</v>
      </c>
      <c r="B407" s="4" t="s">
        <v>9448</v>
      </c>
      <c r="C407" s="4" t="s">
        <v>9270</v>
      </c>
      <c r="D407" s="4" t="s">
        <v>8803</v>
      </c>
      <c r="F407" s="5" t="str">
        <f>IFERROR(__xludf.DUMMYFUNCTION("GOOGLETRANSLATE(A407, ""en"", ""Hi"")"),"406")</f>
        <v>406</v>
      </c>
      <c r="G407" s="5" t="str">
        <f>IFERROR(__xludf.DUMMYFUNCTION("GOOGLETRANSLATE(B407, ""en"", ""Hi"")"),"कलारीपयट्टू के किस पहलू में लंबी छड़ी का उपयोग शामिल है?")</f>
        <v>कलारीपयट्टू के किस पहलू में लंबी छड़ी का उपयोग शामिल है?</v>
      </c>
      <c r="H407" s="5" t="str">
        <f>IFERROR(__xludf.DUMMYFUNCTION("GOOGLETRANSLATE(C407, ""en"", ""Hi"")"),"ए) सिलंबम, बी) मीपायट्टु, सी) वेरुमकाई, डी) एडवस")</f>
        <v>ए) सिलंबम, बी) मीपायट्टु, सी) वेरुमकाई, डी) एडवस</v>
      </c>
      <c r="I407" s="5" t="str">
        <f>IFERROR(__xludf.DUMMYFUNCTION("GOOGLETRANSLATE(D407, ""en"", ""Hi"")"),"ए) सिलंबम")</f>
        <v>ए) सिलंबम</v>
      </c>
    </row>
    <row r="408" ht="22.5" customHeight="1">
      <c r="A408" s="9">
        <v>407.0</v>
      </c>
      <c r="B408" s="4" t="s">
        <v>9449</v>
      </c>
      <c r="C408" s="4" t="s">
        <v>9450</v>
      </c>
      <c r="D408" s="4" t="s">
        <v>9451</v>
      </c>
      <c r="F408" s="5" t="str">
        <f>IFERROR(__xludf.DUMMYFUNCTION("GOOGLETRANSLATE(A408, ""en"", ""Hi"")"),"407")</f>
        <v>407</v>
      </c>
      <c r="G408" s="5" t="str">
        <f>IFERROR(__xludf.DUMMYFUNCTION("GOOGLETRANSLATE(B408, ""en"", ""Hi"")"),"कलारीपयट्टु में 'मर्म' का क्या अर्थ है?")</f>
        <v>कलारीपयट्टु में 'मर्म' का क्या अर्थ है?</v>
      </c>
      <c r="H408" s="5" t="str">
        <f>IFERROR(__xludf.DUMMYFUNCTION("GOOGLETRANSLATE(C408, ""en"", ""Hi"")"),"A) युद्ध के लिए महत्वपूर्ण बिंदु, B) हथियार तकनीक, C) युद्ध अभ्यास, D) शारीरिक व्यायाम")</f>
        <v>A) युद्ध के लिए महत्वपूर्ण बिंदु, B) हथियार तकनीक, C) युद्ध अभ्यास, D) शारीरिक व्यायाम</v>
      </c>
      <c r="I408" s="5" t="str">
        <f>IFERROR(__xludf.DUMMYFUNCTION("GOOGLETRANSLATE(D408, ""en"", ""Hi"")"),"A) युद्ध के लिए महत्वपूर्ण बिंदु")</f>
        <v>A) युद्ध के लिए महत्वपूर्ण बिंदु</v>
      </c>
    </row>
    <row r="409" ht="22.5" customHeight="1">
      <c r="A409" s="9">
        <v>408.0</v>
      </c>
      <c r="B409" s="4" t="s">
        <v>9452</v>
      </c>
      <c r="C409" s="4" t="s">
        <v>9453</v>
      </c>
      <c r="D409" s="4" t="s">
        <v>9419</v>
      </c>
      <c r="F409" s="5" t="str">
        <f>IFERROR(__xludf.DUMMYFUNCTION("GOOGLETRANSLATE(A409, ""en"", ""Hi"")"),"408")</f>
        <v>408</v>
      </c>
      <c r="G409" s="5" t="str">
        <f>IFERROR(__xludf.DUMMYFUNCTION("GOOGLETRANSLATE(B409, ""en"", ""Hi"")"),"कलारीपयट्टू में 'मीपयट्टू' किस पर केंद्रित है?")</f>
        <v>कलारीपयट्टू में 'मीपयट्टू' किस पर केंद्रित है?</v>
      </c>
      <c r="H409" s="5" t="str">
        <f>IFERROR(__xludf.DUMMYFUNCTION("GOOGLETRANSLATE(C409, ""en"", ""Hi"")"),"A) शारीरिक कंडीशनिंग, B) हथियार संचालन, C) युद्ध तकनीक, D) उपचार विधियाँ")</f>
        <v>A) शारीरिक कंडीशनिंग, B) हथियार संचालन, C) युद्ध तकनीक, D) उपचार विधियाँ</v>
      </c>
      <c r="I409" s="5" t="str">
        <f>IFERROR(__xludf.DUMMYFUNCTION("GOOGLETRANSLATE(D409, ""en"", ""Hi"")"),"A) शारीरिक कंडीशनिंग")</f>
        <v>A) शारीरिक कंडीशनिंग</v>
      </c>
    </row>
    <row r="410" ht="22.5" customHeight="1">
      <c r="A410" s="9">
        <v>409.0</v>
      </c>
      <c r="B410" s="4" t="s">
        <v>9454</v>
      </c>
      <c r="C410" s="4" t="s">
        <v>9455</v>
      </c>
      <c r="D410" s="4" t="s">
        <v>9456</v>
      </c>
      <c r="F410" s="5" t="str">
        <f>IFERROR(__xludf.DUMMYFUNCTION("GOOGLETRANSLATE(A410, ""en"", ""Hi"")"),"409")</f>
        <v>409</v>
      </c>
      <c r="G410" s="5" t="str">
        <f>IFERROR(__xludf.DUMMYFUNCTION("GOOGLETRANSLATE(B410, ""en"", ""Hi"")"),"कलारीपयट्टू के विकास में किस भारतीय राजवंश ने महत्वपूर्ण भूमिका निभाई?")</f>
        <v>कलारीपयट्टू के विकास में किस भारतीय राजवंश ने महत्वपूर्ण भूमिका निभाई?</v>
      </c>
      <c r="H410" s="5" t="str">
        <f>IFERROR(__xludf.DUMMYFUNCTION("GOOGLETRANSLATE(C410, ""en"", ""Hi"")"),"A) चेर वंश, B) चोल वंश, C) पांड्य वंश, D) मौर्य वंश")</f>
        <v>A) चेर वंश, B) चोल वंश, C) पांड्य वंश, D) मौर्य वंश</v>
      </c>
      <c r="I410" s="5" t="str">
        <f>IFERROR(__xludf.DUMMYFUNCTION("GOOGLETRANSLATE(D410, ""en"", ""Hi"")"),"A) चेर राजवंश")</f>
        <v>A) चेर राजवंश</v>
      </c>
    </row>
    <row r="411" ht="22.5" customHeight="1">
      <c r="A411" s="9">
        <v>410.0</v>
      </c>
      <c r="B411" s="4" t="s">
        <v>9457</v>
      </c>
      <c r="C411" s="4" t="s">
        <v>9458</v>
      </c>
      <c r="D411" s="4" t="s">
        <v>9361</v>
      </c>
      <c r="F411" s="5" t="str">
        <f>IFERROR(__xludf.DUMMYFUNCTION("GOOGLETRANSLATE(A411, ""en"", ""Hi"")"),"410")</f>
        <v>410</v>
      </c>
      <c r="G411" s="5" t="str">
        <f>IFERROR(__xludf.DUMMYFUNCTION("GOOGLETRANSLATE(B411, ""en"", ""Hi"")"),"कलारीपयट्टू में 'अडावस' प्रथा क्या शामिल है?")</f>
        <v>कलारीपयट्टू में 'अडावस' प्रथा क्या शामिल है?</v>
      </c>
      <c r="H411" s="5" t="str">
        <f>IFERROR(__xludf.DUMMYFUNCTION("GOOGLETRANSLATE(C411, ""en"", ""Hi"")"),"A) युद्ध अभ्यास, B) हथियार संचालन, C) शारीरिक व्यायाम, D) उपचार तकनीक")</f>
        <v>A) युद्ध अभ्यास, B) हथियार संचालन, C) शारीरिक व्यायाम, D) उपचार तकनीक</v>
      </c>
      <c r="I411" s="5" t="str">
        <f>IFERROR(__xludf.DUMMYFUNCTION("GOOGLETRANSLATE(D411, ""en"", ""Hi"")"),"ए) युद्ध अभ्यास")</f>
        <v>ए) युद्ध अभ्यास</v>
      </c>
    </row>
    <row r="412" ht="22.5" customHeight="1">
      <c r="A412" s="9">
        <v>411.0</v>
      </c>
      <c r="B412" s="4" t="s">
        <v>9459</v>
      </c>
      <c r="C412" s="4" t="s">
        <v>9460</v>
      </c>
      <c r="D412" s="4" t="s">
        <v>9461</v>
      </c>
      <c r="F412" s="5" t="str">
        <f>IFERROR(__xludf.DUMMYFUNCTION("GOOGLETRANSLATE(A412, ""en"", ""Hi"")"),"411")</f>
        <v>411</v>
      </c>
      <c r="G412" s="5" t="str">
        <f>IFERROR(__xludf.DUMMYFUNCTION("GOOGLETRANSLATE(B412, ""en"", ""Hi"")"),"कलारीपयट्टू में 'सिलम्बम' का क्या महत्व है?")</f>
        <v>कलारीपयट्टू में 'सिलम्बम' का क्या महत्व है?</v>
      </c>
      <c r="H412" s="5" t="str">
        <f>IFERROR(__xludf.DUMMYFUNCTION("GOOGLETRANSLATE(C412, ""en"", ""Hi"")"),"A) लंबी छड़ी प्रशिक्षण, B) निहत्थे युद्ध, C) स्वास्थ्य अभ्यास, D) हथियार तकनीक")</f>
        <v>A) लंबी छड़ी प्रशिक्षण, B) निहत्थे युद्ध, C) स्वास्थ्य अभ्यास, D) हथियार तकनीक</v>
      </c>
      <c r="I412" s="5" t="str">
        <f>IFERROR(__xludf.DUMMYFUNCTION("GOOGLETRANSLATE(D412, ""en"", ""Hi"")"),"ए) लंबी छड़ी प्रशिक्षण")</f>
        <v>ए) लंबी छड़ी प्रशिक्षण</v>
      </c>
    </row>
    <row r="413" ht="22.5" customHeight="1">
      <c r="A413" s="9">
        <v>412.0</v>
      </c>
      <c r="B413" s="4" t="s">
        <v>9462</v>
      </c>
      <c r="C413" s="4" t="s">
        <v>9414</v>
      </c>
      <c r="D413" s="4" t="s">
        <v>2616</v>
      </c>
      <c r="F413" s="5" t="str">
        <f>IFERROR(__xludf.DUMMYFUNCTION("GOOGLETRANSLATE(A413, ""en"", ""Hi"")"),"412")</f>
        <v>412</v>
      </c>
      <c r="G413" s="5" t="str">
        <f>IFERROR(__xludf.DUMMYFUNCTION("GOOGLETRANSLATE(B413, ""en"", ""Hi"")"),"कलारीपयट्टू के इतिहास को समझने के लिए कौन सा ग्रंथ सबसे अधिक प्रासंगिक है?")</f>
        <v>कलारीपयट्टू के इतिहास को समझने के लिए कौन सा ग्रंथ सबसे अधिक प्रासंगिक है?</v>
      </c>
      <c r="H413" s="5" t="str">
        <f>IFERROR(__xludf.DUMMYFUNCTION("GOOGLETRANSLATE(C413, ""en"", ""Hi"")"),"ए) अर्थशास्त्र, बी) भगवद गीता, सी) रामायण, डी) महाभारत")</f>
        <v>ए) अर्थशास्त्र, बी) भगवद गीता, सी) रामायण, डी) महाभारत</v>
      </c>
      <c r="I413" s="5" t="str">
        <f>IFERROR(__xludf.DUMMYFUNCTION("GOOGLETRANSLATE(D413, ""en"", ""Hi"")"),"A) अर्थशास्त्र")</f>
        <v>A) अर्थशास्त्र</v>
      </c>
    </row>
    <row r="414" ht="22.5" customHeight="1">
      <c r="A414" s="9">
        <v>413.0</v>
      </c>
      <c r="B414" s="4" t="s">
        <v>9463</v>
      </c>
      <c r="C414" s="4" t="s">
        <v>9306</v>
      </c>
      <c r="D414" s="4" t="s">
        <v>9022</v>
      </c>
      <c r="F414" s="5" t="str">
        <f>IFERROR(__xludf.DUMMYFUNCTION("GOOGLETRANSLATE(A414, ""en"", ""Hi"")"),"413")</f>
        <v>413</v>
      </c>
      <c r="G414" s="5" t="str">
        <f>IFERROR(__xludf.DUMMYFUNCTION("GOOGLETRANSLATE(B414, ""en"", ""Hi"")"),"कलारीपयट्टू के विकास में किस राजा का संरक्षण महत्वपूर्ण था?")</f>
        <v>कलारीपयट्टू के विकास में किस राजा का संरक्षण महत्वपूर्ण था?</v>
      </c>
      <c r="H414" s="5" t="str">
        <f>IFERROR(__xludf.DUMMYFUNCTION("GOOGLETRANSLATE(C414, ""en"", ""Hi"")"),"ए) राजा राजा चोल, बी) अशोक, सी) चंद्रगुप्त मौर्य, डी) हर्ष")</f>
        <v>ए) राजा राजा चोल, बी) अशोक, सी) चंद्रगुप्त मौर्य, डी) हर्ष</v>
      </c>
      <c r="I414" s="5" t="str">
        <f>IFERROR(__xludf.DUMMYFUNCTION("GOOGLETRANSLATE(D414, ""en"", ""Hi"")"),"A) राजा राजा चोल")</f>
        <v>A) राजा राजा चोल</v>
      </c>
    </row>
    <row r="415" ht="22.5" customHeight="1">
      <c r="A415" s="9">
        <v>414.0</v>
      </c>
      <c r="B415" s="4" t="s">
        <v>9464</v>
      </c>
      <c r="C415" s="4" t="s">
        <v>9396</v>
      </c>
      <c r="D415" s="4" t="s">
        <v>9397</v>
      </c>
      <c r="F415" s="5" t="str">
        <f>IFERROR(__xludf.DUMMYFUNCTION("GOOGLETRANSLATE(A415, ""en"", ""Hi"")"),"414")</f>
        <v>414</v>
      </c>
      <c r="G415" s="5" t="str">
        <f>IFERROR(__xludf.DUMMYFUNCTION("GOOGLETRANSLATE(B415, ""en"", ""Hi"")"),"कलारीपयट्टू में 'वेरुमकाई' का प्राथमिक फोकस क्या है?")</f>
        <v>कलारीपयट्टू में 'वेरुमकाई' का प्राथमिक फोकस क्या है?</v>
      </c>
      <c r="H415" s="5" t="str">
        <f>IFERROR(__xludf.DUMMYFUNCTION("GOOGLETRANSLATE(C415, ""en"", ""Hi"")"),"A) निहत्थे युद्ध, B) हथियार प्रशिक्षण, C) शारीरिक कंडीशनिंग, D) उपचार तकनीक")</f>
        <v>A) निहत्थे युद्ध, B) हथियार प्रशिक्षण, C) शारीरिक कंडीशनिंग, D) उपचार तकनीक</v>
      </c>
      <c r="I415" s="5" t="str">
        <f>IFERROR(__xludf.DUMMYFUNCTION("GOOGLETRANSLATE(D415, ""en"", ""Hi"")"),"A) निहत्थे युद्ध")</f>
        <v>A) निहत्थे युद्ध</v>
      </c>
    </row>
    <row r="416" ht="22.5" customHeight="1">
      <c r="A416" s="9">
        <v>415.0</v>
      </c>
      <c r="B416" s="4" t="s">
        <v>9329</v>
      </c>
      <c r="C416" s="4" t="s">
        <v>8990</v>
      </c>
      <c r="D416" s="4" t="s">
        <v>8758</v>
      </c>
      <c r="F416" s="5" t="str">
        <f>IFERROR(__xludf.DUMMYFUNCTION("GOOGLETRANSLATE(A416, ""en"", ""Hi"")"),"415")</f>
        <v>415</v>
      </c>
      <c r="G416" s="5" t="str">
        <f>IFERROR(__xludf.DUMMYFUNCTION("GOOGLETRANSLATE(B416, ""en"", ""Hi"")"),"कलारीपयट्टू में किस अभ्यास में जटिल पैर की क्रिया और शरीर की गतिविधियां शामिल होती हैं?")</f>
        <v>कलारीपयट्टू में किस अभ्यास में जटिल पैर की क्रिया और शरीर की गतिविधियां शामिल होती हैं?</v>
      </c>
      <c r="H416" s="5" t="str">
        <f>IFERROR(__xludf.DUMMYFUNCTION("GOOGLETRANSLATE(C416, ""en"", ""Hi"")"),"ए) एडवस, बी) सिलंबम, सी) मीपायट्टु, डी) वेरुमकाई")</f>
        <v>ए) एडवस, बी) सिलंबम, सी) मीपायट्टु, डी) वेरुमकाई</v>
      </c>
      <c r="I416" s="5" t="str">
        <f>IFERROR(__xludf.DUMMYFUNCTION("GOOGLETRANSLATE(D416, ""en"", ""Hi"")"),"ए) एडवस")</f>
        <v>ए) एडवस</v>
      </c>
    </row>
    <row r="417" ht="22.5" customHeight="1">
      <c r="A417" s="9">
        <v>416.0</v>
      </c>
      <c r="B417" s="4" t="s">
        <v>9279</v>
      </c>
      <c r="C417" s="4" t="s">
        <v>9259</v>
      </c>
      <c r="D417" s="4" t="s">
        <v>9099</v>
      </c>
      <c r="F417" s="5" t="str">
        <f>IFERROR(__xludf.DUMMYFUNCTION("GOOGLETRANSLATE(A417, ""en"", ""Hi"")"),"416")</f>
        <v>416</v>
      </c>
      <c r="G417" s="5" t="str">
        <f>IFERROR(__xludf.DUMMYFUNCTION("GOOGLETRANSLATE(B417, ""en"", ""Hi"")"),"कलारीपयट्टू प्रशिक्षण में 'गुरु' की क्या भूमिका है?")</f>
        <v>कलारीपयट्टू प्रशिक्षण में 'गुरु' की क्या भूमिका है?</v>
      </c>
      <c r="H417" s="5" t="str">
        <f>IFERROR(__xludf.DUMMYFUNCTION("GOOGLETRANSLATE(C417, ""en"", ""Hi"")"),"A) छात्र, B) शिक्षक और संरक्षक, C) हथियार निर्माता, D) लड़ाकू")</f>
        <v>A) छात्र, B) शिक्षक और संरक्षक, C) हथियार निर्माता, D) लड़ाकू</v>
      </c>
      <c r="I417" s="5" t="str">
        <f>IFERROR(__xludf.DUMMYFUNCTION("GOOGLETRANSLATE(D417, ""en"", ""Hi"")"),"बी) शिक्षक और संरक्षक")</f>
        <v>बी) शिक्षक और संरक्षक</v>
      </c>
    </row>
    <row r="418" ht="22.5" customHeight="1">
      <c r="A418" s="9">
        <v>417.0</v>
      </c>
      <c r="B418" s="4" t="s">
        <v>9465</v>
      </c>
      <c r="C418" s="4" t="s">
        <v>9466</v>
      </c>
      <c r="D418" s="4" t="s">
        <v>9451</v>
      </c>
      <c r="F418" s="5" t="str">
        <f>IFERROR(__xludf.DUMMYFUNCTION("GOOGLETRANSLATE(A418, ""en"", ""Hi"")"),"417")</f>
        <v>417</v>
      </c>
      <c r="G418" s="5" t="str">
        <f>IFERROR(__xludf.DUMMYFUNCTION("GOOGLETRANSLATE(B418, ""en"", ""Hi"")"),"कलारीपयट्टू में 'मर्म शास्त्र' किस पर जोर देता है?")</f>
        <v>कलारीपयट्टू में 'मर्म शास्त्र' किस पर जोर देता है?</v>
      </c>
      <c r="H418" s="5" t="str">
        <f>IFERROR(__xludf.DUMMYFUNCTION("GOOGLETRANSLATE(C418, ""en"", ""Hi"")"),"A) युद्ध के लिए महत्वपूर्ण बिंदु, B) उपचार विधियाँ, C) हथियार तकनीकें, D) युद्ध रणनीतियाँ")</f>
        <v>A) युद्ध के लिए महत्वपूर्ण बिंदु, B) उपचार विधियाँ, C) हथियार तकनीकें, D) युद्ध रणनीतियाँ</v>
      </c>
      <c r="I418" s="5" t="str">
        <f>IFERROR(__xludf.DUMMYFUNCTION("GOOGLETRANSLATE(D418, ""en"", ""Hi"")"),"A) युद्ध के लिए महत्वपूर्ण बिंदु")</f>
        <v>A) युद्ध के लिए महत्वपूर्ण बिंदु</v>
      </c>
    </row>
    <row r="419" ht="22.5" customHeight="1">
      <c r="A419" s="9">
        <v>418.0</v>
      </c>
      <c r="B419" s="4" t="s">
        <v>9467</v>
      </c>
      <c r="C419" s="4" t="s">
        <v>9468</v>
      </c>
      <c r="D419" s="4" t="s">
        <v>8668</v>
      </c>
      <c r="F419" s="5" t="str">
        <f>IFERROR(__xludf.DUMMYFUNCTION("GOOGLETRANSLATE(A419, ""en"", ""Hi"")"),"418")</f>
        <v>418</v>
      </c>
      <c r="G419" s="5" t="str">
        <f>IFERROR(__xludf.DUMMYFUNCTION("GOOGLETRANSLATE(B419, ""en"", ""Hi"")"),"कलारीपयट्टू में 'कलारी' का क्या अर्थ है?")</f>
        <v>कलारीपयट्टू में 'कलारी' का क्या अर्थ है?</v>
      </c>
      <c r="H419" s="5" t="str">
        <f>IFERROR(__xludf.DUMMYFUNCTION("GOOGLETRANSLATE(C419, ""en"", ""Hi"")"),"A) हथियार, B) युद्ध तकनीक, C) प्रशिक्षण मैदान, D) स्वास्थ्य अभ्यास")</f>
        <v>A) हथियार, B) युद्ध तकनीक, C) प्रशिक्षण मैदान, D) स्वास्थ्य अभ्यास</v>
      </c>
      <c r="I419" s="5" t="str">
        <f>IFERROR(__xludf.DUMMYFUNCTION("GOOGLETRANSLATE(D419, ""en"", ""Hi"")"),"सी) प्रशिक्षण मैदान")</f>
        <v>सी) प्रशिक्षण मैदान</v>
      </c>
    </row>
    <row r="420" ht="22.5" customHeight="1">
      <c r="A420" s="9">
        <v>419.0</v>
      </c>
      <c r="B420" s="4" t="s">
        <v>9469</v>
      </c>
      <c r="C420" s="4" t="s">
        <v>9470</v>
      </c>
      <c r="D420" s="4" t="s">
        <v>9471</v>
      </c>
      <c r="F420" s="5" t="str">
        <f>IFERROR(__xludf.DUMMYFUNCTION("GOOGLETRANSLATE(A420, ""en"", ""Hi"")"),"419")</f>
        <v>419</v>
      </c>
      <c r="G420" s="5" t="str">
        <f>IFERROR(__xludf.DUMMYFUNCTION("GOOGLETRANSLATE(B420, ""en"", ""Hi"")"),"कलारीपयट्टू में 'मीपायट्टू' का मुख्य फोकस क्या है?")</f>
        <v>कलारीपयट्टू में 'मीपायट्टू' का मुख्य फोकस क्या है?</v>
      </c>
      <c r="H420" s="5" t="str">
        <f>IFERROR(__xludf.DUMMYFUNCTION("GOOGLETRANSLATE(C420, ""en"", ""Hi"")"),"A) शारीरिक कंडीशनिंग और लचीलापन, B) हथियार संचालन, C) युद्ध तकनीक, D) उपचार विधियाँ")</f>
        <v>A) शारीरिक कंडीशनिंग और लचीलापन, B) हथियार संचालन, C) युद्ध तकनीक, D) उपचार विधियाँ</v>
      </c>
      <c r="I420" s="5" t="str">
        <f>IFERROR(__xludf.DUMMYFUNCTION("GOOGLETRANSLATE(D420, ""en"", ""Hi"")"),"ए) शारीरिक कंडीशनिंग और लचीलापन")</f>
        <v>ए) शारीरिक कंडीशनिंग और लचीलापन</v>
      </c>
    </row>
    <row r="421" ht="22.5" customHeight="1">
      <c r="A421" s="9">
        <v>420.0</v>
      </c>
      <c r="B421" s="4" t="s">
        <v>9472</v>
      </c>
      <c r="C421" s="4" t="s">
        <v>9306</v>
      </c>
      <c r="D421" s="4" t="s">
        <v>9022</v>
      </c>
      <c r="F421" s="5" t="str">
        <f>IFERROR(__xludf.DUMMYFUNCTION("GOOGLETRANSLATE(A421, ""en"", ""Hi"")"),"420")</f>
        <v>420</v>
      </c>
      <c r="G421" s="5" t="str">
        <f>IFERROR(__xludf.DUMMYFUNCTION("GOOGLETRANSLATE(B421, ""en"", ""Hi"")"),"कलारीपयट्टु के विकास से कौन सा ऐतिहासिक व्यक्ति जुड़ा हुआ है?")</f>
        <v>कलारीपयट्टु के विकास से कौन सा ऐतिहासिक व्यक्ति जुड़ा हुआ है?</v>
      </c>
      <c r="H421" s="5" t="str">
        <f>IFERROR(__xludf.DUMMYFUNCTION("GOOGLETRANSLATE(C421, ""en"", ""Hi"")"),"ए) राजा राजा चोल, बी) अशोक, सी) चंद्रगुप्त मौर्य, डी) हर्ष")</f>
        <v>ए) राजा राजा चोल, बी) अशोक, सी) चंद्रगुप्त मौर्य, डी) हर्ष</v>
      </c>
      <c r="I421" s="5" t="str">
        <f>IFERROR(__xludf.DUMMYFUNCTION("GOOGLETRANSLATE(D421, ""en"", ""Hi"")"),"A) राजा राजा चोल")</f>
        <v>A) राजा राजा चोल</v>
      </c>
    </row>
    <row r="422" ht="22.5" customHeight="1">
      <c r="A422" s="9">
        <v>421.0</v>
      </c>
      <c r="B422" s="4" t="s">
        <v>9408</v>
      </c>
      <c r="C422" s="4" t="s">
        <v>9473</v>
      </c>
      <c r="D422" s="4" t="s">
        <v>9447</v>
      </c>
      <c r="F422" s="5" t="str">
        <f>IFERROR(__xludf.DUMMYFUNCTION("GOOGLETRANSLATE(A422, ""en"", ""Hi"")"),"421")</f>
        <v>421</v>
      </c>
      <c r="G422" s="5" t="str">
        <f>IFERROR(__xludf.DUMMYFUNCTION("GOOGLETRANSLATE(B422, ""en"", ""Hi"")"),"कलारीपयट्टु में 'चुवडु' का क्या मतलब है?")</f>
        <v>कलारीपयट्टु में 'चुवडु' का क्या मतलब है?</v>
      </c>
      <c r="H422" s="5" t="str">
        <f>IFERROR(__xludf.DUMMYFUNCTION("GOOGLETRANSLATE(C422, ""en"", ""Hi"")"),"A) युद्ध तकनीक, B) हथियार संचालन, C) स्वास्थ्य अभ्यास, D) प्रशिक्षण अभ्यास")</f>
        <v>A) युद्ध तकनीक, B) हथियार संचालन, C) स्वास्थ्य अभ्यास, D) प्रशिक्षण अभ्यास</v>
      </c>
      <c r="I422" s="5" t="str">
        <f>IFERROR(__xludf.DUMMYFUNCTION("GOOGLETRANSLATE(D422, ""en"", ""Hi"")"),"A) युद्ध तकनीकें")</f>
        <v>A) युद्ध तकनीकें</v>
      </c>
    </row>
    <row r="423" ht="22.5" customHeight="1">
      <c r="A423" s="9">
        <v>422.0</v>
      </c>
      <c r="B423" s="4" t="s">
        <v>9474</v>
      </c>
      <c r="C423" s="4" t="s">
        <v>9475</v>
      </c>
      <c r="D423" s="4" t="s">
        <v>2616</v>
      </c>
      <c r="F423" s="5" t="str">
        <f>IFERROR(__xludf.DUMMYFUNCTION("GOOGLETRANSLATE(A423, ""en"", ""Hi"")"),"422")</f>
        <v>422</v>
      </c>
      <c r="G423" s="5" t="str">
        <f>IFERROR(__xludf.DUMMYFUNCTION("GOOGLETRANSLATE(B423, ""en"", ""Hi"")"),"कौन सा प्राचीन ग्रंथ कलारीपयट्टू की तकनीक और इतिहास का वर्णन करता है?")</f>
        <v>कौन सा प्राचीन ग्रंथ कलारीपयट्टू की तकनीक और इतिहास का वर्णन करता है?</v>
      </c>
      <c r="H423" s="5" t="str">
        <f>IFERROR(__xludf.DUMMYFUNCTION("GOOGLETRANSLATE(C423, ""en"", ""Hi"")"),"ए) अर्थशास्त्र, बी) रामायण, सी) वेद, डी) उपनिषद")</f>
        <v>ए) अर्थशास्त्र, बी) रामायण, सी) वेद, डी) उपनिषद</v>
      </c>
      <c r="I423" s="5" t="str">
        <f>IFERROR(__xludf.DUMMYFUNCTION("GOOGLETRANSLATE(D423, ""en"", ""Hi"")"),"A) अर्थशास्त्र")</f>
        <v>A) अर्थशास्त्र</v>
      </c>
    </row>
    <row r="424" ht="22.5" customHeight="1">
      <c r="A424" s="9">
        <v>423.0</v>
      </c>
      <c r="B424" s="4" t="s">
        <v>9439</v>
      </c>
      <c r="C424" s="4" t="s">
        <v>9250</v>
      </c>
      <c r="D424" s="4" t="s">
        <v>8958</v>
      </c>
      <c r="F424" s="5" t="str">
        <f>IFERROR(__xludf.DUMMYFUNCTION("GOOGLETRANSLATE(A424, ""en"", ""Hi"")"),"423")</f>
        <v>423</v>
      </c>
      <c r="G424" s="5" t="str">
        <f>IFERROR(__xludf.DUMMYFUNCTION("GOOGLETRANSLATE(B424, ""en"", ""Hi"")"),"कलारीपयट्टू में किस अभ्यास में निहत्थे युद्ध तकनीक शामिल है?")</f>
        <v>कलारीपयट्टू में किस अभ्यास में निहत्थे युद्ध तकनीक शामिल है?</v>
      </c>
      <c r="H424" s="5" t="str">
        <f>IFERROR(__xludf.DUMMYFUNCTION("GOOGLETRANSLATE(C424, ""en"", ""Hi"")"),"ए) वेरुमकाई, बी) सिलंबम, सी) मीपायट्टु, डी) एडवस")</f>
        <v>ए) वेरुमकाई, बी) सिलंबम, सी) मीपायट्टु, डी) एडवस</v>
      </c>
      <c r="I424" s="5" t="str">
        <f>IFERROR(__xludf.DUMMYFUNCTION("GOOGLETRANSLATE(D424, ""en"", ""Hi"")"),"A) वेरुमकाई")</f>
        <v>A) वेरुमकाई</v>
      </c>
    </row>
    <row r="425" ht="22.5" customHeight="1">
      <c r="A425" s="9">
        <v>424.0</v>
      </c>
      <c r="B425" s="4" t="s">
        <v>9340</v>
      </c>
      <c r="C425" s="4" t="s">
        <v>9476</v>
      </c>
      <c r="D425" s="4" t="s">
        <v>9477</v>
      </c>
      <c r="F425" s="5" t="str">
        <f>IFERROR(__xludf.DUMMYFUNCTION("GOOGLETRANSLATE(A425, ""en"", ""Hi"")"),"424")</f>
        <v>424</v>
      </c>
      <c r="G425" s="5" t="str">
        <f>IFERROR(__xludf.DUMMYFUNCTION("GOOGLETRANSLATE(B425, ""en"", ""Hi"")"),"कलारीपयट्टू में 'कलारी' की क्या भूमिका है?")</f>
        <v>कलारीपयट्टू में 'कलारी' की क्या भूमिका है?</v>
      </c>
      <c r="H425" s="5" t="str">
        <f>IFERROR(__xludf.DUMMYFUNCTION("GOOGLETRANSLATE(C425, ""en"", ""Hi"")"),"A) प्रशिक्षण मैदान, B) हथियार का प्रकार, C) युद्ध तकनीक, D) स्वास्थ्य अभ्यास")</f>
        <v>A) प्रशिक्षण मैदान, B) हथियार का प्रकार, C) युद्ध तकनीक, D) स्वास्थ्य अभ्यास</v>
      </c>
      <c r="I425" s="5" t="str">
        <f>IFERROR(__xludf.DUMMYFUNCTION("GOOGLETRANSLATE(D425, ""en"", ""Hi"")"),"ए) प्रशिक्षण मैदान")</f>
        <v>ए) प्रशिक्षण मैदान</v>
      </c>
    </row>
    <row r="426" ht="22.5" customHeight="1">
      <c r="A426" s="9">
        <v>425.0</v>
      </c>
      <c r="B426" s="4" t="s">
        <v>9478</v>
      </c>
      <c r="C426" s="4" t="s">
        <v>9212</v>
      </c>
      <c r="D426" s="4" t="s">
        <v>9022</v>
      </c>
      <c r="F426" s="5" t="str">
        <f>IFERROR(__xludf.DUMMYFUNCTION("GOOGLETRANSLATE(A426, ""en"", ""Hi"")"),"425")</f>
        <v>425</v>
      </c>
      <c r="G426" s="5" t="str">
        <f>IFERROR(__xludf.DUMMYFUNCTION("GOOGLETRANSLATE(B426, ""en"", ""Hi"")"),"कौन सा राजा कलारीपयट्टू के समर्थन के लिए जाना जाता है?")</f>
        <v>कौन सा राजा कलारीपयट्टू के समर्थन के लिए जाना जाता है?</v>
      </c>
      <c r="H426" s="5" t="str">
        <f>IFERROR(__xludf.DUMMYFUNCTION("GOOGLETRANSLATE(C426, ""en"", ""Hi"")"),"ए) राजा राजा चोल, बी) चंद्रगुप्त मौर्य, सी) अशोक, डी) हर्ष")</f>
        <v>ए) राजा राजा चोल, बी) चंद्रगुप्त मौर्य, सी) अशोक, डी) हर्ष</v>
      </c>
      <c r="I426" s="5" t="str">
        <f>IFERROR(__xludf.DUMMYFUNCTION("GOOGLETRANSLATE(D426, ""en"", ""Hi"")"),"A) राजा राजा चोल")</f>
        <v>A) राजा राजा चोल</v>
      </c>
    </row>
    <row r="427" ht="22.5" customHeight="1">
      <c r="A427" s="9">
        <v>426.0</v>
      </c>
      <c r="B427" s="4" t="s">
        <v>9479</v>
      </c>
      <c r="C427" s="4" t="s">
        <v>9450</v>
      </c>
      <c r="D427" s="4" t="s">
        <v>9451</v>
      </c>
      <c r="F427" s="5" t="str">
        <f>IFERROR(__xludf.DUMMYFUNCTION("GOOGLETRANSLATE(A427, ""en"", ""Hi"")"),"426")</f>
        <v>426</v>
      </c>
      <c r="G427" s="5" t="str">
        <f>IFERROR(__xludf.DUMMYFUNCTION("GOOGLETRANSLATE(B427, ""en"", ""Hi"")"),"कलारीपयट्टू के अभ्यास में 'मर्म' का क्या अर्थ है?")</f>
        <v>कलारीपयट्टू के अभ्यास में 'मर्म' का क्या अर्थ है?</v>
      </c>
      <c r="H427" s="5" t="str">
        <f>IFERROR(__xludf.DUMMYFUNCTION("GOOGLETRANSLATE(C427, ""en"", ""Hi"")"),"A) युद्ध के लिए महत्वपूर्ण बिंदु, B) हथियार तकनीक, C) युद्ध अभ्यास, D) शारीरिक व्यायाम")</f>
        <v>A) युद्ध के लिए महत्वपूर्ण बिंदु, B) हथियार तकनीक, C) युद्ध अभ्यास, D) शारीरिक व्यायाम</v>
      </c>
      <c r="I427" s="5" t="str">
        <f>IFERROR(__xludf.DUMMYFUNCTION("GOOGLETRANSLATE(D427, ""en"", ""Hi"")"),"A) युद्ध के लिए महत्वपूर्ण बिंदु")</f>
        <v>A) युद्ध के लिए महत्वपूर्ण बिंदु</v>
      </c>
    </row>
    <row r="428" ht="22.5" customHeight="1">
      <c r="A428" s="9">
        <v>427.0</v>
      </c>
      <c r="B428" s="4" t="s">
        <v>9480</v>
      </c>
      <c r="C428" s="4" t="s">
        <v>9270</v>
      </c>
      <c r="D428" s="4" t="s">
        <v>8803</v>
      </c>
      <c r="F428" s="5" t="str">
        <f>IFERROR(__xludf.DUMMYFUNCTION("GOOGLETRANSLATE(A428, ""en"", ""Hi"")"),"427")</f>
        <v>427</v>
      </c>
      <c r="G428" s="5" t="str">
        <f>IFERROR(__xludf.DUMMYFUNCTION("GOOGLETRANSLATE(B428, ""en"", ""Hi"")"),"कलारीपयट्टू में कौन सी प्रथा लंबी छड़ी के उपयोग पर जोर देती है?")</f>
        <v>कलारीपयट्टू में कौन सी प्रथा लंबी छड़ी के उपयोग पर जोर देती है?</v>
      </c>
      <c r="H428" s="5" t="str">
        <f>IFERROR(__xludf.DUMMYFUNCTION("GOOGLETRANSLATE(C428, ""en"", ""Hi"")"),"ए) सिलंबम, बी) मीपायट्टु, सी) वेरुमकाई, डी) एडवस")</f>
        <v>ए) सिलंबम, बी) मीपायट्टु, सी) वेरुमकाई, डी) एडवस</v>
      </c>
      <c r="I428" s="5" t="str">
        <f>IFERROR(__xludf.DUMMYFUNCTION("GOOGLETRANSLATE(D428, ""en"", ""Hi"")"),"ए) सिलंबम")</f>
        <v>ए) सिलंबम</v>
      </c>
    </row>
    <row r="429" ht="22.5" customHeight="1">
      <c r="A429" s="9">
        <v>428.0</v>
      </c>
      <c r="B429" s="4" t="s">
        <v>9452</v>
      </c>
      <c r="C429" s="4" t="s">
        <v>9453</v>
      </c>
      <c r="D429" s="4" t="s">
        <v>9419</v>
      </c>
      <c r="F429" s="5" t="str">
        <f>IFERROR(__xludf.DUMMYFUNCTION("GOOGLETRANSLATE(A429, ""en"", ""Hi"")"),"428")</f>
        <v>428</v>
      </c>
      <c r="G429" s="5" t="str">
        <f>IFERROR(__xludf.DUMMYFUNCTION("GOOGLETRANSLATE(B429, ""en"", ""Hi"")"),"कलारीपयट्टू में 'मीपयट्टू' किस पर केंद्रित है?")</f>
        <v>कलारीपयट्टू में 'मीपयट्टू' किस पर केंद्रित है?</v>
      </c>
      <c r="H429" s="5" t="str">
        <f>IFERROR(__xludf.DUMMYFUNCTION("GOOGLETRANSLATE(C429, ""en"", ""Hi"")"),"A) शारीरिक कंडीशनिंग, B) हथियार संचालन, C) युद्ध तकनीक, D) उपचार विधियाँ")</f>
        <v>A) शारीरिक कंडीशनिंग, B) हथियार संचालन, C) युद्ध तकनीक, D) उपचार विधियाँ</v>
      </c>
      <c r="I429" s="5" t="str">
        <f>IFERROR(__xludf.DUMMYFUNCTION("GOOGLETRANSLATE(D429, ""en"", ""Hi"")"),"A) शारीरिक कंडीशनिंग")</f>
        <v>A) शारीरिक कंडीशनिंग</v>
      </c>
    </row>
    <row r="430" ht="22.5" customHeight="1">
      <c r="A430" s="9">
        <v>429.0</v>
      </c>
      <c r="B430" s="4" t="s">
        <v>9279</v>
      </c>
      <c r="C430" s="4" t="s">
        <v>9481</v>
      </c>
      <c r="D430" s="4" t="s">
        <v>9482</v>
      </c>
      <c r="F430" s="5" t="str">
        <f>IFERROR(__xludf.DUMMYFUNCTION("GOOGLETRANSLATE(A430, ""en"", ""Hi"")"),"429")</f>
        <v>429</v>
      </c>
      <c r="G430" s="5" t="str">
        <f>IFERROR(__xludf.DUMMYFUNCTION("GOOGLETRANSLATE(B430, ""en"", ""Hi"")"),"कलारीपयट्टू प्रशिक्षण में 'गुरु' की क्या भूमिका है?")</f>
        <v>कलारीपयट्टू प्रशिक्षण में 'गुरु' की क्या भूमिका है?</v>
      </c>
      <c r="H430" s="5" t="str">
        <f>IFERROR(__xludf.DUMMYFUNCTION("GOOGLETRANSLATE(C430, ""en"", ""Hi"")"),"A) गुरु और शिक्षक, B) योद्धा, C) हथियार निर्माता, D) छात्र")</f>
        <v>A) गुरु और शिक्षक, B) योद्धा, C) हथियार निर्माता, D) छात्र</v>
      </c>
      <c r="I430" s="5" t="str">
        <f>IFERROR(__xludf.DUMMYFUNCTION("GOOGLETRANSLATE(D430, ""en"", ""Hi"")"),"ए) संरक्षक और शिक्षक")</f>
        <v>ए) संरक्षक और शिक्षक</v>
      </c>
    </row>
    <row r="431" ht="22.5" customHeight="1">
      <c r="A431" s="9">
        <v>430.0</v>
      </c>
      <c r="B431" s="4" t="s">
        <v>9483</v>
      </c>
      <c r="C431" s="4" t="s">
        <v>9414</v>
      </c>
      <c r="D431" s="4" t="s">
        <v>2616</v>
      </c>
      <c r="F431" s="5" t="str">
        <f>IFERROR(__xludf.DUMMYFUNCTION("GOOGLETRANSLATE(A431, ""en"", ""Hi"")"),"430")</f>
        <v>430</v>
      </c>
      <c r="G431" s="5" t="str">
        <f>IFERROR(__xludf.DUMMYFUNCTION("GOOGLETRANSLATE(B431, ""en"", ""Hi"")"),"कौन सा ग्रंथ कलारीपयट्टू के इतिहास और तकनीकों के बारे में विस्तृत जानकारी प्रदान करता है?")</f>
        <v>कौन सा ग्रंथ कलारीपयट्टू के इतिहास और तकनीकों के बारे में विस्तृत जानकारी प्रदान करता है?</v>
      </c>
      <c r="H431" s="5" t="str">
        <f>IFERROR(__xludf.DUMMYFUNCTION("GOOGLETRANSLATE(C431, ""en"", ""Hi"")"),"ए) अर्थशास्त्र, बी) भगवद गीता, सी) रामायण, डी) महाभारत")</f>
        <v>ए) अर्थशास्त्र, बी) भगवद गीता, सी) रामायण, डी) महाभारत</v>
      </c>
      <c r="I431" s="5" t="str">
        <f>IFERROR(__xludf.DUMMYFUNCTION("GOOGLETRANSLATE(D431, ""en"", ""Hi"")"),"A) अर्थशास्त्र")</f>
        <v>A) अर्थशास्त्र</v>
      </c>
    </row>
    <row r="432" ht="22.5" customHeight="1">
      <c r="A432" s="9">
        <v>431.0</v>
      </c>
      <c r="B432" s="4" t="s">
        <v>9484</v>
      </c>
      <c r="C432" s="4" t="s">
        <v>9455</v>
      </c>
      <c r="D432" s="4" t="s">
        <v>9456</v>
      </c>
      <c r="F432" s="5" t="str">
        <f>IFERROR(__xludf.DUMMYFUNCTION("GOOGLETRANSLATE(A432, ""en"", ""Hi"")"),"431")</f>
        <v>431</v>
      </c>
      <c r="G432" s="5" t="str">
        <f>IFERROR(__xludf.DUMMYFUNCTION("GOOGLETRANSLATE(B432, ""en"", ""Hi"")"),"कलारीपयट्टू की उत्पत्ति किस भारतीय राजवंश से जुड़ी है?")</f>
        <v>कलारीपयट्टू की उत्पत्ति किस भारतीय राजवंश से जुड़ी है?</v>
      </c>
      <c r="H432" s="5" t="str">
        <f>IFERROR(__xludf.DUMMYFUNCTION("GOOGLETRANSLATE(C432, ""en"", ""Hi"")"),"A) चेर वंश, B) चोल वंश, C) पांड्य वंश, D) मौर्य वंश")</f>
        <v>A) चेर वंश, B) चोल वंश, C) पांड्य वंश, D) मौर्य वंश</v>
      </c>
      <c r="I432" s="5" t="str">
        <f>IFERROR(__xludf.DUMMYFUNCTION("GOOGLETRANSLATE(D432, ""en"", ""Hi"")"),"A) चेर राजवंश")</f>
        <v>A) चेर राजवंश</v>
      </c>
    </row>
    <row r="433" ht="22.5" customHeight="1">
      <c r="A433" s="9">
        <v>432.0</v>
      </c>
      <c r="B433" s="4" t="s">
        <v>9485</v>
      </c>
      <c r="C433" s="4" t="s">
        <v>9486</v>
      </c>
      <c r="D433" s="4" t="s">
        <v>9361</v>
      </c>
      <c r="F433" s="5" t="str">
        <f>IFERROR(__xludf.DUMMYFUNCTION("GOOGLETRANSLATE(A433, ""en"", ""Hi"")"),"432")</f>
        <v>432</v>
      </c>
      <c r="G433" s="5" t="str">
        <f>IFERROR(__xludf.DUMMYFUNCTION("GOOGLETRANSLATE(B433, ""en"", ""Hi"")"),"कलारीपयट्टू में 'अडावस' का मुख्य फोकस क्या है?")</f>
        <v>कलारीपयट्टू में 'अडावस' का मुख्य फोकस क्या है?</v>
      </c>
      <c r="H433" s="5" t="str">
        <f>IFERROR(__xludf.DUMMYFUNCTION("GOOGLETRANSLATE(C433, ""en"", ""Hi"")"),"A) युद्ध अभ्यास, B) हथियार तकनीक, C) शारीरिक व्यायाम, D) उपचार पद्धतियाँ")</f>
        <v>A) युद्ध अभ्यास, B) हथियार तकनीक, C) शारीरिक व्यायाम, D) उपचार पद्धतियाँ</v>
      </c>
      <c r="I433" s="5" t="str">
        <f>IFERROR(__xludf.DUMMYFUNCTION("GOOGLETRANSLATE(D433, ""en"", ""Hi"")"),"ए) युद्ध अभ्यास")</f>
        <v>ए) युद्ध अभ्यास</v>
      </c>
    </row>
    <row r="434" ht="22.5" customHeight="1">
      <c r="A434" s="9">
        <v>433.0</v>
      </c>
      <c r="B434" s="4" t="s">
        <v>9487</v>
      </c>
      <c r="C434" s="4" t="s">
        <v>9488</v>
      </c>
      <c r="D434" s="4" t="s">
        <v>9461</v>
      </c>
      <c r="F434" s="5" t="str">
        <f>IFERROR(__xludf.DUMMYFUNCTION("GOOGLETRANSLATE(A434, ""en"", ""Hi"")"),"433")</f>
        <v>433</v>
      </c>
      <c r="G434" s="5" t="str">
        <f>IFERROR(__xludf.DUMMYFUNCTION("GOOGLETRANSLATE(B434, ""en"", ""Hi"")"),"कलारीपयट्टू में 'सिलम्बम' क्या शामिल है?")</f>
        <v>कलारीपयट्टू में 'सिलम्बम' क्या शामिल है?</v>
      </c>
      <c r="H434" s="5" t="str">
        <f>IFERROR(__xludf.DUMMYFUNCTION("GOOGLETRANSLATE(C434, ""en"", ""Hi"")"),"A) लंबी छड़ी प्रशिक्षण, B) निहत्थे मुकाबला, C) शारीरिक कंडीशनिंग, D) उपचार")</f>
        <v>A) लंबी छड़ी प्रशिक्षण, B) निहत्थे मुकाबला, C) शारीरिक कंडीशनिंग, D) उपचार</v>
      </c>
      <c r="I434" s="5" t="str">
        <f>IFERROR(__xludf.DUMMYFUNCTION("GOOGLETRANSLATE(D434, ""en"", ""Hi"")"),"ए) लंबी छड़ी प्रशिक्षण")</f>
        <v>ए) लंबी छड़ी प्रशिक्षण</v>
      </c>
    </row>
    <row r="435" ht="22.5" customHeight="1">
      <c r="A435" s="9">
        <v>434.0</v>
      </c>
      <c r="B435" s="4" t="s">
        <v>9449</v>
      </c>
      <c r="C435" s="4" t="s">
        <v>9489</v>
      </c>
      <c r="D435" s="4" t="s">
        <v>9451</v>
      </c>
      <c r="F435" s="5" t="str">
        <f>IFERROR(__xludf.DUMMYFUNCTION("GOOGLETRANSLATE(A435, ""en"", ""Hi"")"),"434")</f>
        <v>434</v>
      </c>
      <c r="G435" s="5" t="str">
        <f>IFERROR(__xludf.DUMMYFUNCTION("GOOGLETRANSLATE(B435, ""en"", ""Hi"")"),"कलारीपयट्टु में 'मर्म' का क्या अर्थ है?")</f>
        <v>कलारीपयट्टु में 'मर्म' का क्या अर्थ है?</v>
      </c>
      <c r="H435" s="5" t="str">
        <f>IFERROR(__xludf.DUMMYFUNCTION("GOOGLETRANSLATE(C435, ""en"", ""Hi"")"),"A) युद्ध के लिए महत्वपूर्ण बिंदु, B) हथियार तकनीक, C) युद्ध अभ्यास, D) शारीरिक कंडीशनिंग")</f>
        <v>A) युद्ध के लिए महत्वपूर्ण बिंदु, B) हथियार तकनीक, C) युद्ध अभ्यास, D) शारीरिक कंडीशनिंग</v>
      </c>
      <c r="I435" s="5" t="str">
        <f>IFERROR(__xludf.DUMMYFUNCTION("GOOGLETRANSLATE(D435, ""en"", ""Hi"")"),"A) युद्ध के लिए महत्वपूर्ण बिंदु")</f>
        <v>A) युद्ध के लिए महत्वपूर्ण बिंदु</v>
      </c>
    </row>
    <row r="436" ht="22.5" customHeight="1">
      <c r="A436" s="9">
        <v>435.0</v>
      </c>
      <c r="B436" s="4" t="s">
        <v>9490</v>
      </c>
      <c r="C436" s="4" t="s">
        <v>4611</v>
      </c>
      <c r="D436" s="4" t="s">
        <v>9244</v>
      </c>
      <c r="F436" s="5" t="str">
        <f>IFERROR(__xludf.DUMMYFUNCTION("GOOGLETRANSLATE(A436, ""en"", ""Hi"")"),"435")</f>
        <v>435</v>
      </c>
      <c r="G436" s="5" t="str">
        <f>IFERROR(__xludf.DUMMYFUNCTION("GOOGLETRANSLATE(B436, ""en"", ""Hi"")"),"कौन सा ऐतिहासिक काल कलारीपयट्टू के परिष्कार से सबसे अधिक जुड़ा हुआ है?")</f>
        <v>कौन सा ऐतिहासिक काल कलारीपयट्टू के परिष्कार से सबसे अधिक जुड़ा हुआ है?</v>
      </c>
      <c r="H436" s="5" t="str">
        <f>IFERROR(__xludf.DUMMYFUNCTION("GOOGLETRANSLATE(C436, ""en"", ""Hi"")"),"A) प्राचीन काल, B) मध्यकाल, C) औपनिवेशिक काल, D) आधुनिक काल")</f>
        <v>A) प्राचीन काल, B) मध्यकाल, C) औपनिवेशिक काल, D) आधुनिक काल</v>
      </c>
      <c r="I436" s="5" t="str">
        <f>IFERROR(__xludf.DUMMYFUNCTION("GOOGLETRANSLATE(D436, ""en"", ""Hi"")"),"A) प्राचीन काल")</f>
        <v>A) प्राचीन काल</v>
      </c>
    </row>
    <row r="437" ht="22.5" customHeight="1">
      <c r="A437" s="9">
        <v>436.0</v>
      </c>
      <c r="B437" s="4" t="s">
        <v>9491</v>
      </c>
      <c r="C437" s="4" t="s">
        <v>9135</v>
      </c>
      <c r="D437" s="4" t="s">
        <v>2616</v>
      </c>
      <c r="F437" s="5" t="str">
        <f>IFERROR(__xludf.DUMMYFUNCTION("GOOGLETRANSLATE(A437, ""en"", ""Hi"")"),"436")</f>
        <v>436</v>
      </c>
      <c r="G437" s="5" t="str">
        <f>IFERROR(__xludf.DUMMYFUNCTION("GOOGLETRANSLATE(B437, ""en"", ""Hi"")"),"कलारीपयट्टू के इतिहास और तकनीकों को समझने के लिए कौन सा पाठ आवश्यक है?")</f>
        <v>कलारीपयट्टू के इतिहास और तकनीकों को समझने के लिए कौन सा पाठ आवश्यक है?</v>
      </c>
      <c r="H437" s="5" t="str">
        <f>IFERROR(__xludf.DUMMYFUNCTION("GOOGLETRANSLATE(C437, ""en"", ""Hi"")"),"ए) अर्थशास्त्र, बी) रामायण, सी) महाभारत, डी) वेद")</f>
        <v>ए) अर्थशास्त्र, बी) रामायण, सी) महाभारत, डी) वेद</v>
      </c>
      <c r="I437" s="5" t="str">
        <f>IFERROR(__xludf.DUMMYFUNCTION("GOOGLETRANSLATE(D437, ""en"", ""Hi"")"),"A) अर्थशास्त्र")</f>
        <v>A) अर्थशास्त्र</v>
      </c>
    </row>
    <row r="438" ht="22.5" customHeight="1">
      <c r="A438" s="9">
        <v>437.0</v>
      </c>
      <c r="B438" s="4" t="s">
        <v>9492</v>
      </c>
      <c r="C438" s="4" t="s">
        <v>9306</v>
      </c>
      <c r="D438" s="4" t="s">
        <v>9022</v>
      </c>
      <c r="F438" s="5" t="str">
        <f>IFERROR(__xludf.DUMMYFUNCTION("GOOGLETRANSLATE(A438, ""en"", ""Hi"")"),"437")</f>
        <v>437</v>
      </c>
      <c r="G438" s="5" t="str">
        <f>IFERROR(__xludf.DUMMYFUNCTION("GOOGLETRANSLATE(B438, ""en"", ""Hi"")"),"कौन सा राजा कलारीपयट्टू के विकास के समर्थन के लिए जाना जाता है?")</f>
        <v>कौन सा राजा कलारीपयट्टू के विकास के समर्थन के लिए जाना जाता है?</v>
      </c>
      <c r="H438" s="5" t="str">
        <f>IFERROR(__xludf.DUMMYFUNCTION("GOOGLETRANSLATE(C438, ""en"", ""Hi"")"),"ए) राजा राजा चोल, बी) अशोक, सी) चंद्रगुप्त मौर्य, डी) हर्ष")</f>
        <v>ए) राजा राजा चोल, बी) अशोक, सी) चंद्रगुप्त मौर्य, डी) हर्ष</v>
      </c>
      <c r="I438" s="5" t="str">
        <f>IFERROR(__xludf.DUMMYFUNCTION("GOOGLETRANSLATE(D438, ""en"", ""Hi"")"),"A) राजा राजा चोल")</f>
        <v>A) राजा राजा चोल</v>
      </c>
    </row>
    <row r="439" ht="22.5" customHeight="1">
      <c r="A439" s="9">
        <v>438.0</v>
      </c>
      <c r="B439" s="4" t="s">
        <v>9183</v>
      </c>
      <c r="C439" s="4" t="s">
        <v>9470</v>
      </c>
      <c r="D439" s="4" t="s">
        <v>9471</v>
      </c>
      <c r="F439" s="5" t="str">
        <f>IFERROR(__xludf.DUMMYFUNCTION("GOOGLETRANSLATE(A439, ""en"", ""Hi"")"),"438")</f>
        <v>438</v>
      </c>
      <c r="G439" s="5" t="str">
        <f>IFERROR(__xludf.DUMMYFUNCTION("GOOGLETRANSLATE(B439, ""en"", ""Hi"")"),"कलारीपयट्टू में 'मीपायट्टू' किस पर केंद्रित है?")</f>
        <v>कलारीपयट्टू में 'मीपायट्टू' किस पर केंद्रित है?</v>
      </c>
      <c r="H439" s="5" t="str">
        <f>IFERROR(__xludf.DUMMYFUNCTION("GOOGLETRANSLATE(C439, ""en"", ""Hi"")"),"A) शारीरिक कंडीशनिंग और लचीलापन, B) हथियार संचालन, C) युद्ध तकनीक, D) उपचार विधियाँ")</f>
        <v>A) शारीरिक कंडीशनिंग और लचीलापन, B) हथियार संचालन, C) युद्ध तकनीक, D) उपचार विधियाँ</v>
      </c>
      <c r="I439" s="5" t="str">
        <f>IFERROR(__xludf.DUMMYFUNCTION("GOOGLETRANSLATE(D439, ""en"", ""Hi"")"),"ए) शारीरिक कंडीशनिंग और लचीलापन")</f>
        <v>ए) शारीरिक कंडीशनिंग और लचीलापन</v>
      </c>
    </row>
    <row r="440" ht="22.5" customHeight="1">
      <c r="A440" s="9">
        <v>439.0</v>
      </c>
      <c r="B440" s="4" t="s">
        <v>9493</v>
      </c>
      <c r="C440" s="4" t="s">
        <v>9455</v>
      </c>
      <c r="D440" s="4" t="s">
        <v>9456</v>
      </c>
      <c r="F440" s="5" t="str">
        <f>IFERROR(__xludf.DUMMYFUNCTION("GOOGLETRANSLATE(A440, ""en"", ""Hi"")"),"439")</f>
        <v>439</v>
      </c>
      <c r="G440" s="5" t="str">
        <f>IFERROR(__xludf.DUMMYFUNCTION("GOOGLETRANSLATE(B440, ""en"", ""Hi"")"),"कौन सा भारतीय राजवंश ऐतिहासिक रूप से कलारीपयट्टू की प्रथा से जुड़ा हुआ है?")</f>
        <v>कौन सा भारतीय राजवंश ऐतिहासिक रूप से कलारीपयट्टू की प्रथा से जुड़ा हुआ है?</v>
      </c>
      <c r="H440" s="5" t="str">
        <f>IFERROR(__xludf.DUMMYFUNCTION("GOOGLETRANSLATE(C440, ""en"", ""Hi"")"),"A) चेर वंश, B) चोल वंश, C) पांड्य वंश, D) मौर्य वंश")</f>
        <v>A) चेर वंश, B) चोल वंश, C) पांड्य वंश, D) मौर्य वंश</v>
      </c>
      <c r="I440" s="5" t="str">
        <f>IFERROR(__xludf.DUMMYFUNCTION("GOOGLETRANSLATE(D440, ""en"", ""Hi"")"),"A) चेर राजवंश")</f>
        <v>A) चेर राजवंश</v>
      </c>
    </row>
    <row r="441" ht="22.5" customHeight="1">
      <c r="A441" s="9">
        <v>440.0</v>
      </c>
      <c r="B441" s="4" t="s">
        <v>9138</v>
      </c>
      <c r="C441" s="4" t="s">
        <v>9494</v>
      </c>
      <c r="D441" s="4" t="s">
        <v>9495</v>
      </c>
      <c r="F441" s="5" t="str">
        <f>IFERROR(__xludf.DUMMYFUNCTION("GOOGLETRANSLATE(A441, ""en"", ""Hi"")"),"440")</f>
        <v>440</v>
      </c>
      <c r="G441" s="5" t="str">
        <f>IFERROR(__xludf.DUMMYFUNCTION("GOOGLETRANSLATE(B441, ""en"", ""Hi"")"),"कलारीपयट्टू के अभ्यास में 'गुरु' की क्या भूमिका है?")</f>
        <v>कलारीपयट्टू के अभ्यास में 'गुरु' की क्या भूमिका है?</v>
      </c>
      <c r="H441" s="5" t="str">
        <f>IFERROR(__xludf.DUMMYFUNCTION("GOOGLETRANSLATE(C441, ""en"", ""Hi"")"),"A) शिक्षक और संरक्षक, B) छात्र, C) हथियार निर्माता, D) लड़ाकू")</f>
        <v>A) शिक्षक और संरक्षक, B) छात्र, C) हथियार निर्माता, D) लड़ाकू</v>
      </c>
      <c r="I441" s="5" t="str">
        <f>IFERROR(__xludf.DUMMYFUNCTION("GOOGLETRANSLATE(D441, ""en"", ""Hi"")"),"A) शिक्षक और संरक्षक")</f>
        <v>A) शिक्षक और संरक्षक</v>
      </c>
    </row>
    <row r="442" ht="22.5" customHeight="1">
      <c r="A442" s="9">
        <v>441.0</v>
      </c>
      <c r="B442" s="4" t="s">
        <v>9408</v>
      </c>
      <c r="C442" s="4" t="s">
        <v>9496</v>
      </c>
      <c r="D442" s="4" t="s">
        <v>9447</v>
      </c>
      <c r="F442" s="5" t="str">
        <f>IFERROR(__xludf.DUMMYFUNCTION("GOOGLETRANSLATE(A442, ""en"", ""Hi"")"),"441")</f>
        <v>441</v>
      </c>
      <c r="G442" s="5" t="str">
        <f>IFERROR(__xludf.DUMMYFUNCTION("GOOGLETRANSLATE(B442, ""en"", ""Hi"")"),"कलारीपयट्टु में 'चुवडु' का क्या मतलब है?")</f>
        <v>कलारीपयट्टु में 'चुवडु' का क्या मतलब है?</v>
      </c>
      <c r="H442" s="5" t="str">
        <f>IFERROR(__xludf.DUMMYFUNCTION("GOOGLETRANSLATE(C442, ""en"", ""Hi"")"),"A) युद्ध तकनीक, B) हथियार प्रशिक्षण, C) शारीरिक व्यायाम, D) स्वास्थ्य अभ्यास")</f>
        <v>A) युद्ध तकनीक, B) हथियार प्रशिक्षण, C) शारीरिक व्यायाम, D) स्वास्थ्य अभ्यास</v>
      </c>
      <c r="I442" s="5" t="str">
        <f>IFERROR(__xludf.DUMMYFUNCTION("GOOGLETRANSLATE(D442, ""en"", ""Hi"")"),"A) युद्ध तकनीकें")</f>
        <v>A) युद्ध तकनीकें</v>
      </c>
    </row>
    <row r="443" ht="22.5" customHeight="1">
      <c r="A443" s="9">
        <v>442.0</v>
      </c>
      <c r="B443" s="4" t="s">
        <v>9400</v>
      </c>
      <c r="C443" s="4" t="s">
        <v>9434</v>
      </c>
      <c r="D443" s="4" t="s">
        <v>9435</v>
      </c>
      <c r="F443" s="5" t="str">
        <f>IFERROR(__xludf.DUMMYFUNCTION("GOOGLETRANSLATE(A443, ""en"", ""Hi"")"),"442")</f>
        <v>442</v>
      </c>
      <c r="G443" s="5" t="str">
        <f>IFERROR(__xludf.DUMMYFUNCTION("GOOGLETRANSLATE(B443, ""en"", ""Hi"")"),"'सिलम्बम' प्रथा में किस हथियार का प्रमुखता से प्रयोग किया जाता है?")</f>
        <v>'सिलम्बम' प्रथा में किस हथियार का प्रमुखता से प्रयोग किया जाता है?</v>
      </c>
      <c r="H443" s="5" t="str">
        <f>IFERROR(__xludf.DUMMYFUNCTION("GOOGLETRANSLATE(C443, ""en"", ""Hi"")"),"A) लंबी छड़ी, B) तलवार, C) खंजर, D) गदा")</f>
        <v>A) लंबी छड़ी, B) तलवार, C) खंजर, D) गदा</v>
      </c>
      <c r="I443" s="5" t="str">
        <f>IFERROR(__xludf.DUMMYFUNCTION("GOOGLETRANSLATE(D443, ""en"", ""Hi"")"),"A) लंबी छड़ी")</f>
        <v>A) लंबी छड़ी</v>
      </c>
    </row>
    <row r="444" ht="22.5" customHeight="1">
      <c r="A444" s="9">
        <v>443.0</v>
      </c>
      <c r="B444" s="4" t="s">
        <v>9296</v>
      </c>
      <c r="C444" s="4" t="s">
        <v>9476</v>
      </c>
      <c r="D444" s="4" t="s">
        <v>9477</v>
      </c>
      <c r="F444" s="5" t="str">
        <f>IFERROR(__xludf.DUMMYFUNCTION("GOOGLETRANSLATE(A444, ""en"", ""Hi"")"),"443")</f>
        <v>443</v>
      </c>
      <c r="G444" s="5" t="str">
        <f>IFERROR(__xludf.DUMMYFUNCTION("GOOGLETRANSLATE(B444, ""en"", ""Hi"")"),"कलारीपयट्टू में 'कलारी' का क्या महत्व है?")</f>
        <v>कलारीपयट्टू में 'कलारी' का क्या महत्व है?</v>
      </c>
      <c r="H444" s="5" t="str">
        <f>IFERROR(__xludf.DUMMYFUNCTION("GOOGLETRANSLATE(C444, ""en"", ""Hi"")"),"A) प्रशिक्षण मैदान, B) हथियार का प्रकार, C) युद्ध तकनीक, D) स्वास्थ्य अभ्यास")</f>
        <v>A) प्रशिक्षण मैदान, B) हथियार का प्रकार, C) युद्ध तकनीक, D) स्वास्थ्य अभ्यास</v>
      </c>
      <c r="I444" s="5" t="str">
        <f>IFERROR(__xludf.DUMMYFUNCTION("GOOGLETRANSLATE(D444, ""en"", ""Hi"")"),"ए) प्रशिक्षण मैदान")</f>
        <v>ए) प्रशिक्षण मैदान</v>
      </c>
    </row>
    <row r="445" ht="22.5" customHeight="1">
      <c r="A445" s="9">
        <v>444.0</v>
      </c>
      <c r="B445" s="4" t="s">
        <v>9359</v>
      </c>
      <c r="C445" s="4" t="s">
        <v>9486</v>
      </c>
      <c r="D445" s="4" t="s">
        <v>9361</v>
      </c>
      <c r="F445" s="5" t="str">
        <f>IFERROR(__xludf.DUMMYFUNCTION("GOOGLETRANSLATE(A445, ""en"", ""Hi"")"),"444")</f>
        <v>444</v>
      </c>
      <c r="G445" s="5" t="str">
        <f>IFERROR(__xludf.DUMMYFUNCTION("GOOGLETRANSLATE(B445, ""en"", ""Hi"")"),"कलारीपयट्टू में 'अडावस' का प्राथमिक फोकस क्या है?")</f>
        <v>कलारीपयट्टू में 'अडावस' का प्राथमिक फोकस क्या है?</v>
      </c>
      <c r="H445" s="5" t="str">
        <f>IFERROR(__xludf.DUMMYFUNCTION("GOOGLETRANSLATE(C445, ""en"", ""Hi"")"),"A) युद्ध अभ्यास, B) हथियार तकनीक, C) शारीरिक व्यायाम, D) उपचार पद्धतियाँ")</f>
        <v>A) युद्ध अभ्यास, B) हथियार तकनीक, C) शारीरिक व्यायाम, D) उपचार पद्धतियाँ</v>
      </c>
      <c r="I445" s="5" t="str">
        <f>IFERROR(__xludf.DUMMYFUNCTION("GOOGLETRANSLATE(D445, ""en"", ""Hi"")"),"ए) युद्ध अभ्यास")</f>
        <v>ए) युद्ध अभ्यास</v>
      </c>
    </row>
    <row r="446" ht="22.5" customHeight="1">
      <c r="A446" s="9">
        <v>445.0</v>
      </c>
      <c r="B446" s="4" t="s">
        <v>9497</v>
      </c>
      <c r="C446" s="4" t="s">
        <v>9414</v>
      </c>
      <c r="D446" s="4" t="s">
        <v>2616</v>
      </c>
      <c r="F446" s="5" t="str">
        <f>IFERROR(__xludf.DUMMYFUNCTION("GOOGLETRANSLATE(A446, ""en"", ""Hi"")"),"445")</f>
        <v>445</v>
      </c>
      <c r="G446" s="5" t="str">
        <f>IFERROR(__xludf.DUMMYFUNCTION("GOOGLETRANSLATE(B446, ""en"", ""Hi"")"),"कलारीपयट्टू की तकनीक और इतिहास को समझने के लिए कौन सा ऐतिहासिक ग्रंथ महत्वपूर्ण है?")</f>
        <v>कलारीपयट्टू की तकनीक और इतिहास को समझने के लिए कौन सा ऐतिहासिक ग्रंथ महत्वपूर्ण है?</v>
      </c>
      <c r="H446" s="5" t="str">
        <f>IFERROR(__xludf.DUMMYFUNCTION("GOOGLETRANSLATE(C446, ""en"", ""Hi"")"),"ए) अर्थशास्त्र, बी) भगवद गीता, सी) रामायण, डी) महाभारत")</f>
        <v>ए) अर्थशास्त्र, बी) भगवद गीता, सी) रामायण, डी) महाभारत</v>
      </c>
      <c r="I446" s="5" t="str">
        <f>IFERROR(__xludf.DUMMYFUNCTION("GOOGLETRANSLATE(D446, ""en"", ""Hi"")"),"A) अर्थशास्त्र")</f>
        <v>A) अर्थशास्त्र</v>
      </c>
    </row>
    <row r="447" ht="22.5" customHeight="1">
      <c r="A447" s="9">
        <v>446.0</v>
      </c>
      <c r="B447" s="4" t="s">
        <v>9357</v>
      </c>
      <c r="C447" s="4" t="s">
        <v>9489</v>
      </c>
      <c r="D447" s="4" t="s">
        <v>9451</v>
      </c>
      <c r="F447" s="5" t="str">
        <f>IFERROR(__xludf.DUMMYFUNCTION("GOOGLETRANSLATE(A447, ""en"", ""Hi"")"),"446")</f>
        <v>446</v>
      </c>
      <c r="G447" s="5" t="str">
        <f>IFERROR(__xludf.DUMMYFUNCTION("GOOGLETRANSLATE(B447, ""en"", ""Hi"")"),"कलारीपयट्टू में 'मर्म' किस पर केंद्रित है?")</f>
        <v>कलारीपयट्टू में 'मर्म' किस पर केंद्रित है?</v>
      </c>
      <c r="H447" s="5" t="str">
        <f>IFERROR(__xludf.DUMMYFUNCTION("GOOGLETRANSLATE(C447, ""en"", ""Hi"")"),"A) युद्ध के लिए महत्वपूर्ण बिंदु, B) हथियार तकनीक, C) युद्ध अभ्यास, D) शारीरिक कंडीशनिंग")</f>
        <v>A) युद्ध के लिए महत्वपूर्ण बिंदु, B) हथियार तकनीक, C) युद्ध अभ्यास, D) शारीरिक कंडीशनिंग</v>
      </c>
      <c r="I447" s="5" t="str">
        <f>IFERROR(__xludf.DUMMYFUNCTION("GOOGLETRANSLATE(D447, ""en"", ""Hi"")"),"A) युद्ध के लिए महत्वपूर्ण बिंदु")</f>
        <v>A) युद्ध के लिए महत्वपूर्ण बिंदु</v>
      </c>
    </row>
    <row r="448" ht="22.5" customHeight="1">
      <c r="A448" s="9">
        <v>447.0</v>
      </c>
      <c r="B448" s="4" t="s">
        <v>9498</v>
      </c>
      <c r="C448" s="4" t="s">
        <v>9455</v>
      </c>
      <c r="D448" s="4" t="s">
        <v>9456</v>
      </c>
      <c r="F448" s="5" t="str">
        <f>IFERROR(__xludf.DUMMYFUNCTION("GOOGLETRANSLATE(A448, ""en"", ""Hi"")"),"447")</f>
        <v>447</v>
      </c>
      <c r="G448" s="5" t="str">
        <f>IFERROR(__xludf.DUMMYFUNCTION("GOOGLETRANSLATE(B448, ""en"", ""Hi"")"),"कौन सा भारतीय राजवंश कलारीपयट्टू के शोधन से जुड़ा हुआ है?")</f>
        <v>कौन सा भारतीय राजवंश कलारीपयट्टू के शोधन से जुड़ा हुआ है?</v>
      </c>
      <c r="H448" s="5" t="str">
        <f>IFERROR(__xludf.DUMMYFUNCTION("GOOGLETRANSLATE(C448, ""en"", ""Hi"")"),"A) चेर वंश, B) चोल वंश, C) पांड्य वंश, D) मौर्य वंश")</f>
        <v>A) चेर वंश, B) चोल वंश, C) पांड्य वंश, D) मौर्य वंश</v>
      </c>
      <c r="I448" s="5" t="str">
        <f>IFERROR(__xludf.DUMMYFUNCTION("GOOGLETRANSLATE(D448, ""en"", ""Hi"")"),"A) चेर राजवंश")</f>
        <v>A) चेर राजवंश</v>
      </c>
    </row>
    <row r="449" ht="22.5" customHeight="1">
      <c r="A449" s="9">
        <v>448.0</v>
      </c>
      <c r="B449" s="4" t="s">
        <v>9499</v>
      </c>
      <c r="C449" s="4" t="s">
        <v>9470</v>
      </c>
      <c r="D449" s="4" t="s">
        <v>9471</v>
      </c>
      <c r="F449" s="5" t="str">
        <f>IFERROR(__xludf.DUMMYFUNCTION("GOOGLETRANSLATE(A449, ""en"", ""Hi"")"),"448")</f>
        <v>448</v>
      </c>
      <c r="G449" s="5" t="str">
        <f>IFERROR(__xludf.DUMMYFUNCTION("GOOGLETRANSLATE(B449, ""en"", ""Hi"")"),"कलारीपयट्टू में 'मीपायट्टू' किस पर जोर देता है?")</f>
        <v>कलारीपयट्टू में 'मीपायट्टू' किस पर जोर देता है?</v>
      </c>
      <c r="H449" s="5" t="str">
        <f>IFERROR(__xludf.DUMMYFUNCTION("GOOGLETRANSLATE(C449, ""en"", ""Hi"")"),"A) शारीरिक कंडीशनिंग और लचीलापन, B) हथियार संचालन, C) युद्ध तकनीक, D) उपचार विधियाँ")</f>
        <v>A) शारीरिक कंडीशनिंग और लचीलापन, B) हथियार संचालन, C) युद्ध तकनीक, D) उपचार विधियाँ</v>
      </c>
      <c r="I449" s="5" t="str">
        <f>IFERROR(__xludf.DUMMYFUNCTION("GOOGLETRANSLATE(D449, ""en"", ""Hi"")"),"ए) शारीरिक कंडीशनिंग और लचीलापन")</f>
        <v>ए) शारीरिक कंडीशनिंग और लचीलापन</v>
      </c>
    </row>
    <row r="450" ht="22.5" customHeight="1">
      <c r="A450" s="9">
        <v>449.0</v>
      </c>
      <c r="B450" s="4" t="s">
        <v>9431</v>
      </c>
      <c r="C450" s="4" t="s">
        <v>9212</v>
      </c>
      <c r="D450" s="4" t="s">
        <v>9022</v>
      </c>
      <c r="F450" s="5" t="str">
        <f>IFERROR(__xludf.DUMMYFUNCTION("GOOGLETRANSLATE(A450, ""en"", ""Hi"")"),"449")</f>
        <v>449</v>
      </c>
      <c r="G450" s="5" t="str">
        <f>IFERROR(__xludf.DUMMYFUNCTION("GOOGLETRANSLATE(B450, ""en"", ""Hi"")"),"कौन सा राजा कलारीपयट्टू प्रथा को बढ़ावा देने के लिए जाना जाता है?")</f>
        <v>कौन सा राजा कलारीपयट्टू प्रथा को बढ़ावा देने के लिए जाना जाता है?</v>
      </c>
      <c r="H450" s="5" t="str">
        <f>IFERROR(__xludf.DUMMYFUNCTION("GOOGLETRANSLATE(C450, ""en"", ""Hi"")"),"ए) राजा राजा चोल, बी) चंद्रगुप्त मौर्य, सी) अशोक, डी) हर्ष")</f>
        <v>ए) राजा राजा चोल, बी) चंद्रगुप्त मौर्य, सी) अशोक, डी) हर्ष</v>
      </c>
      <c r="I450" s="5" t="str">
        <f>IFERROR(__xludf.DUMMYFUNCTION("GOOGLETRANSLATE(D450, ""en"", ""Hi"")"),"A) राजा राजा चोल")</f>
        <v>A) राजा राजा चोल</v>
      </c>
    </row>
    <row r="451" ht="22.5" customHeight="1">
      <c r="A451" s="9">
        <v>450.0</v>
      </c>
      <c r="B451" s="4" t="s">
        <v>9408</v>
      </c>
      <c r="C451" s="4" t="s">
        <v>9500</v>
      </c>
      <c r="D451" s="4" t="s">
        <v>9447</v>
      </c>
      <c r="F451" s="5" t="str">
        <f>IFERROR(__xludf.DUMMYFUNCTION("GOOGLETRANSLATE(A451, ""en"", ""Hi"")"),"450")</f>
        <v>450</v>
      </c>
      <c r="G451" s="5" t="str">
        <f>IFERROR(__xludf.DUMMYFUNCTION("GOOGLETRANSLATE(B451, ""en"", ""Hi"")"),"कलारीपयट्टु में 'चुवडु' का क्या मतलब है?")</f>
        <v>कलारीपयट्टु में 'चुवडु' का क्या मतलब है?</v>
      </c>
      <c r="H451" s="5" t="str">
        <f>IFERROR(__xludf.DUMMYFUNCTION("GOOGLETRANSLATE(C451, ""en"", ""Hi"")"),"A) युद्ध तकनीक, B) हथियार संचालन, C) स्वास्थ्य अभ्यास, D) प्रशिक्षण अभ्यास")</f>
        <v>A) युद्ध तकनीक, B) हथियार संचालन, C) स्वास्थ्य अभ्यास, D) प्रशिक्षण अभ्यास</v>
      </c>
      <c r="I451" s="5" t="str">
        <f>IFERROR(__xludf.DUMMYFUNCTION("GOOGLETRANSLATE(D451, ""en"", ""Hi"")"),"A) युद्ध तकनीकें")</f>
        <v>A) युद्ध तकनीकें</v>
      </c>
    </row>
    <row r="452" ht="22.5" customHeight="1">
      <c r="A452" s="9">
        <v>451.0</v>
      </c>
      <c r="B452" s="4" t="s">
        <v>9372</v>
      </c>
      <c r="C452" s="4" t="s">
        <v>9475</v>
      </c>
      <c r="D452" s="4" t="s">
        <v>2616</v>
      </c>
      <c r="F452" s="5" t="str">
        <f>IFERROR(__xludf.DUMMYFUNCTION("GOOGLETRANSLATE(A452, ""en"", ""Hi"")"),"451")</f>
        <v>451</v>
      </c>
      <c r="G452" s="5" t="str">
        <f>IFERROR(__xludf.DUMMYFUNCTION("GOOGLETRANSLATE(B452, ""en"", ""Hi"")"),"कौन सा प्राचीन ग्रंथ कलारीपयट्टू की तकनीक और इतिहास का वर्णन करता है?")</f>
        <v>कौन सा प्राचीन ग्रंथ कलारीपयट्टू की तकनीक और इतिहास का वर्णन करता है?</v>
      </c>
      <c r="H452" s="5" t="str">
        <f>IFERROR(__xludf.DUMMYFUNCTION("GOOGLETRANSLATE(C452, ""en"", ""Hi"")"),"ए) अर्थशास्त्र, बी) रामायण, सी) वेद, डी) उपनिषद")</f>
        <v>ए) अर्थशास्त्र, बी) रामायण, सी) वेद, डी) उपनिषद</v>
      </c>
      <c r="I452" s="5" t="str">
        <f>IFERROR(__xludf.DUMMYFUNCTION("GOOGLETRANSLATE(D452, ""en"", ""Hi"")"),"A) अर्थशास्त्र")</f>
        <v>A) अर्थशास्त्र</v>
      </c>
    </row>
    <row r="453" ht="22.5" customHeight="1">
      <c r="A453" s="9">
        <v>452.0</v>
      </c>
      <c r="B453" s="4" t="s">
        <v>9501</v>
      </c>
      <c r="C453" s="4" t="s">
        <v>9356</v>
      </c>
      <c r="D453" s="4" t="s">
        <v>9173</v>
      </c>
      <c r="F453" s="5" t="str">
        <f>IFERROR(__xludf.DUMMYFUNCTION("GOOGLETRANSLATE(A453, ""en"", ""Hi"")"),"452")</f>
        <v>452</v>
      </c>
      <c r="G453" s="5" t="str">
        <f>IFERROR(__xludf.DUMMYFUNCTION("GOOGLETRANSLATE(B453, ""en"", ""Hi"")"),"कलारीपयट्टू में 'सिलम्बम' का मुख्य फोकस क्या है?")</f>
        <v>कलारीपयट्टू में 'सिलम्बम' का मुख्य फोकस क्या है?</v>
      </c>
      <c r="H453" s="5" t="str">
        <f>IFERROR(__xludf.DUMMYFUNCTION("GOOGLETRANSLATE(C453, ""en"", ""Hi"")"),"A) हथियार चलाना, B) निहत्थे युद्ध, C) शारीरिक कंडीशनिंग, D) उपचार")</f>
        <v>A) हथियार चलाना, B) निहत्थे युद्ध, C) शारीरिक कंडीशनिंग, D) उपचार</v>
      </c>
      <c r="I453" s="5" t="str">
        <f>IFERROR(__xludf.DUMMYFUNCTION("GOOGLETRANSLATE(D453, ""en"", ""Hi"")"),"A) हथियार संचालन")</f>
        <v>A) हथियार संचालन</v>
      </c>
    </row>
    <row r="454" ht="22.5" customHeight="1">
      <c r="A454" s="9">
        <v>453.0</v>
      </c>
      <c r="B454" s="4" t="s">
        <v>9479</v>
      </c>
      <c r="C454" s="4" t="s">
        <v>9450</v>
      </c>
      <c r="D454" s="4" t="s">
        <v>9451</v>
      </c>
      <c r="F454" s="5" t="str">
        <f>IFERROR(__xludf.DUMMYFUNCTION("GOOGLETRANSLATE(A454, ""en"", ""Hi"")"),"453")</f>
        <v>453</v>
      </c>
      <c r="G454" s="5" t="str">
        <f>IFERROR(__xludf.DUMMYFUNCTION("GOOGLETRANSLATE(B454, ""en"", ""Hi"")"),"कलारीपयट्टू के अभ्यास में 'मर्म' का क्या अर्थ है?")</f>
        <v>कलारीपयट्टू के अभ्यास में 'मर्म' का क्या अर्थ है?</v>
      </c>
      <c r="H454" s="5" t="str">
        <f>IFERROR(__xludf.DUMMYFUNCTION("GOOGLETRANSLATE(C454, ""en"", ""Hi"")"),"A) युद्ध के लिए महत्वपूर्ण बिंदु, B) हथियार तकनीक, C) युद्ध अभ्यास, D) शारीरिक व्यायाम")</f>
        <v>A) युद्ध के लिए महत्वपूर्ण बिंदु, B) हथियार तकनीक, C) युद्ध अभ्यास, D) शारीरिक व्यायाम</v>
      </c>
      <c r="I454" s="5" t="str">
        <f>IFERROR(__xludf.DUMMYFUNCTION("GOOGLETRANSLATE(D454, ""en"", ""Hi"")"),"A) युद्ध के लिए महत्वपूर्ण बिंदु")</f>
        <v>A) युद्ध के लिए महत्वपूर्ण बिंदु</v>
      </c>
    </row>
    <row r="455" ht="22.5" customHeight="1">
      <c r="A455" s="9">
        <v>454.0</v>
      </c>
      <c r="B455" s="4" t="s">
        <v>9502</v>
      </c>
      <c r="C455" s="4" t="s">
        <v>4611</v>
      </c>
      <c r="D455" s="4" t="s">
        <v>9244</v>
      </c>
      <c r="F455" s="5" t="str">
        <f>IFERROR(__xludf.DUMMYFUNCTION("GOOGLETRANSLATE(A455, ""en"", ""Hi"")"),"454")</f>
        <v>454</v>
      </c>
      <c r="G455" s="5" t="str">
        <f>IFERROR(__xludf.DUMMYFUNCTION("GOOGLETRANSLATE(B455, ""en"", ""Hi"")"),"कलारीपयट्टू के विकास से सबसे अधिक संबद्ध ऐतिहासिक काल कौन सा है?")</f>
        <v>कलारीपयट्टू के विकास से सबसे अधिक संबद्ध ऐतिहासिक काल कौन सा है?</v>
      </c>
      <c r="H455" s="5" t="str">
        <f>IFERROR(__xludf.DUMMYFUNCTION("GOOGLETRANSLATE(C455, ""en"", ""Hi"")"),"A) प्राचीन काल, B) मध्यकाल, C) औपनिवेशिक काल, D) आधुनिक काल")</f>
        <v>A) प्राचीन काल, B) मध्यकाल, C) औपनिवेशिक काल, D) आधुनिक काल</v>
      </c>
      <c r="I455" s="5" t="str">
        <f>IFERROR(__xludf.DUMMYFUNCTION("GOOGLETRANSLATE(D455, ""en"", ""Hi"")"),"A) प्राचीन काल")</f>
        <v>A) प्राचीन काल</v>
      </c>
    </row>
    <row r="456" ht="22.5" customHeight="1">
      <c r="A456" s="9">
        <v>455.0</v>
      </c>
      <c r="B456" s="4" t="s">
        <v>9420</v>
      </c>
      <c r="C456" s="4" t="s">
        <v>9306</v>
      </c>
      <c r="D456" s="4" t="s">
        <v>9022</v>
      </c>
      <c r="F456" s="5" t="str">
        <f>IFERROR(__xludf.DUMMYFUNCTION("GOOGLETRANSLATE(A456, ""en"", ""Hi"")"),"455")</f>
        <v>455</v>
      </c>
      <c r="G456" s="5" t="str">
        <f>IFERROR(__xludf.DUMMYFUNCTION("GOOGLETRANSLATE(B456, ""en"", ""Hi"")"),"कलारीपयट्टू के विकास में किस राजा का सहयोग महत्वपूर्ण था?")</f>
        <v>कलारीपयट्टू के विकास में किस राजा का सहयोग महत्वपूर्ण था?</v>
      </c>
      <c r="H456" s="5" t="str">
        <f>IFERROR(__xludf.DUMMYFUNCTION("GOOGLETRANSLATE(C456, ""en"", ""Hi"")"),"ए) राजा राजा चोल, बी) अशोक, सी) चंद्रगुप्त मौर्य, डी) हर्ष")</f>
        <v>ए) राजा राजा चोल, बी) अशोक, सी) चंद्रगुप्त मौर्य, डी) हर्ष</v>
      </c>
      <c r="I456" s="5" t="str">
        <f>IFERROR(__xludf.DUMMYFUNCTION("GOOGLETRANSLATE(D456, ""en"", ""Hi"")"),"A) राजा राजा चोल")</f>
        <v>A) राजा राजा चोल</v>
      </c>
    </row>
    <row r="457" ht="22.5" customHeight="1">
      <c r="A457" s="9">
        <v>456.0</v>
      </c>
      <c r="B457" s="4" t="s">
        <v>9183</v>
      </c>
      <c r="C457" s="4" t="s">
        <v>9503</v>
      </c>
      <c r="D457" s="4" t="s">
        <v>9471</v>
      </c>
      <c r="F457" s="5" t="str">
        <f>IFERROR(__xludf.DUMMYFUNCTION("GOOGLETRANSLATE(A457, ""en"", ""Hi"")"),"456")</f>
        <v>456</v>
      </c>
      <c r="G457" s="5" t="str">
        <f>IFERROR(__xludf.DUMMYFUNCTION("GOOGLETRANSLATE(B457, ""en"", ""Hi"")"),"कलारीपयट्टू में 'मीपायट्टू' किस पर केंद्रित है?")</f>
        <v>कलारीपयट्टू में 'मीपायट्टू' किस पर केंद्रित है?</v>
      </c>
      <c r="H457" s="5" t="str">
        <f>IFERROR(__xludf.DUMMYFUNCTION("GOOGLETRANSLATE(C457, ""en"", ""Hi"")"),"A) शारीरिक कंडीशनिंग और लचीलापन, B) हथियार प्रशिक्षण, C) युद्ध तकनीक, D) उपचार विधियाँ")</f>
        <v>A) शारीरिक कंडीशनिंग और लचीलापन, B) हथियार प्रशिक्षण, C) युद्ध तकनीक, D) उपचार विधियाँ</v>
      </c>
      <c r="I457" s="5" t="str">
        <f>IFERROR(__xludf.DUMMYFUNCTION("GOOGLETRANSLATE(D457, ""en"", ""Hi"")"),"ए) शारीरिक कंडीशनिंग और लचीलापन")</f>
        <v>ए) शारीरिक कंडीशनिंग और लचीलापन</v>
      </c>
    </row>
    <row r="458" ht="22.5" customHeight="1">
      <c r="A458" s="9">
        <v>457.0</v>
      </c>
      <c r="B458" s="4" t="s">
        <v>9491</v>
      </c>
      <c r="C458" s="4" t="s">
        <v>9414</v>
      </c>
      <c r="D458" s="4" t="s">
        <v>2616</v>
      </c>
      <c r="F458" s="5" t="str">
        <f>IFERROR(__xludf.DUMMYFUNCTION("GOOGLETRANSLATE(A458, ""en"", ""Hi"")"),"457")</f>
        <v>457</v>
      </c>
      <c r="G458" s="5" t="str">
        <f>IFERROR(__xludf.DUMMYFUNCTION("GOOGLETRANSLATE(B458, ""en"", ""Hi"")"),"कलारीपयट्टू के इतिहास और तकनीकों को समझने के लिए कौन सा पाठ आवश्यक है?")</f>
        <v>कलारीपयट्टू के इतिहास और तकनीकों को समझने के लिए कौन सा पाठ आवश्यक है?</v>
      </c>
      <c r="H458" s="5" t="str">
        <f>IFERROR(__xludf.DUMMYFUNCTION("GOOGLETRANSLATE(C458, ""en"", ""Hi"")"),"ए) अर्थशास्त्र, बी) भगवद गीता, सी) रामायण, डी) महाभारत")</f>
        <v>ए) अर्थशास्त्र, बी) भगवद गीता, सी) रामायण, डी) महाभारत</v>
      </c>
      <c r="I458" s="5" t="str">
        <f>IFERROR(__xludf.DUMMYFUNCTION("GOOGLETRANSLATE(D458, ""en"", ""Hi"")"),"A) अर्थशास्त्र")</f>
        <v>A) अर्थशास्त्र</v>
      </c>
    </row>
    <row r="459" ht="22.5" customHeight="1">
      <c r="A459" s="9">
        <v>458.0</v>
      </c>
      <c r="B459" s="4" t="s">
        <v>9454</v>
      </c>
      <c r="C459" s="4" t="s">
        <v>9455</v>
      </c>
      <c r="D459" s="4" t="s">
        <v>9456</v>
      </c>
      <c r="F459" s="5" t="str">
        <f>IFERROR(__xludf.DUMMYFUNCTION("GOOGLETRANSLATE(A459, ""en"", ""Hi"")"),"458")</f>
        <v>458</v>
      </c>
      <c r="G459" s="5" t="str">
        <f>IFERROR(__xludf.DUMMYFUNCTION("GOOGLETRANSLATE(B459, ""en"", ""Hi"")"),"कलारीपयट्टू के विकास में किस भारतीय राजवंश ने महत्वपूर्ण भूमिका निभाई?")</f>
        <v>कलारीपयट्टू के विकास में किस भारतीय राजवंश ने महत्वपूर्ण भूमिका निभाई?</v>
      </c>
      <c r="H459" s="5" t="str">
        <f>IFERROR(__xludf.DUMMYFUNCTION("GOOGLETRANSLATE(C459, ""en"", ""Hi"")"),"A) चेर वंश, B) चोल वंश, C) पांड्य वंश, D) मौर्य वंश")</f>
        <v>A) चेर वंश, B) चोल वंश, C) पांड्य वंश, D) मौर्य वंश</v>
      </c>
      <c r="I459" s="5" t="str">
        <f>IFERROR(__xludf.DUMMYFUNCTION("GOOGLETRANSLATE(D459, ""en"", ""Hi"")"),"A) चेर राजवंश")</f>
        <v>A) चेर राजवंश</v>
      </c>
    </row>
    <row r="460" ht="22.5" customHeight="1">
      <c r="A460" s="9">
        <v>459.0</v>
      </c>
      <c r="B460" s="4" t="s">
        <v>9485</v>
      </c>
      <c r="C460" s="4" t="s">
        <v>9486</v>
      </c>
      <c r="D460" s="4" t="s">
        <v>9361</v>
      </c>
      <c r="F460" s="5" t="str">
        <f>IFERROR(__xludf.DUMMYFUNCTION("GOOGLETRANSLATE(A460, ""en"", ""Hi"")"),"459")</f>
        <v>459</v>
      </c>
      <c r="G460" s="5" t="str">
        <f>IFERROR(__xludf.DUMMYFUNCTION("GOOGLETRANSLATE(B460, ""en"", ""Hi"")"),"कलारीपयट्टू में 'अडावस' का मुख्य फोकस क्या है?")</f>
        <v>कलारीपयट्टू में 'अडावस' का मुख्य फोकस क्या है?</v>
      </c>
      <c r="H460" s="5" t="str">
        <f>IFERROR(__xludf.DUMMYFUNCTION("GOOGLETRANSLATE(C460, ""en"", ""Hi"")"),"A) युद्ध अभ्यास, B) हथियार तकनीक, C) शारीरिक व्यायाम, D) उपचार पद्धतियाँ")</f>
        <v>A) युद्ध अभ्यास, B) हथियार तकनीक, C) शारीरिक व्यायाम, D) उपचार पद्धतियाँ</v>
      </c>
      <c r="I460" s="5" t="str">
        <f>IFERROR(__xludf.DUMMYFUNCTION("GOOGLETRANSLATE(D460, ""en"", ""Hi"")"),"ए) युद्ध अभ्यास")</f>
        <v>ए) युद्ध अभ्यास</v>
      </c>
    </row>
    <row r="461" ht="22.5" customHeight="1">
      <c r="A461" s="9">
        <v>460.0</v>
      </c>
      <c r="B461" s="4" t="s">
        <v>9487</v>
      </c>
      <c r="C461" s="4" t="s">
        <v>9488</v>
      </c>
      <c r="D461" s="4" t="s">
        <v>9461</v>
      </c>
      <c r="F461" s="5" t="str">
        <f>IFERROR(__xludf.DUMMYFUNCTION("GOOGLETRANSLATE(A461, ""en"", ""Hi"")"),"460")</f>
        <v>460</v>
      </c>
      <c r="G461" s="5" t="str">
        <f>IFERROR(__xludf.DUMMYFUNCTION("GOOGLETRANSLATE(B461, ""en"", ""Hi"")"),"कलारीपयट्टू में 'सिलम्बम' क्या शामिल है?")</f>
        <v>कलारीपयट्टू में 'सिलम्बम' क्या शामिल है?</v>
      </c>
      <c r="H461" s="5" t="str">
        <f>IFERROR(__xludf.DUMMYFUNCTION("GOOGLETRANSLATE(C461, ""en"", ""Hi"")"),"A) लंबी छड़ी प्रशिक्षण, B) निहत्थे मुकाबला, C) शारीरिक कंडीशनिंग, D) उपचार")</f>
        <v>A) लंबी छड़ी प्रशिक्षण, B) निहत्थे मुकाबला, C) शारीरिक कंडीशनिंग, D) उपचार</v>
      </c>
      <c r="I461" s="5" t="str">
        <f>IFERROR(__xludf.DUMMYFUNCTION("GOOGLETRANSLATE(D461, ""en"", ""Hi"")"),"ए) लंबी छड़ी प्रशिक्षण")</f>
        <v>ए) लंबी छड़ी प्रशिक्षण</v>
      </c>
    </row>
  </sheetData>
  <dataValidations>
    <dataValidation type="custom" allowBlank="1" showDropDown="1" sqref="A2:A461">
      <formula1>AND(ISNUMBER(A2),(NOT(OR(NOT(ISERROR(DATEVALUE(A2))), AND(ISNUMBER(A2), LEFT(CELL("format", A2))="D")))))</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5.5"/>
    <col customWidth="1" min="7" max="8" width="37.63"/>
    <col customWidth="1" min="9" max="9" width="18.5"/>
  </cols>
  <sheetData>
    <row r="1" ht="22.5" customHeight="1">
      <c r="A1" s="1" t="s">
        <v>0</v>
      </c>
      <c r="B1" s="1" t="s">
        <v>1</v>
      </c>
      <c r="C1" s="1" t="s">
        <v>2</v>
      </c>
      <c r="D1" s="1" t="s">
        <v>3</v>
      </c>
      <c r="F1" s="2" t="s">
        <v>4</v>
      </c>
      <c r="G1" s="2" t="s">
        <v>5</v>
      </c>
      <c r="H1" s="2" t="s">
        <v>6</v>
      </c>
      <c r="I1" s="2" t="s">
        <v>7</v>
      </c>
    </row>
    <row r="2" ht="22.5" customHeight="1">
      <c r="A2" s="3">
        <v>1.0</v>
      </c>
      <c r="B2" s="4" t="s">
        <v>9504</v>
      </c>
      <c r="C2" s="4" t="s">
        <v>171</v>
      </c>
      <c r="D2" s="4" t="s">
        <v>639</v>
      </c>
      <c r="F2" s="5" t="str">
        <f>IFERROR(__xludf.DUMMYFUNCTION("GOOGLETRANSLATE(A2, ""en"", ""hi"")"),"1")</f>
        <v>1</v>
      </c>
      <c r="G2" s="5" t="str">
        <f>IFERROR(__xludf.DUMMYFUNCTION("GOOGLETRANSLATE(B2, ""en"", ""hi"")"),"ऐसा माना जाता है कि सिलंबम की उत्पत्ति भारत के किस क्षेत्र में हुई थी?")</f>
        <v>ऐसा माना जाता है कि सिलंबम की उत्पत्ति भारत के किस क्षेत्र में हुई थी?</v>
      </c>
      <c r="H2" s="5" t="str">
        <f>IFERROR(__xludf.DUMMYFUNCTION("GOOGLETRANSLATE(C2, ""en"", ""hi"")"),"A) केरल, B) तमिलनाडु, C) कर्नाटक, D) आंध्र प्रदेश")</f>
        <v>A) केरल, B) तमिलनाडु, C) कर्नाटक, D) आंध्र प्रदेश</v>
      </c>
      <c r="I2" s="5" t="str">
        <f>IFERROR(__xludf.DUMMYFUNCTION("GOOGLETRANSLATE(D2, ""en"", ""hi"")"),"बी) तमिलनाडु")</f>
        <v>बी) तमिलनाडु</v>
      </c>
    </row>
    <row r="3" ht="22.5" customHeight="1">
      <c r="A3" s="3">
        <v>2.0</v>
      </c>
      <c r="B3" s="4" t="s">
        <v>9505</v>
      </c>
      <c r="C3" s="4" t="s">
        <v>9506</v>
      </c>
      <c r="D3" s="4" t="s">
        <v>3923</v>
      </c>
      <c r="F3" s="5" t="str">
        <f>IFERROR(__xludf.DUMMYFUNCTION("GOOGLETRANSLATE(A3, ""en"", ""hi"")"),"2")</f>
        <v>2</v>
      </c>
      <c r="G3" s="5" t="str">
        <f>IFERROR(__xludf.DUMMYFUNCTION("GOOGLETRANSLATE(B3, ""en"", ""hi"")"),"कौन सा राजवंश सिलंबम के विकास से निकटता से जुड़ा हुआ है?")</f>
        <v>कौन सा राजवंश सिलंबम के विकास से निकटता से जुड़ा हुआ है?</v>
      </c>
      <c r="H3" s="5" t="str">
        <f>IFERROR(__xludf.DUMMYFUNCTION("GOOGLETRANSLATE(C3, ""en"", ""hi"")"),"ए) चोल, बी) गुप्त, सी) मौर्य, डी) मुगल")</f>
        <v>ए) चोल, बी) गुप्त, सी) मौर्य, डी) मुगल</v>
      </c>
      <c r="I3" s="5" t="str">
        <f>IFERROR(__xludf.DUMMYFUNCTION("GOOGLETRANSLATE(D3, ""en"", ""hi"")"),"A) चोल")</f>
        <v>A) चोल</v>
      </c>
    </row>
    <row r="4" ht="22.5" customHeight="1">
      <c r="A4" s="3">
        <v>3.0</v>
      </c>
      <c r="B4" s="4" t="s">
        <v>9507</v>
      </c>
      <c r="C4" s="4" t="s">
        <v>9508</v>
      </c>
      <c r="D4" s="4" t="s">
        <v>9509</v>
      </c>
      <c r="F4" s="5" t="str">
        <f>IFERROR(__xludf.DUMMYFUNCTION("GOOGLETRANSLATE(A4, ""en"", ""hi"")"),"3")</f>
        <v>3</v>
      </c>
      <c r="G4" s="5" t="str">
        <f>IFERROR(__xludf.DUMMYFUNCTION("GOOGLETRANSLATE(B4, ""en"", ""hi"")"),"दक्षिण भारत में सिलंबम को किस काल में प्रमुखता प्राप्त हुई?")</f>
        <v>दक्षिण भारत में सिलंबम को किस काल में प्रमुखता प्राप्त हुई?</v>
      </c>
      <c r="H4" s="5" t="str">
        <f>IFERROR(__xludf.DUMMYFUNCTION("GOOGLETRANSLATE(C4, ""en"", ""hi"")"),"ए) संगम युग, बी) गुप्त काल, सी) मुगल काल, डी) ब्रिटिश राज")</f>
        <v>ए) संगम युग, बी) गुप्त काल, सी) मुगल काल, डी) ब्रिटिश राज</v>
      </c>
      <c r="I4" s="5" t="str">
        <f>IFERROR(__xludf.DUMMYFUNCTION("GOOGLETRANSLATE(D4, ""en"", ""hi"")"),"A) संगम युग")</f>
        <v>A) संगम युग</v>
      </c>
    </row>
    <row r="5" ht="22.5" customHeight="1">
      <c r="A5" s="3">
        <v>4.0</v>
      </c>
      <c r="B5" s="4" t="s">
        <v>9510</v>
      </c>
      <c r="C5" s="4" t="s">
        <v>9511</v>
      </c>
      <c r="D5" s="4" t="s">
        <v>9512</v>
      </c>
      <c r="F5" s="5" t="str">
        <f>IFERROR(__xludf.DUMMYFUNCTION("GOOGLETRANSLATE(A5, ""en"", ""hi"")"),"4")</f>
        <v>4</v>
      </c>
      <c r="G5" s="5" t="str">
        <f>IFERROR(__xludf.DUMMYFUNCTION("GOOGLETRANSLATE(B5, ""en"", ""hi"")"),"किस प्राचीन ग्रंथ में पहली बार सिलंबम का उल्लेख एक मार्शल आर्ट के रूप में किया गया था?")</f>
        <v>किस प्राचीन ग्रंथ में पहली बार सिलंबम का उल्लेख एक मार्शल आर्ट के रूप में किया गया था?</v>
      </c>
      <c r="H5" s="5" t="str">
        <f>IFERROR(__xludf.DUMMYFUNCTION("GOOGLETRANSLATE(C5, ""en"", ""hi"")"),"ए) सिलप्पातिकरम, बी) रामायण, सी) महाभारत, डी) अर्थशास्त्र")</f>
        <v>ए) सिलप्पातिकरम, बी) रामायण, सी) महाभारत, डी) अर्थशास्त्र</v>
      </c>
      <c r="I5" s="5" t="str">
        <f>IFERROR(__xludf.DUMMYFUNCTION("GOOGLETRANSLATE(D5, ""en"", ""hi"")"),"A) सिलप्पाटिकरम")</f>
        <v>A) सिलप्पाटिकरम</v>
      </c>
    </row>
    <row r="6" ht="22.5" customHeight="1">
      <c r="A6" s="3">
        <v>5.0</v>
      </c>
      <c r="B6" s="4" t="s">
        <v>9513</v>
      </c>
      <c r="C6" s="4" t="s">
        <v>9514</v>
      </c>
      <c r="D6" s="4" t="s">
        <v>9515</v>
      </c>
      <c r="F6" s="5" t="str">
        <f>IFERROR(__xludf.DUMMYFUNCTION("GOOGLETRANSLATE(A6, ""en"", ""hi"")"),"5")</f>
        <v>5</v>
      </c>
      <c r="G6" s="5" t="str">
        <f>IFERROR(__xludf.DUMMYFUNCTION("GOOGLETRANSLATE(B6, ""en"", ""hi"")"),"सिलंबम मार्शल आर्ट में मुख्य रूप से किस प्रकार के हथियार का उपयोग किया जाता है?")</f>
        <v>सिलंबम मार्शल आर्ट में मुख्य रूप से किस प्रकार के हथियार का उपयोग किया जाता है?</v>
      </c>
      <c r="H6" s="5" t="str">
        <f>IFERROR(__xludf.DUMMYFUNCTION("GOOGLETRANSLATE(C6, ""en"", ""hi"")"),"A) तलवार, B) छड़ी, C) भाला, D) कुल्हाड़ी")</f>
        <v>A) तलवार, B) छड़ी, C) भाला, D) कुल्हाड़ी</v>
      </c>
      <c r="I6" s="5" t="str">
        <f>IFERROR(__xludf.DUMMYFUNCTION("GOOGLETRANSLATE(D6, ""en"", ""hi"")"),"बी) छड़ी")</f>
        <v>बी) छड़ी</v>
      </c>
    </row>
    <row r="7" ht="22.5" customHeight="1">
      <c r="A7" s="3">
        <v>6.0</v>
      </c>
      <c r="B7" s="4" t="s">
        <v>9516</v>
      </c>
      <c r="C7" s="4" t="s">
        <v>9517</v>
      </c>
      <c r="D7" s="4" t="s">
        <v>9518</v>
      </c>
      <c r="F7" s="5" t="str">
        <f>IFERROR(__xludf.DUMMYFUNCTION("GOOGLETRANSLATE(A7, ""en"", ""hi"")"),"6")</f>
        <v>6</v>
      </c>
      <c r="G7" s="5" t="str">
        <f>IFERROR(__xludf.DUMMYFUNCTION("GOOGLETRANSLATE(B7, ""en"", ""hi"")"),"सिलंबम मनोरंजन के किस पारंपरिक तमिल रूप का हिस्सा होने के लिए जाना जाता है?")</f>
        <v>सिलंबम मनोरंजन के किस पारंपरिक तमिल रूप का हिस्सा होने के लिए जाना जाता है?</v>
      </c>
      <c r="H7" s="5" t="str">
        <f>IFERROR(__xludf.DUMMYFUNCTION("GOOGLETRANSLATE(C7, ""en"", ""hi"")"),"ए) कूथु, बी) जल्लीकट्टू, सी) कलारीपयट्टू, डी) भरतनाट्यम")</f>
        <v>ए) कूथु, बी) जल्लीकट्टू, सी) कलारीपयट्टू, डी) भरतनाट्यम</v>
      </c>
      <c r="I7" s="5" t="str">
        <f>IFERROR(__xludf.DUMMYFUNCTION("GOOGLETRANSLATE(D7, ""en"", ""hi"")"),"A) कूथु")</f>
        <v>A) कूथु</v>
      </c>
    </row>
    <row r="8" ht="22.5" customHeight="1">
      <c r="A8" s="3">
        <v>7.0</v>
      </c>
      <c r="B8" s="4" t="s">
        <v>9519</v>
      </c>
      <c r="C8" s="4" t="s">
        <v>9520</v>
      </c>
      <c r="D8" s="4" t="s">
        <v>9521</v>
      </c>
      <c r="F8" s="5" t="str">
        <f>IFERROR(__xludf.DUMMYFUNCTION("GOOGLETRANSLATE(A8, ""en"", ""hi"")"),"7")</f>
        <v>7</v>
      </c>
      <c r="G8" s="5" t="str">
        <f>IFERROR(__xludf.DUMMYFUNCTION("GOOGLETRANSLATE(B8, ""en"", ""hi"")"),"किस राजा के शासनकाल के दौरान सिलंबम को शाही मार्शल आर्ट के रूप में प्रचलित किया गया था?")</f>
        <v>किस राजा के शासनकाल के दौरान सिलंबम को शाही मार्शल आर्ट के रूप में प्रचलित किया गया था?</v>
      </c>
      <c r="H8" s="5" t="str">
        <f>IFERROR(__xludf.DUMMYFUNCTION("GOOGLETRANSLATE(C8, ""en"", ""hi"")"),"ए) राजा राजा चोल, बी) करिकाला चोल, सी) अशोक, डी) हर्ष")</f>
        <v>ए) राजा राजा चोल, बी) करिकाला चोल, सी) अशोक, डी) हर्ष</v>
      </c>
      <c r="I8" s="5" t="str">
        <f>IFERROR(__xludf.DUMMYFUNCTION("GOOGLETRANSLATE(D8, ""en"", ""hi"")"),"B) करिकाल चोल")</f>
        <v>B) करिकाल चोल</v>
      </c>
    </row>
    <row r="9" ht="22.5" customHeight="1">
      <c r="A9" s="3">
        <v>8.0</v>
      </c>
      <c r="B9" s="4" t="s">
        <v>9522</v>
      </c>
      <c r="C9" s="4" t="s">
        <v>9523</v>
      </c>
      <c r="D9" s="4" t="s">
        <v>9524</v>
      </c>
      <c r="F9" s="5" t="str">
        <f>IFERROR(__xludf.DUMMYFUNCTION("GOOGLETRANSLATE(A9, ""en"", ""hi"")"),"8")</f>
        <v>8</v>
      </c>
      <c r="G9" s="5" t="str">
        <f>IFERROR(__xludf.DUMMYFUNCTION("GOOGLETRANSLATE(B9, ""en"", ""hi"")"),"किस तमिल राजा के बारे में कहा जाता है कि उसने अपने शासन के दौरान सिलंबम को बढ़ावा दिया था?")</f>
        <v>किस तमिल राजा के बारे में कहा जाता है कि उसने अपने शासन के दौरान सिलंबम को बढ़ावा दिया था?</v>
      </c>
      <c r="H9" s="5" t="str">
        <f>IFERROR(__xludf.DUMMYFUNCTION("GOOGLETRANSLATE(C9, ""en"", ""hi"")"),"ए) राजेंद्र चोल, बी) पांडियन नेदुनचेझियान, सी) मार्तंड वर्मा, डी) वीरपांडिया कट्टाबोम्मन")</f>
        <v>ए) राजेंद्र चोल, बी) पांडियन नेदुनचेझियान, सी) मार्तंड वर्मा, डी) वीरपांडिया कट्टाबोम्मन</v>
      </c>
      <c r="I9" s="5" t="str">
        <f>IFERROR(__xludf.DUMMYFUNCTION("GOOGLETRANSLATE(D9, ""en"", ""hi"")"),"D) वीरपांडिया कट्टाबोम्मन")</f>
        <v>D) वीरपांडिया कट्टाबोम्मन</v>
      </c>
    </row>
    <row r="10" ht="22.5" customHeight="1">
      <c r="A10" s="3">
        <v>9.0</v>
      </c>
      <c r="B10" s="4" t="s">
        <v>9525</v>
      </c>
      <c r="C10" s="4" t="s">
        <v>9526</v>
      </c>
      <c r="D10" s="4" t="s">
        <v>9527</v>
      </c>
      <c r="F10" s="5" t="str">
        <f>IFERROR(__xludf.DUMMYFUNCTION("GOOGLETRANSLATE(A10, ""en"", ""hi"")"),"9")</f>
        <v>9</v>
      </c>
      <c r="G10" s="5" t="str">
        <f>IFERROR(__xludf.DUMMYFUNCTION("GOOGLETRANSLATE(B10, ""en"", ""hi"")"),"कौन सी प्राचीन तमिल कृति सिलंबम तकनीकों का विस्तृत विवरण प्रदान करती है?")</f>
        <v>कौन सी प्राचीन तमिल कृति सिलंबम तकनीकों का विस्तृत विवरण प्रदान करती है?</v>
      </c>
      <c r="H10" s="5" t="str">
        <f>IFERROR(__xludf.DUMMYFUNCTION("GOOGLETRANSLATE(C10, ""en"", ""hi"")"),"ए) तिरुक्कुरल, बी) टोलकाप्पियम, सी) कंबा रामायणम, डी) मणिमेकलाई")</f>
        <v>ए) तिरुक्कुरल, बी) टोलकाप्पियम, सी) कंबा रामायणम, डी) मणिमेकलाई</v>
      </c>
      <c r="I10" s="5" t="str">
        <f>IFERROR(__xludf.DUMMYFUNCTION("GOOGLETRANSLATE(D10, ""en"", ""hi"")"),"बी) तोलकाप्पियम")</f>
        <v>बी) तोलकाप्पियम</v>
      </c>
    </row>
    <row r="11" ht="22.5" customHeight="1">
      <c r="A11" s="3">
        <v>10.0</v>
      </c>
      <c r="B11" s="4" t="s">
        <v>9528</v>
      </c>
      <c r="C11" s="4" t="s">
        <v>9529</v>
      </c>
      <c r="D11" s="4" t="s">
        <v>9530</v>
      </c>
      <c r="F11" s="5" t="str">
        <f>IFERROR(__xludf.DUMMYFUNCTION("GOOGLETRANSLATE(A11, ""en"", ""hi"")"),"10")</f>
        <v>10</v>
      </c>
      <c r="G11" s="5" t="str">
        <f>IFERROR(__xludf.DUMMYFUNCTION("GOOGLETRANSLATE(B11, ""en"", ""hi"")"),"सिलंबम का प्रयोग किस औपनिवेशिक शक्ति के विरुद्ध रक्षा तकनीक के रूप में किया गया था?")</f>
        <v>सिलंबम का प्रयोग किस औपनिवेशिक शक्ति के विरुद्ध रक्षा तकनीक के रूप में किया गया था?</v>
      </c>
      <c r="H11" s="5" t="str">
        <f>IFERROR(__xludf.DUMMYFUNCTION("GOOGLETRANSLATE(C11, ""en"", ""hi"")"),"A) ब्रिटिश, B) पुर्तगाली, C) डच, D) फ्रांसीसी")</f>
        <v>A) ब्रिटिश, B) पुर्तगाली, C) डच, D) फ्रांसीसी</v>
      </c>
      <c r="I11" s="5" t="str">
        <f>IFERROR(__xludf.DUMMYFUNCTION("GOOGLETRANSLATE(D11, ""en"", ""hi"")"),"ए) ब्रिटिश")</f>
        <v>ए) ब्रिटिश</v>
      </c>
    </row>
    <row r="12" ht="22.5" customHeight="1">
      <c r="A12" s="3">
        <v>11.0</v>
      </c>
      <c r="B12" s="4" t="s">
        <v>9531</v>
      </c>
      <c r="C12" s="4" t="s">
        <v>9532</v>
      </c>
      <c r="D12" s="4" t="s">
        <v>9533</v>
      </c>
      <c r="F12" s="5" t="str">
        <f>IFERROR(__xludf.DUMMYFUNCTION("GOOGLETRANSLATE(A12, ""en"", ""hi"")"),"11")</f>
        <v>11</v>
      </c>
      <c r="G12" s="5" t="str">
        <f>IFERROR(__xludf.DUMMYFUNCTION("GOOGLETRANSLATE(B12, ""en"", ""hi"")"),"मारवाड़ वंश, जो सिलंबम प्रथा के लिए प्रसिद्ध है, किस समुदाय से संबंधित है?")</f>
        <v>मारवाड़ वंश, जो सिलंबम प्रथा के लिए प्रसिद्ध है, किस समुदाय से संबंधित है?</v>
      </c>
      <c r="H12" s="5" t="str">
        <f>IFERROR(__xludf.DUMMYFUNCTION("GOOGLETRANSLATE(C12, ""en"", ""hi"")"),"ए) क्षत्रिय, बी) थेवर, सी) वेल्लालर, डी) नादर")</f>
        <v>ए) क्षत्रिय, बी) थेवर, सी) वेल्लालर, डी) नादर</v>
      </c>
      <c r="I12" s="5" t="str">
        <f>IFERROR(__xludf.DUMMYFUNCTION("GOOGLETRANSLATE(D12, ""en"", ""hi"")"),"बी) थेवर")</f>
        <v>बी) थेवर</v>
      </c>
    </row>
    <row r="13" ht="22.5" customHeight="1">
      <c r="A13" s="3">
        <v>12.0</v>
      </c>
      <c r="B13" s="4" t="s">
        <v>9534</v>
      </c>
      <c r="C13" s="4" t="s">
        <v>9535</v>
      </c>
      <c r="D13" s="4" t="s">
        <v>9536</v>
      </c>
      <c r="F13" s="5" t="str">
        <f>IFERROR(__xludf.DUMMYFUNCTION("GOOGLETRANSLATE(A13, ""en"", ""hi"")"),"12")</f>
        <v>12</v>
      </c>
      <c r="G13" s="5" t="str">
        <f>IFERROR(__xludf.DUMMYFUNCTION("GOOGLETRANSLATE(B13, ""en"", ""hi"")"),"सिलंबम प्रशिक्षण पर किस औपनिवेशिक काल के दौरान प्रतिबंध लगाया गया था?")</f>
        <v>सिलंबम प्रशिक्षण पर किस औपनिवेशिक काल के दौरान प्रतिबंध लगाया गया था?</v>
      </c>
      <c r="H13" s="5" t="str">
        <f>IFERROR(__xludf.DUMMYFUNCTION("GOOGLETRANSLATE(C13, ""en"", ""hi"")"),"A) पुर्तगाली शासन, B) डच शासन, C) फ्रांसीसी शासन, D) ब्रिटिश शासन")</f>
        <v>A) पुर्तगाली शासन, B) डच शासन, C) फ्रांसीसी शासन, D) ब्रिटिश शासन</v>
      </c>
      <c r="I13" s="5" t="str">
        <f>IFERROR(__xludf.DUMMYFUNCTION("GOOGLETRANSLATE(D13, ""en"", ""hi"")"),"D) ब्रिटिश शासन")</f>
        <v>D) ब्रिटिश शासन</v>
      </c>
    </row>
    <row r="14" ht="22.5" customHeight="1">
      <c r="A14" s="3">
        <v>13.0</v>
      </c>
      <c r="B14" s="4" t="s">
        <v>9537</v>
      </c>
      <c r="C14" s="4" t="s">
        <v>9538</v>
      </c>
      <c r="D14" s="4" t="s">
        <v>9539</v>
      </c>
      <c r="F14" s="5" t="str">
        <f>IFERROR(__xludf.DUMMYFUNCTION("GOOGLETRANSLATE(A14, ""en"", ""hi"")"),"13")</f>
        <v>13</v>
      </c>
      <c r="G14" s="5" t="str">
        <f>IFERROR(__xludf.DUMMYFUNCTION("GOOGLETRANSLATE(B14, ""en"", ""hi"")"),"कौन सा तमिल महाकाव्य युद्ध में सिलंबम के समान एक छड़ी के उपयोग का वर्णन करता है?")</f>
        <v>कौन सा तमिल महाकाव्य युद्ध में सिलंबम के समान एक छड़ी के उपयोग का वर्णन करता है?</v>
      </c>
      <c r="H14" s="5" t="str">
        <f>IFERROR(__xludf.DUMMYFUNCTION("GOOGLETRANSLATE(C14, ""en"", ""hi"")"),"ए) मणिमेकलाई, बी) सिलप्पातिकरम, सी) कंबा रामायणम, डी) तिरुक्कुरल")</f>
        <v>ए) मणिमेकलाई, बी) सिलप्पातिकरम, सी) कंबा रामायणम, डी) तिरुक्कुरल</v>
      </c>
      <c r="I14" s="5" t="str">
        <f>IFERROR(__xludf.DUMMYFUNCTION("GOOGLETRANSLATE(D14, ""en"", ""hi"")"),"बी) सिलप्पाटिकरम")</f>
        <v>बी) सिलप्पाटिकरम</v>
      </c>
    </row>
    <row r="15" ht="22.5" customHeight="1">
      <c r="A15" s="3">
        <v>14.0</v>
      </c>
      <c r="B15" s="4" t="s">
        <v>9540</v>
      </c>
      <c r="C15" s="4" t="s">
        <v>9541</v>
      </c>
      <c r="D15" s="4" t="s">
        <v>9542</v>
      </c>
      <c r="F15" s="5" t="str">
        <f>IFERROR(__xludf.DUMMYFUNCTION("GOOGLETRANSLATE(A15, ""en"", ""hi"")"),"14")</f>
        <v>14</v>
      </c>
      <c r="G15" s="5" t="str">
        <f>IFERROR(__xludf.DUMMYFUNCTION("GOOGLETRANSLATE(B15, ""en"", ""hi"")"),"सिलंबम को आधुनिक समय में किस सांस्कृतिक आंदोलन के हिस्से के रूप में पुनर्जीवित किया गया था?")</f>
        <v>सिलंबम को आधुनिक समय में किस सांस्कृतिक आंदोलन के हिस्से के रूप में पुनर्जीवित किया गया था?</v>
      </c>
      <c r="H15" s="5" t="str">
        <f>IFERROR(__xludf.DUMMYFUNCTION("GOOGLETRANSLATE(C15, ""en"", ""hi"")"),"A) तमिल पुनर्जागरण, B) भारतीय स्वतंत्रता, C) द्रविड़ आंदोलन, D) उपनिवेशवाद-विरोध")</f>
        <v>A) तमिल पुनर्जागरण, B) भारतीय स्वतंत्रता, C) द्रविड़ आंदोलन, D) उपनिवेशवाद-विरोध</v>
      </c>
      <c r="I15" s="5" t="str">
        <f>IFERROR(__xludf.DUMMYFUNCTION("GOOGLETRANSLATE(D15, ""en"", ""hi"")"),"A) तमिल पुनर्जागरण")</f>
        <v>A) तमिल पुनर्जागरण</v>
      </c>
    </row>
    <row r="16" ht="22.5" customHeight="1">
      <c r="A16" s="3">
        <v>15.0</v>
      </c>
      <c r="B16" s="4" t="s">
        <v>9543</v>
      </c>
      <c r="C16" s="4" t="s">
        <v>9544</v>
      </c>
      <c r="D16" s="4" t="s">
        <v>9545</v>
      </c>
      <c r="F16" s="5" t="str">
        <f>IFERROR(__xludf.DUMMYFUNCTION("GOOGLETRANSLATE(A16, ""en"", ""hi"")"),"15")</f>
        <v>15</v>
      </c>
      <c r="G16" s="5" t="str">
        <f>IFERROR(__xludf.DUMMYFUNCTION("GOOGLETRANSLATE(B16, ""en"", ""hi"")"),"संगम युग में, सिलंबम का अभ्यास मुख्यतः किस उद्देश्य के लिए किया जाता था?")</f>
        <v>संगम युग में, सिलंबम का अभ्यास मुख्यतः किस उद्देश्य के लिए किया जाता था?</v>
      </c>
      <c r="H16" s="5" t="str">
        <f>IFERROR(__xludf.DUMMYFUNCTION("GOOGLETRANSLATE(C16, ""en"", ""hi"")"),"A) मनोरंजन, B) युद्ध, C) अनुष्ठान, D) शारीरिक फिटनेस")</f>
        <v>A) मनोरंजन, B) युद्ध, C) अनुष्ठान, D) शारीरिक फिटनेस</v>
      </c>
      <c r="I16" s="5" t="str">
        <f>IFERROR(__xludf.DUMMYFUNCTION("GOOGLETRANSLATE(D16, ""en"", ""hi"")"),"बी) युद्ध")</f>
        <v>बी) युद्ध</v>
      </c>
    </row>
    <row r="17" ht="22.5" customHeight="1">
      <c r="A17" s="3">
        <v>16.0</v>
      </c>
      <c r="B17" s="4" t="s">
        <v>9546</v>
      </c>
      <c r="C17" s="4" t="s">
        <v>9547</v>
      </c>
      <c r="D17" s="4" t="s">
        <v>9548</v>
      </c>
      <c r="F17" s="5" t="str">
        <f>IFERROR(__xludf.DUMMYFUNCTION("GOOGLETRANSLATE(A17, ""en"", ""hi"")"),"16")</f>
        <v>16</v>
      </c>
      <c r="G17" s="5" t="str">
        <f>IFERROR(__xludf.DUMMYFUNCTION("GOOGLETRANSLATE(B17, ""en"", ""hi"")"),"सिलंबम तकनीक अन्य क्षेत्रों में किस माध्यम से फैली?")</f>
        <v>सिलंबम तकनीक अन्य क्षेत्रों में किस माध्यम से फैली?</v>
      </c>
      <c r="H17" s="5" t="str">
        <f>IFERROR(__xludf.DUMMYFUNCTION("GOOGLETRANSLATE(C17, ""en"", ""hi"")"),"A) व्यापार मार्ग, B) शाही संरक्षक, C) प्रवासन, D) युद्ध")</f>
        <v>A) व्यापार मार्ग, B) शाही संरक्षक, C) प्रवासन, D) युद्ध</v>
      </c>
      <c r="I17" s="5" t="str">
        <f>IFERROR(__xludf.DUMMYFUNCTION("GOOGLETRANSLATE(D17, ""en"", ""hi"")"),"ए) व्यापार मार्ग")</f>
        <v>ए) व्यापार मार्ग</v>
      </c>
    </row>
    <row r="18" ht="22.5" customHeight="1">
      <c r="A18" s="3">
        <v>17.0</v>
      </c>
      <c r="B18" s="4" t="s">
        <v>9549</v>
      </c>
      <c r="C18" s="4" t="s">
        <v>9550</v>
      </c>
      <c r="D18" s="4" t="s">
        <v>9551</v>
      </c>
      <c r="F18" s="5" t="str">
        <f>IFERROR(__xludf.DUMMYFUNCTION("GOOGLETRANSLATE(A18, ""en"", ""hi"")"),"17")</f>
        <v>17</v>
      </c>
      <c r="G18" s="5" t="str">
        <f>IFERROR(__xludf.DUMMYFUNCTION("GOOGLETRANSLATE(B18, ""en"", ""hi"")"),"प्राचीन तमिल समाज में सिलंबम स्वामी को प्रायः किस उपाधि से जाना जाता था?")</f>
        <v>प्राचीन तमिल समाज में सिलंबम स्वामी को प्रायः किस उपाधि से जाना जाता था?</v>
      </c>
      <c r="H18" s="5" t="str">
        <f>IFERROR(__xludf.DUMMYFUNCTION("GOOGLETRANSLATE(C18, ""en"", ""hi"")"),"ए) गुरु, बी) आसन, सी) पंडित, डी) आचार्य")</f>
        <v>ए) गुरु, बी) आसन, सी) पंडित, डी) आचार्य</v>
      </c>
      <c r="I18" s="5" t="str">
        <f>IFERROR(__xludf.DUMMYFUNCTION("GOOGLETRANSLATE(D18, ""en"", ""hi"")"),"बी) आसन")</f>
        <v>बी) आसन</v>
      </c>
    </row>
    <row r="19" ht="22.5" customHeight="1">
      <c r="A19" s="3">
        <v>18.0</v>
      </c>
      <c r="B19" s="4" t="s">
        <v>9552</v>
      </c>
      <c r="C19" s="4" t="s">
        <v>9553</v>
      </c>
      <c r="D19" s="4" t="s">
        <v>644</v>
      </c>
      <c r="F19" s="5" t="str">
        <f>IFERROR(__xludf.DUMMYFUNCTION("GOOGLETRANSLATE(A19, ""en"", ""hi"")"),"18")</f>
        <v>18</v>
      </c>
      <c r="G19" s="5" t="str">
        <f>IFERROR(__xludf.DUMMYFUNCTION("GOOGLETRANSLATE(B19, ""en"", ""hi"")"),"सिलंबम ऐतिहासिक रूप से किस सैन्य बल के प्रशिक्षण से जुड़ा हुआ था?")</f>
        <v>सिलंबम ऐतिहासिक रूप से किस सैन्य बल के प्रशिक्षण से जुड़ा हुआ था?</v>
      </c>
      <c r="H19" s="5" t="str">
        <f>IFERROR(__xludf.DUMMYFUNCTION("GOOGLETRANSLATE(C19, ""en"", ""hi"")"),"A) चोल नौसेना, B) पांड्य घुड़सवार सेना, C) चेर पैदल सेना, D) उपरोक्त सभी")</f>
        <v>A) चोल नौसेना, B) पांड्य घुड़सवार सेना, C) चेर पैदल सेना, D) उपरोक्त सभी</v>
      </c>
      <c r="I19" s="5" t="str">
        <f>IFERROR(__xludf.DUMMYFUNCTION("GOOGLETRANSLATE(D19, ""en"", ""hi"")"),"D। उपरोक्त सभी")</f>
        <v>D। उपरोक्त सभी</v>
      </c>
    </row>
    <row r="20" ht="22.5" customHeight="1">
      <c r="A20" s="3">
        <v>19.0</v>
      </c>
      <c r="B20" s="4" t="s">
        <v>9554</v>
      </c>
      <c r="C20" s="4" t="s">
        <v>9555</v>
      </c>
      <c r="D20" s="4" t="s">
        <v>7414</v>
      </c>
      <c r="F20" s="5" t="str">
        <f>IFERROR(__xludf.DUMMYFUNCTION("GOOGLETRANSLATE(A20, ""en"", ""hi"")"),"19")</f>
        <v>19</v>
      </c>
      <c r="G20" s="5" t="str">
        <f>IFERROR(__xludf.DUMMYFUNCTION("GOOGLETRANSLATE(B20, ""en"", ""hi"")"),"तमिलनाडु की अपनी यात्रा के दौरान किन विदेशी यात्रियों ने सिलंबम के उपयोग का उल्लेख किया?")</f>
        <v>तमिलनाडु की अपनी यात्रा के दौरान किन विदेशी यात्रियों ने सिलंबम के उपयोग का उल्लेख किया?</v>
      </c>
      <c r="H20" s="5" t="str">
        <f>IFERROR(__xludf.DUMMYFUNCTION("GOOGLETRANSLATE(C20, ""en"", ""hi"")"),"ए) मार्को पोलो, बी) इब्न बतूता, सी) फा हिएन, डी) मेगस्थनीज")</f>
        <v>ए) मार्को पोलो, बी) इब्न बतूता, सी) फा हिएन, डी) मेगस्थनीज</v>
      </c>
      <c r="I20" s="5" t="str">
        <f>IFERROR(__xludf.DUMMYFUNCTION("GOOGLETRANSLATE(D20, ""en"", ""hi"")"),"B) इब्न बतूता")</f>
        <v>B) इब्न बतूता</v>
      </c>
    </row>
    <row r="21" ht="22.5" customHeight="1">
      <c r="A21" s="3">
        <v>20.0</v>
      </c>
      <c r="B21" s="4" t="s">
        <v>9556</v>
      </c>
      <c r="C21" s="4" t="s">
        <v>9557</v>
      </c>
      <c r="D21" s="4" t="s">
        <v>9558</v>
      </c>
      <c r="F21" s="5" t="str">
        <f>IFERROR(__xludf.DUMMYFUNCTION("GOOGLETRANSLATE(A21, ""en"", ""hi"")"),"20")</f>
        <v>20</v>
      </c>
      <c r="G21" s="5" t="str">
        <f>IFERROR(__xludf.DUMMYFUNCTION("GOOGLETRANSLATE(B21, ""en"", ""hi"")"),"सिलंबम किस प्राचीन तमिल संस्थान में पाठ्यक्रम का हिस्सा था?")</f>
        <v>सिलंबम किस प्राचीन तमिल संस्थान में पाठ्यक्रम का हिस्सा था?</v>
      </c>
      <c r="H21" s="5" t="str">
        <f>IFERROR(__xludf.DUMMYFUNCTION("GOOGLETRANSLATE(C21, ""en"", ""hi"")"),"ए) मदुरै संगम, बी) नालंदा विश्वविद्यालय, सी) तिरुवैयारु गुरुकुलम, डी) कांची मठ")</f>
        <v>ए) मदुरै संगम, बी) नालंदा विश्वविद्यालय, सी) तिरुवैयारु गुरुकुलम, डी) कांची मठ</v>
      </c>
      <c r="I21" s="5" t="str">
        <f>IFERROR(__xludf.DUMMYFUNCTION("GOOGLETRANSLATE(D21, ""en"", ""hi"")"),"A) मदुरै संगम")</f>
        <v>A) मदुरै संगम</v>
      </c>
    </row>
    <row r="22" ht="22.5" customHeight="1">
      <c r="A22" s="3">
        <v>21.0</v>
      </c>
      <c r="B22" s="4" t="s">
        <v>9559</v>
      </c>
      <c r="C22" s="4" t="s">
        <v>9560</v>
      </c>
      <c r="D22" s="4" t="s">
        <v>3043</v>
      </c>
      <c r="F22" s="5" t="str">
        <f>IFERROR(__xludf.DUMMYFUNCTION("GOOGLETRANSLATE(A22, ""en"", ""hi"")"),"21")</f>
        <v>21</v>
      </c>
      <c r="G22" s="5" t="str">
        <f>IFERROR(__xludf.DUMMYFUNCTION("GOOGLETRANSLATE(B22, ""en"", ""hi"")"),"सिलंबम कला शैली का महान संस्थापक किसे माना जाता है?")</f>
        <v>सिलंबम कला शैली का महान संस्थापक किसे माना जाता है?</v>
      </c>
      <c r="H22" s="5" t="str">
        <f>IFERROR(__xludf.DUMMYFUNCTION("GOOGLETRANSLATE(C22, ""en"", ""hi"")"),"ए) अगस्त्य, बी) बोधिधर्म, सी) करिकाला चोल, डी) थिरुमल")</f>
        <v>ए) अगस्त्य, बी) बोधिधर्म, सी) करिकाला चोल, डी) थिरुमल</v>
      </c>
      <c r="I22" s="5" t="str">
        <f>IFERROR(__xludf.DUMMYFUNCTION("GOOGLETRANSLATE(D22, ""en"", ""hi"")"),"A) अगस्त्य")</f>
        <v>A) अगस्त्य</v>
      </c>
    </row>
    <row r="23" ht="22.5" customHeight="1">
      <c r="A23" s="3">
        <v>22.0</v>
      </c>
      <c r="B23" s="4" t="s">
        <v>9561</v>
      </c>
      <c r="C23" s="4" t="s">
        <v>9562</v>
      </c>
      <c r="D23" s="4" t="s">
        <v>9563</v>
      </c>
      <c r="F23" s="5" t="str">
        <f>IFERROR(__xludf.DUMMYFUNCTION("GOOGLETRANSLATE(A23, ""en"", ""hi"")"),"22")</f>
        <v>22</v>
      </c>
      <c r="G23" s="5" t="str">
        <f>IFERROR(__xludf.DUMMYFUNCTION("GOOGLETRANSLATE(B23, ""en"", ""hi"")"),"सिलंबम छड़ी पारंपरिक रूप से किस लकड़ी से बनाई जाती है?")</f>
        <v>सिलंबम छड़ी पारंपरिक रूप से किस लकड़ी से बनाई जाती है?</v>
      </c>
      <c r="H23" s="5" t="str">
        <f>IFERROR(__xludf.DUMMYFUNCTION("GOOGLETRANSLATE(C23, ""en"", ""hi"")"),"A) बांस, B) सागौन, C) शीशम, D) चंदन")</f>
        <v>A) बांस, B) सागौन, C) शीशम, D) चंदन</v>
      </c>
      <c r="I23" s="5" t="str">
        <f>IFERROR(__xludf.DUMMYFUNCTION("GOOGLETRANSLATE(D23, ""en"", ""hi"")"),"A) बांस")</f>
        <v>A) बांस</v>
      </c>
    </row>
    <row r="24" ht="22.5" customHeight="1">
      <c r="A24" s="3">
        <v>23.0</v>
      </c>
      <c r="B24" s="4" t="s">
        <v>9564</v>
      </c>
      <c r="C24" s="4" t="s">
        <v>9565</v>
      </c>
      <c r="D24" s="4" t="s">
        <v>6659</v>
      </c>
      <c r="F24" s="5" t="str">
        <f>IFERROR(__xludf.DUMMYFUNCTION("GOOGLETRANSLATE(A24, ""en"", ""hi"")"),"23")</f>
        <v>23</v>
      </c>
      <c r="G24" s="5" t="str">
        <f>IFERROR(__xludf.DUMMYFUNCTION("GOOGLETRANSLATE(B24, ""en"", ""hi"")"),"19वीं शताब्दी में किस घटना के कारण सिलंबम का एक प्रचलित मार्शल आर्ट के रूप में पतन हो गया?")</f>
        <v>19वीं शताब्दी में किस घटना के कारण सिलंबम का एक प्रचलित मार्शल आर्ट के रूप में पतन हो गया?</v>
      </c>
      <c r="H24" s="5" t="str">
        <f>IFERROR(__xludf.DUMMYFUNCTION("GOOGLETRANSLATE(C24, ""en"", ""hi"")"),"A) ब्रिटिश उपनिवेशीकरण, B) औद्योगिक क्रांति, C) द्रविड़ आंदोलन, D) अकाल")</f>
        <v>A) ब्रिटिश उपनिवेशीकरण, B) औद्योगिक क्रांति, C) द्रविड़ आंदोलन, D) अकाल</v>
      </c>
      <c r="I24" s="5" t="str">
        <f>IFERROR(__xludf.DUMMYFUNCTION("GOOGLETRANSLATE(D24, ""en"", ""hi"")"),"ए) ब्रिटिश उपनिवेशीकरण")</f>
        <v>ए) ब्रिटिश उपनिवेशीकरण</v>
      </c>
    </row>
    <row r="25" ht="22.5" customHeight="1">
      <c r="A25" s="3">
        <v>24.0</v>
      </c>
      <c r="B25" s="4" t="s">
        <v>9566</v>
      </c>
      <c r="C25" s="4" t="s">
        <v>9567</v>
      </c>
      <c r="D25" s="4" t="s">
        <v>2732</v>
      </c>
      <c r="F25" s="5" t="str">
        <f>IFERROR(__xludf.DUMMYFUNCTION("GOOGLETRANSLATE(A25, ""en"", ""hi"")"),"24")</f>
        <v>24</v>
      </c>
      <c r="G25" s="5" t="str">
        <f>IFERROR(__xludf.DUMMYFUNCTION("GOOGLETRANSLATE(B25, ""en"", ""hi"")"),"केरल में किस मार्शल आर्ट को सिलंबम का करीबी रिश्तेदार माना जाता है?")</f>
        <v>केरल में किस मार्शल आर्ट को सिलंबम का करीबी रिश्तेदार माना जाता है?</v>
      </c>
      <c r="H25" s="5" t="str">
        <f>IFERROR(__xludf.DUMMYFUNCTION("GOOGLETRANSLATE(C25, ""en"", ""hi"")"),"ए) कलारीपयट्टु, बी) गतका, सी) थांग-ता, डी) वज्र मुष्टी")</f>
        <v>ए) कलारीपयट्टु, बी) गतका, सी) थांग-ता, डी) वज्र मुष्टी</v>
      </c>
      <c r="I25" s="5" t="str">
        <f>IFERROR(__xludf.DUMMYFUNCTION("GOOGLETRANSLATE(D25, ""en"", ""hi"")"),"A) कलारीपयट्टू")</f>
        <v>A) कलारीपयट्टू</v>
      </c>
    </row>
    <row r="26" ht="22.5" customHeight="1">
      <c r="A26" s="3">
        <v>25.0</v>
      </c>
      <c r="B26" s="4" t="s">
        <v>9568</v>
      </c>
      <c r="C26" s="4" t="s">
        <v>9569</v>
      </c>
      <c r="D26" s="4" t="s">
        <v>9570</v>
      </c>
      <c r="F26" s="5" t="str">
        <f>IFERROR(__xludf.DUMMYFUNCTION("GOOGLETRANSLATE(A26, ""en"", ""hi"")"),"25")</f>
        <v>25</v>
      </c>
      <c r="G26" s="5" t="str">
        <f>IFERROR(__xludf.DUMMYFUNCTION("GOOGLETRANSLATE(B26, ""en"", ""hi"")"),"तमिल राजाओं के शासनकाल के दौरान सिलंबम चिकित्सकों को अक्सर किस भूमिका में नियुक्त किया जाता था?")</f>
        <v>तमिल राजाओं के शासनकाल के दौरान सिलंबम चिकित्सकों को अक्सर किस भूमिका में नियुक्त किया जाता था?</v>
      </c>
      <c r="H26" s="5" t="str">
        <f>IFERROR(__xludf.DUMMYFUNCTION("GOOGLETRANSLATE(C26, ""en"", ""hi"")"),"A) दरबारी संगीतकार, B) मंदिर रक्षक, C) महल नर्तक, D) विद्वान")</f>
        <v>A) दरबारी संगीतकार, B) मंदिर रक्षक, C) महल नर्तक, D) विद्वान</v>
      </c>
      <c r="I26" s="5" t="str">
        <f>IFERROR(__xludf.DUMMYFUNCTION("GOOGLETRANSLATE(D26, ""en"", ""hi"")"),"बी) मंदिर रक्षक")</f>
        <v>बी) मंदिर रक्षक</v>
      </c>
    </row>
    <row r="27" ht="22.5" customHeight="1">
      <c r="A27" s="3">
        <v>26.0</v>
      </c>
      <c r="B27" s="4" t="s">
        <v>9571</v>
      </c>
      <c r="C27" s="4" t="s">
        <v>9572</v>
      </c>
      <c r="D27" s="4" t="s">
        <v>4512</v>
      </c>
      <c r="F27" s="5" t="str">
        <f>IFERROR(__xludf.DUMMYFUNCTION("GOOGLETRANSLATE(A27, ""en"", ""hi"")"),"26")</f>
        <v>26</v>
      </c>
      <c r="G27" s="5" t="str">
        <f>IFERROR(__xludf.DUMMYFUNCTION("GOOGLETRANSLATE(B27, ""en"", ""hi"")"),"सिलंबम प्रशिक्षण पारंपरिक रूप से किस माध्यम से दिया जाता था?")</f>
        <v>सिलंबम प्रशिक्षण पारंपरिक रूप से किस माध्यम से दिया जाता था?</v>
      </c>
      <c r="H27" s="5" t="str">
        <f>IFERROR(__xludf.DUMMYFUNCTION("GOOGLETRANSLATE(C27, ""en"", ""hi"")"),"A) लिखित ग्रंथ, B) मौखिक परंपरा, C) मूर्तियां, D) स्क्रॉल")</f>
        <v>A) लिखित ग्रंथ, B) मौखिक परंपरा, C) मूर्तियां, D) स्क्रॉल</v>
      </c>
      <c r="I27" s="5" t="str">
        <f>IFERROR(__xludf.DUMMYFUNCTION("GOOGLETRANSLATE(D27, ""en"", ""hi"")"),"बी) मौखिक परंपरा")</f>
        <v>बी) मौखिक परंपरा</v>
      </c>
    </row>
    <row r="28" ht="22.5" customHeight="1">
      <c r="A28" s="3">
        <v>27.0</v>
      </c>
      <c r="B28" s="4" t="s">
        <v>9573</v>
      </c>
      <c r="C28" s="4" t="s">
        <v>9574</v>
      </c>
      <c r="D28" s="4" t="s">
        <v>9575</v>
      </c>
      <c r="F28" s="5" t="str">
        <f>IFERROR(__xludf.DUMMYFUNCTION("GOOGLETRANSLATE(A28, ""en"", ""hi"")"),"27")</f>
        <v>27</v>
      </c>
      <c r="G28" s="5" t="str">
        <f>IFERROR(__xludf.DUMMYFUNCTION("GOOGLETRANSLATE(B28, ""en"", ""hi"")"),"सिलंबम में मार्शल आर्ट शिक्षक के लिए तमिल शब्द क्या है?")</f>
        <v>सिलंबम में मार्शल आर्ट शिक्षक के लिए तमिल शब्द क्या है?</v>
      </c>
      <c r="H28" s="5" t="str">
        <f>IFERROR(__xludf.DUMMYFUNCTION("GOOGLETRANSLATE(C28, ""en"", ""hi"")"),"ए) गुरु, बी) आसन, सी) मास्टर, डी) अदियाल")</f>
        <v>ए) गुरु, बी) आसन, सी) मास्टर, डी) अदियाल</v>
      </c>
      <c r="I28" s="5" t="str">
        <f>IFERROR(__xludf.DUMMYFUNCTION("GOOGLETRANSLATE(D28, ""en"", ""hi"")"),"बी) आसन")</f>
        <v>बी) आसन</v>
      </c>
    </row>
    <row r="29" ht="22.5" customHeight="1">
      <c r="A29" s="3">
        <v>28.0</v>
      </c>
      <c r="B29" s="4" t="s">
        <v>9576</v>
      </c>
      <c r="C29" s="4" t="s">
        <v>9577</v>
      </c>
      <c r="D29" s="4" t="s">
        <v>9578</v>
      </c>
      <c r="F29" s="5" t="str">
        <f>IFERROR(__xludf.DUMMYFUNCTION("GOOGLETRANSLATE(A29, ""en"", ""hi"")"),"28")</f>
        <v>28</v>
      </c>
      <c r="G29" s="5" t="str">
        <f>IFERROR(__xludf.DUMMYFUNCTION("GOOGLETRANSLATE(B29, ""en"", ""hi"")"),"कौन सा त्यौहार सिलंबम के अभ्यास और प्रदर्शन से निकटता से जुड़ा हुआ है?")</f>
        <v>कौन सा त्यौहार सिलंबम के अभ्यास और प्रदर्शन से निकटता से जुड़ा हुआ है?</v>
      </c>
      <c r="H29" s="5" t="str">
        <f>IFERROR(__xludf.DUMMYFUNCTION("GOOGLETRANSLATE(C29, ""en"", ""hi"")"),"ए) पोंगल, बी) दीपावली, सी) नवरात्रि, डी) थाईपुसम")</f>
        <v>ए) पोंगल, बी) दीपावली, सी) नवरात्रि, डी) थाईपुसम</v>
      </c>
      <c r="I29" s="5" t="str">
        <f>IFERROR(__xludf.DUMMYFUNCTION("GOOGLETRANSLATE(D29, ""en"", ""hi"")"),"D) थाईपुसम")</f>
        <v>D) थाईपुसम</v>
      </c>
    </row>
    <row r="30" ht="22.5" customHeight="1">
      <c r="A30" s="3">
        <v>29.0</v>
      </c>
      <c r="B30" s="4" t="s">
        <v>9579</v>
      </c>
      <c r="C30" s="4" t="s">
        <v>9580</v>
      </c>
      <c r="D30" s="4" t="s">
        <v>3703</v>
      </c>
      <c r="F30" s="5" t="str">
        <f>IFERROR(__xludf.DUMMYFUNCTION("GOOGLETRANSLATE(A30, ""en"", ""hi"")"),"29")</f>
        <v>29</v>
      </c>
      <c r="G30" s="5" t="str">
        <f>IFERROR(__xludf.DUMMYFUNCTION("GOOGLETRANSLATE(B30, ""en"", ""hi"")"),"सिलंबम तकनीक का प्रयोग किस औपनिवेशिक ताकत के खिलाफ गुरिल्ला युद्ध में किया गया था?")</f>
        <v>सिलंबम तकनीक का प्रयोग किस औपनिवेशिक ताकत के खिलाफ गुरिल्ला युद्ध में किया गया था?</v>
      </c>
      <c r="H30" s="5" t="str">
        <f>IFERROR(__xludf.DUMMYFUNCTION("GOOGLETRANSLATE(C30, ""en"", ""hi"")"),"A) डच, B) ब्रिटिश, C) पुर्तगाली, D) फ्रांसीसी")</f>
        <v>A) डच, B) ब्रिटिश, C) पुर्तगाली, D) फ्रांसीसी</v>
      </c>
      <c r="I30" s="5" t="str">
        <f>IFERROR(__xludf.DUMMYFUNCTION("GOOGLETRANSLATE(D30, ""en"", ""hi"")"),"बी) ब्रिटिश")</f>
        <v>बी) ब्रिटिश</v>
      </c>
    </row>
    <row r="31" ht="22.5" customHeight="1">
      <c r="A31" s="3">
        <v>30.0</v>
      </c>
      <c r="B31" s="4" t="s">
        <v>9581</v>
      </c>
      <c r="C31" s="4" t="s">
        <v>9582</v>
      </c>
      <c r="D31" s="4" t="s">
        <v>9583</v>
      </c>
      <c r="F31" s="5" t="str">
        <f>IFERROR(__xludf.DUMMYFUNCTION("GOOGLETRANSLATE(A31, ""en"", ""hi"")"),"30")</f>
        <v>30</v>
      </c>
      <c r="G31" s="5" t="str">
        <f>IFERROR(__xludf.DUMMYFUNCTION("GOOGLETRANSLATE(B31, ""en"", ""hi"")"),"तमिलनाडु का कौन सा शहर प्रमुख सिलंबम प्रतियोगिताओं की मेजबानी के लिए जाना जाता है?")</f>
        <v>तमिलनाडु का कौन सा शहर प्रमुख सिलंबम प्रतियोगिताओं की मेजबानी के लिए जाना जाता है?</v>
      </c>
      <c r="H31" s="5" t="str">
        <f>IFERROR(__xludf.DUMMYFUNCTION("GOOGLETRANSLATE(C31, ""en"", ""hi"")"),"ए) चेन्नई, बी) मदुरै, सी) तिरुचिरापल्ली, डी) कोयंबटूर")</f>
        <v>ए) चेन्नई, बी) मदुरै, सी) तिरुचिरापल्ली, डी) कोयंबटूर</v>
      </c>
      <c r="I31" s="5" t="str">
        <f>IFERROR(__xludf.DUMMYFUNCTION("GOOGLETRANSLATE(D31, ""en"", ""hi"")"),"बी) मदुरै")</f>
        <v>बी) मदुरै</v>
      </c>
    </row>
    <row r="32" ht="22.5" customHeight="1">
      <c r="A32" s="3">
        <v>31.0</v>
      </c>
      <c r="B32" s="4" t="s">
        <v>9584</v>
      </c>
      <c r="C32" s="4" t="s">
        <v>9585</v>
      </c>
      <c r="D32" s="4" t="s">
        <v>9586</v>
      </c>
      <c r="F32" s="5" t="str">
        <f>IFERROR(__xludf.DUMMYFUNCTION("GOOGLETRANSLATE(A32, ""en"", ""hi"")"),"31")</f>
        <v>31</v>
      </c>
      <c r="G32" s="5" t="str">
        <f>IFERROR(__xludf.DUMMYFUNCTION("GOOGLETRANSLATE(B32, ""en"", ""hi"")"),"सिलंबम को तमिलनाडु के किस प्रसिद्ध मंदिर की मूर्तियों में दर्शाया गया था?")</f>
        <v>सिलंबम को तमिलनाडु के किस प्रसिद्ध मंदिर की मूर्तियों में दर्शाया गया था?</v>
      </c>
      <c r="H32" s="5" t="str">
        <f>IFERROR(__xludf.DUMMYFUNCTION("GOOGLETRANSLATE(C32, ""en"", ""hi"")"),"ए) बृहदेश्वर मंदिर, बी) मीनाक्षी मंदिर, सी) रंगनाथस्वामी मंदिर, डी) तट मंदिर")</f>
        <v>ए) बृहदेश्वर मंदिर, बी) मीनाक्षी मंदिर, सी) रंगनाथस्वामी मंदिर, डी) तट मंदिर</v>
      </c>
      <c r="I32" s="5" t="str">
        <f>IFERROR(__xludf.DUMMYFUNCTION("GOOGLETRANSLATE(D32, ""en"", ""hi"")"),"बी) मीनाक्षी मंदिर")</f>
        <v>बी) मीनाक्षी मंदिर</v>
      </c>
    </row>
    <row r="33" ht="22.5" customHeight="1">
      <c r="A33" s="3">
        <v>32.0</v>
      </c>
      <c r="B33" s="4" t="s">
        <v>9587</v>
      </c>
      <c r="C33" s="4" t="s">
        <v>9588</v>
      </c>
      <c r="D33" s="4" t="s">
        <v>9589</v>
      </c>
      <c r="F33" s="5" t="str">
        <f>IFERROR(__xludf.DUMMYFUNCTION("GOOGLETRANSLATE(A33, ""en"", ""hi"")"),"32")</f>
        <v>32</v>
      </c>
      <c r="G33" s="5" t="str">
        <f>IFERROR(__xludf.DUMMYFUNCTION("GOOGLETRANSLATE(B33, ""en"", ""hi"")"),"सिलंबम में छड़ी आमतौर पर कितनी लंबी होती है?")</f>
        <v>सिलंबम में छड़ी आमतौर पर कितनी लंबी होती है?</v>
      </c>
      <c r="H33" s="5" t="str">
        <f>IFERROR(__xludf.DUMMYFUNCTION("GOOGLETRANSLATE(C33, ""en"", ""hi"")"),"A) 3 फीट, B) 5 फीट, C) 8 फीट, D) 6 फीट")</f>
        <v>A) 3 फीट, B) 5 फीट, C) 8 फीट, D) 6 फीट</v>
      </c>
      <c r="I33" s="5" t="str">
        <f>IFERROR(__xludf.DUMMYFUNCTION("GOOGLETRANSLATE(D33, ""en"", ""hi"")"),"बी) 5 फीट")</f>
        <v>बी) 5 फीट</v>
      </c>
    </row>
    <row r="34" ht="22.5" customHeight="1">
      <c r="A34" s="3">
        <v>33.0</v>
      </c>
      <c r="B34" s="4" t="s">
        <v>9590</v>
      </c>
      <c r="C34" s="4" t="s">
        <v>9591</v>
      </c>
      <c r="D34" s="4" t="s">
        <v>9592</v>
      </c>
      <c r="F34" s="5" t="str">
        <f>IFERROR(__xludf.DUMMYFUNCTION("GOOGLETRANSLATE(A34, ""en"", ""hi"")"),"33")</f>
        <v>33</v>
      </c>
      <c r="G34" s="5" t="str">
        <f>IFERROR(__xludf.DUMMYFUNCTION("GOOGLETRANSLATE(B34, ""en"", ""hi"")"),"20वीं सदी के किस भारतीय नेता ने सिलंबम जैसी पारंपरिक मार्शल आर्ट के पुनरुद्धार को बढ़ावा दिया?")</f>
        <v>20वीं सदी के किस भारतीय नेता ने सिलंबम जैसी पारंपरिक मार्शल आर्ट के पुनरुद्धार को बढ़ावा दिया?</v>
      </c>
      <c r="H34" s="5" t="str">
        <f>IFERROR(__xludf.DUMMYFUNCTION("GOOGLETRANSLATE(C34, ""en"", ""hi"")"),"ए) महात्मा गांधी, बी) सुब्रमण्यम भारती, सी) सी. राजगोपालाचारी, डी) पेरियार")</f>
        <v>ए) महात्मा गांधी, बी) सुब्रमण्यम भारती, सी) सी. राजगोपालाचारी, डी) पेरियार</v>
      </c>
      <c r="I34" s="5" t="str">
        <f>IFERROR(__xludf.DUMMYFUNCTION("GOOGLETRANSLATE(D34, ""en"", ""hi"")"),"B) सुब्रमण्यम भारती")</f>
        <v>B) सुब्रमण्यम भारती</v>
      </c>
    </row>
    <row r="35" ht="22.5" customHeight="1">
      <c r="A35" s="3">
        <v>34.0</v>
      </c>
      <c r="B35" s="4" t="s">
        <v>9593</v>
      </c>
      <c r="C35" s="4" t="s">
        <v>9594</v>
      </c>
      <c r="D35" s="4" t="s">
        <v>9595</v>
      </c>
      <c r="F35" s="5" t="str">
        <f>IFERROR(__xludf.DUMMYFUNCTION("GOOGLETRANSLATE(A35, ""en"", ""hi"")"),"34")</f>
        <v>34</v>
      </c>
      <c r="G35" s="5" t="str">
        <f>IFERROR(__xludf.DUMMYFUNCTION("GOOGLETRANSLATE(B35, ""en"", ""hi"")"),"सिलंबम छड़ी लड़ाई पारंपरिक रूप से किस तमिल योद्धा कबीले के प्रशिक्षण का हिस्सा थी?")</f>
        <v>सिलंबम छड़ी लड़ाई पारंपरिक रूप से किस तमिल योद्धा कबीले के प्रशिक्षण का हिस्सा थी?</v>
      </c>
      <c r="H35" s="5" t="str">
        <f>IFERROR(__xludf.DUMMYFUNCTION("GOOGLETRANSLATE(C35, ""en"", ""hi"")"),"ए) नादर, बी) मरावर, सी) वन्नियार, डी) मुदलियार")</f>
        <v>ए) नादर, बी) मरावर, सी) वन्नियार, डी) मुदलियार</v>
      </c>
      <c r="I35" s="5" t="str">
        <f>IFERROR(__xludf.DUMMYFUNCTION("GOOGLETRANSLATE(D35, ""en"", ""hi"")"),"बी) मारवाड़")</f>
        <v>बी) मारवाड़</v>
      </c>
    </row>
    <row r="36" ht="22.5" customHeight="1">
      <c r="A36" s="3">
        <v>35.0</v>
      </c>
      <c r="B36" s="4" t="s">
        <v>9596</v>
      </c>
      <c r="C36" s="4" t="s">
        <v>9597</v>
      </c>
      <c r="D36" s="4" t="s">
        <v>9598</v>
      </c>
      <c r="F36" s="5" t="str">
        <f>IFERROR(__xludf.DUMMYFUNCTION("GOOGLETRANSLATE(A36, ""en"", ""hi"")"),"35")</f>
        <v>35</v>
      </c>
      <c r="G36" s="5" t="str">
        <f>IFERROR(__xludf.DUMMYFUNCTION("GOOGLETRANSLATE(B36, ""en"", ""hi"")"),"सिलंबम का संबंध किस प्राचीन तमिल ग्रंथ से है जो नैतिक युद्ध की रूपरेखा प्रस्तुत करता है?")</f>
        <v>सिलंबम का संबंध किस प्राचीन तमिल ग्रंथ से है जो नैतिक युद्ध की रूपरेखा प्रस्तुत करता है?</v>
      </c>
      <c r="H36" s="5" t="str">
        <f>IFERROR(__xludf.DUMMYFUNCTION("GOOGLETRANSLATE(C36, ""en"", ""hi"")"),"ए) तिरुक्कुरल, बी) अगट्टियाम, सी) जीवा नूल, डी) कुरलोगम")</f>
        <v>ए) तिरुक्कुरल, बी) अगट्टियाम, सी) जीवा नूल, डी) कुरलोगम</v>
      </c>
      <c r="I36" s="5" t="str">
        <f>IFERROR(__xludf.DUMMYFUNCTION("GOOGLETRANSLATE(D36, ""en"", ""hi"")"),"A) तिरुक्कुरल")</f>
        <v>A) तिरुक्कुरल</v>
      </c>
    </row>
    <row r="37" ht="22.5" customHeight="1">
      <c r="A37" s="3">
        <v>36.0</v>
      </c>
      <c r="B37" s="4" t="s">
        <v>9599</v>
      </c>
      <c r="C37" s="4" t="s">
        <v>9600</v>
      </c>
      <c r="D37" s="4" t="s">
        <v>9539</v>
      </c>
      <c r="F37" s="5" t="str">
        <f>IFERROR(__xludf.DUMMYFUNCTION("GOOGLETRANSLATE(A37, ""en"", ""hi"")"),"36")</f>
        <v>36</v>
      </c>
      <c r="G37" s="5" t="str">
        <f>IFERROR(__xludf.DUMMYFUNCTION("GOOGLETRANSLATE(B37, ""en"", ""hi"")"),"सिलंबम का उल्लेख किस प्राचीन तमिल महाकाव्य में किया गया है जो एक धर्मी राजा की कहानी बताता है?")</f>
        <v>सिलंबम का उल्लेख किस प्राचीन तमिल महाकाव्य में किया गया है जो एक धर्मी राजा की कहानी बताता है?</v>
      </c>
      <c r="H37" s="5" t="str">
        <f>IFERROR(__xludf.DUMMYFUNCTION("GOOGLETRANSLATE(C37, ""en"", ""hi"")"),"ए) मणिमेकलै, बी) सिलप्पातिकारम, सी) रामायणम, डी) कंबा रामायणम")</f>
        <v>ए) मणिमेकलै, बी) सिलप्पातिकारम, सी) रामायणम, डी) कंबा रामायणम</v>
      </c>
      <c r="I37" s="5" t="str">
        <f>IFERROR(__xludf.DUMMYFUNCTION("GOOGLETRANSLATE(D37, ""en"", ""hi"")"),"बी) सिलप्पाटिकरम")</f>
        <v>बी) सिलप्पाटिकरम</v>
      </c>
    </row>
    <row r="38" ht="22.5" customHeight="1">
      <c r="A38" s="3">
        <v>37.0</v>
      </c>
      <c r="B38" s="4" t="s">
        <v>9601</v>
      </c>
      <c r="C38" s="4" t="s">
        <v>9602</v>
      </c>
      <c r="D38" s="4" t="s">
        <v>9603</v>
      </c>
      <c r="F38" s="5" t="str">
        <f>IFERROR(__xludf.DUMMYFUNCTION("GOOGLETRANSLATE(A38, ""en"", ""hi"")"),"37")</f>
        <v>37</v>
      </c>
      <c r="G38" s="5" t="str">
        <f>IFERROR(__xludf.DUMMYFUNCTION("GOOGLETRANSLATE(B38, ""en"", ""hi"")"),"माना जाता है कि सिलंबम तकनीक किस ऐतिहासिक तमिल क्षेत्र की युद्ध रणनीतियों से जुड़ी हुई है?")</f>
        <v>माना जाता है कि सिलंबम तकनीक किस ऐतिहासिक तमिल क्षेत्र की युद्ध रणनीतियों से जुड़ी हुई है?</v>
      </c>
      <c r="H38" s="5" t="str">
        <f>IFERROR(__xludf.DUMMYFUNCTION("GOOGLETRANSLATE(C38, ""en"", ""hi"")"),"ए) मदुरै, बी) तंजावुर, सी) कांचीपुरम, डी) तिरुनेलवेली")</f>
        <v>ए) मदुरै, बी) तंजावुर, सी) कांचीपुरम, डी) तिरुनेलवेली</v>
      </c>
      <c r="I38" s="5" t="str">
        <f>IFERROR(__xludf.DUMMYFUNCTION("GOOGLETRANSLATE(D38, ""en"", ""hi"")"),"A) मदुरै")</f>
        <v>A) मदुरै</v>
      </c>
    </row>
    <row r="39" ht="22.5" customHeight="1">
      <c r="A39" s="3">
        <v>38.0</v>
      </c>
      <c r="B39" s="4" t="s">
        <v>9604</v>
      </c>
      <c r="C39" s="4" t="s">
        <v>9605</v>
      </c>
      <c r="D39" s="4" t="s">
        <v>9606</v>
      </c>
      <c r="F39" s="5" t="str">
        <f>IFERROR(__xludf.DUMMYFUNCTION("GOOGLETRANSLATE(A39, ""en"", ""hi"")"),"38")</f>
        <v>38</v>
      </c>
      <c r="G39" s="5" t="str">
        <f>IFERROR(__xludf.DUMMYFUNCTION("GOOGLETRANSLATE(B39, ""en"", ""hi"")"),"सिलंबम प्रथा प्राचीन तमिल समाज के किस वर्ग के लिए आवश्यक थी?")</f>
        <v>सिलंबम प्रथा प्राचीन तमिल समाज के किस वर्ग के लिए आवश्यक थी?</v>
      </c>
      <c r="H39" s="5" t="str">
        <f>IFERROR(__xludf.DUMMYFUNCTION("GOOGLETRANSLATE(C39, ""en"", ""hi"")"),"A) व्यापारी, B) किसान, C) योद्धा, D) पुजारी")</f>
        <v>A) व्यापारी, B) किसान, C) योद्धा, D) पुजारी</v>
      </c>
      <c r="I39" s="5" t="str">
        <f>IFERROR(__xludf.DUMMYFUNCTION("GOOGLETRANSLATE(D39, ""en"", ""hi"")"),"सी) योद्धा")</f>
        <v>सी) योद्धा</v>
      </c>
    </row>
    <row r="40" ht="22.5" customHeight="1">
      <c r="A40" s="3">
        <v>39.0</v>
      </c>
      <c r="B40" s="4" t="s">
        <v>9607</v>
      </c>
      <c r="C40" s="4" t="s">
        <v>9608</v>
      </c>
      <c r="D40" s="4" t="s">
        <v>9609</v>
      </c>
      <c r="F40" s="5" t="str">
        <f>IFERROR(__xludf.DUMMYFUNCTION("GOOGLETRANSLATE(A40, ""en"", ""hi"")"),"39")</f>
        <v>39</v>
      </c>
      <c r="G40" s="5" t="str">
        <f>IFERROR(__xludf.DUMMYFUNCTION("GOOGLETRANSLATE(B40, ""en"", ""hi"")"),"प्रारंभिक सिलंबम चिकित्सकों में प्रायः किस जाति के सदस्य शामिल होते थे?")</f>
        <v>प्रारंभिक सिलंबम चिकित्सकों में प्रायः किस जाति के सदस्य शामिल होते थे?</v>
      </c>
      <c r="H40" s="5" t="str">
        <f>IFERROR(__xludf.DUMMYFUNCTION("GOOGLETRANSLATE(C40, ""en"", ""hi"")"),"ए) ब्राह्मण, बी) क्षत्रिय, सी) दलित, डी) वेल्लालर")</f>
        <v>ए) ब्राह्मण, बी) क्षत्रिय, सी) दलित, डी) वेल्लालर</v>
      </c>
      <c r="I40" s="5" t="str">
        <f>IFERROR(__xludf.DUMMYFUNCTION("GOOGLETRANSLATE(D40, ""en"", ""hi"")"),"D) वेल्लालर")</f>
        <v>D) वेल्लालर</v>
      </c>
    </row>
    <row r="41" ht="22.5" customHeight="1">
      <c r="A41" s="3">
        <v>40.0</v>
      </c>
      <c r="B41" s="4" t="s">
        <v>9610</v>
      </c>
      <c r="C41" s="4" t="s">
        <v>9611</v>
      </c>
      <c r="D41" s="4" t="s">
        <v>9612</v>
      </c>
      <c r="F41" s="5" t="str">
        <f>IFERROR(__xludf.DUMMYFUNCTION("GOOGLETRANSLATE(A41, ""en"", ""hi"")"),"40")</f>
        <v>40</v>
      </c>
      <c r="G41" s="5" t="str">
        <f>IFERROR(__xludf.DUMMYFUNCTION("GOOGLETRANSLATE(B41, ""en"", ""hi"")"),"अन्य मार्शल आर्ट के साथ सिलंबम को किस काल में दमन का सामना करना पड़ा?")</f>
        <v>अन्य मार्शल आर्ट के साथ सिलंबम को किस काल में दमन का सामना करना पड़ा?</v>
      </c>
      <c r="H41" s="5" t="str">
        <f>IFERROR(__xludf.DUMMYFUNCTION("GOOGLETRANSLATE(C41, ""en"", ""hi"")"),"A) पुर्तगाली शासन, B) डच शासन, C) ब्रिटिश शासन, D) फ्रांसीसी शासन")</f>
        <v>A) पुर्तगाली शासन, B) डच शासन, C) ब्रिटिश शासन, D) फ्रांसीसी शासन</v>
      </c>
      <c r="I41" s="5" t="str">
        <f>IFERROR(__xludf.DUMMYFUNCTION("GOOGLETRANSLATE(D41, ""en"", ""hi"")"),"C) ब्रिटिश शासन")</f>
        <v>C) ब्रिटिश शासन</v>
      </c>
    </row>
    <row r="42" ht="22.5" customHeight="1">
      <c r="A42" s="3">
        <v>41.0</v>
      </c>
      <c r="B42" s="4" t="s">
        <v>9613</v>
      </c>
      <c r="C42" s="4" t="s">
        <v>171</v>
      </c>
      <c r="D42" s="4" t="s">
        <v>639</v>
      </c>
      <c r="F42" s="5" t="str">
        <f>IFERROR(__xludf.DUMMYFUNCTION("GOOGLETRANSLATE(A42, ""en"", ""hi"")"),"41")</f>
        <v>41</v>
      </c>
      <c r="G42" s="5" t="str">
        <f>IFERROR(__xludf.DUMMYFUNCTION("GOOGLETRANSLATE(B42, ""en"", ""hi"")"),"सिलंबम को किस भारतीय राज्य सरकार द्वारा पारंपरिक खेल के रूप में मान्यता दी गई थी?")</f>
        <v>सिलंबम को किस भारतीय राज्य सरकार द्वारा पारंपरिक खेल के रूप में मान्यता दी गई थी?</v>
      </c>
      <c r="H42" s="5" t="str">
        <f>IFERROR(__xludf.DUMMYFUNCTION("GOOGLETRANSLATE(C42, ""en"", ""hi"")"),"A) केरल, B) तमिलनाडु, C) कर्नाटक, D) आंध्र प्रदेश")</f>
        <v>A) केरल, B) तमिलनाडु, C) कर्नाटक, D) आंध्र प्रदेश</v>
      </c>
      <c r="I42" s="5" t="str">
        <f>IFERROR(__xludf.DUMMYFUNCTION("GOOGLETRANSLATE(D42, ""en"", ""hi"")"),"बी) तमिलनाडु")</f>
        <v>बी) तमिलनाडु</v>
      </c>
    </row>
    <row r="43" ht="22.5" customHeight="1">
      <c r="A43" s="3">
        <v>42.0</v>
      </c>
      <c r="B43" s="4" t="s">
        <v>9614</v>
      </c>
      <c r="C43" s="4" t="s">
        <v>9615</v>
      </c>
      <c r="D43" s="4" t="s">
        <v>8680</v>
      </c>
      <c r="F43" s="5" t="str">
        <f>IFERROR(__xludf.DUMMYFUNCTION("GOOGLETRANSLATE(A43, ""en"", ""hi"")"),"42")</f>
        <v>42</v>
      </c>
      <c r="G43" s="5" t="str">
        <f>IFERROR(__xludf.DUMMYFUNCTION("GOOGLETRANSLATE(B43, ""en"", ""hi"")"),"सिलंबम प्रशिक्षण के लिए पारंपरिक पोशाक में निम्नलिखित में से क्या शामिल है?")</f>
        <v>सिलंबम प्रशिक्षण के लिए पारंपरिक पोशाक में निम्नलिखित में से क्या शामिल है?</v>
      </c>
      <c r="H43" s="5" t="str">
        <f>IFERROR(__xludf.DUMMYFUNCTION("GOOGLETRANSLATE(C43, ""en"", ""hi"")"),"ए) लुंगी, बी) धोती, सी) सलवार, डी) साड़ी")</f>
        <v>ए) लुंगी, बी) धोती, सी) सलवार, डी) साड़ी</v>
      </c>
      <c r="I43" s="5" t="str">
        <f>IFERROR(__xludf.DUMMYFUNCTION("GOOGLETRANSLATE(D43, ""en"", ""hi"")"),"बी) धोती")</f>
        <v>बी) धोती</v>
      </c>
    </row>
    <row r="44" ht="22.5" customHeight="1">
      <c r="A44" s="3">
        <v>43.0</v>
      </c>
      <c r="B44" s="4" t="s">
        <v>9616</v>
      </c>
      <c r="C44" s="4" t="s">
        <v>9617</v>
      </c>
      <c r="D44" s="4" t="s">
        <v>9618</v>
      </c>
      <c r="F44" s="5" t="str">
        <f>IFERROR(__xludf.DUMMYFUNCTION("GOOGLETRANSLATE(A44, ""en"", ""hi"")"),"43")</f>
        <v>43</v>
      </c>
      <c r="G44" s="5" t="str">
        <f>IFERROR(__xludf.DUMMYFUNCTION("GOOGLETRANSLATE(B44, ""en"", ""hi"")"),"किस तमिल कवि ने अपनी रचनाओं में सिलंबम के गुणों का बखान किया?")</f>
        <v>किस तमिल कवि ने अपनी रचनाओं में सिलंबम के गुणों का बखान किया?</v>
      </c>
      <c r="H44" s="5" t="str">
        <f>IFERROR(__xludf.DUMMYFUNCTION("GOOGLETRANSLATE(C44, ""en"", ""hi"")"),"ए) सुब्रमण्यम भारती, बी) भारतीदासन, सी) तिरुवल्लुवर, डी) अव्वैयार")</f>
        <v>ए) सुब्रमण्यम भारती, बी) भारतीदासन, सी) तिरुवल्लुवर, डी) अव्वैयार</v>
      </c>
      <c r="I44" s="5" t="str">
        <f>IFERROR(__xludf.DUMMYFUNCTION("GOOGLETRANSLATE(D44, ""en"", ""hi"")"),"A) सुब्रमण्यम भारती")</f>
        <v>A) सुब्रमण्यम भारती</v>
      </c>
    </row>
    <row r="45" ht="22.5" customHeight="1">
      <c r="A45" s="3">
        <v>44.0</v>
      </c>
      <c r="B45" s="4" t="s">
        <v>9619</v>
      </c>
      <c r="C45" s="4" t="s">
        <v>9620</v>
      </c>
      <c r="D45" s="4" t="s">
        <v>9621</v>
      </c>
      <c r="F45" s="5" t="str">
        <f>IFERROR(__xludf.DUMMYFUNCTION("GOOGLETRANSLATE(A45, ""en"", ""hi"")"),"44")</f>
        <v>44</v>
      </c>
      <c r="G45" s="5" t="str">
        <f>IFERROR(__xludf.DUMMYFUNCTION("GOOGLETRANSLATE(B45, ""en"", ""hi"")"),"सिलंबम ने तमिलनाडु के किस क्षेत्र के सांस्कृतिक प्रदर्शन में भूमिका निभाई?")</f>
        <v>सिलंबम ने तमिलनाडु के किस क्षेत्र के सांस्कृतिक प्रदर्शन में भूमिका निभाई?</v>
      </c>
      <c r="H45" s="5" t="str">
        <f>IFERROR(__xludf.DUMMYFUNCTION("GOOGLETRANSLATE(C45, ""en"", ""hi"")"),"ए) तंजौर, बी) मदुरै, सी) कोयंबटूर, डी) शिवगंगा")</f>
        <v>ए) तंजौर, बी) मदुरै, सी) कोयंबटूर, डी) शिवगंगा</v>
      </c>
      <c r="I45" s="5" t="str">
        <f>IFERROR(__xludf.DUMMYFUNCTION("GOOGLETRANSLATE(D45, ""en"", ""hi"")"),"D) शिवगंगा")</f>
        <v>D) शिवगंगा</v>
      </c>
    </row>
    <row r="46" ht="22.5" customHeight="1">
      <c r="A46" s="3">
        <v>45.0</v>
      </c>
      <c r="B46" s="4" t="s">
        <v>9622</v>
      </c>
      <c r="C46" s="4" t="s">
        <v>9623</v>
      </c>
      <c r="D46" s="4" t="s">
        <v>4126</v>
      </c>
      <c r="F46" s="5" t="str">
        <f>IFERROR(__xludf.DUMMYFUNCTION("GOOGLETRANSLATE(A46, ""en"", ""hi"")"),"45")</f>
        <v>45</v>
      </c>
      <c r="G46" s="5" t="str">
        <f>IFERROR(__xludf.DUMMYFUNCTION("GOOGLETRANSLATE(B46, ""en"", ""hi"")"),"ऐसा कहा जाता है कि किस मुगल सम्राट ने अपने शासन के दौरान सिलंबम प्रदर्शनों को देखा था?")</f>
        <v>ऐसा कहा जाता है कि किस मुगल सम्राट ने अपने शासन के दौरान सिलंबम प्रदर्शनों को देखा था?</v>
      </c>
      <c r="H46" s="5" t="str">
        <f>IFERROR(__xludf.DUMMYFUNCTION("GOOGLETRANSLATE(C46, ""en"", ""hi"")"),"A) अकबर, B) औरंगजेब, C) जहांगीर, D) हुमायूं")</f>
        <v>A) अकबर, B) औरंगजेब, C) जहांगीर, D) हुमायूं</v>
      </c>
      <c r="I46" s="5" t="str">
        <f>IFERROR(__xludf.DUMMYFUNCTION("GOOGLETRANSLATE(D46, ""en"", ""hi"")"),"C) जहाँगीर")</f>
        <v>C) जहाँगीर</v>
      </c>
    </row>
    <row r="47" ht="22.5" customHeight="1">
      <c r="A47" s="3">
        <v>46.0</v>
      </c>
      <c r="B47" s="4" t="s">
        <v>9624</v>
      </c>
      <c r="C47" s="4" t="s">
        <v>9625</v>
      </c>
      <c r="D47" s="4" t="s">
        <v>9626</v>
      </c>
      <c r="F47" s="5" t="str">
        <f>IFERROR(__xludf.DUMMYFUNCTION("GOOGLETRANSLATE(A47, ""en"", ""hi"")"),"46")</f>
        <v>46</v>
      </c>
      <c r="G47" s="5" t="str">
        <f>IFERROR(__xludf.DUMMYFUNCTION("GOOGLETRANSLATE(B47, ""en"", ""hi"")"),"'सिलम्बम' शब्द किस तमिल शब्द से लिया गया है?")</f>
        <v>'सिलम्बम' शब्द किस तमिल शब्द से लिया गया है?</v>
      </c>
      <c r="H47" s="5" t="str">
        <f>IFERROR(__xludf.DUMMYFUNCTION("GOOGLETRANSLATE(C47, ""en"", ""hi"")"),"ए) सिलम, बी) सिलम, सी) सिलम्बु, डी) सिलम")</f>
        <v>ए) सिलम, बी) सिलम, सी) सिलम्बु, डी) सिलम</v>
      </c>
      <c r="I47" s="5" t="str">
        <f>IFERROR(__xludf.DUMMYFUNCTION("GOOGLETRANSLATE(D47, ""en"", ""hi"")"),"C) सिलाम्बु")</f>
        <v>C) सिलाम्बु</v>
      </c>
    </row>
    <row r="48" ht="22.5" customHeight="1">
      <c r="A48" s="3">
        <v>47.0</v>
      </c>
      <c r="B48" s="4" t="s">
        <v>9627</v>
      </c>
      <c r="C48" s="4" t="s">
        <v>9628</v>
      </c>
      <c r="D48" s="4" t="s">
        <v>9629</v>
      </c>
      <c r="F48" s="5" t="str">
        <f>IFERROR(__xludf.DUMMYFUNCTION("GOOGLETRANSLATE(A48, ""en"", ""hi"")"),"47")</f>
        <v>47</v>
      </c>
      <c r="G48" s="5" t="str">
        <f>IFERROR(__xludf.DUMMYFUNCTION("GOOGLETRANSLATE(B48, ""en"", ""hi"")"),"सिलंबम को सबसे पुरानी मार्शल आर्ट में से एक माना जाता है, इसकी उत्पत्ति किस काल से जुड़ी है?")</f>
        <v>सिलंबम को सबसे पुरानी मार्शल आर्ट में से एक माना जाता है, इसकी उत्पत्ति किस काल से जुड़ी है?</v>
      </c>
      <c r="H48" s="5" t="str">
        <f>IFERROR(__xludf.DUMMYFUNCTION("GOOGLETRANSLATE(C48, ""en"", ""hi"")"),"A) प्रागैतिहासिक, B) वैदिक युग, C) संगम युग, D) मुगल काल")</f>
        <v>A) प्रागैतिहासिक, B) वैदिक युग, C) संगम युग, D) मुगल काल</v>
      </c>
      <c r="I48" s="5" t="str">
        <f>IFERROR(__xludf.DUMMYFUNCTION("GOOGLETRANSLATE(D48, ""en"", ""hi"")"),"C) संगम युग")</f>
        <v>C) संगम युग</v>
      </c>
    </row>
    <row r="49" ht="22.5" customHeight="1">
      <c r="A49" s="3">
        <v>48.0</v>
      </c>
      <c r="B49" s="4" t="s">
        <v>9630</v>
      </c>
      <c r="C49" s="4" t="s">
        <v>9631</v>
      </c>
      <c r="D49" s="4" t="s">
        <v>9632</v>
      </c>
      <c r="F49" s="5" t="str">
        <f>IFERROR(__xludf.DUMMYFUNCTION("GOOGLETRANSLATE(A49, ""en"", ""hi"")"),"48")</f>
        <v>48</v>
      </c>
      <c r="G49" s="5" t="str">
        <f>IFERROR(__xludf.DUMMYFUNCTION("GOOGLETRANSLATE(B49, ""en"", ""hi"")"),"सिलंबम को प्रायः तमिल युद्ध के किस प्राचीन रूप से जोड़ा जाता है?")</f>
        <v>सिलंबम को प्रायः तमिल युद्ध के किस प्राचीन रूप से जोड़ा जाता है?</v>
      </c>
      <c r="H49" s="5" t="str">
        <f>IFERROR(__xludf.DUMMYFUNCTION("GOOGLETRANSLATE(C49, ""en"", ""hi"")"),"A) नौसैनिक युद्ध, B) गुरिल्ला युद्ध, C) हाथी युद्ध, D) पैदल सेना युद्ध")</f>
        <v>A) नौसैनिक युद्ध, B) गुरिल्ला युद्ध, C) हाथी युद्ध, D) पैदल सेना युद्ध</v>
      </c>
      <c r="I49" s="5" t="str">
        <f>IFERROR(__xludf.DUMMYFUNCTION("GOOGLETRANSLATE(D49, ""en"", ""hi"")"),"D) पैदल सेना का मुकाबला")</f>
        <v>D) पैदल सेना का मुकाबला</v>
      </c>
    </row>
    <row r="50" ht="22.5" customHeight="1">
      <c r="A50" s="3">
        <v>49.0</v>
      </c>
      <c r="B50" s="4" t="s">
        <v>9633</v>
      </c>
      <c r="C50" s="4" t="s">
        <v>9634</v>
      </c>
      <c r="D50" s="4" t="s">
        <v>9635</v>
      </c>
      <c r="F50" s="5" t="str">
        <f>IFERROR(__xludf.DUMMYFUNCTION("GOOGLETRANSLATE(A50, ""en"", ""hi"")"),"49")</f>
        <v>49</v>
      </c>
      <c r="G50" s="5" t="str">
        <f>IFERROR(__xludf.DUMMYFUNCTION("GOOGLETRANSLATE(B50, ""en"", ""hi"")"),"किस प्राचीन तमिल साहित्य में सिलंबम में कुशल योद्धाओं का वर्णन है?")</f>
        <v>किस प्राचीन तमिल साहित्य में सिलंबम में कुशल योद्धाओं का वर्णन है?</v>
      </c>
      <c r="H50" s="5" t="str">
        <f>IFERROR(__xludf.DUMMYFUNCTION("GOOGLETRANSLATE(C50, ""en"", ""hi"")"),"ए) पुराणानुरू, बी) आथिचुडी, सी) थोलकप्पियम, डी) अकानानूरू")</f>
        <v>ए) पुराणानुरू, बी) आथिचुडी, सी) थोलकप्पियम, डी) अकानानूरू</v>
      </c>
      <c r="I50" s="5" t="str">
        <f>IFERROR(__xludf.DUMMYFUNCTION("GOOGLETRANSLATE(D50, ""en"", ""hi"")"),"A) पूरनानुरू")</f>
        <v>A) पूरनानुरू</v>
      </c>
    </row>
    <row r="51" ht="22.5" customHeight="1">
      <c r="A51" s="3">
        <v>50.0</v>
      </c>
      <c r="B51" s="4" t="s">
        <v>9636</v>
      </c>
      <c r="C51" s="4" t="s">
        <v>9637</v>
      </c>
      <c r="D51" s="4" t="s">
        <v>3275</v>
      </c>
      <c r="F51" s="5" t="str">
        <f>IFERROR(__xludf.DUMMYFUNCTION("GOOGLETRANSLATE(A51, ""en"", ""hi"")"),"50")</f>
        <v>50</v>
      </c>
      <c r="G51" s="5" t="str">
        <f>IFERROR(__xludf.DUMMYFUNCTION("GOOGLETRANSLATE(B51, ""en"", ""hi"")"),"किस तमिल राज्य की सैन्य प्रणाली में सैनिकों के लिए सिलंबम प्रशिक्षण को प्रमुखता से शामिल किया गया था?")</f>
        <v>किस तमिल राज्य की सैन्य प्रणाली में सैनिकों के लिए सिलंबम प्रशिक्षण को प्रमुखता से शामिल किया गया था?</v>
      </c>
      <c r="H51" s="5" t="str">
        <f>IFERROR(__xludf.DUMMYFUNCTION("GOOGLETRANSLATE(C51, ""en"", ""hi"")"),"ए) चेर, बी) पांड्य, सी) चोल, डी) विजयनगर")</f>
        <v>ए) चेर, बी) पांड्य, सी) चोल, डी) विजयनगर</v>
      </c>
      <c r="I51" s="5" t="str">
        <f>IFERROR(__xludf.DUMMYFUNCTION("GOOGLETRANSLATE(D51, ""en"", ""hi"")"),"C) चोल")</f>
        <v>C) चोल</v>
      </c>
    </row>
    <row r="52" ht="22.5" customHeight="1">
      <c r="A52" s="3">
        <v>51.0</v>
      </c>
      <c r="B52" s="4" t="s">
        <v>9638</v>
      </c>
      <c r="C52" s="4" t="s">
        <v>9639</v>
      </c>
      <c r="D52" s="4" t="s">
        <v>9640</v>
      </c>
      <c r="F52" s="5" t="str">
        <f>IFERROR(__xludf.DUMMYFUNCTION("GOOGLETRANSLATE(A52, ""en"", ""hi"")"),"51")</f>
        <v>51</v>
      </c>
      <c r="G52" s="5" t="str">
        <f>IFERROR(__xludf.DUMMYFUNCTION("GOOGLETRANSLATE(B52, ""en"", ""hi"")"),"चोल राजवंश ने सिलंबम प्रथा को किन पड़ोसी क्षेत्रों में फैलाया?")</f>
        <v>चोल राजवंश ने सिलंबम प्रथा को किन पड़ोसी क्षेत्रों में फैलाया?</v>
      </c>
      <c r="H52" s="5" t="str">
        <f>IFERROR(__xludf.DUMMYFUNCTION("GOOGLETRANSLATE(C52, ""en"", ""hi"")"),"A) श्रीलंका और मलेशिया, B) थाईलैंड और चीन, C) म्यांमार और इंडोनेशिया, D) नेपाल और भूटान")</f>
        <v>A) श्रीलंका और मलेशिया, B) थाईलैंड और चीन, C) म्यांमार और इंडोनेशिया, D) नेपाल और भूटान</v>
      </c>
      <c r="I52" s="5" t="str">
        <f>IFERROR(__xludf.DUMMYFUNCTION("GOOGLETRANSLATE(D52, ""en"", ""hi"")"),"A) श्रीलंका और मलेशिया")</f>
        <v>A) श्रीलंका और मलेशिया</v>
      </c>
    </row>
    <row r="53" ht="22.5" customHeight="1">
      <c r="A53" s="3">
        <v>52.0</v>
      </c>
      <c r="B53" s="4" t="s">
        <v>9641</v>
      </c>
      <c r="C53" s="4" t="s">
        <v>9642</v>
      </c>
      <c r="D53" s="4" t="s">
        <v>9643</v>
      </c>
      <c r="F53" s="5" t="str">
        <f>IFERROR(__xludf.DUMMYFUNCTION("GOOGLETRANSLATE(A53, ""en"", ""hi"")"),"52")</f>
        <v>52</v>
      </c>
      <c r="G53" s="5" t="str">
        <f>IFERROR(__xludf.DUMMYFUNCTION("GOOGLETRANSLATE(B53, ""en"", ""hi"")"),"सिलंबम किस प्रसिद्ध तमिल राजवंश के सैनिकों के प्रशिक्षण में एक प्रमुख तत्व था?")</f>
        <v>सिलंबम किस प्रसिद्ध तमिल राजवंश के सैनिकों के प्रशिक्षण में एक प्रमुख तत्व था?</v>
      </c>
      <c r="H53" s="5" t="str">
        <f>IFERROR(__xludf.DUMMYFUNCTION("GOOGLETRANSLATE(C53, ""en"", ""hi"")"),"ए) नायक, बी) विजयनगर, सी) मराठा, डी) पांड्य")</f>
        <v>ए) नायक, बी) विजयनगर, सी) मराठा, डी) पांड्य</v>
      </c>
      <c r="I53" s="5" t="str">
        <f>IFERROR(__xludf.DUMMYFUNCTION("GOOGLETRANSLATE(D53, ""en"", ""hi"")"),"D) पांड्या")</f>
        <v>D) पांड्या</v>
      </c>
    </row>
    <row r="54" ht="22.5" customHeight="1">
      <c r="A54" s="3">
        <v>53.0</v>
      </c>
      <c r="B54" s="4" t="s">
        <v>9644</v>
      </c>
      <c r="C54" s="4" t="s">
        <v>9645</v>
      </c>
      <c r="D54" s="4" t="s">
        <v>9646</v>
      </c>
      <c r="F54" s="5" t="str">
        <f>IFERROR(__xludf.DUMMYFUNCTION("GOOGLETRANSLATE(A54, ""en"", ""hi"")"),"53")</f>
        <v>53</v>
      </c>
      <c r="G54" s="5" t="str">
        <f>IFERROR(__xludf.DUMMYFUNCTION("GOOGLETRANSLATE(B54, ""en"", ""hi"")"),"सिलंबम तकनीक पारंपरिक रूप से किस पद्धति के माध्यम से पारित की जाती थी?")</f>
        <v>सिलंबम तकनीक पारंपरिक रूप से किस पद्धति के माध्यम से पारित की जाती थी?</v>
      </c>
      <c r="H54" s="5" t="str">
        <f>IFERROR(__xludf.DUMMYFUNCTION("GOOGLETRANSLATE(C54, ""en"", ""hi"")"),"A) औपचारिक स्कूल, B) पारिवारिक परंपरा, C) मंदिर, D) गिल्ड")</f>
        <v>A) औपचारिक स्कूल, B) पारिवारिक परंपरा, C) मंदिर, D) गिल्ड</v>
      </c>
      <c r="I54" s="5" t="str">
        <f>IFERROR(__xludf.DUMMYFUNCTION("GOOGLETRANSLATE(D54, ""en"", ""hi"")"),"बी) पारिवारिक परंपरा")</f>
        <v>बी) पारिवारिक परंपरा</v>
      </c>
    </row>
    <row r="55" ht="22.5" customHeight="1">
      <c r="A55" s="3">
        <v>54.0</v>
      </c>
      <c r="B55" s="4" t="s">
        <v>9647</v>
      </c>
      <c r="C55" s="4" t="s">
        <v>9580</v>
      </c>
      <c r="D55" s="4" t="s">
        <v>9648</v>
      </c>
      <c r="F55" s="5" t="str">
        <f>IFERROR(__xludf.DUMMYFUNCTION("GOOGLETRANSLATE(A55, ""en"", ""hi"")"),"54")</f>
        <v>54</v>
      </c>
      <c r="G55" s="5" t="str">
        <f>IFERROR(__xludf.DUMMYFUNCTION("GOOGLETRANSLATE(B55, ""en"", ""hi"")"),"तमिलनाडु में अपने सैन्य अभियानों के दौरान किस औपनिवेशिक शक्ति का पहली बार सिलंबम से सामना हुआ?")</f>
        <v>तमिलनाडु में अपने सैन्य अभियानों के दौरान किस औपनिवेशिक शक्ति का पहली बार सिलंबम से सामना हुआ?</v>
      </c>
      <c r="H55" s="5" t="str">
        <f>IFERROR(__xludf.DUMMYFUNCTION("GOOGLETRANSLATE(C55, ""en"", ""hi"")"),"A) डच, B) ब्रिटिश, C) पुर्तगाली, D) फ्रांसीसी")</f>
        <v>A) डच, B) ब्रिटिश, C) पुर्तगाली, D) फ्रांसीसी</v>
      </c>
      <c r="I55" s="5" t="str">
        <f>IFERROR(__xludf.DUMMYFUNCTION("GOOGLETRANSLATE(D55, ""en"", ""hi"")"),"C) पुर्तगाली")</f>
        <v>C) पुर्तगाली</v>
      </c>
    </row>
    <row r="56" ht="22.5" customHeight="1">
      <c r="A56" s="3">
        <v>55.0</v>
      </c>
      <c r="B56" s="4" t="s">
        <v>9649</v>
      </c>
      <c r="C56" s="4" t="s">
        <v>9650</v>
      </c>
      <c r="D56" s="4" t="s">
        <v>9651</v>
      </c>
      <c r="F56" s="5" t="str">
        <f>IFERROR(__xludf.DUMMYFUNCTION("GOOGLETRANSLATE(A56, ""en"", ""hi"")"),"55")</f>
        <v>55</v>
      </c>
      <c r="G56" s="5" t="str">
        <f>IFERROR(__xludf.DUMMYFUNCTION("GOOGLETRANSLATE(B56, ""en"", ""hi"")"),"ब्रिटिश औपनिवेशिक सरकार द्वारा सिलंबम पर प्रतिबंध लगाने का मुख्य कारण क्या था?")</f>
        <v>ब्रिटिश औपनिवेशिक सरकार द्वारा सिलंबम पर प्रतिबंध लगाने का मुख्य कारण क्या था?</v>
      </c>
      <c r="H56" s="5" t="str">
        <f>IFERROR(__xludf.DUMMYFUNCTION("GOOGLETRANSLATE(C56, ""en"", ""hi"")"),"A) धार्मिक दमन, B) विद्रोह का भय, C) सुरक्षा का अभाव, D) सांस्कृतिक पूर्वाग्रह")</f>
        <v>A) धार्मिक दमन, B) विद्रोह का भय, C) सुरक्षा का अभाव, D) सांस्कृतिक पूर्वाग्रह</v>
      </c>
      <c r="I56" s="5" t="str">
        <f>IFERROR(__xludf.DUMMYFUNCTION("GOOGLETRANSLATE(D56, ""en"", ""hi"")"),"बी) विद्रोह का डर")</f>
        <v>बी) विद्रोह का डर</v>
      </c>
    </row>
    <row r="57" ht="22.5" customHeight="1">
      <c r="A57" s="3">
        <v>56.0</v>
      </c>
      <c r="B57" s="4" t="s">
        <v>9652</v>
      </c>
      <c r="C57" s="4" t="s">
        <v>9653</v>
      </c>
      <c r="D57" s="4" t="s">
        <v>9654</v>
      </c>
      <c r="F57" s="5" t="str">
        <f>IFERROR(__xludf.DUMMYFUNCTION("GOOGLETRANSLATE(A57, ""en"", ""hi"")"),"56")</f>
        <v>56</v>
      </c>
      <c r="G57" s="5" t="str">
        <f>IFERROR(__xludf.DUMMYFUNCTION("GOOGLETRANSLATE(B57, ""en"", ""hi"")"),"किस प्रमुख स्वतंत्रता सेनानी ने अंग्रेजों के खिलाफ गुरिल्ला युद्ध रणनीति में सिलंबम का इस्तेमाल किया?")</f>
        <v>किस प्रमुख स्वतंत्रता सेनानी ने अंग्रेजों के खिलाफ गुरिल्ला युद्ध रणनीति में सिलंबम का इस्तेमाल किया?</v>
      </c>
      <c r="H57" s="5" t="str">
        <f>IFERROR(__xludf.DUMMYFUNCTION("GOOGLETRANSLATE(C57, ""en"", ""hi"")"),"ए) वेलु नचियार, बी) सुभाष चंद्र बोस, सी) कट्टाबोम्मन, डी) टीपू सुल्तान")</f>
        <v>ए) वेलु नचियार, बी) सुभाष चंद्र बोस, सी) कट्टाबोम्मन, डी) टीपू सुल्तान</v>
      </c>
      <c r="I57" s="5" t="str">
        <f>IFERROR(__xludf.DUMMYFUNCTION("GOOGLETRANSLATE(D57, ""en"", ""hi"")"),"C) कट्टाबोम्मन")</f>
        <v>C) कट्टाबोम्मन</v>
      </c>
    </row>
    <row r="58" ht="22.5" customHeight="1">
      <c r="A58" s="3">
        <v>57.0</v>
      </c>
      <c r="B58" s="4" t="s">
        <v>9655</v>
      </c>
      <c r="C58" s="4" t="s">
        <v>9656</v>
      </c>
      <c r="D58" s="4" t="s">
        <v>9657</v>
      </c>
      <c r="F58" s="5" t="str">
        <f>IFERROR(__xludf.DUMMYFUNCTION("GOOGLETRANSLATE(A58, ""en"", ""hi"")"),"57")</f>
        <v>57</v>
      </c>
      <c r="G58" s="5" t="str">
        <f>IFERROR(__xludf.DUMMYFUNCTION("GOOGLETRANSLATE(B58, ""en"", ""hi"")"),"तमिलनाडु का कौन सा शासक सिलंबम-प्रशिक्षित योद्धाओं का उपयोग करके ब्रिटिश शासन का विरोध करने वाले पहले शासकों में से एक था?")</f>
        <v>तमिलनाडु का कौन सा शासक सिलंबम-प्रशिक्षित योद्धाओं का उपयोग करके ब्रिटिश शासन का विरोध करने वाले पहले शासकों में से एक था?</v>
      </c>
      <c r="H58" s="5" t="str">
        <f>IFERROR(__xludf.DUMMYFUNCTION("GOOGLETRANSLATE(C58, ""en"", ""hi"")"),"ए) रानी वेलु नचियार, बी) राजा राजा चोल, सी) टीपू सुल्तान, डी) वीरपांडिया कट्टाबोम्मन")</f>
        <v>ए) रानी वेलु नचियार, बी) राजा राजा चोल, सी) टीपू सुल्तान, डी) वीरपांडिया कट्टाबोम्मन</v>
      </c>
      <c r="I58" s="5" t="str">
        <f>IFERROR(__xludf.DUMMYFUNCTION("GOOGLETRANSLATE(D58, ""en"", ""hi"")"),"A) रानी वेलु नाचियार")</f>
        <v>A) रानी वेलु नाचियार</v>
      </c>
    </row>
    <row r="59" ht="22.5" customHeight="1">
      <c r="A59" s="3">
        <v>58.0</v>
      </c>
      <c r="B59" s="4" t="s">
        <v>9658</v>
      </c>
      <c r="C59" s="4" t="s">
        <v>9659</v>
      </c>
      <c r="D59" s="4" t="s">
        <v>9626</v>
      </c>
      <c r="F59" s="5" t="str">
        <f>IFERROR(__xludf.DUMMYFUNCTION("GOOGLETRANSLATE(A59, ""en"", ""hi"")"),"58")</f>
        <v>58</v>
      </c>
      <c r="G59" s="5" t="str">
        <f>IFERROR(__xludf.DUMMYFUNCTION("GOOGLETRANSLATE(B59, ""en"", ""hi"")"),"सिलंबम में प्रयुक्त लंबे बांस के डंडे के लिए किस तमिल शब्द का प्रयोग किया जाता है?")</f>
        <v>सिलंबम में प्रयुक्त लंबे बांस के डंडे के लिए किस तमिल शब्द का प्रयोग किया जाता है?</v>
      </c>
      <c r="H59" s="5" t="str">
        <f>IFERROR(__xludf.DUMMYFUNCTION("GOOGLETRANSLATE(C59, ""en"", ""hi"")"),"ए) वल्लारी, बी) मारू, सी) सिलंबु, डी) कुंडम")</f>
        <v>ए) वल्लारी, बी) मारू, सी) सिलंबु, डी) कुंडम</v>
      </c>
      <c r="I59" s="5" t="str">
        <f>IFERROR(__xludf.DUMMYFUNCTION("GOOGLETRANSLATE(D59, ""en"", ""hi"")"),"C) सिलाम्बु")</f>
        <v>C) सिलाम्बु</v>
      </c>
    </row>
    <row r="60" ht="22.5" customHeight="1">
      <c r="A60" s="3">
        <v>59.0</v>
      </c>
      <c r="B60" s="4" t="s">
        <v>9660</v>
      </c>
      <c r="C60" s="4" t="s">
        <v>9661</v>
      </c>
      <c r="D60" s="4" t="s">
        <v>9662</v>
      </c>
      <c r="F60" s="5" t="str">
        <f>IFERROR(__xludf.DUMMYFUNCTION("GOOGLETRANSLATE(A60, ""en"", ""hi"")"),"59")</f>
        <v>59</v>
      </c>
      <c r="G60" s="5" t="str">
        <f>IFERROR(__xludf.DUMMYFUNCTION("GOOGLETRANSLATE(B60, ""en"", ""hi"")"),"सिलंबम प्रशिक्षण में कई हमलावरों से निपटने के लिए किस तकनीक में निपुणता शामिल है?")</f>
        <v>सिलंबम प्रशिक्षण में कई हमलावरों से निपटने के लिए किस तकनीक में निपुणता शामिल है?</v>
      </c>
      <c r="H60" s="5" t="str">
        <f>IFERROR(__xludf.DUMMYFUNCTION("GOOGLETRANSLATE(C60, ""en"", ""hi"")"),"A) वृत्ताकार गति, B) एकल प्रत्यक्ष प्रहार, C) जमीनी रक्षा, D) ऊर्ध्वाधर अवरोधन")</f>
        <v>A) वृत्ताकार गति, B) एकल प्रत्यक्ष प्रहार, C) जमीनी रक्षा, D) ऊर्ध्वाधर अवरोधन</v>
      </c>
      <c r="I60" s="5" t="str">
        <f>IFERROR(__xludf.DUMMYFUNCTION("GOOGLETRANSLATE(D60, ""en"", ""hi"")"),"A) वृत्ताकार गतियाँ")</f>
        <v>A) वृत्ताकार गतियाँ</v>
      </c>
    </row>
    <row r="61" ht="22.5" customHeight="1">
      <c r="A61" s="3">
        <v>60.0</v>
      </c>
      <c r="B61" s="4" t="s">
        <v>9663</v>
      </c>
      <c r="C61" s="4" t="s">
        <v>9664</v>
      </c>
      <c r="D61" s="4" t="s">
        <v>9521</v>
      </c>
      <c r="F61" s="5" t="str">
        <f>IFERROR(__xludf.DUMMYFUNCTION("GOOGLETRANSLATE(A61, ""en"", ""hi"")"),"60")</f>
        <v>60</v>
      </c>
      <c r="G61" s="5" t="str">
        <f>IFERROR(__xludf.DUMMYFUNCTION("GOOGLETRANSLATE(B61, ""en"", ""hi"")"),"सिलंबम कला किस तमिल राजा की सेना के शारीरिक शिक्षा पाठ्यक्रम का हिस्सा थी?")</f>
        <v>सिलंबम कला किस तमिल राजा की सेना के शारीरिक शिक्षा पाठ्यक्रम का हिस्सा थी?</v>
      </c>
      <c r="H61" s="5" t="str">
        <f>IFERROR(__xludf.DUMMYFUNCTION("GOOGLETRANSLATE(C61, ""en"", ""hi"")"),"ए) राजेंद्र चोल, बी) करिकाला चोल, सी) मार्तंड वर्मा, डी) पुलिकेसी II")</f>
        <v>ए) राजेंद्र चोल, बी) करिकाला चोल, सी) मार्तंड वर्मा, डी) पुलिकेसी II</v>
      </c>
      <c r="I61" s="5" t="str">
        <f>IFERROR(__xludf.DUMMYFUNCTION("GOOGLETRANSLATE(D61, ""en"", ""hi"")"),"B) करिकाल चोल")</f>
        <v>B) करिकाल चोल</v>
      </c>
    </row>
    <row r="62" ht="22.5" customHeight="1">
      <c r="A62" s="3">
        <v>61.0</v>
      </c>
      <c r="B62" s="4" t="s">
        <v>9665</v>
      </c>
      <c r="C62" s="4" t="s">
        <v>9666</v>
      </c>
      <c r="D62" s="4" t="s">
        <v>9667</v>
      </c>
      <c r="F62" s="5" t="str">
        <f>IFERROR(__xludf.DUMMYFUNCTION("GOOGLETRANSLATE(A62, ""en"", ""hi"")"),"61")</f>
        <v>61</v>
      </c>
      <c r="G62" s="5" t="str">
        <f>IFERROR(__xludf.DUMMYFUNCTION("GOOGLETRANSLATE(B62, ""en"", ""hi"")"),"निम्नलिखित में से कौन सा सिलंबम प्रशिक्षण का प्रमुख पहलू है जो इसे अन्य मार्शल आर्ट से अलग करता है?")</f>
        <v>निम्नलिखित में से कौन सा सिलंबम प्रशिक्षण का प्रमुख पहलू है जो इसे अन्य मार्शल आर्ट से अलग करता है?</v>
      </c>
      <c r="H62" s="5" t="str">
        <f>IFERROR(__xludf.DUMMYFUNCTION("GOOGLETRANSLATE(C62, ""en"", ""hi"")"),"A) कलाबाजी, B) हथियार-आधारित युद्ध, C) ध्यान, D) पशु मुद्राएँ")</f>
        <v>A) कलाबाजी, B) हथियार-आधारित युद्ध, C) ध्यान, D) पशु मुद्राएँ</v>
      </c>
      <c r="I62" s="5" t="str">
        <f>IFERROR(__xludf.DUMMYFUNCTION("GOOGLETRANSLATE(D62, ""en"", ""hi"")"),"बी) हथियार आधारित युद्ध")</f>
        <v>बी) हथियार आधारित युद्ध</v>
      </c>
    </row>
    <row r="63" ht="22.5" customHeight="1">
      <c r="A63" s="3">
        <v>62.0</v>
      </c>
      <c r="B63" s="4" t="s">
        <v>9668</v>
      </c>
      <c r="C63" s="4" t="s">
        <v>9669</v>
      </c>
      <c r="D63" s="4" t="s">
        <v>9512</v>
      </c>
      <c r="F63" s="5" t="str">
        <f>IFERROR(__xludf.DUMMYFUNCTION("GOOGLETRANSLATE(A63, ""en"", ""hi"")"),"62")</f>
        <v>62</v>
      </c>
      <c r="G63" s="5" t="str">
        <f>IFERROR(__xludf.DUMMYFUNCTION("GOOGLETRANSLATE(B63, ""en"", ""hi"")"),"किस प्रसिद्ध तमिल महाकाव्य में सिलंबम छड़ी जैसी दिखने वाली छड़ी के उपयोग का उल्लेख है?")</f>
        <v>किस प्रसिद्ध तमिल महाकाव्य में सिलंबम छड़ी जैसी दिखने वाली छड़ी के उपयोग का उल्लेख है?</v>
      </c>
      <c r="H63" s="5" t="str">
        <f>IFERROR(__xludf.DUMMYFUNCTION("GOOGLETRANSLATE(C63, ""en"", ""hi"")"),"ए) सिलप्पातिकारम, बी) मणिमेकलाई, सी) वलयापति, डी) कुंडलकेशी")</f>
        <v>ए) सिलप्पातिकारम, बी) मणिमेकलाई, सी) वलयापति, डी) कुंडलकेशी</v>
      </c>
      <c r="I63" s="5" t="str">
        <f>IFERROR(__xludf.DUMMYFUNCTION("GOOGLETRANSLATE(D63, ""en"", ""hi"")"),"A) सिलप्पाटिकरम")</f>
        <v>A) सिलप्पाटिकरम</v>
      </c>
    </row>
    <row r="64" ht="22.5" customHeight="1">
      <c r="A64" s="3">
        <v>63.0</v>
      </c>
      <c r="B64" s="4" t="s">
        <v>9670</v>
      </c>
      <c r="C64" s="4" t="s">
        <v>9671</v>
      </c>
      <c r="D64" s="4" t="s">
        <v>9672</v>
      </c>
      <c r="F64" s="5" t="str">
        <f>IFERROR(__xludf.DUMMYFUNCTION("GOOGLETRANSLATE(A64, ""en"", ""hi"")"),"63")</f>
        <v>63</v>
      </c>
      <c r="G64" s="5" t="str">
        <f>IFERROR(__xludf.DUMMYFUNCTION("GOOGLETRANSLATE(B64, ""en"", ""hi"")"),"प्राचीन काल में सिलंबम अभ्यासी प्रशिक्षण के लिए किन भौगोलिक विशेषताओं का उपयोग करते थे?")</f>
        <v>प्राचीन काल में सिलंबम अभ्यासी प्रशिक्षण के लिए किन भौगोलिक विशेषताओं का उपयोग करते थे?</v>
      </c>
      <c r="H64" s="5" t="str">
        <f>IFERROR(__xludf.DUMMYFUNCTION("GOOGLETRANSLATE(C64, ""en"", ""hi"")"),"A) जंगल और पहाड़, B) शहर, C) गाँव, D) समुद्र तट")</f>
        <v>A) जंगल और पहाड़, B) शहर, C) गाँव, D) समुद्र तट</v>
      </c>
      <c r="I64" s="5" t="str">
        <f>IFERROR(__xludf.DUMMYFUNCTION("GOOGLETRANSLATE(D64, ""en"", ""hi"")"),"A) जंगल और पहाड़")</f>
        <v>A) जंगल और पहाड़</v>
      </c>
    </row>
    <row r="65" ht="22.5" customHeight="1">
      <c r="A65" s="3">
        <v>64.0</v>
      </c>
      <c r="B65" s="4" t="s">
        <v>9673</v>
      </c>
      <c r="C65" s="4" t="s">
        <v>9674</v>
      </c>
      <c r="D65" s="4" t="s">
        <v>9675</v>
      </c>
      <c r="F65" s="5" t="str">
        <f>IFERROR(__xludf.DUMMYFUNCTION("GOOGLETRANSLATE(A65, ""en"", ""hi"")"),"64")</f>
        <v>64</v>
      </c>
      <c r="G65" s="5" t="str">
        <f>IFERROR(__xludf.DUMMYFUNCTION("GOOGLETRANSLATE(B65, ""en"", ""hi"")"),"सिलंबम में अभ्यासकर्ता किन जानवरों से प्रेरित पैटर्न का पालन करते हैं?")</f>
        <v>सिलंबम में अभ्यासकर्ता किन जानवरों से प्रेरित पैटर्न का पालन करते हैं?</v>
      </c>
      <c r="H65" s="5" t="str">
        <f>IFERROR(__xludf.DUMMYFUNCTION("GOOGLETRANSLATE(C65, ""en"", ""hi"")"),"A) बाघ और साँप, B) हाथी और घोड़े, C) बंदर और मोर, D) शेर और चील")</f>
        <v>A) बाघ और साँप, B) हाथी और घोड़े, C) बंदर और मोर, D) शेर और चील</v>
      </c>
      <c r="I65" s="5" t="str">
        <f>IFERROR(__xludf.DUMMYFUNCTION("GOOGLETRANSLATE(D65, ""en"", ""hi"")"),"A) बाघ और सांप")</f>
        <v>A) बाघ और सांप</v>
      </c>
    </row>
    <row r="66" ht="22.5" customHeight="1">
      <c r="A66" s="3">
        <v>65.0</v>
      </c>
      <c r="B66" s="4" t="s">
        <v>9676</v>
      </c>
      <c r="C66" s="4" t="s">
        <v>9677</v>
      </c>
      <c r="D66" s="4" t="s">
        <v>9678</v>
      </c>
      <c r="F66" s="5" t="str">
        <f>IFERROR(__xludf.DUMMYFUNCTION("GOOGLETRANSLATE(A66, ""en"", ""hi"")"),"65")</f>
        <v>65</v>
      </c>
      <c r="G66" s="5" t="str">
        <f>IFERROR(__xludf.DUMMYFUNCTION("GOOGLETRANSLATE(B66, ""en"", ""hi"")"),"सिलंबम को कभी किस अन्य शास्त्रीय तमिल कला के साथ पढ़ाया जाता था?")</f>
        <v>सिलंबम को कभी किस अन्य शास्त्रीय तमिल कला के साथ पढ़ाया जाता था?</v>
      </c>
      <c r="H66" s="5" t="str">
        <f>IFERROR(__xludf.DUMMYFUNCTION("GOOGLETRANSLATE(C66, ""en"", ""hi"")"),"ए) भरतनाट्यम, बी) कथकली, सी) कुथु, डी) यक्षगान")</f>
        <v>ए) भरतनाट्यम, बी) कथकली, सी) कुथु, डी) यक्षगान</v>
      </c>
      <c r="I66" s="5" t="str">
        <f>IFERROR(__xludf.DUMMYFUNCTION("GOOGLETRANSLATE(D66, ""en"", ""hi"")"),"C) कूथु")</f>
        <v>C) कूथु</v>
      </c>
    </row>
    <row r="67" ht="22.5" customHeight="1">
      <c r="A67" s="3">
        <v>66.0</v>
      </c>
      <c r="B67" s="4" t="s">
        <v>9679</v>
      </c>
      <c r="C67" s="4" t="s">
        <v>9680</v>
      </c>
      <c r="D67" s="4" t="s">
        <v>9681</v>
      </c>
      <c r="F67" s="5" t="str">
        <f>IFERROR(__xludf.DUMMYFUNCTION("GOOGLETRANSLATE(A67, ""en"", ""hi"")"),"66")</f>
        <v>66</v>
      </c>
      <c r="G67" s="5" t="str">
        <f>IFERROR(__xludf.DUMMYFUNCTION("GOOGLETRANSLATE(B67, ""en"", ""hi"")"),"तमिल समाज में सिलंबम का अभ्यास और संरक्षण करने के लिए ऐतिहासिक रूप से कौन सा सामाजिक वर्ग जाना जाता था?")</f>
        <v>तमिल समाज में सिलंबम का अभ्यास और संरक्षण करने के लिए ऐतिहासिक रूप से कौन सा सामाजिक वर्ग जाना जाता था?</v>
      </c>
      <c r="H67" s="5" t="str">
        <f>IFERROR(__xludf.DUMMYFUNCTION("GOOGLETRANSLATE(C67, ""en"", ""hi"")"),"A) योद्धा, B) व्यापारी, C) किसान, D) पुजारी")</f>
        <v>A) योद्धा, B) व्यापारी, C) किसान, D) पुजारी</v>
      </c>
      <c r="I67" s="5" t="str">
        <f>IFERROR(__xludf.DUMMYFUNCTION("GOOGLETRANSLATE(D67, ""en"", ""hi"")"),"ए) योद्धा")</f>
        <v>ए) योद्धा</v>
      </c>
    </row>
    <row r="68" ht="22.5" customHeight="1">
      <c r="A68" s="3">
        <v>67.0</v>
      </c>
      <c r="B68" s="4" t="s">
        <v>9682</v>
      </c>
      <c r="C68" s="4" t="s">
        <v>9683</v>
      </c>
      <c r="D68" s="4" t="s">
        <v>9578</v>
      </c>
      <c r="F68" s="5" t="str">
        <f>IFERROR(__xludf.DUMMYFUNCTION("GOOGLETRANSLATE(A68, ""en"", ""hi"")"),"67")</f>
        <v>67</v>
      </c>
      <c r="G68" s="5" t="str">
        <f>IFERROR(__xludf.DUMMYFUNCTION("GOOGLETRANSLATE(B68, ""en"", ""hi"")"),"सिलंबम का प्रदर्शन आमतौर पर किस तमिल त्यौहार के दौरान किया जाता है?")</f>
        <v>सिलंबम का प्रदर्शन आमतौर पर किस तमिल त्यौहार के दौरान किया जाता है?</v>
      </c>
      <c r="H68" s="5" t="str">
        <f>IFERROR(__xludf.DUMMYFUNCTION("GOOGLETRANSLATE(C68, ""en"", ""hi"")"),"A) पोंगल, B) दीपावली, C) तमिल नव वर्ष, D) थाईपुसम")</f>
        <v>A) पोंगल, B) दीपावली, C) तमिल नव वर्ष, D) थाईपुसम</v>
      </c>
      <c r="I68" s="5" t="str">
        <f>IFERROR(__xludf.DUMMYFUNCTION("GOOGLETRANSLATE(D68, ""en"", ""hi"")"),"D) थाईपुसम")</f>
        <v>D) थाईपुसम</v>
      </c>
    </row>
    <row r="69" ht="22.5" customHeight="1">
      <c r="A69" s="3">
        <v>68.0</v>
      </c>
      <c r="B69" s="4" t="s">
        <v>9684</v>
      </c>
      <c r="C69" s="4" t="s">
        <v>9685</v>
      </c>
      <c r="D69" s="4" t="s">
        <v>9598</v>
      </c>
      <c r="F69" s="5" t="str">
        <f>IFERROR(__xludf.DUMMYFUNCTION("GOOGLETRANSLATE(A69, ""en"", ""hi"")"),"68")</f>
        <v>68</v>
      </c>
      <c r="G69" s="5" t="str">
        <f>IFERROR(__xludf.DUMMYFUNCTION("GOOGLETRANSLATE(B69, ""en"", ""hi"")"),"नैतिकता पर कौन सी तमिल कृति सिलंबम से जुड़े आत्मरक्षा सिद्धांतों पर प्रकाश डालती है?")</f>
        <v>नैतिकता पर कौन सी तमिल कृति सिलंबम से जुड़े आत्मरक्षा सिद्धांतों पर प्रकाश डालती है?</v>
      </c>
      <c r="H69" s="5" t="str">
        <f>IFERROR(__xludf.DUMMYFUNCTION("GOOGLETRANSLATE(C69, ""en"", ""hi"")"),"ए) थिरुक्कुरल, बी) कम्बरामायणम, सी) सिलप्पातिकारम, डी) तोलकाप्पियम")</f>
        <v>ए) थिरुक्कुरल, बी) कम्बरामायणम, सी) सिलप्पातिकारम, डी) तोलकाप्पियम</v>
      </c>
      <c r="I69" s="5" t="str">
        <f>IFERROR(__xludf.DUMMYFUNCTION("GOOGLETRANSLATE(D69, ""en"", ""hi"")"),"A) तिरुक्कुरल")</f>
        <v>A) तिरुक्कुरल</v>
      </c>
    </row>
    <row r="70" ht="22.5" customHeight="1">
      <c r="A70" s="3">
        <v>69.0</v>
      </c>
      <c r="B70" s="4" t="s">
        <v>9686</v>
      </c>
      <c r="C70" s="4" t="s">
        <v>9687</v>
      </c>
      <c r="D70" s="4" t="s">
        <v>9688</v>
      </c>
      <c r="F70" s="5" t="str">
        <f>IFERROR(__xludf.DUMMYFUNCTION("GOOGLETRANSLATE(A70, ""en"", ""hi"")"),"69")</f>
        <v>69</v>
      </c>
      <c r="G70" s="5" t="str">
        <f>IFERROR(__xludf.DUMMYFUNCTION("GOOGLETRANSLATE(B70, ""en"", ""hi"")"),"सिलंबम ने आक्रमणकारियों के खिलाफ किस तमिल राज्य की रक्षा में महत्वपूर्ण भूमिका निभाई?")</f>
        <v>सिलंबम ने आक्रमणकारियों के खिलाफ किस तमिल राज्य की रक्षा में महत्वपूर्ण भूमिका निभाई?</v>
      </c>
      <c r="H70" s="5" t="str">
        <f>IFERROR(__xludf.DUMMYFUNCTION("GOOGLETRANSLATE(C70, ""en"", ""hi"")"),"ए) चेर साम्राज्य, बी) विजयनगर साम्राज्य, सी) मराठा साम्राज्य, डी) पांड्य साम्राज्य")</f>
        <v>ए) चेर साम्राज्य, बी) विजयनगर साम्राज्य, सी) मराठा साम्राज्य, डी) पांड्य साम्राज्य</v>
      </c>
      <c r="I70" s="5" t="str">
        <f>IFERROR(__xludf.DUMMYFUNCTION("GOOGLETRANSLATE(D70, ""en"", ""hi"")"),"D) पांड्य साम्राज्य")</f>
        <v>D) पांड्य साम्राज्य</v>
      </c>
    </row>
    <row r="71" ht="22.5" customHeight="1">
      <c r="A71" s="3">
        <v>70.0</v>
      </c>
      <c r="B71" s="4" t="s">
        <v>9689</v>
      </c>
      <c r="C71" s="4" t="s">
        <v>9690</v>
      </c>
      <c r="D71" s="4" t="s">
        <v>9691</v>
      </c>
      <c r="F71" s="5" t="str">
        <f>IFERROR(__xludf.DUMMYFUNCTION("GOOGLETRANSLATE(A71, ""en"", ""hi"")"),"70")</f>
        <v>70</v>
      </c>
      <c r="G71" s="5" t="str">
        <f>IFERROR(__xludf.DUMMYFUNCTION("GOOGLETRANSLATE(B71, ""en"", ""hi"")"),"सिलंबम को तमिल प्रवासियों द्वारा किस दक्षिण-पूर्व एशियाई देश में लाया गया था?")</f>
        <v>सिलंबम को तमिल प्रवासियों द्वारा किस दक्षिण-पूर्व एशियाई देश में लाया गया था?</v>
      </c>
      <c r="H71" s="5" t="str">
        <f>IFERROR(__xludf.DUMMYFUNCTION("GOOGLETRANSLATE(C71, ""en"", ""hi"")"),"A) थाईलैंड, B) इंडोनेशिया, C) मलेशिया, D) फिलीपींस")</f>
        <v>A) थाईलैंड, B) इंडोनेशिया, C) मलेशिया, D) फिलीपींस</v>
      </c>
      <c r="I71" s="5" t="str">
        <f>IFERROR(__xludf.DUMMYFUNCTION("GOOGLETRANSLATE(D71, ""en"", ""hi"")"),"C) मलेशिया")</f>
        <v>C) मलेशिया</v>
      </c>
    </row>
    <row r="72" ht="22.5" customHeight="1">
      <c r="A72" s="3">
        <v>71.0</v>
      </c>
      <c r="B72" s="4" t="s">
        <v>9692</v>
      </c>
      <c r="C72" s="4" t="s">
        <v>9693</v>
      </c>
      <c r="D72" s="4" t="s">
        <v>9694</v>
      </c>
      <c r="F72" s="5" t="str">
        <f>IFERROR(__xludf.DUMMYFUNCTION("GOOGLETRANSLATE(A72, ""en"", ""hi"")"),"71")</f>
        <v>71</v>
      </c>
      <c r="G72" s="5" t="str">
        <f>IFERROR(__xludf.DUMMYFUNCTION("GOOGLETRANSLATE(B72, ""en"", ""hi"")"),"प्राचीन तमिल योद्धा जो सिलंबम का अभ्यास करते थे, वे किस क्षेत्र में भी उत्कृष्ट थे?")</f>
        <v>प्राचीन तमिल योद्धा जो सिलंबम का अभ्यास करते थे, वे किस क्षेत्र में भी उत्कृष्ट थे?</v>
      </c>
      <c r="H72" s="5" t="str">
        <f>IFERROR(__xludf.DUMMYFUNCTION("GOOGLETRANSLATE(C72, ""en"", ""hi"")"),"A) चिकित्सा, B) कविता, C) खगोल विज्ञान, D) कृषि")</f>
        <v>A) चिकित्सा, B) कविता, C) खगोल विज्ञान, D) कृषि</v>
      </c>
      <c r="I72" s="5" t="str">
        <f>IFERROR(__xludf.DUMMYFUNCTION("GOOGLETRANSLATE(D72, ""en"", ""hi"")"),"बी) कविता")</f>
        <v>बी) कविता</v>
      </c>
    </row>
    <row r="73" ht="22.5" customHeight="1">
      <c r="A73" s="3">
        <v>72.0</v>
      </c>
      <c r="B73" s="4" t="s">
        <v>9695</v>
      </c>
      <c r="C73" s="4" t="s">
        <v>9696</v>
      </c>
      <c r="D73" s="4" t="s">
        <v>9697</v>
      </c>
      <c r="F73" s="5" t="str">
        <f>IFERROR(__xludf.DUMMYFUNCTION("GOOGLETRANSLATE(A73, ""en"", ""hi"")"),"72")</f>
        <v>72</v>
      </c>
      <c r="G73" s="5" t="str">
        <f>IFERROR(__xludf.DUMMYFUNCTION("GOOGLETRANSLATE(B73, ""en"", ""hi"")"),"ऐतिहासिक रूप से तमिल महिलाओं द्वारा सिलंबम का प्रयोग किस उद्देश्य से किया जाता था?")</f>
        <v>ऐतिहासिक रूप से तमिल महिलाओं द्वारा सिलंबम का प्रयोग किस उद्देश्य से किया जाता था?</v>
      </c>
      <c r="H73" s="5" t="str">
        <f>IFERROR(__xludf.DUMMYFUNCTION("GOOGLETRANSLATE(C73, ""en"", ""hi"")"),"A) आत्मरक्षा, B) अनुष्ठानिक उद्देश्य, C) धार्मिक समारोह, D) राजनीतिक विरोध")</f>
        <v>A) आत्मरक्षा, B) अनुष्ठानिक उद्देश्य, C) धार्मिक समारोह, D) राजनीतिक विरोध</v>
      </c>
      <c r="I73" s="5" t="str">
        <f>IFERROR(__xludf.DUMMYFUNCTION("GOOGLETRANSLATE(D73, ""en"", ""hi"")"),"A) आत्मरक्षा")</f>
        <v>A) आत्मरक्षा</v>
      </c>
    </row>
    <row r="74" ht="22.5" customHeight="1">
      <c r="A74" s="3">
        <v>73.0</v>
      </c>
      <c r="B74" s="4" t="s">
        <v>9698</v>
      </c>
      <c r="C74" s="4" t="s">
        <v>9699</v>
      </c>
      <c r="D74" s="4" t="s">
        <v>9700</v>
      </c>
      <c r="F74" s="5" t="str">
        <f>IFERROR(__xludf.DUMMYFUNCTION("GOOGLETRANSLATE(A74, ""en"", ""hi"")"),"73")</f>
        <v>73</v>
      </c>
      <c r="G74" s="5" t="str">
        <f>IFERROR(__xludf.DUMMYFUNCTION("GOOGLETRANSLATE(B74, ""en"", ""hi"")"),"संगम युग के दौरान सिलंबम किस प्राचीन बंदरगाह शहर में लोकप्रिय माना जाता था?")</f>
        <v>संगम युग के दौरान सिलंबम किस प्राचीन बंदरगाह शहर में लोकप्रिय माना जाता था?</v>
      </c>
      <c r="H74" s="5" t="str">
        <f>IFERROR(__xludf.DUMMYFUNCTION("GOOGLETRANSLATE(C74, ""en"", ""hi"")"),"ए) पूमपुहार, बी) कावेरीपट्टिनम, सी) नागपट्टिनम, डी) थूथुकुडी")</f>
        <v>ए) पूमपुहार, बी) कावेरीपट्टिनम, सी) नागपट्टिनम, डी) थूथुकुडी</v>
      </c>
      <c r="I74" s="5" t="str">
        <f>IFERROR(__xludf.DUMMYFUNCTION("GOOGLETRANSLATE(D74, ""en"", ""hi"")"),"A) पूम्पुहार")</f>
        <v>A) पूम्पुहार</v>
      </c>
    </row>
    <row r="75" ht="22.5" customHeight="1">
      <c r="A75" s="3">
        <v>74.0</v>
      </c>
      <c r="B75" s="4" t="s">
        <v>9701</v>
      </c>
      <c r="C75" s="4" t="s">
        <v>9702</v>
      </c>
      <c r="D75" s="4" t="s">
        <v>9703</v>
      </c>
      <c r="F75" s="5" t="str">
        <f>IFERROR(__xludf.DUMMYFUNCTION("GOOGLETRANSLATE(A75, ""en"", ""hi"")"),"74")</f>
        <v>74</v>
      </c>
      <c r="G75" s="5" t="str">
        <f>IFERROR(__xludf.DUMMYFUNCTION("GOOGLETRANSLATE(B75, ""en"", ""hi"")"),"किस प्रसिद्ध दक्षिण भारतीय मंदिर परिसर में सिलंबम चिकित्सकों को दर्शाती नक्काशी है?")</f>
        <v>किस प्रसिद्ध दक्षिण भारतीय मंदिर परिसर में सिलंबम चिकित्सकों को दर्शाती नक्काशी है?</v>
      </c>
      <c r="H75" s="5" t="str">
        <f>IFERROR(__xludf.DUMMYFUNCTION("GOOGLETRANSLATE(C75, ""en"", ""hi"")"),"ए) मीनाक्षी मंदिर, बी) बृहदेश्वर मंदिर, सी) रंगनाथस्वामी मंदिर, डी) तट मंदिर")</f>
        <v>ए) मीनाक्षी मंदिर, बी) बृहदेश्वर मंदिर, सी) रंगनाथस्वामी मंदिर, डी) तट मंदिर</v>
      </c>
      <c r="I75" s="5" t="str">
        <f>IFERROR(__xludf.DUMMYFUNCTION("GOOGLETRANSLATE(D75, ""en"", ""hi"")"),"बी) बृहदेश्वर मंदिर")</f>
        <v>बी) बृहदेश्वर मंदिर</v>
      </c>
    </row>
    <row r="76" ht="22.5" customHeight="1">
      <c r="A76" s="3">
        <v>75.0</v>
      </c>
      <c r="B76" s="4" t="s">
        <v>9704</v>
      </c>
      <c r="C76" s="4" t="s">
        <v>9705</v>
      </c>
      <c r="D76" s="4" t="s">
        <v>9706</v>
      </c>
      <c r="F76" s="5" t="str">
        <f>IFERROR(__xludf.DUMMYFUNCTION("GOOGLETRANSLATE(A76, ""en"", ""hi"")"),"75")</f>
        <v>75</v>
      </c>
      <c r="G76" s="5" t="str">
        <f>IFERROR(__xludf.DUMMYFUNCTION("GOOGLETRANSLATE(B76, ""en"", ""hi"")"),"सिलंबम अभ्यासियों को किस ऐतिहासिक संरचना में रक्षक के रूप में नियुक्त किया गया था?")</f>
        <v>सिलंबम अभ्यासियों को किस ऐतिहासिक संरचना में रक्षक के रूप में नियुक्त किया गया था?</v>
      </c>
      <c r="H76" s="5" t="str">
        <f>IFERROR(__xludf.DUMMYFUNCTION("GOOGLETRANSLATE(C76, ""en"", ""hi"")"),"A) किले, B) मंदिर, C) मठ, D) बाजार")</f>
        <v>A) किले, B) मंदिर, C) मठ, D) बाजार</v>
      </c>
      <c r="I76" s="5" t="str">
        <f>IFERROR(__xludf.DUMMYFUNCTION("GOOGLETRANSLATE(D76, ""en"", ""hi"")"),"बी) मंदिर")</f>
        <v>बी) मंदिर</v>
      </c>
    </row>
    <row r="77" ht="22.5" customHeight="1">
      <c r="A77" s="3">
        <v>76.0</v>
      </c>
      <c r="B77" s="4" t="s">
        <v>9707</v>
      </c>
      <c r="C77" s="4" t="s">
        <v>9708</v>
      </c>
      <c r="D77" s="4" t="s">
        <v>9709</v>
      </c>
      <c r="F77" s="5" t="str">
        <f>IFERROR(__xludf.DUMMYFUNCTION("GOOGLETRANSLATE(A77, ""en"", ""hi"")"),"76")</f>
        <v>76</v>
      </c>
      <c r="G77" s="5" t="str">
        <f>IFERROR(__xludf.DUMMYFUNCTION("GOOGLETRANSLATE(B77, ""en"", ""hi"")"),"सिलंबम की तकनीकों का वर्णन किस प्राचीन तमिल ग्रंथ में किया गया है?")</f>
        <v>सिलंबम की तकनीकों का वर्णन किस प्राचीन तमिल ग्रंथ में किया गया है?</v>
      </c>
      <c r="H77" s="5" t="str">
        <f>IFERROR(__xludf.DUMMYFUNCTION("GOOGLETRANSLATE(C77, ""en"", ""hi"")"),"ए) अगथियार काइलायन, बी) कंबा रामायणम, सी) जीवनूल, डी) सेतु समुद्रम")</f>
        <v>ए) अगथियार काइलायन, बी) कंबा रामायणम, सी) जीवनूल, डी) सेतु समुद्रम</v>
      </c>
      <c r="I77" s="5" t="str">
        <f>IFERROR(__xludf.DUMMYFUNCTION("GOOGLETRANSLATE(D77, ""en"", ""hi"")"),"A) अगथियार कायिलयन")</f>
        <v>A) अगथियार कायिलयन</v>
      </c>
    </row>
    <row r="78" ht="22.5" customHeight="1">
      <c r="A78" s="3">
        <v>77.0</v>
      </c>
      <c r="B78" s="4" t="s">
        <v>9710</v>
      </c>
      <c r="C78" s="4" t="s">
        <v>9711</v>
      </c>
      <c r="D78" s="4" t="s">
        <v>9712</v>
      </c>
      <c r="F78" s="5" t="str">
        <f>IFERROR(__xludf.DUMMYFUNCTION("GOOGLETRANSLATE(A78, ""en"", ""hi"")"),"77")</f>
        <v>77</v>
      </c>
      <c r="G78" s="5" t="str">
        <f>IFERROR(__xludf.DUMMYFUNCTION("GOOGLETRANSLATE(B78, ""en"", ""hi"")"),"किस प्राचीन व्यापार मार्ग ने सिलंबम को पड़ोसी देशों तक फैलाने में मदद की?")</f>
        <v>किस प्राचीन व्यापार मार्ग ने सिलंबम को पड़ोसी देशों तक फैलाने में मदद की?</v>
      </c>
      <c r="H78" s="5" t="str">
        <f>IFERROR(__xludf.DUMMYFUNCTION("GOOGLETRANSLATE(C78, ""en"", ""hi"")"),"A) रेशम मार्ग, B) मसाला मार्ग, C) नमक मार्ग, D) समुद्री मार्ग")</f>
        <v>A) रेशम मार्ग, B) मसाला मार्ग, C) नमक मार्ग, D) समुद्री मार्ग</v>
      </c>
      <c r="I78" s="5" t="str">
        <f>IFERROR(__xludf.DUMMYFUNCTION("GOOGLETRANSLATE(D78, ""en"", ""hi"")"),"D) समुद्री मार्ग")</f>
        <v>D) समुद्री मार्ग</v>
      </c>
    </row>
    <row r="79" ht="22.5" customHeight="1">
      <c r="A79" s="3">
        <v>78.0</v>
      </c>
      <c r="B79" s="4" t="s">
        <v>9713</v>
      </c>
      <c r="C79" s="4" t="s">
        <v>9714</v>
      </c>
      <c r="D79" s="4" t="s">
        <v>9715</v>
      </c>
      <c r="F79" s="5" t="str">
        <f>IFERROR(__xludf.DUMMYFUNCTION("GOOGLETRANSLATE(A79, ""en"", ""hi"")"),"78")</f>
        <v>78</v>
      </c>
      <c r="G79" s="5" t="str">
        <f>IFERROR(__xludf.DUMMYFUNCTION("GOOGLETRANSLATE(B79, ""en"", ""hi"")"),"सिलंबम का अभ्यास पारंपरिक रूप से तमिल योद्धाओं द्वारा किस युद्धक्षेत्र संरचना में किया जाता था?")</f>
        <v>सिलंबम का अभ्यास पारंपरिक रूप से तमिल योद्धाओं द्वारा किस युद्धक्षेत्र संरचना में किया जाता था?</v>
      </c>
      <c r="H79" s="5" t="str">
        <f>IFERROR(__xludf.DUMMYFUNCTION("GOOGLETRANSLATE(C79, ""en"", ""hi"")"),"A) वृत्ताकार, B) त्रिभुजाकार, C) हीरा, D) वर्गाकार")</f>
        <v>A) वृत्ताकार, B) त्रिभुजाकार, C) हीरा, D) वर्गाकार</v>
      </c>
      <c r="I79" s="5" t="str">
        <f>IFERROR(__xludf.DUMMYFUNCTION("GOOGLETRANSLATE(D79, ""en"", ""hi"")"),"ए) वृत्ताकार")</f>
        <v>ए) वृत्ताकार</v>
      </c>
    </row>
    <row r="80" ht="22.5" customHeight="1">
      <c r="A80" s="3">
        <v>79.0</v>
      </c>
      <c r="B80" s="4" t="s">
        <v>9716</v>
      </c>
      <c r="C80" s="4" t="s">
        <v>9717</v>
      </c>
      <c r="D80" s="4" t="s">
        <v>9718</v>
      </c>
      <c r="F80" s="5" t="str">
        <f>IFERROR(__xludf.DUMMYFUNCTION("GOOGLETRANSLATE(A80, ""en"", ""hi"")"),"79")</f>
        <v>79</v>
      </c>
      <c r="G80" s="5" t="str">
        <f>IFERROR(__xludf.DUMMYFUNCTION("GOOGLETRANSLATE(B80, ""en"", ""hi"")"),"सिलंबम तमिलनाडु के किस क्षेत्र की योद्धा संस्कृति का एक महत्वपूर्ण हिस्सा था?")</f>
        <v>सिलंबम तमिलनाडु के किस क्षेत्र की योद्धा संस्कृति का एक महत्वपूर्ण हिस्सा था?</v>
      </c>
      <c r="H80" s="5" t="str">
        <f>IFERROR(__xludf.DUMMYFUNCTION("GOOGLETRANSLATE(C80, ""en"", ""hi"")"),"A) तिरुनेलवेली, B) कोयंबटूर, C) तंजौर, D) मदुरै")</f>
        <v>A) तिरुनेलवेली, B) कोयंबटूर, C) तंजौर, D) मदुरै</v>
      </c>
      <c r="I80" s="5" t="str">
        <f>IFERROR(__xludf.DUMMYFUNCTION("GOOGLETRANSLATE(D80, ""en"", ""hi"")"),"D) मदुरै")</f>
        <v>D) मदुरै</v>
      </c>
    </row>
    <row r="81" ht="22.5" customHeight="1">
      <c r="A81" s="3">
        <v>80.0</v>
      </c>
      <c r="B81" s="4" t="s">
        <v>9719</v>
      </c>
      <c r="C81" s="4" t="s">
        <v>9720</v>
      </c>
      <c r="D81" s="4" t="s">
        <v>9721</v>
      </c>
      <c r="F81" s="5" t="str">
        <f>IFERROR(__xludf.DUMMYFUNCTION("GOOGLETRANSLATE(A81, ""en"", ""hi"")"),"80")</f>
        <v>80</v>
      </c>
      <c r="G81" s="5" t="str">
        <f>IFERROR(__xludf.DUMMYFUNCTION("GOOGLETRANSLATE(B81, ""en"", ""hi"")"),"संगम काल के दौरान, सिलंबम प्रदर्शन अक्सर किस आयोजन के दौरान आयोजित किए जाते थे?")</f>
        <v>संगम काल के दौरान, सिलंबम प्रदर्शन अक्सर किस आयोजन के दौरान आयोजित किए जाते थे?</v>
      </c>
      <c r="H81" s="5" t="str">
        <f>IFERROR(__xludf.DUMMYFUNCTION("GOOGLETRANSLATE(C81, ""en"", ""hi"")"),"A) युद्ध की तैयारी, B) धार्मिक त्यौहार, C) शाही राज्याभिषेक, D) फसल उत्सव")</f>
        <v>A) युद्ध की तैयारी, B) धार्मिक त्यौहार, C) शाही राज्याभिषेक, D) फसल उत्सव</v>
      </c>
      <c r="I81" s="5" t="str">
        <f>IFERROR(__xludf.DUMMYFUNCTION("GOOGLETRANSLATE(D81, ""en"", ""hi"")"),"C) शाही राज्याभिषेक")</f>
        <v>C) शाही राज्याभिषेक</v>
      </c>
    </row>
    <row r="82" ht="22.5" customHeight="1">
      <c r="A82" s="3">
        <v>81.0</v>
      </c>
      <c r="B82" s="4" t="s">
        <v>9722</v>
      </c>
      <c r="C82" s="4" t="s">
        <v>9723</v>
      </c>
      <c r="D82" s="4" t="s">
        <v>9724</v>
      </c>
      <c r="F82" s="5" t="str">
        <f>IFERROR(__xludf.DUMMYFUNCTION("GOOGLETRANSLATE(A82, ""en"", ""hi"")"),"81")</f>
        <v>81</v>
      </c>
      <c r="G82" s="5" t="str">
        <f>IFERROR(__xludf.DUMMYFUNCTION("GOOGLETRANSLATE(B82, ""en"", ""hi"")"),"प्राचीन तमिल शासकों द्वारा सिलंबम का उपयोग किस विशेष रेजिमेंट को प्रशिक्षित करने के लिए किया जाता था?")</f>
        <v>प्राचीन तमिल शासकों द्वारा सिलंबम का उपयोग किस विशेष रेजिमेंट को प्रशिक्षित करने के लिए किया जाता था?</v>
      </c>
      <c r="H82" s="5" t="str">
        <f>IFERROR(__xludf.DUMMYFUNCTION("GOOGLETRANSLATE(C82, ""en"", ""hi"")"),"A) घुड़सवार सेना, B) पैदल सेना, C) तीरंदाज, D) नौसेना")</f>
        <v>A) घुड़सवार सेना, B) पैदल सेना, C) तीरंदाज, D) नौसेना</v>
      </c>
      <c r="I82" s="5" t="str">
        <f>IFERROR(__xludf.DUMMYFUNCTION("GOOGLETRANSLATE(D82, ""en"", ""hi"")"),"बी) पैदल सेना")</f>
        <v>बी) पैदल सेना</v>
      </c>
    </row>
    <row r="83" ht="22.5" customHeight="1">
      <c r="A83" s="3">
        <v>82.0</v>
      </c>
      <c r="B83" s="4" t="s">
        <v>9725</v>
      </c>
      <c r="C83" s="4" t="s">
        <v>9726</v>
      </c>
      <c r="D83" s="4" t="s">
        <v>9727</v>
      </c>
      <c r="F83" s="5" t="str">
        <f>IFERROR(__xludf.DUMMYFUNCTION("GOOGLETRANSLATE(A83, ""en"", ""hi"")"),"82")</f>
        <v>82</v>
      </c>
      <c r="G83" s="5" t="str">
        <f>IFERROR(__xludf.DUMMYFUNCTION("GOOGLETRANSLATE(B83, ""en"", ""hi"")"),"सिलंबम में प्रयुक्त बांस का डंडा प्रायः तमिलनाडु के किस क्षेत्र से लाया जाता था?")</f>
        <v>सिलंबम में प्रयुक्त बांस का डंडा प्रायः तमिलनाडु के किस क्षेत्र से लाया जाता था?</v>
      </c>
      <c r="H83" s="5" t="str">
        <f>IFERROR(__xludf.DUMMYFUNCTION("GOOGLETRANSLATE(C83, ""en"", ""hi"")"),"A) पश्चिमी घाट, B) पूर्वी घाट, C) नीलगिरी, D) कावेरी डेल्टा")</f>
        <v>A) पश्चिमी घाट, B) पूर्वी घाट, C) नीलगिरी, D) कावेरी डेल्टा</v>
      </c>
      <c r="I83" s="5" t="str">
        <f>IFERROR(__xludf.DUMMYFUNCTION("GOOGLETRANSLATE(D83, ""en"", ""hi"")"),"A) पश्चिमी घाट")</f>
        <v>A) पश्चिमी घाट</v>
      </c>
    </row>
    <row r="84" ht="22.5" customHeight="1">
      <c r="A84" s="3">
        <v>83.0</v>
      </c>
      <c r="B84" s="4" t="s">
        <v>9728</v>
      </c>
      <c r="C84" s="4" t="s">
        <v>9729</v>
      </c>
      <c r="D84" s="4" t="s">
        <v>3043</v>
      </c>
      <c r="F84" s="5" t="str">
        <f>IFERROR(__xludf.DUMMYFUNCTION("GOOGLETRANSLATE(A84, ""en"", ""hi"")"),"83")</f>
        <v>83</v>
      </c>
      <c r="G84" s="5" t="str">
        <f>IFERROR(__xludf.DUMMYFUNCTION("GOOGLETRANSLATE(B84, ""en"", ""hi"")"),"ऐसा माना जाता है कि सिलंबम की मार्शल तकनीक किस प्राचीन ऋषि से ली गई थी?")</f>
        <v>ऐसा माना जाता है कि सिलंबम की मार्शल तकनीक किस प्राचीन ऋषि से ली गई थी?</v>
      </c>
      <c r="H84" s="5" t="str">
        <f>IFERROR(__xludf.DUMMYFUNCTION("GOOGLETRANSLATE(C84, ""en"", ""hi"")"),"ए) अगस्त्य, बी) भोगर, सी) तिरुमलाई, डी) पतंजलि")</f>
        <v>ए) अगस्त्य, बी) भोगर, सी) तिरुमलाई, डी) पतंजलि</v>
      </c>
      <c r="I84" s="5" t="str">
        <f>IFERROR(__xludf.DUMMYFUNCTION("GOOGLETRANSLATE(D84, ""en"", ""hi"")"),"A) अगस्त्य")</f>
        <v>A) अगस्त्य</v>
      </c>
    </row>
    <row r="85" ht="22.5" customHeight="1">
      <c r="A85" s="3">
        <v>84.0</v>
      </c>
      <c r="B85" s="4" t="s">
        <v>9730</v>
      </c>
      <c r="C85" s="4" t="s">
        <v>9731</v>
      </c>
      <c r="D85" s="4" t="s">
        <v>9521</v>
      </c>
      <c r="F85" s="5" t="str">
        <f>IFERROR(__xludf.DUMMYFUNCTION("GOOGLETRANSLATE(A85, ""en"", ""hi"")"),"84")</f>
        <v>84</v>
      </c>
      <c r="G85" s="5" t="str">
        <f>IFERROR(__xludf.DUMMYFUNCTION("GOOGLETRANSLATE(B85, ""en"", ""hi"")"),"किस प्रसिद्ध तमिल राजा को सिलंबम का विशेषज्ञ कहा जाता था?")</f>
        <v>किस प्रसिद्ध तमिल राजा को सिलंबम का विशेषज्ञ कहा जाता था?</v>
      </c>
      <c r="H85" s="5" t="str">
        <f>IFERROR(__xludf.DUMMYFUNCTION("GOOGLETRANSLATE(C85, ""en"", ""hi"")"),"ए) राजराजा चोल, बी) करिकाला चोल, सी) मार्तंड वर्मा, डी) पुलिकेसी")</f>
        <v>ए) राजराजा चोल, बी) करिकाला चोल, सी) मार्तंड वर्मा, डी) पुलिकेसी</v>
      </c>
      <c r="I85" s="5" t="str">
        <f>IFERROR(__xludf.DUMMYFUNCTION("GOOGLETRANSLATE(D85, ""en"", ""hi"")"),"B) करिकाल चोल")</f>
        <v>B) करिकाल चोल</v>
      </c>
    </row>
    <row r="86" ht="22.5" customHeight="1">
      <c r="A86" s="3">
        <v>85.0</v>
      </c>
      <c r="B86" s="4" t="s">
        <v>9732</v>
      </c>
      <c r="C86" s="4" t="s">
        <v>9733</v>
      </c>
      <c r="D86" s="4" t="s">
        <v>9734</v>
      </c>
      <c r="F86" s="5" t="str">
        <f>IFERROR(__xludf.DUMMYFUNCTION("GOOGLETRANSLATE(A86, ""en"", ""hi"")"),"85")</f>
        <v>85</v>
      </c>
      <c r="G86" s="5" t="str">
        <f>IFERROR(__xludf.DUMMYFUNCTION("GOOGLETRANSLATE(B86, ""en"", ""hi"")"),"सिलंबम अभ्यासियों को अक्सर किस ऐतिहासिक तमिलनाडु राज्य में रक्षक के रूप में नियुक्त किया जाता था?")</f>
        <v>सिलंबम अभ्यासियों को अक्सर किस ऐतिहासिक तमिलनाडु राज्य में रक्षक के रूप में नियुक्त किया जाता था?</v>
      </c>
      <c r="H86" s="5" t="str">
        <f>IFERROR(__xludf.DUMMYFUNCTION("GOOGLETRANSLATE(C86, ""en"", ""hi"")"),"ए) चोल साम्राज्य, बी) चेर साम्राज्य, सी) पांड्य साम्राज्य, डी) विजयनगर साम्राज्य")</f>
        <v>ए) चोल साम्राज्य, बी) चेर साम्राज्य, सी) पांड्य साम्राज्य, डी) विजयनगर साम्राज्य</v>
      </c>
      <c r="I86" s="5" t="str">
        <f>IFERROR(__xludf.DUMMYFUNCTION("GOOGLETRANSLATE(D86, ""en"", ""hi"")"),"C) पांड्य साम्राज्य")</f>
        <v>C) पांड्य साम्राज्य</v>
      </c>
    </row>
    <row r="87" ht="22.5" customHeight="1">
      <c r="A87" s="3">
        <v>86.0</v>
      </c>
      <c r="B87" s="4" t="s">
        <v>9735</v>
      </c>
      <c r="C87" s="4" t="s">
        <v>9736</v>
      </c>
      <c r="D87" s="4" t="s">
        <v>3898</v>
      </c>
      <c r="F87" s="5" t="str">
        <f>IFERROR(__xludf.DUMMYFUNCTION("GOOGLETRANSLATE(A87, ""en"", ""hi"")"),"86")</f>
        <v>86</v>
      </c>
      <c r="G87" s="5" t="str">
        <f>IFERROR(__xludf.DUMMYFUNCTION("GOOGLETRANSLATE(B87, ""en"", ""hi"")"),"सिलंबम का फुटवर्क किस पारंपरिक तमिल नृत्य शैली से प्रेरित है?")</f>
        <v>सिलंबम का फुटवर्क किस पारंपरिक तमिल नृत्य शैली से प्रेरित है?</v>
      </c>
      <c r="H87" s="5" t="str">
        <f>IFERROR(__xludf.DUMMYFUNCTION("GOOGLETRANSLATE(C87, ""en"", ""hi"")"),"ए) भरतनाट्यम, बी) कूथु, सी) कथकली, डी) थप्पट्टम")</f>
        <v>ए) भरतनाट्यम, बी) कूथु, सी) कथकली, डी) थप्पट्टम</v>
      </c>
      <c r="I87" s="5" t="str">
        <f>IFERROR(__xludf.DUMMYFUNCTION("GOOGLETRANSLATE(D87, ""en"", ""hi"")"),"A) भरतनाट्यम")</f>
        <v>A) भरतनाट्यम</v>
      </c>
    </row>
    <row r="88" ht="22.5" customHeight="1">
      <c r="A88" s="3">
        <v>87.0</v>
      </c>
      <c r="B88" s="4" t="s">
        <v>9737</v>
      </c>
      <c r="C88" s="4" t="s">
        <v>9738</v>
      </c>
      <c r="D88" s="4" t="s">
        <v>9739</v>
      </c>
      <c r="F88" s="5" t="str">
        <f>IFERROR(__xludf.DUMMYFUNCTION("GOOGLETRANSLATE(A88, ""en"", ""hi"")"),"87")</f>
        <v>87</v>
      </c>
      <c r="G88" s="5" t="str">
        <f>IFERROR(__xludf.DUMMYFUNCTION("GOOGLETRANSLATE(B88, ""en"", ""hi"")"),"किस तमिल महाकाव्य युद्ध में सैनिकों के लिए सिलंबम प्रशिक्षण महत्वपूर्ण था?")</f>
        <v>किस तमिल महाकाव्य युद्ध में सैनिकों के लिए सिलंबम प्रशिक्षण महत्वपूर्ण था?</v>
      </c>
      <c r="H88" s="5" t="str">
        <f>IFERROR(__xludf.DUMMYFUNCTION("GOOGLETRANSLATE(C88, ""en"", ""hi"")"),"ए) कलिंग की लड़ाई, बी) वेन्नी की लड़ाई, सी) सेरिंगपट्टम की लड़ाई, डी) मदुरै की लड़ाई")</f>
        <v>ए) कलिंग की लड़ाई, बी) वेन्नी की लड़ाई, सी) सेरिंगपट्टम की लड़ाई, डी) मदुरै की लड़ाई</v>
      </c>
      <c r="I88" s="5" t="str">
        <f>IFERROR(__xludf.DUMMYFUNCTION("GOOGLETRANSLATE(D88, ""en"", ""hi"")"),"बी) वेन्नी की लड़ाई")</f>
        <v>बी) वेन्नी की लड़ाई</v>
      </c>
    </row>
    <row r="89" ht="22.5" customHeight="1">
      <c r="A89" s="3">
        <v>88.0</v>
      </c>
      <c r="B89" s="4" t="s">
        <v>9740</v>
      </c>
      <c r="C89" s="4" t="s">
        <v>9741</v>
      </c>
      <c r="D89" s="4" t="s">
        <v>9742</v>
      </c>
      <c r="F89" s="5" t="str">
        <f>IFERROR(__xludf.DUMMYFUNCTION("GOOGLETRANSLATE(A89, ""en"", ""hi"")"),"88")</f>
        <v>88</v>
      </c>
      <c r="G89" s="5" t="str">
        <f>IFERROR(__xludf.DUMMYFUNCTION("GOOGLETRANSLATE(B89, ""en"", ""hi"")"),"सिलंबम के हथियार का कौन सा तत्व उसे जंगली जानवरों से बचाव के लिए विशेष रूप से उपयुक्त बनाता था?")</f>
        <v>सिलंबम के हथियार का कौन सा तत्व उसे जंगली जानवरों से बचाव के लिए विशेष रूप से उपयुक्त बनाता था?</v>
      </c>
      <c r="H89" s="5" t="str">
        <f>IFERROR(__xludf.DUMMYFUNCTION("GOOGLETRANSLATE(C89, ""en"", ""hi"")"),"A) हल्का डिज़ाइन, B) लंबी पहुंच, C) लचीलापन, D) चुपके")</f>
        <v>A) हल्का डिज़ाइन, B) लंबी पहुंच, C) लचीलापन, D) चुपके</v>
      </c>
      <c r="I89" s="5" t="str">
        <f>IFERROR(__xludf.DUMMYFUNCTION("GOOGLETRANSLATE(D89, ""en"", ""hi"")"),"बी) लंबी पहुंच")</f>
        <v>बी) लंबी पहुंच</v>
      </c>
    </row>
    <row r="90" ht="22.5" customHeight="1">
      <c r="A90" s="3">
        <v>89.0</v>
      </c>
      <c r="B90" s="4" t="s">
        <v>9743</v>
      </c>
      <c r="C90" s="4" t="s">
        <v>9744</v>
      </c>
      <c r="D90" s="4" t="s">
        <v>9745</v>
      </c>
      <c r="F90" s="5" t="str">
        <f>IFERROR(__xludf.DUMMYFUNCTION("GOOGLETRANSLATE(A90, ""en"", ""hi"")"),"89")</f>
        <v>89</v>
      </c>
      <c r="G90" s="5" t="str">
        <f>IFERROR(__xludf.DUMMYFUNCTION("GOOGLETRANSLATE(B90, ""en"", ""hi"")"),"सिलंबम अभ्यासी किस प्राचीन तमिल मार्शल कोड का पालन करते थे?")</f>
        <v>सिलंबम अभ्यासी किस प्राचीन तमिल मार्शल कोड का पालन करते थे?</v>
      </c>
      <c r="H90" s="5" t="str">
        <f>IFERROR(__xludf.DUMMYFUNCTION("GOOGLETRANSLATE(C90, ""en"", ""hi"")"),"ए) मारू, बी) वर्मन, सी) कलारीपयट्टु, डी) पुरम")</f>
        <v>ए) मारू, बी) वर्मन, सी) कलारीपयट्टु, डी) पुरम</v>
      </c>
      <c r="I90" s="5" t="str">
        <f>IFERROR(__xludf.DUMMYFUNCTION("GOOGLETRANSLATE(D90, ""en"", ""hi"")"),"बी) वर्मन")</f>
        <v>बी) वर्मन</v>
      </c>
    </row>
    <row r="91" ht="22.5" customHeight="1">
      <c r="A91" s="3">
        <v>90.0</v>
      </c>
      <c r="B91" s="4" t="s">
        <v>9746</v>
      </c>
      <c r="C91" s="4" t="s">
        <v>9747</v>
      </c>
      <c r="D91" s="4" t="s">
        <v>6662</v>
      </c>
      <c r="F91" s="5" t="str">
        <f>IFERROR(__xludf.DUMMYFUNCTION("GOOGLETRANSLATE(A91, ""en"", ""hi"")"),"90")</f>
        <v>90</v>
      </c>
      <c r="G91" s="5" t="str">
        <f>IFERROR(__xludf.DUMMYFUNCTION("GOOGLETRANSLATE(B91, ""en"", ""hi"")"),"20वीं सदी में, किस स्वतंत्रता आंदोलन के प्रयासों से तमिलनाडु में सिलंबम को पुनर्जीवित किया गया?")</f>
        <v>20वीं सदी में, किस स्वतंत्रता आंदोलन के प्रयासों से तमिलनाडु में सिलंबम को पुनर्जीवित किया गया?</v>
      </c>
      <c r="H91" s="5" t="str">
        <f>IFERROR(__xludf.DUMMYFUNCTION("GOOGLETRANSLATE(C91, ""en"", ""hi"")"),"A) भारत छोड़ो आंदोलन, B) असहयोग आंदोलन, C) स्वदेशी आंदोलन, D) सविनय अवज्ञा आंदोलन")</f>
        <v>A) भारत छोड़ो आंदोलन, B) असहयोग आंदोलन, C) स्वदेशी आंदोलन, D) सविनय अवज्ञा आंदोलन</v>
      </c>
      <c r="I91" s="5" t="str">
        <f>IFERROR(__xludf.DUMMYFUNCTION("GOOGLETRANSLATE(D91, ""en"", ""hi"")"),"C) स्वदेशी आंदोलन")</f>
        <v>C) स्वदेशी आंदोलन</v>
      </c>
    </row>
    <row r="92" ht="22.5" customHeight="1">
      <c r="A92" s="3">
        <v>91.0</v>
      </c>
      <c r="B92" s="4" t="s">
        <v>9748</v>
      </c>
      <c r="C92" s="4" t="s">
        <v>9749</v>
      </c>
      <c r="D92" s="4" t="s">
        <v>9750</v>
      </c>
      <c r="F92" s="5" t="str">
        <f>IFERROR(__xludf.DUMMYFUNCTION("GOOGLETRANSLATE(A92, ""en"", ""hi"")"),"91")</f>
        <v>91</v>
      </c>
      <c r="G92" s="5" t="str">
        <f>IFERROR(__xludf.DUMMYFUNCTION("GOOGLETRANSLATE(B92, ""en"", ""hi"")"),"ऐसा माना जाता है कि सिलंबम की उत्पत्ति प्राचीन तमिलनाडु के किस भौगोलिक क्षेत्र में हुई थी?")</f>
        <v>ऐसा माना जाता है कि सिलंबम की उत्पत्ति प्राचीन तमिलनाडु के किस भौगोलिक क्षेत्र में हुई थी?</v>
      </c>
      <c r="H92" s="5" t="str">
        <f>IFERROR(__xludf.DUMMYFUNCTION("GOOGLETRANSLATE(C92, ""en"", ""hi"")"),"A) कन्याकुमारी, B) मदुरै, C) त्रिची, D) कोयंबटूर")</f>
        <v>A) कन्याकुमारी, B) मदुरै, C) त्रिची, D) कोयंबटूर</v>
      </c>
      <c r="I92" s="5" t="str">
        <f>IFERROR(__xludf.DUMMYFUNCTION("GOOGLETRANSLATE(D92, ""en"", ""hi"")"),"A) कन्याकुमारी")</f>
        <v>A) कन्याकुमारी</v>
      </c>
    </row>
    <row r="93" ht="22.5" customHeight="1">
      <c r="A93" s="3">
        <v>92.0</v>
      </c>
      <c r="B93" s="4" t="s">
        <v>9751</v>
      </c>
      <c r="C93" s="4" t="s">
        <v>9752</v>
      </c>
      <c r="D93" s="4" t="s">
        <v>9753</v>
      </c>
      <c r="F93" s="5" t="str">
        <f>IFERROR(__xludf.DUMMYFUNCTION("GOOGLETRANSLATE(A93, ""en"", ""hi"")"),"92")</f>
        <v>92</v>
      </c>
      <c r="G93" s="5" t="str">
        <f>IFERROR(__xludf.DUMMYFUNCTION("GOOGLETRANSLATE(B93, ""en"", ""hi"")"),"संगम युग के किस तमिल साहित्यिक कार्य में सिलंबम जैसी मार्शल आर्ट का संदर्भ मिलता है?")</f>
        <v>संगम युग के किस तमिल साहित्यिक कार्य में सिलंबम जैसी मार्शल आर्ट का संदर्भ मिलता है?</v>
      </c>
      <c r="H93" s="5" t="str">
        <f>IFERROR(__xludf.DUMMYFUNCTION("GOOGLETRANSLATE(C93, ""en"", ""hi"")"),"ए) एट्टुथोकै, बी) पट्टुपट्टू, सी) थिरुक्कुरल, डी) कंबारामयणम")</f>
        <v>ए) एट्टुथोकै, बी) पट्टुपट्टू, सी) थिरुक्कुरल, डी) कंबारामयणम</v>
      </c>
      <c r="I93" s="5" t="str">
        <f>IFERROR(__xludf.DUMMYFUNCTION("GOOGLETRANSLATE(D93, ""en"", ""hi"")"),"A) एट्टुथोकाई")</f>
        <v>A) एट्टुथोकाई</v>
      </c>
    </row>
    <row r="94" ht="22.5" customHeight="1">
      <c r="A94" s="3">
        <v>93.0</v>
      </c>
      <c r="B94" s="4" t="s">
        <v>9754</v>
      </c>
      <c r="C94" s="4" t="s">
        <v>9755</v>
      </c>
      <c r="D94" s="4" t="s">
        <v>9756</v>
      </c>
      <c r="F94" s="5" t="str">
        <f>IFERROR(__xludf.DUMMYFUNCTION("GOOGLETRANSLATE(A94, ""en"", ""hi"")"),"93")</f>
        <v>93</v>
      </c>
      <c r="G94" s="5" t="str">
        <f>IFERROR(__xludf.DUMMYFUNCTION("GOOGLETRANSLATE(B94, ""en"", ""hi"")"),"सिलंबम में प्रयुक्त होने वाला डंडा आमतौर पर किस प्रकार की लकड़ी से बनाया जाता है?")</f>
        <v>सिलंबम में प्रयुक्त होने वाला डंडा आमतौर पर किस प्रकार की लकड़ी से बनाया जाता है?</v>
      </c>
      <c r="H94" s="5" t="str">
        <f>IFERROR(__xludf.DUMMYFUNCTION("GOOGLETRANSLATE(C94, ""en"", ""hi"")"),"A) सागौन, B) बांस, C) चंदन, D) शीशम")</f>
        <v>A) सागौन, B) बांस, C) चंदन, D) शीशम</v>
      </c>
      <c r="I94" s="5" t="str">
        <f>IFERROR(__xludf.DUMMYFUNCTION("GOOGLETRANSLATE(D94, ""en"", ""hi"")"),"बी) बांस")</f>
        <v>बी) बांस</v>
      </c>
    </row>
    <row r="95" ht="22.5" customHeight="1">
      <c r="A95" s="3">
        <v>94.0</v>
      </c>
      <c r="B95" s="4" t="s">
        <v>9757</v>
      </c>
      <c r="C95" s="4" t="s">
        <v>9758</v>
      </c>
      <c r="D95" s="4" t="s">
        <v>9759</v>
      </c>
      <c r="F95" s="5" t="str">
        <f>IFERROR(__xludf.DUMMYFUNCTION("GOOGLETRANSLATE(A95, ""en"", ""hi"")"),"94")</f>
        <v>94</v>
      </c>
      <c r="G95" s="5" t="str">
        <f>IFERROR(__xludf.DUMMYFUNCTION("GOOGLETRANSLATE(B95, ""en"", ""hi"")"),"प्राचीन तमिल समाज में सिलंबम का पारंपरिक रूप से किस वर्ग के लोगों द्वारा पालन किया जाता था?")</f>
        <v>प्राचीन तमिल समाज में सिलंबम का पारंपरिक रूप से किस वर्ग के लोगों द्वारा पालन किया जाता था?</v>
      </c>
      <c r="H95" s="5" t="str">
        <f>IFERROR(__xludf.DUMMYFUNCTION("GOOGLETRANSLATE(C95, ""en"", ""hi"")"),"A) किसान, B) राजा, C) सैनिक, D) व्यापारी")</f>
        <v>A) किसान, B) राजा, C) सैनिक, D) व्यापारी</v>
      </c>
      <c r="I95" s="5" t="str">
        <f>IFERROR(__xludf.DUMMYFUNCTION("GOOGLETRANSLATE(D95, ""en"", ""hi"")"),"सी) सैनिक")</f>
        <v>सी) सैनिक</v>
      </c>
    </row>
    <row r="96" ht="22.5" customHeight="1">
      <c r="A96" s="3">
        <v>95.0</v>
      </c>
      <c r="B96" s="4" t="s">
        <v>9760</v>
      </c>
      <c r="C96" s="4" t="s">
        <v>9761</v>
      </c>
      <c r="D96" s="4" t="s">
        <v>9762</v>
      </c>
      <c r="F96" s="5" t="str">
        <f>IFERROR(__xludf.DUMMYFUNCTION("GOOGLETRANSLATE(A96, ""en"", ""hi"")"),"95")</f>
        <v>95</v>
      </c>
      <c r="G96" s="5" t="str">
        <f>IFERROR(__xludf.DUMMYFUNCTION("GOOGLETRANSLATE(B96, ""en"", ""hi"")"),"किस प्राचीन तमिल राजवंश को सिलंबम कला को बढ़ावा देने और फैलाने का श्रेय दिया जाता है?")</f>
        <v>किस प्राचीन तमिल राजवंश को सिलंबम कला को बढ़ावा देने और फैलाने का श्रेय दिया जाता है?</v>
      </c>
      <c r="H96" s="5" t="str">
        <f>IFERROR(__xludf.DUMMYFUNCTION("GOOGLETRANSLATE(C96, ""en"", ""hi"")"),"A) पल्लव, B) चोल, C) पांड्य, D) चेर")</f>
        <v>A) पल्लव, B) चोल, C) पांड्य, D) चेर</v>
      </c>
      <c r="I96" s="5" t="str">
        <f>IFERROR(__xludf.DUMMYFUNCTION("GOOGLETRANSLATE(D96, ""en"", ""hi"")"),"बी) चोल")</f>
        <v>बी) चोल</v>
      </c>
    </row>
    <row r="97" ht="22.5" customHeight="1">
      <c r="A97" s="3">
        <v>96.0</v>
      </c>
      <c r="B97" s="4" t="s">
        <v>9763</v>
      </c>
      <c r="C97" s="4" t="s">
        <v>9764</v>
      </c>
      <c r="D97" s="4" t="s">
        <v>9765</v>
      </c>
      <c r="F97" s="5" t="str">
        <f>IFERROR(__xludf.DUMMYFUNCTION("GOOGLETRANSLATE(A97, ""en"", ""hi"")"),"96")</f>
        <v>96</v>
      </c>
      <c r="G97" s="5" t="str">
        <f>IFERROR(__xludf.DUMMYFUNCTION("GOOGLETRANSLATE(B97, ""en"", ""hi"")"),"प्राचीन काल में, सिलंबम को किस समूह के व्यक्तियों के लिए एक आवश्यक कौशल माना जाता था?")</f>
        <v>प्राचीन काल में, सिलंबम को किस समूह के व्यक्तियों के लिए एक आवश्यक कौशल माना जाता था?</v>
      </c>
      <c r="H97" s="5" t="str">
        <f>IFERROR(__xludf.DUMMYFUNCTION("GOOGLETRANSLATE(C97, ""en"", ""hi"")"),"A) चिकित्सक, B) शिकारी, C) व्यापारी, D) योद्धा")</f>
        <v>A) चिकित्सक, B) शिकारी, C) व्यापारी, D) योद्धा</v>
      </c>
      <c r="I97" s="5" t="str">
        <f>IFERROR(__xludf.DUMMYFUNCTION("GOOGLETRANSLATE(D97, ""en"", ""hi"")"),"D) योद्धा")</f>
        <v>D) योद्धा</v>
      </c>
    </row>
    <row r="98" ht="22.5" customHeight="1">
      <c r="A98" s="3">
        <v>97.0</v>
      </c>
      <c r="B98" s="4" t="s">
        <v>9766</v>
      </c>
      <c r="C98" s="4" t="s">
        <v>9767</v>
      </c>
      <c r="D98" s="4" t="s">
        <v>9768</v>
      </c>
      <c r="F98" s="5" t="str">
        <f>IFERROR(__xludf.DUMMYFUNCTION("GOOGLETRANSLATE(A98, ""en"", ""hi"")"),"97")</f>
        <v>97</v>
      </c>
      <c r="G98" s="5" t="str">
        <f>IFERROR(__xludf.DUMMYFUNCTION("GOOGLETRANSLATE(B98, ""en"", ""hi"")"),"ऐसा माना जाता है कि सिलंबम किस प्राचीन तमिल मार्शल कोड से प्रभावित था?")</f>
        <v>ऐसा माना जाता है कि सिलंबम किस प्राचीन तमिल मार्शल कोड से प्रभावित था?</v>
      </c>
      <c r="H98" s="5" t="str">
        <f>IFERROR(__xludf.DUMMYFUNCTION("GOOGLETRANSLATE(C98, ""en"", ""hi"")"),"ए) अगम, बी) पुरम, सी) मारू, डी) कलारी")</f>
        <v>ए) अगम, बी) पुरम, सी) मारू, डी) कलारी</v>
      </c>
      <c r="I98" s="5" t="str">
        <f>IFERROR(__xludf.DUMMYFUNCTION("GOOGLETRANSLATE(D98, ""en"", ""hi"")"),"C) मारू")</f>
        <v>C) मारू</v>
      </c>
    </row>
    <row r="99" ht="22.5" customHeight="1">
      <c r="A99" s="3">
        <v>98.0</v>
      </c>
      <c r="B99" s="4" t="s">
        <v>9769</v>
      </c>
      <c r="C99" s="4" t="s">
        <v>9770</v>
      </c>
      <c r="D99" s="4" t="s">
        <v>9512</v>
      </c>
      <c r="F99" s="5" t="str">
        <f>IFERROR(__xludf.DUMMYFUNCTION("GOOGLETRANSLATE(A99, ""en"", ""hi"")"),"98")</f>
        <v>98</v>
      </c>
      <c r="G99" s="5" t="str">
        <f>IFERROR(__xludf.DUMMYFUNCTION("GOOGLETRANSLATE(B99, ""en"", ""hi"")"),"किस ऐतिहासिक तमिल महाकाव्य में सिलंबम के समान लाठी के प्रयोग का उल्लेख है?")</f>
        <v>किस ऐतिहासिक तमिल महाकाव्य में सिलंबम के समान लाठी के प्रयोग का उल्लेख है?</v>
      </c>
      <c r="H99" s="5" t="str">
        <f>IFERROR(__xludf.DUMMYFUNCTION("GOOGLETRANSLATE(C99, ""en"", ""hi"")"),"ए) सिलप्पातिकारम, बी) कंबा रामायणम, सी) मणिमेकलाई, डी) थिरुविलायदल")</f>
        <v>ए) सिलप्पातिकारम, बी) कंबा रामायणम, सी) मणिमेकलाई, डी) थिरुविलायदल</v>
      </c>
      <c r="I99" s="5" t="str">
        <f>IFERROR(__xludf.DUMMYFUNCTION("GOOGLETRANSLATE(D99, ""en"", ""hi"")"),"A) सिलप्पाटिकरम")</f>
        <v>A) सिलप्पाटिकरम</v>
      </c>
    </row>
    <row r="100" ht="22.5" customHeight="1">
      <c r="A100" s="3">
        <v>99.0</v>
      </c>
      <c r="B100" s="4" t="s">
        <v>9771</v>
      </c>
      <c r="C100" s="4" t="s">
        <v>9772</v>
      </c>
      <c r="D100" s="4" t="s">
        <v>9022</v>
      </c>
      <c r="F100" s="5" t="str">
        <f>IFERROR(__xludf.DUMMYFUNCTION("GOOGLETRANSLATE(A100, ""en"", ""hi"")"),"99")</f>
        <v>99</v>
      </c>
      <c r="G100" s="5" t="str">
        <f>IFERROR(__xludf.DUMMYFUNCTION("GOOGLETRANSLATE(B100, ""en"", ""hi"")"),"किस प्रसिद्ध तमिल राजा की सेना के लिए सिलंबम प्रशिक्षण अनिवार्य था?")</f>
        <v>किस प्रसिद्ध तमिल राजा की सेना के लिए सिलंबम प्रशिक्षण अनिवार्य था?</v>
      </c>
      <c r="H100" s="5" t="str">
        <f>IFERROR(__xludf.DUMMYFUNCTION("GOOGLETRANSLATE(C100, ""en"", ""hi"")"),"ए) राजा राजा चोल, बी) राजेंद्र चोल, सी) मार्तंड वर्मा, डी) करिकाला चोल")</f>
        <v>ए) राजा राजा चोल, बी) राजेंद्र चोल, सी) मार्तंड वर्मा, डी) करिकाला चोल</v>
      </c>
      <c r="I100" s="5" t="str">
        <f>IFERROR(__xludf.DUMMYFUNCTION("GOOGLETRANSLATE(D100, ""en"", ""hi"")"),"A) राजा राजा चोल")</f>
        <v>A) राजा राजा चोल</v>
      </c>
    </row>
    <row r="101" ht="22.5" customHeight="1">
      <c r="A101" s="3">
        <v>100.0</v>
      </c>
      <c r="B101" s="4" t="s">
        <v>9773</v>
      </c>
      <c r="C101" s="4" t="s">
        <v>9774</v>
      </c>
      <c r="D101" s="4" t="s">
        <v>3736</v>
      </c>
      <c r="F101" s="5" t="str">
        <f>IFERROR(__xludf.DUMMYFUNCTION("GOOGLETRANSLATE(A101, ""en"", ""hi"")"),"100")</f>
        <v>100</v>
      </c>
      <c r="G101" s="5" t="str">
        <f>IFERROR(__xludf.DUMMYFUNCTION("GOOGLETRANSLATE(B101, ""en"", ""hi"")"),"किस शताब्दी में विद्रोह को रोकने के लिए अंग्रेजों ने सिलंबम पर प्रतिबंध लगाया था?")</f>
        <v>किस शताब्दी में विद्रोह को रोकने के लिए अंग्रेजों ने सिलंबम पर प्रतिबंध लगाया था?</v>
      </c>
      <c r="H101" s="5" t="str">
        <f>IFERROR(__xludf.DUMMYFUNCTION("GOOGLETRANSLATE(C101, ""en"", ""hi"")"),"A) 17वीं शताब्दी, B) 18वीं शताब्दी, C) 19वीं शताब्दी, D) 20वीं शताब्दी")</f>
        <v>A) 17वीं शताब्दी, B) 18वीं शताब्दी, C) 19वीं शताब्दी, D) 20वीं शताब्दी</v>
      </c>
      <c r="I101" s="5" t="str">
        <f>IFERROR(__xludf.DUMMYFUNCTION("GOOGLETRANSLATE(D101, ""en"", ""hi"")"),"सी) 19वीं शताब्दी")</f>
        <v>सी) 19वीं शताब्दी</v>
      </c>
    </row>
    <row r="102" ht="22.5" customHeight="1">
      <c r="A102" s="3">
        <v>101.0</v>
      </c>
      <c r="B102" s="4" t="s">
        <v>9775</v>
      </c>
      <c r="C102" s="4" t="s">
        <v>9776</v>
      </c>
      <c r="D102" s="4" t="s">
        <v>9777</v>
      </c>
      <c r="F102" s="5" t="str">
        <f>IFERROR(__xludf.DUMMYFUNCTION("GOOGLETRANSLATE(A102, ""en"", ""hi"")"),"101")</f>
        <v>101</v>
      </c>
      <c r="G102" s="5" t="str">
        <f>IFERROR(__xludf.DUMMYFUNCTION("GOOGLETRANSLATE(B102, ""en"", ""hi"")"),"किस तमिल लोककथा नायक के बारे में कहा जाता है कि उसने सिलंबम में महारत हासिल कर ली थी?")</f>
        <v>किस तमिल लोककथा नायक के बारे में कहा जाता है कि उसने सिलंबम में महारत हासिल कर ली थी?</v>
      </c>
      <c r="H102" s="5" t="str">
        <f>IFERROR(__xludf.DUMMYFUNCTION("GOOGLETRANSLATE(C102, ""en"", ""hi"")"),"ए) अलागापिल्लई, बी) वल्लुवन, सी) वीरपांडिया कट्टाबोम्मन, डी) अधियमान")</f>
        <v>ए) अलागापिल्लई, बी) वल्लुवन, सी) वीरपांडिया कट्टाबोम्मन, डी) अधियमान</v>
      </c>
      <c r="I102" s="5" t="str">
        <f>IFERROR(__xludf.DUMMYFUNCTION("GOOGLETRANSLATE(D102, ""en"", ""hi"")"),"C) वीरपांडिया कट्टाबोम्मन")</f>
        <v>C) वीरपांडिया कट्टाबोम्मन</v>
      </c>
    </row>
    <row r="103" ht="22.5" customHeight="1">
      <c r="A103" s="3">
        <v>102.0</v>
      </c>
      <c r="B103" s="4" t="s">
        <v>9778</v>
      </c>
      <c r="C103" s="4" t="s">
        <v>9779</v>
      </c>
      <c r="D103" s="4" t="s">
        <v>9780</v>
      </c>
      <c r="F103" s="5" t="str">
        <f>IFERROR(__xludf.DUMMYFUNCTION("GOOGLETRANSLATE(A103, ""en"", ""hi"")"),"102")</f>
        <v>102</v>
      </c>
      <c r="G103" s="5" t="str">
        <f>IFERROR(__xludf.DUMMYFUNCTION("GOOGLETRANSLATE(B103, ""en"", ""hi"")"),"प्राचीन तमिल युद्धों के दौरान योद्धाओं के लिए सिलंबम प्रशिक्षण का मुख्य उद्देश्य क्या था?")</f>
        <v>प्राचीन तमिल युद्धों के दौरान योद्धाओं के लिए सिलंबम प्रशिक्षण का मुख्य उद्देश्य क्या था?</v>
      </c>
      <c r="H103" s="5" t="str">
        <f>IFERROR(__xludf.DUMMYFUNCTION("GOOGLETRANSLATE(C103, ""en"", ""hi"")"),"A) धनुर्धारियों के विरुद्ध रक्षा, B) पैदल सेना के साथ निकट युद्ध, C) लंबी दूरी के हमले, D) घात लगाकर हमला करने की रणनीति")</f>
        <v>A) धनुर्धारियों के विरुद्ध रक्षा, B) पैदल सेना के साथ निकट युद्ध, C) लंबी दूरी के हमले, D) घात लगाकर हमला करने की रणनीति</v>
      </c>
      <c r="I103" s="5" t="str">
        <f>IFERROR(__xludf.DUMMYFUNCTION("GOOGLETRANSLATE(D103, ""en"", ""hi"")"),"बी) पैदल सेना के साथ निकट युद्ध")</f>
        <v>बी) पैदल सेना के साथ निकट युद्ध</v>
      </c>
    </row>
    <row r="104" ht="22.5" customHeight="1">
      <c r="A104" s="3">
        <v>103.0</v>
      </c>
      <c r="B104" s="4" t="s">
        <v>9781</v>
      </c>
      <c r="C104" s="4" t="s">
        <v>9782</v>
      </c>
      <c r="D104" s="4" t="s">
        <v>644</v>
      </c>
      <c r="F104" s="5" t="str">
        <f>IFERROR(__xludf.DUMMYFUNCTION("GOOGLETRANSLATE(A104, ""en"", ""hi"")"),"103")</f>
        <v>103</v>
      </c>
      <c r="G104" s="5" t="str">
        <f>IFERROR(__xludf.DUMMYFUNCTION("GOOGLETRANSLATE(B104, ""en"", ""hi"")"),"सिलंबम किस तमिल समुदाय की पारंपरिक शारीरिक प्रशिक्षण प्रणालियों में शामिल था?")</f>
        <v>सिलंबम किस तमिल समुदाय की पारंपरिक शारीरिक प्रशिक्षण प्रणालियों में शामिल था?</v>
      </c>
      <c r="H104" s="5" t="str">
        <f>IFERROR(__xludf.DUMMYFUNCTION("GOOGLETRANSLATE(C104, ""en"", ""hi"")"),"A) कल्लर, B) मारवार, C) अगामुदयार, D) उपरोक्त सभी")</f>
        <v>A) कल्लर, B) मारवार, C) अगामुदयार, D) उपरोक्त सभी</v>
      </c>
      <c r="I104" s="5" t="str">
        <f>IFERROR(__xludf.DUMMYFUNCTION("GOOGLETRANSLATE(D104, ""en"", ""hi"")"),"D। उपरोक्त सभी")</f>
        <v>D। उपरोक्त सभी</v>
      </c>
    </row>
    <row r="105" ht="22.5" customHeight="1">
      <c r="A105" s="3">
        <v>104.0</v>
      </c>
      <c r="B105" s="4" t="s">
        <v>9783</v>
      </c>
      <c r="C105" s="4" t="s">
        <v>9784</v>
      </c>
      <c r="D105" s="4" t="s">
        <v>9785</v>
      </c>
      <c r="F105" s="5" t="str">
        <f>IFERROR(__xludf.DUMMYFUNCTION("GOOGLETRANSLATE(A105, ""en"", ""hi"")"),"104")</f>
        <v>104</v>
      </c>
      <c r="G105" s="5" t="str">
        <f>IFERROR(__xludf.DUMMYFUNCTION("GOOGLETRANSLATE(B105, ""en"", ""hi"")"),"प्राचीन तमिलनाडु के किस भाग में सिलंबम प्रथा मुख्य रूप से प्रचलित थी?")</f>
        <v>प्राचीन तमिलनाडु के किस भाग में सिलंबम प्रथा मुख्य रूप से प्रचलित थी?</v>
      </c>
      <c r="H105" s="5" t="str">
        <f>IFERROR(__xludf.DUMMYFUNCTION("GOOGLETRANSLATE(C105, ""en"", ""hi"")"),"A) दक्षिणी तमिलनाडु, B) उत्तरी तमिलनाडु, C) पश्चिमी तमिलनाडु, D) पूर्वी तमिलनाडु")</f>
        <v>A) दक्षिणी तमिलनाडु, B) उत्तरी तमिलनाडु, C) पश्चिमी तमिलनाडु, D) पूर्वी तमिलनाडु</v>
      </c>
      <c r="I105" s="5" t="str">
        <f>IFERROR(__xludf.DUMMYFUNCTION("GOOGLETRANSLATE(D105, ""en"", ""hi"")"),"A) दक्षिणी तमिलनाडु")</f>
        <v>A) दक्षिणी तमिलनाडु</v>
      </c>
    </row>
    <row r="106" ht="22.5" customHeight="1">
      <c r="A106" s="3">
        <v>105.0</v>
      </c>
      <c r="B106" s="4" t="s">
        <v>9786</v>
      </c>
      <c r="C106" s="4" t="s">
        <v>9787</v>
      </c>
      <c r="D106" s="4" t="s">
        <v>9788</v>
      </c>
      <c r="F106" s="5" t="str">
        <f>IFERROR(__xludf.DUMMYFUNCTION("GOOGLETRANSLATE(A106, ""en"", ""hi"")"),"105")</f>
        <v>105</v>
      </c>
      <c r="G106" s="5" t="str">
        <f>IFERROR(__xludf.DUMMYFUNCTION("GOOGLETRANSLATE(B106, ""en"", ""hi"")"),"सिलंबम अभ्यासी निम्नलिखित में से किस मुद्रा का उपयोग करने के लिए जाने जाते थे?")</f>
        <v>सिलंबम अभ्यासी निम्नलिखित में से किस मुद्रा का उपयोग करने के लिए जाने जाते थे?</v>
      </c>
      <c r="H106" s="5" t="str">
        <f>IFERROR(__xludf.DUMMYFUNCTION("GOOGLETRANSLATE(C106, ""en"", ""hi"")"),"A) अश्व मुद्रा, B) सारस मुद्रा, C) बाघ मुद्रा, D) हाथी मुद्रा")</f>
        <v>A) अश्व मुद्रा, B) सारस मुद्रा, C) बाघ मुद्रा, D) हाथी मुद्रा</v>
      </c>
      <c r="I106" s="5" t="str">
        <f>IFERROR(__xludf.DUMMYFUNCTION("GOOGLETRANSLATE(D106, ""en"", ""hi"")"),"A) घोड़े की मुद्रा")</f>
        <v>A) घोड़े की मुद्रा</v>
      </c>
    </row>
    <row r="107" ht="22.5" customHeight="1">
      <c r="A107" s="3">
        <v>106.0</v>
      </c>
      <c r="B107" s="4" t="s">
        <v>9789</v>
      </c>
      <c r="C107" s="4" t="s">
        <v>9790</v>
      </c>
      <c r="D107" s="4" t="s">
        <v>9791</v>
      </c>
      <c r="F107" s="5" t="str">
        <f>IFERROR(__xludf.DUMMYFUNCTION("GOOGLETRANSLATE(A107, ""en"", ""hi"")"),"106")</f>
        <v>106</v>
      </c>
      <c r="G107" s="5" t="str">
        <f>IFERROR(__xludf.DUMMYFUNCTION("GOOGLETRANSLATE(B107, ""en"", ""hi"")"),"'सिलम्बम' शब्द 'सिलम्बु' शब्द से लिया गया है, जो किसको संदर्भित करता है?")</f>
        <v>'सिलम्बम' शब्द 'सिलम्बु' शब्द से लिया गया है, जो किसको संदर्भित करता है?</v>
      </c>
      <c r="H107" s="5" t="str">
        <f>IFERROR(__xludf.DUMMYFUNCTION("GOOGLETRANSLATE(C107, ""en"", ""hi"")"),"A) लाठी की ध्वनि, B) प्रयुक्त बांस, C) इससे संबंधित नृत्य शैली, D) गोलाकार गति")</f>
        <v>A) लाठी की ध्वनि, B) प्रयुक्त बांस, C) इससे संबंधित नृत्य शैली, D) गोलाकार गति</v>
      </c>
      <c r="I107" s="5" t="str">
        <f>IFERROR(__xludf.DUMMYFUNCTION("GOOGLETRANSLATE(D107, ""en"", ""hi"")"),"A) कर्मचारियों की आवाज")</f>
        <v>A) कर्मचारियों की आवाज</v>
      </c>
    </row>
    <row r="108" ht="22.5" customHeight="1">
      <c r="A108" s="3">
        <v>107.0</v>
      </c>
      <c r="B108" s="4" t="s">
        <v>9792</v>
      </c>
      <c r="C108" s="4" t="s">
        <v>9793</v>
      </c>
      <c r="D108" s="4" t="s">
        <v>644</v>
      </c>
      <c r="F108" s="5" t="str">
        <f>IFERROR(__xludf.DUMMYFUNCTION("GOOGLETRANSLATE(A108, ""en"", ""hi"")"),"107")</f>
        <v>107</v>
      </c>
      <c r="G108" s="5" t="str">
        <f>IFERROR(__xludf.DUMMYFUNCTION("GOOGLETRANSLATE(B108, ""en"", ""hi"")"),"सिलंबम की तकनीकें किस प्रकार के हथियार से बचाव के लिए डिज़ाइन की गई थीं?")</f>
        <v>सिलंबम की तकनीकें किस प्रकार के हथियार से बचाव के लिए डिज़ाइन की गई थीं?</v>
      </c>
      <c r="H108" s="5" t="str">
        <f>IFERROR(__xludf.DUMMYFUNCTION("GOOGLETRANSLATE(C108, ""en"", ""hi"")"),"A) तलवारें, B) तीर, C) भाले, D) उपरोक्त सभी")</f>
        <v>A) तलवारें, B) तीर, C) भाले, D) उपरोक्त सभी</v>
      </c>
      <c r="I108" s="5" t="str">
        <f>IFERROR(__xludf.DUMMYFUNCTION("GOOGLETRANSLATE(D108, ""en"", ""hi"")"),"D। उपरोक्त सभी")</f>
        <v>D। उपरोक्त सभी</v>
      </c>
    </row>
    <row r="109" ht="22.5" customHeight="1">
      <c r="A109" s="3">
        <v>108.0</v>
      </c>
      <c r="B109" s="4" t="s">
        <v>9794</v>
      </c>
      <c r="C109" s="4" t="s">
        <v>9795</v>
      </c>
      <c r="D109" s="4" t="s">
        <v>9796</v>
      </c>
      <c r="F109" s="5" t="str">
        <f>IFERROR(__xludf.DUMMYFUNCTION("GOOGLETRANSLATE(A109, ""en"", ""hi"")"),"108")</f>
        <v>108</v>
      </c>
      <c r="G109" s="5" t="str">
        <f>IFERROR(__xludf.DUMMYFUNCTION("GOOGLETRANSLATE(B109, ""en"", ""hi"")"),"किस तमिल शासक ने सिलंबम को सैन्य प्रशिक्षण का अनिवार्य हिस्सा बनाया?")</f>
        <v>किस तमिल शासक ने सिलंबम को सैन्य प्रशिक्षण का अनिवार्य हिस्सा बनाया?</v>
      </c>
      <c r="H109" s="5" t="str">
        <f>IFERROR(__xludf.DUMMYFUNCTION("GOOGLETRANSLATE(C109, ""en"", ""hi"")"),"ए) आदित्य करिकालन, बी) राजेंद्र चोल, सी) राजराजा चोल, डी) वीरपांडिया कट्टाबोम्मन")</f>
        <v>ए) आदित्य करिकालन, बी) राजेंद्र चोल, सी) राजराजा चोल, डी) वीरपांडिया कट्टाबोम्मन</v>
      </c>
      <c r="I109" s="5" t="str">
        <f>IFERROR(__xludf.DUMMYFUNCTION("GOOGLETRANSLATE(D109, ""en"", ""hi"")"),"C) राजराजा चोल")</f>
        <v>C) राजराजा चोल</v>
      </c>
    </row>
    <row r="110" ht="22.5" customHeight="1">
      <c r="A110" s="3">
        <v>109.0</v>
      </c>
      <c r="B110" s="4" t="s">
        <v>9797</v>
      </c>
      <c r="C110" s="4" t="s">
        <v>9798</v>
      </c>
      <c r="D110" s="4" t="s">
        <v>9606</v>
      </c>
      <c r="F110" s="5" t="str">
        <f>IFERROR(__xludf.DUMMYFUNCTION("GOOGLETRANSLATE(A110, ""en"", ""hi"")"),"109")</f>
        <v>109</v>
      </c>
      <c r="G110" s="5" t="str">
        <f>IFERROR(__xludf.DUMMYFUNCTION("GOOGLETRANSLATE(B110, ""en"", ""hi"")"),"सिलंबम के इतिहास में, तकनीकों को आगे बढ़ाने के लिए मुख्य रूप से कौन सा समूह जिम्मेदार था?")</f>
        <v>सिलंबम के इतिहास में, तकनीकों को आगे बढ़ाने के लिए मुख्य रूप से कौन सा समूह जिम्मेदार था?</v>
      </c>
      <c r="H110" s="5" t="str">
        <f>IFERROR(__xludf.DUMMYFUNCTION("GOOGLETRANSLATE(C110, ""en"", ""hi"")"),"A) राजपरिवार, B) किसान, C) योद्धा, D) भिक्षु")</f>
        <v>A) राजपरिवार, B) किसान, C) योद्धा, D) भिक्षु</v>
      </c>
      <c r="I110" s="5" t="str">
        <f>IFERROR(__xludf.DUMMYFUNCTION("GOOGLETRANSLATE(D110, ""en"", ""hi"")"),"सी) योद्धा")</f>
        <v>सी) योद्धा</v>
      </c>
    </row>
    <row r="111" ht="22.5" customHeight="1">
      <c r="A111" s="3">
        <v>110.0</v>
      </c>
      <c r="B111" s="4" t="s">
        <v>9799</v>
      </c>
      <c r="C111" s="4" t="s">
        <v>9800</v>
      </c>
      <c r="D111" s="4" t="s">
        <v>9801</v>
      </c>
      <c r="F111" s="5" t="str">
        <f>IFERROR(__xludf.DUMMYFUNCTION("GOOGLETRANSLATE(A111, ""en"", ""hi"")"),"110")</f>
        <v>110</v>
      </c>
      <c r="G111" s="5" t="str">
        <f>IFERROR(__xludf.DUMMYFUNCTION("GOOGLETRANSLATE(B111, ""en"", ""hi"")"),"किस प्राचीन तमिल समुदाय में बच्चों के लिए सिलंबम प्रशिक्षण अक्सर छोटी उम्र में ही शुरू कर दिया जाता था?")</f>
        <v>किस प्राचीन तमिल समुदाय में बच्चों के लिए सिलंबम प्रशिक्षण अक्सर छोटी उम्र में ही शुरू कर दिया जाता था?</v>
      </c>
      <c r="H111" s="5" t="str">
        <f>IFERROR(__xludf.DUMMYFUNCTION("GOOGLETRANSLATE(C111, ""en"", ""hi"")"),"A) व्यापारी, B) पुजारी, C) कृषक परिवार, D) योद्धा कुल")</f>
        <v>A) व्यापारी, B) पुजारी, C) कृषक परिवार, D) योद्धा कुल</v>
      </c>
      <c r="I111" s="5" t="str">
        <f>IFERROR(__xludf.DUMMYFUNCTION("GOOGLETRANSLATE(D111, ""en"", ""hi"")"),"D) योद्धा कुलों")</f>
        <v>D) योद्धा कुलों</v>
      </c>
    </row>
    <row r="112" ht="22.5" customHeight="1">
      <c r="A112" s="3">
        <v>111.0</v>
      </c>
      <c r="B112" s="4" t="s">
        <v>9802</v>
      </c>
      <c r="C112" s="4" t="s">
        <v>3897</v>
      </c>
      <c r="D112" s="4" t="s">
        <v>3898</v>
      </c>
      <c r="F112" s="5" t="str">
        <f>IFERROR(__xludf.DUMMYFUNCTION("GOOGLETRANSLATE(A112, ""en"", ""hi"")"),"111")</f>
        <v>111</v>
      </c>
      <c r="G112" s="5" t="str">
        <f>IFERROR(__xludf.DUMMYFUNCTION("GOOGLETRANSLATE(B112, ""en"", ""hi"")"),"कौन सा दक्षिण भारतीय शास्त्रीय नृत्य रूप सिलंबम के समान फुटवर्क पैटर्न साझा करता है?")</f>
        <v>कौन सा दक्षिण भारतीय शास्त्रीय नृत्य रूप सिलंबम के समान फुटवर्क पैटर्न साझा करता है?</v>
      </c>
      <c r="H112" s="5" t="str">
        <f>IFERROR(__xludf.DUMMYFUNCTION("GOOGLETRANSLATE(C112, ""en"", ""hi"")"),"ए) भरतनाट्यम, बी) कथक, सी) कुचिपुड़ी, डी) मोहिनीअट्टम")</f>
        <v>ए) भरतनाट्यम, बी) कथक, सी) कुचिपुड़ी, डी) मोहिनीअट्टम</v>
      </c>
      <c r="I112" s="5" t="str">
        <f>IFERROR(__xludf.DUMMYFUNCTION("GOOGLETRANSLATE(D112, ""en"", ""hi"")"),"A) भरतनाट्यम")</f>
        <v>A) भरतनाट्यम</v>
      </c>
    </row>
    <row r="113" ht="22.5" customHeight="1">
      <c r="A113" s="3">
        <v>112.0</v>
      </c>
      <c r="B113" s="4" t="s">
        <v>9803</v>
      </c>
      <c r="C113" s="4" t="s">
        <v>9804</v>
      </c>
      <c r="D113" s="4" t="s">
        <v>9805</v>
      </c>
      <c r="F113" s="5" t="str">
        <f>IFERROR(__xludf.DUMMYFUNCTION("GOOGLETRANSLATE(A113, ""en"", ""hi"")"),"112")</f>
        <v>112</v>
      </c>
      <c r="G113" s="5" t="str">
        <f>IFERROR(__xludf.DUMMYFUNCTION("GOOGLETRANSLATE(B113, ""en"", ""hi"")"),"सिलंबम छड़ी को ऐतिहासिक रूप से शरीर के किस अंग का विस्तार माना जाता था?")</f>
        <v>सिलंबम छड़ी को ऐतिहासिक रूप से शरीर के किस अंग का विस्तार माना जाता था?</v>
      </c>
      <c r="H113" s="5" t="str">
        <f>IFERROR(__xludf.DUMMYFUNCTION("GOOGLETRANSLATE(C113, ""en"", ""hi"")"),"A) भुजा, B) पैर, C) कंधा, D) गर्दन")</f>
        <v>A) भुजा, B) पैर, C) कंधा, D) गर्दन</v>
      </c>
      <c r="I113" s="5" t="str">
        <f>IFERROR(__xludf.DUMMYFUNCTION("GOOGLETRANSLATE(D113, ""en"", ""hi"")"),"ए) भुजा")</f>
        <v>ए) भुजा</v>
      </c>
    </row>
    <row r="114" ht="22.5" customHeight="1">
      <c r="A114" s="3">
        <v>113.0</v>
      </c>
      <c r="B114" s="4" t="s">
        <v>9806</v>
      </c>
      <c r="C114" s="4" t="s">
        <v>9807</v>
      </c>
      <c r="D114" s="4" t="s">
        <v>9808</v>
      </c>
      <c r="F114" s="5" t="str">
        <f>IFERROR(__xludf.DUMMYFUNCTION("GOOGLETRANSLATE(A114, ""en"", ""hi"")"),"113")</f>
        <v>113</v>
      </c>
      <c r="G114" s="5" t="str">
        <f>IFERROR(__xludf.DUMMYFUNCTION("GOOGLETRANSLATE(B114, ""en"", ""hi"")"),"तमिल सैनिकों को सिलंबम तकनीक सिखाने का श्रेय अक्सर किस ऐतिहासिक व्यक्ति को दिया जाता है?")</f>
        <v>तमिल सैनिकों को सिलंबम तकनीक सिखाने का श्रेय अक्सर किस ऐतिहासिक व्यक्ति को दिया जाता है?</v>
      </c>
      <c r="H114" s="5" t="str">
        <f>IFERROR(__xludf.DUMMYFUNCTION("GOOGLETRANSLATE(C114, ""en"", ""hi"")"),"ए) ऋषि अगस्त्य, बी) भोगर, सी) पतंजलि, डी) वल्लुवन")</f>
        <v>ए) ऋषि अगस्त्य, बी) भोगर, सी) पतंजलि, डी) वल्लुवन</v>
      </c>
      <c r="I114" s="5" t="str">
        <f>IFERROR(__xludf.DUMMYFUNCTION("GOOGLETRANSLATE(D114, ""en"", ""hi"")"),"A) ऋषि अगस्त्य")</f>
        <v>A) ऋषि अगस्त्य</v>
      </c>
    </row>
    <row r="115" ht="22.5" customHeight="1">
      <c r="A115" s="3">
        <v>114.0</v>
      </c>
      <c r="B115" s="4" t="s">
        <v>9809</v>
      </c>
      <c r="C115" s="4" t="s">
        <v>9810</v>
      </c>
      <c r="D115" s="4" t="s">
        <v>9811</v>
      </c>
      <c r="F115" s="5" t="str">
        <f>IFERROR(__xludf.DUMMYFUNCTION("GOOGLETRANSLATE(A115, ""en"", ""hi"")"),"114")</f>
        <v>114</v>
      </c>
      <c r="G115" s="5" t="str">
        <f>IFERROR(__xludf.DUMMYFUNCTION("GOOGLETRANSLATE(B115, ""en"", ""hi"")"),"प्राचीन तमिल ग्रंथ 'पुरम' में किस प्रकार के युद्ध में सिलंबम का उपयोग करने वाले योद्धाओं का वर्णन किया गया है?")</f>
        <v>प्राचीन तमिल ग्रंथ 'पुरम' में किस प्रकार के युद्ध में सिलंबम का उपयोग करने वाले योद्धाओं का वर्णन किया गया है?</v>
      </c>
      <c r="H115" s="5" t="str">
        <f>IFERROR(__xludf.DUMMYFUNCTION("GOOGLETRANSLATE(C115, ""en"", ""hi"")"),"A) नौसैनिक युद्ध, B) गुरिल्ला युद्ध, C) हाथ से हाथ का मुकाबला, D) अनुष्ठानिक युद्ध")</f>
        <v>A) नौसैनिक युद्ध, B) गुरिल्ला युद्ध, C) हाथ से हाथ का मुकाबला, D) अनुष्ठानिक युद्ध</v>
      </c>
      <c r="I115" s="5" t="str">
        <f>IFERROR(__xludf.DUMMYFUNCTION("GOOGLETRANSLATE(D115, ""en"", ""hi"")"),"सी) हाथ से हाथ का मुकाबला")</f>
        <v>सी) हाथ से हाथ का मुकाबला</v>
      </c>
    </row>
    <row r="116" ht="22.5" customHeight="1">
      <c r="A116" s="3">
        <v>115.0</v>
      </c>
      <c r="B116" s="4" t="s">
        <v>9812</v>
      </c>
      <c r="C116" s="4" t="s">
        <v>9813</v>
      </c>
      <c r="D116" s="4" t="s">
        <v>9814</v>
      </c>
      <c r="F116" s="5" t="str">
        <f>IFERROR(__xludf.DUMMYFUNCTION("GOOGLETRANSLATE(A116, ""en"", ""hi"")"),"115")</f>
        <v>115</v>
      </c>
      <c r="G116" s="5" t="str">
        <f>IFERROR(__xludf.DUMMYFUNCTION("GOOGLETRANSLATE(B116, ""en"", ""hi"")"),"प्राचीन तमिलनाडु में सिलंबम का पारंपरिक रूप से किस प्रकार के वातावरण में अभ्यास किया जाता था?")</f>
        <v>प्राचीन तमिलनाडु में सिलंबम का पारंपरिक रूप से किस प्रकार के वातावरण में अभ्यास किया जाता था?</v>
      </c>
      <c r="H116" s="5" t="str">
        <f>IFERROR(__xludf.DUMMYFUNCTION("GOOGLETRANSLATE(C116, ""en"", ""hi"")"),"A) मंदिर, B) गाँव, C) खुले मैदान, D) शाही दरबार")</f>
        <v>A) मंदिर, B) गाँव, C) खुले मैदान, D) शाही दरबार</v>
      </c>
      <c r="I116" s="5" t="str">
        <f>IFERROR(__xludf.DUMMYFUNCTION("GOOGLETRANSLATE(D116, ""en"", ""hi"")"),"सी) खुले मैदान")</f>
        <v>सी) खुले मैदान</v>
      </c>
    </row>
    <row r="117" ht="22.5" customHeight="1">
      <c r="A117" s="3">
        <v>116.0</v>
      </c>
      <c r="B117" s="4" t="s">
        <v>9815</v>
      </c>
      <c r="C117" s="4" t="s">
        <v>9816</v>
      </c>
      <c r="D117" s="4" t="s">
        <v>9817</v>
      </c>
      <c r="F117" s="5" t="str">
        <f>IFERROR(__xludf.DUMMYFUNCTION("GOOGLETRANSLATE(A117, ""en"", ""hi"")"),"116")</f>
        <v>116</v>
      </c>
      <c r="G117" s="5" t="str">
        <f>IFERROR(__xludf.DUMMYFUNCTION("GOOGLETRANSLATE(B117, ""en"", ""hi"")"),"सिलंबम किस राज्य की सेना के सैनिकों द्वारा प्रचलित मार्शल आर्ट में से एक थी?")</f>
        <v>सिलंबम किस राज्य की सेना के सैनिकों द्वारा प्रचलित मार्शल आर्ट में से एक थी?</v>
      </c>
      <c r="H117" s="5" t="str">
        <f>IFERROR(__xludf.DUMMYFUNCTION("GOOGLETRANSLATE(C117, ""en"", ""hi"")"),"A) चोल साम्राज्य, B) विजयनगर साम्राज्य, C) पांड्य, D) नायक")</f>
        <v>A) चोल साम्राज्य, B) विजयनगर साम्राज्य, C) पांड्य, D) नायक</v>
      </c>
      <c r="I117" s="5" t="str">
        <f>IFERROR(__xludf.DUMMYFUNCTION("GOOGLETRANSLATE(D117, ""en"", ""hi"")"),"A) चोल साम्राज्य")</f>
        <v>A) चोल साम्राज्य</v>
      </c>
    </row>
    <row r="118" ht="22.5" customHeight="1">
      <c r="A118" s="3">
        <v>117.0</v>
      </c>
      <c r="B118" s="4" t="s">
        <v>9818</v>
      </c>
      <c r="C118" s="4" t="s">
        <v>9819</v>
      </c>
      <c r="D118" s="4" t="s">
        <v>9820</v>
      </c>
      <c r="F118" s="5" t="str">
        <f>IFERROR(__xludf.DUMMYFUNCTION("GOOGLETRANSLATE(A118, ""en"", ""hi"")"),"117")</f>
        <v>117</v>
      </c>
      <c r="G118" s="5" t="str">
        <f>IFERROR(__xludf.DUMMYFUNCTION("GOOGLETRANSLATE(B118, ""en"", ""hi"")"),"प्राचीन तमिलनाडु में सिलंबम का उपयोग युद्ध और अन्य किस पारंपरिक उद्देश्य के लिए किया जाता था?")</f>
        <v>प्राचीन तमिलनाडु में सिलंबम का उपयोग युद्ध और अन्य किस पारंपरिक उद्देश्य के लिए किया जाता था?</v>
      </c>
      <c r="H118" s="5" t="str">
        <f>IFERROR(__xludf.DUMMYFUNCTION("GOOGLETRANSLATE(C118, ""en"", ""hi"")"),"A) खेती, B) आत्मरक्षा, C) अनुष्ठानिक नृत्य, D) पशुपालन")</f>
        <v>A) खेती, B) आत्मरक्षा, C) अनुष्ठानिक नृत्य, D) पशुपालन</v>
      </c>
      <c r="I118" s="5" t="str">
        <f>IFERROR(__xludf.DUMMYFUNCTION("GOOGLETRANSLATE(D118, ""en"", ""hi"")"),"बी) आत्मरक्षा")</f>
        <v>बी) आत्मरक्षा</v>
      </c>
    </row>
    <row r="119" ht="22.5" customHeight="1">
      <c r="A119" s="3">
        <v>118.0</v>
      </c>
      <c r="B119" s="4" t="s">
        <v>9821</v>
      </c>
      <c r="C119" s="4" t="s">
        <v>9822</v>
      </c>
      <c r="D119" s="4" t="s">
        <v>2972</v>
      </c>
      <c r="F119" s="5" t="str">
        <f>IFERROR(__xludf.DUMMYFUNCTION("GOOGLETRANSLATE(A119, ""en"", ""hi"")"),"118")</f>
        <v>118</v>
      </c>
      <c r="G119" s="5" t="str">
        <f>IFERROR(__xludf.DUMMYFUNCTION("GOOGLETRANSLATE(B119, ""en"", ""hi"")"),"ऐसा माना जाता था कि सिलंबम योद्धाओं के लिए महत्वपूर्ण कौन सी शारीरिक क्षमता को बढ़ाता था?")</f>
        <v>ऐसा माना जाता था कि सिलंबम योद्धाओं के लिए महत्वपूर्ण कौन सी शारीरिक क्षमता को बढ़ाता था?</v>
      </c>
      <c r="H119" s="5" t="str">
        <f>IFERROR(__xludf.DUMMYFUNCTION("GOOGLETRANSLATE(C119, ""en"", ""hi"")"),"A) ताकत, B) लचीलापन, C) चपलता, D) धीरज")</f>
        <v>A) ताकत, B) लचीलापन, C) चपलता, D) धीरज</v>
      </c>
      <c r="I119" s="5" t="str">
        <f>IFERROR(__xludf.DUMMYFUNCTION("GOOGLETRANSLATE(D119, ""en"", ""hi"")"),"सी) चपलता")</f>
        <v>सी) चपलता</v>
      </c>
    </row>
    <row r="120" ht="22.5" customHeight="1">
      <c r="A120" s="3">
        <v>119.0</v>
      </c>
      <c r="B120" s="4" t="s">
        <v>9823</v>
      </c>
      <c r="C120" s="4" t="s">
        <v>9824</v>
      </c>
      <c r="D120" s="4" t="s">
        <v>9825</v>
      </c>
      <c r="F120" s="5" t="str">
        <f>IFERROR(__xludf.DUMMYFUNCTION("GOOGLETRANSLATE(A120, ""en"", ""hi"")"),"119")</f>
        <v>119</v>
      </c>
      <c r="G120" s="5" t="str">
        <f>IFERROR(__xludf.DUMMYFUNCTION("GOOGLETRANSLATE(B120, ""en"", ""hi"")"),"किस ऐतिहासिक तमिल कवि ने अपनी रचनाओं में सिलंबम का उल्लेख किया है?")</f>
        <v>किस ऐतिहासिक तमिल कवि ने अपनी रचनाओं में सिलंबम का उल्लेख किया है?</v>
      </c>
      <c r="H120" s="5" t="str">
        <f>IFERROR(__xludf.DUMMYFUNCTION("GOOGLETRANSLATE(C120, ""en"", ""hi"")"),"ए) तिरुवल्लुवर, बी) कंबार, सी) अव्वैयार, डी) इलंगो आदिगल")</f>
        <v>ए) तिरुवल्लुवर, बी) कंबार, सी) अव्वैयार, डी) इलंगो आदिगल</v>
      </c>
      <c r="I120" s="5" t="str">
        <f>IFERROR(__xludf.DUMMYFUNCTION("GOOGLETRANSLATE(D120, ""en"", ""hi"")"),"D) इलंगो अडिगाल")</f>
        <v>D) इलंगो अडिगाल</v>
      </c>
    </row>
    <row r="121" ht="22.5" customHeight="1">
      <c r="A121" s="3">
        <v>120.0</v>
      </c>
      <c r="B121" s="4" t="s">
        <v>9826</v>
      </c>
      <c r="C121" s="4" t="s">
        <v>9827</v>
      </c>
      <c r="D121" s="4" t="s">
        <v>9828</v>
      </c>
      <c r="F121" s="5" t="str">
        <f>IFERROR(__xludf.DUMMYFUNCTION("GOOGLETRANSLATE(A121, ""en"", ""hi"")"),"120")</f>
        <v>120</v>
      </c>
      <c r="G121" s="5" t="str">
        <f>IFERROR(__xludf.DUMMYFUNCTION("GOOGLETRANSLATE(B121, ""en"", ""hi"")"),"सिलंबम छड़ी का उपयोग किस प्रकार की शारीरिक गतिविधि के साथ किया जाता था?")</f>
        <v>सिलंबम छड़ी का उपयोग किस प्रकार की शारीरिक गतिविधि के साथ किया जाता था?</v>
      </c>
      <c r="H121" s="5" t="str">
        <f>IFERROR(__xludf.DUMMYFUNCTION("GOOGLETRANSLATE(C121, ""en"", ""hi"")"),"A) छलांग, B) लुढ़कना, C) घूमना, D) रेंगना")</f>
        <v>A) छलांग, B) लुढ़कना, C) घूमना, D) रेंगना</v>
      </c>
      <c r="I121" s="5" t="str">
        <f>IFERROR(__xludf.DUMMYFUNCTION("GOOGLETRANSLATE(D121, ""en"", ""hi"")"),"सी) स्पिन")</f>
        <v>सी) स्पिन</v>
      </c>
    </row>
    <row r="122" ht="22.5" customHeight="1">
      <c r="A122" s="3">
        <v>121.0</v>
      </c>
      <c r="B122" s="4" t="s">
        <v>9829</v>
      </c>
      <c r="C122" s="4" t="s">
        <v>9830</v>
      </c>
      <c r="D122" s="4" t="s">
        <v>9831</v>
      </c>
      <c r="F122" s="5" t="str">
        <f>IFERROR(__xludf.DUMMYFUNCTION("GOOGLETRANSLATE(A122, ""en"", ""hi"")"),"121")</f>
        <v>121</v>
      </c>
      <c r="G122" s="5" t="str">
        <f>IFERROR(__xludf.DUMMYFUNCTION("GOOGLETRANSLATE(B122, ""en"", ""hi"")"),"प्राचीन तमिलनाडु में आत्मरक्षा के लिए किस लिंग को भी सिलंबम प्रशिक्षण दिया जाता था?")</f>
        <v>प्राचीन तमिलनाडु में आत्मरक्षा के लिए किस लिंग को भी सिलंबम प्रशिक्षण दिया जाता था?</v>
      </c>
      <c r="H122" s="5" t="str">
        <f>IFERROR(__xludf.DUMMYFUNCTION("GOOGLETRANSLATE(C122, ""en"", ""hi"")"),"A) केवल पुरुष, B) केवल महिलाएं, C) पुरुष और महिला दोनों, D) केवल योद्धा")</f>
        <v>A) केवल पुरुष, B) केवल महिलाएं, C) पुरुष और महिला दोनों, D) केवल योद्धा</v>
      </c>
      <c r="I122" s="5" t="str">
        <f>IFERROR(__xludf.DUMMYFUNCTION("GOOGLETRANSLATE(D122, ""en"", ""hi"")"),"C) पुरुष और महिला दोनों")</f>
        <v>C) पुरुष और महिला दोनों</v>
      </c>
    </row>
    <row r="123" ht="22.5" customHeight="1">
      <c r="A123" s="3">
        <v>122.0</v>
      </c>
      <c r="B123" s="4" t="s">
        <v>9832</v>
      </c>
      <c r="C123" s="4" t="s">
        <v>9833</v>
      </c>
      <c r="D123" s="4" t="s">
        <v>9834</v>
      </c>
      <c r="F123" s="5" t="str">
        <f>IFERROR(__xludf.DUMMYFUNCTION("GOOGLETRANSLATE(A123, ""en"", ""hi"")"),"122")</f>
        <v>122</v>
      </c>
      <c r="G123" s="5" t="str">
        <f>IFERROR(__xludf.DUMMYFUNCTION("GOOGLETRANSLATE(B123, ""en"", ""hi"")"),"चोल शासनकाल के दौरान किस प्रसिद्ध युद्ध में पैदल सेना इकाइयों द्वारा सिलंबम का व्यापक उपयोग देखा गया था?")</f>
        <v>चोल शासनकाल के दौरान किस प्रसिद्ध युद्ध में पैदल सेना इकाइयों द्वारा सिलंबम का व्यापक उपयोग देखा गया था?</v>
      </c>
      <c r="H123" s="5" t="str">
        <f>IFERROR(__xludf.DUMMYFUNCTION("GOOGLETRANSLATE(C123, ""en"", ""hi"")"),"ए) तक्कोलम की लड़ाई, बी) कलिंग की लड़ाई, सी) पुलिकट की लड़ाई, डी) मदुरै की लड़ाई")</f>
        <v>ए) तक्कोलम की लड़ाई, बी) कलिंग की लड़ाई, सी) पुलिकट की लड़ाई, डी) मदुरै की लड़ाई</v>
      </c>
      <c r="I123" s="5" t="str">
        <f>IFERROR(__xludf.DUMMYFUNCTION("GOOGLETRANSLATE(D123, ""en"", ""hi"")"),"A) तक्कोलम की लड़ाई")</f>
        <v>A) तक्कोलम की लड़ाई</v>
      </c>
    </row>
    <row r="124" ht="22.5" customHeight="1">
      <c r="A124" s="3">
        <v>123.0</v>
      </c>
      <c r="B124" s="4" t="s">
        <v>9835</v>
      </c>
      <c r="C124" s="4" t="s">
        <v>9836</v>
      </c>
      <c r="D124" s="4" t="s">
        <v>9837</v>
      </c>
      <c r="F124" s="5" t="str">
        <f>IFERROR(__xludf.DUMMYFUNCTION("GOOGLETRANSLATE(A124, ""en"", ""hi"")"),"123")</f>
        <v>123</v>
      </c>
      <c r="G124" s="5" t="str">
        <f>IFERROR(__xludf.DUMMYFUNCTION("GOOGLETRANSLATE(B124, ""en"", ""hi"")"),"सिलंबम को न केवल एक युद्ध कला, बल्कि एक आध्यात्मिक साधना भी माना जाता था। ऐसा माना जाता था कि इससे किसकी साधना की जाती थी?")</f>
        <v>सिलंबम को न केवल एक युद्ध कला, बल्कि एक आध्यात्मिक साधना भी माना जाता था। ऐसा माना जाता था कि इससे किसकी साधना की जाती थी?</v>
      </c>
      <c r="H124" s="5" t="str">
        <f>IFERROR(__xludf.DUMMYFUNCTION("GOOGLETRANSLATE(C124, ""en"", ""hi"")"),"A) शांति, B) अनुशासन, C) धन, D) स्वास्थ्य")</f>
        <v>A) शांति, B) अनुशासन, C) धन, D) स्वास्थ्य</v>
      </c>
      <c r="I124" s="5" t="str">
        <f>IFERROR(__xludf.DUMMYFUNCTION("GOOGLETRANSLATE(D124, ""en"", ""hi"")"),"बी) अनुशासन")</f>
        <v>बी) अनुशासन</v>
      </c>
    </row>
    <row r="125" ht="22.5" customHeight="1">
      <c r="A125" s="3">
        <v>124.0</v>
      </c>
      <c r="B125" s="4" t="s">
        <v>9838</v>
      </c>
      <c r="C125" s="4" t="s">
        <v>9839</v>
      </c>
      <c r="D125" s="4" t="s">
        <v>9840</v>
      </c>
      <c r="F125" s="5" t="str">
        <f>IFERROR(__xludf.DUMMYFUNCTION("GOOGLETRANSLATE(A125, ""en"", ""hi"")"),"124")</f>
        <v>124</v>
      </c>
      <c r="G125" s="5" t="str">
        <f>IFERROR(__xludf.DUMMYFUNCTION("GOOGLETRANSLATE(B125, ""en"", ""hi"")"),"सिलंबम पर प्रारंभिक ग्रंथों में इसे किस मानसिक विशेषता को विकसित करने के साधन के रूप में संदर्भित किया गया है?")</f>
        <v>सिलंबम पर प्रारंभिक ग्रंथों में इसे किस मानसिक विशेषता को विकसित करने के साधन के रूप में संदर्भित किया गया है?</v>
      </c>
      <c r="H125" s="5" t="str">
        <f>IFERROR(__xludf.DUMMYFUNCTION("GOOGLETRANSLATE(C125, ""en"", ""hi"")"),"A) बुद्धिमत्ता, B) फोकस, C) सहानुभूति, D) धैर्य")</f>
        <v>A) बुद्धिमत्ता, B) फोकस, C) सहानुभूति, D) धैर्य</v>
      </c>
      <c r="I125" s="5" t="str">
        <f>IFERROR(__xludf.DUMMYFUNCTION("GOOGLETRANSLATE(D125, ""en"", ""hi"")"),"बी) फोकस")</f>
        <v>बी) फोकस</v>
      </c>
    </row>
    <row r="126" ht="22.5" customHeight="1">
      <c r="A126" s="3">
        <v>125.0</v>
      </c>
      <c r="B126" s="4" t="s">
        <v>9841</v>
      </c>
      <c r="C126" s="4" t="s">
        <v>9842</v>
      </c>
      <c r="D126" s="4" t="s">
        <v>9843</v>
      </c>
      <c r="F126" s="5" t="str">
        <f>IFERROR(__xludf.DUMMYFUNCTION("GOOGLETRANSLATE(A126, ""en"", ""hi"")"),"125")</f>
        <v>125</v>
      </c>
      <c r="G126" s="5" t="str">
        <f>IFERROR(__xludf.DUMMYFUNCTION("GOOGLETRANSLATE(B126, ""en"", ""hi"")"),"ऐतिहासिक रूप से सिलंबम अभ्यासकर्ता प्रशिक्षण के दौरान क्या पहनने के लिए जाने जाते थे?")</f>
        <v>ऐतिहासिक रूप से सिलंबम अभ्यासकर्ता प्रशिक्षण के दौरान क्या पहनने के लिए जाने जाते थे?</v>
      </c>
      <c r="H126" s="5" t="str">
        <f>IFERROR(__xludf.DUMMYFUNCTION("GOOGLETRANSLATE(C126, ""en"", ""hi"")"),"A) कवच, B) साधारण वस्त्र, C) पशुओं की खाल, D) सूती धोती")</f>
        <v>A) कवच, B) साधारण वस्त्र, C) पशुओं की खाल, D) सूती धोती</v>
      </c>
      <c r="I126" s="5" t="str">
        <f>IFERROR(__xludf.DUMMYFUNCTION("GOOGLETRANSLATE(D126, ""en"", ""hi"")"),"D) सूती धोती")</f>
        <v>D) सूती धोती</v>
      </c>
    </row>
    <row r="127" ht="22.5" customHeight="1">
      <c r="A127" s="3">
        <v>126.0</v>
      </c>
      <c r="B127" s="4" t="s">
        <v>9844</v>
      </c>
      <c r="C127" s="4" t="s">
        <v>9845</v>
      </c>
      <c r="D127" s="4" t="s">
        <v>9846</v>
      </c>
      <c r="F127" s="5" t="str">
        <f>IFERROR(__xludf.DUMMYFUNCTION("GOOGLETRANSLATE(A127, ""en"", ""hi"")"),"126")</f>
        <v>126</v>
      </c>
      <c r="G127" s="5" t="str">
        <f>IFERROR(__xludf.DUMMYFUNCTION("GOOGLETRANSLATE(B127, ""en"", ""hi"")"),"किस तमिल विद्वान के बारे में कहा जाता है कि उन्होंने संगम काल के दौरान सिलंबम की शिक्षा को औपचारिक रूप दिया था?")</f>
        <v>किस तमिल विद्वान के बारे में कहा जाता है कि उन्होंने संगम काल के दौरान सिलंबम की शिक्षा को औपचारिक रूप दिया था?</v>
      </c>
      <c r="H127" s="5" t="str">
        <f>IFERROR(__xludf.DUMMYFUNCTION("GOOGLETRANSLATE(C127, ""en"", ""hi"")"),"ए) अव्वैयार, बी) भारती, सी) अगस्त्य, डी) थोलकाप्पियार")</f>
        <v>ए) अव्वैयार, बी) भारती, सी) अगस्त्य, डी) थोलकाप्पियार</v>
      </c>
      <c r="I127" s="5" t="str">
        <f>IFERROR(__xludf.DUMMYFUNCTION("GOOGLETRANSLATE(D127, ""en"", ""hi"")"),"C) अगस्त्य")</f>
        <v>C) अगस्त्य</v>
      </c>
    </row>
    <row r="128" ht="22.5" customHeight="1">
      <c r="A128" s="3">
        <v>127.0</v>
      </c>
      <c r="B128" s="4" t="s">
        <v>9847</v>
      </c>
      <c r="C128" s="4" t="s">
        <v>9848</v>
      </c>
      <c r="D128" s="4" t="s">
        <v>9849</v>
      </c>
      <c r="F128" s="5" t="str">
        <f>IFERROR(__xludf.DUMMYFUNCTION("GOOGLETRANSLATE(A128, ""en"", ""hi"")"),"127")</f>
        <v>127</v>
      </c>
      <c r="G128" s="5" t="str">
        <f>IFERROR(__xludf.DUMMYFUNCTION("GOOGLETRANSLATE(B128, ""en"", ""hi"")"),"सिलंबम ने तमिल भूमि पर किस साम्राज्य के आक्रमण का विरोध करने में महत्वपूर्ण भूमिका निभाई?")</f>
        <v>सिलंबम ने तमिल भूमि पर किस साम्राज्य के आक्रमण का विरोध करने में महत्वपूर्ण भूमिका निभाई?</v>
      </c>
      <c r="H128" s="5" t="str">
        <f>IFERROR(__xludf.DUMMYFUNCTION("GOOGLETRANSLATE(C128, ""en"", ""hi"")"),"A) मुगल साम्राज्य, B) विजयनगर साम्राज्य, C) मराठा साम्राज्य, D) ब्रिटिश साम्राज्य")</f>
        <v>A) मुगल साम्राज्य, B) विजयनगर साम्राज्य, C) मराठा साम्राज्य, D) ब्रिटिश साम्राज्य</v>
      </c>
      <c r="I128" s="5" t="str">
        <f>IFERROR(__xludf.DUMMYFUNCTION("GOOGLETRANSLATE(D128, ""en"", ""hi"")"),"D) ब्रिटिश साम्राज्य")</f>
        <v>D) ब्रिटिश साम्राज्य</v>
      </c>
    </row>
    <row r="129" ht="22.5" customHeight="1">
      <c r="A129" s="3">
        <v>128.0</v>
      </c>
      <c r="B129" s="4" t="s">
        <v>9850</v>
      </c>
      <c r="C129" s="4" t="s">
        <v>9851</v>
      </c>
      <c r="D129" s="4" t="s">
        <v>9852</v>
      </c>
      <c r="F129" s="5" t="str">
        <f>IFERROR(__xludf.DUMMYFUNCTION("GOOGLETRANSLATE(A129, ""en"", ""hi"")"),"128")</f>
        <v>128</v>
      </c>
      <c r="G129" s="5" t="str">
        <f>IFERROR(__xludf.DUMMYFUNCTION("GOOGLETRANSLATE(B129, ""en"", ""hi"")"),"सार्वजनिक प्रदर्शनों में सिलंबम का प्रयोग किस युग में लोकप्रिय हुआ?")</f>
        <v>सार्वजनिक प्रदर्शनों में सिलंबम का प्रयोग किस युग में लोकप्रिय हुआ?</v>
      </c>
      <c r="H129" s="5" t="str">
        <f>IFERROR(__xludf.DUMMYFUNCTION("GOOGLETRANSLATE(C129, ""en"", ""hi"")"),"ए) पल्लव युग, बी) संगम युग, सी) विजयनगर युग, डी) नायक युग")</f>
        <v>ए) पल्लव युग, बी) संगम युग, सी) विजयनगर युग, डी) नायक युग</v>
      </c>
      <c r="I129" s="5" t="str">
        <f>IFERROR(__xludf.DUMMYFUNCTION("GOOGLETRANSLATE(D129, ""en"", ""hi"")"),"C) विजयनगर युग")</f>
        <v>C) विजयनगर युग</v>
      </c>
    </row>
    <row r="130" ht="22.5" customHeight="1">
      <c r="A130" s="3">
        <v>129.0</v>
      </c>
      <c r="B130" s="4" t="s">
        <v>9853</v>
      </c>
      <c r="C130" s="4" t="s">
        <v>9854</v>
      </c>
      <c r="D130" s="4" t="s">
        <v>9855</v>
      </c>
      <c r="F130" s="5" t="str">
        <f>IFERROR(__xludf.DUMMYFUNCTION("GOOGLETRANSLATE(A130, ""en"", ""hi"")"),"129")</f>
        <v>129</v>
      </c>
      <c r="G130" s="5" t="str">
        <f>IFERROR(__xludf.DUMMYFUNCTION("GOOGLETRANSLATE(B130, ""en"", ""hi"")"),"कौन सा तमिल देवता अक्सर सिलंबम और युद्ध से जुड़ा हुआ है?")</f>
        <v>कौन सा तमिल देवता अक्सर सिलंबम और युद्ध से जुड़ा हुआ है?</v>
      </c>
      <c r="H130" s="5" t="str">
        <f>IFERROR(__xludf.DUMMYFUNCTION("GOOGLETRANSLATE(C130, ""en"", ""hi"")"),"A) भगवान मुरुगन, B) भगवान शिव, C) भगवान विष्णु, D) भगवान इंद्र")</f>
        <v>A) भगवान मुरुगन, B) भगवान शिव, C) भगवान विष्णु, D) भगवान इंद्र</v>
      </c>
      <c r="I130" s="5" t="str">
        <f>IFERROR(__xludf.DUMMYFUNCTION("GOOGLETRANSLATE(D130, ""en"", ""hi"")"),"A) भगवान मुरुगन")</f>
        <v>A) भगवान मुरुगन</v>
      </c>
    </row>
    <row r="131" ht="22.5" customHeight="1">
      <c r="A131" s="3">
        <v>130.0</v>
      </c>
      <c r="B131" s="4" t="s">
        <v>9856</v>
      </c>
      <c r="C131" s="4" t="s">
        <v>9857</v>
      </c>
      <c r="D131" s="4" t="s">
        <v>4512</v>
      </c>
      <c r="F131" s="5" t="str">
        <f>IFERROR(__xludf.DUMMYFUNCTION("GOOGLETRANSLATE(A131, ""en"", ""hi"")"),"130")</f>
        <v>130</v>
      </c>
      <c r="G131" s="5" t="str">
        <f>IFERROR(__xludf.DUMMYFUNCTION("GOOGLETRANSLATE(B131, ""en"", ""hi"")"),"सिलंबम तकनीक पारंपरिक रूप से किस प्रकार के संचरण के माध्यम से आगे बढ़ाई गई?")</f>
        <v>सिलंबम तकनीक पारंपरिक रूप से किस प्रकार के संचरण के माध्यम से आगे बढ़ाई गई?</v>
      </c>
      <c r="H131" s="5" t="str">
        <f>IFERROR(__xludf.DUMMYFUNCTION("GOOGLETRANSLATE(C131, ""en"", ""hi"")"),"A) लिखित ग्रंथ, B) मौखिक परंपरा, C) मंदिर शिलालेख, D) शाही फरमान")</f>
        <v>A) लिखित ग्रंथ, B) मौखिक परंपरा, C) मंदिर शिलालेख, D) शाही फरमान</v>
      </c>
      <c r="I131" s="5" t="str">
        <f>IFERROR(__xludf.DUMMYFUNCTION("GOOGLETRANSLATE(D131, ""en"", ""hi"")"),"बी) मौखिक परंपरा")</f>
        <v>बी) मौखिक परंपरा</v>
      </c>
    </row>
    <row r="132" ht="22.5" customHeight="1">
      <c r="A132" s="3">
        <v>131.0</v>
      </c>
      <c r="B132" s="4" t="s">
        <v>9858</v>
      </c>
      <c r="C132" s="4" t="s">
        <v>9859</v>
      </c>
      <c r="D132" s="4" t="s">
        <v>4854</v>
      </c>
      <c r="F132" s="5" t="str">
        <f>IFERROR(__xludf.DUMMYFUNCTION("GOOGLETRANSLATE(A132, ""en"", ""hi"")"),"131")</f>
        <v>131</v>
      </c>
      <c r="G132" s="5" t="str">
        <f>IFERROR(__xludf.DUMMYFUNCTION("GOOGLETRANSLATE(B132, ""en"", ""hi"")"),"तमिलनाडु के किस त्यौहार में अक्सर सिलंबम का प्रदर्शन शामिल होता है?")</f>
        <v>तमिलनाडु के किस त्यौहार में अक्सर सिलंबम का प्रदर्शन शामिल होता है?</v>
      </c>
      <c r="H132" s="5" t="str">
        <f>IFERROR(__xludf.DUMMYFUNCTION("GOOGLETRANSLATE(C132, ""en"", ""hi"")"),"ए) पोंगल, बी) दिवाली, सी) नवरात्रि, डी) थाईपुसम")</f>
        <v>ए) पोंगल, बी) दिवाली, सी) नवरात्रि, डी) थाईपुसम</v>
      </c>
      <c r="I132" s="5" t="str">
        <f>IFERROR(__xludf.DUMMYFUNCTION("GOOGLETRANSLATE(D132, ""en"", ""hi"")"),"ए) पोंगल")</f>
        <v>ए) पोंगल</v>
      </c>
    </row>
    <row r="133" ht="22.5" customHeight="1">
      <c r="A133" s="3">
        <v>132.0</v>
      </c>
      <c r="B133" s="4" t="s">
        <v>9860</v>
      </c>
      <c r="C133" s="4" t="s">
        <v>9861</v>
      </c>
      <c r="D133" s="4" t="s">
        <v>9862</v>
      </c>
      <c r="F133" s="5" t="str">
        <f>IFERROR(__xludf.DUMMYFUNCTION("GOOGLETRANSLATE(A133, ""en"", ""hi"")"),"132")</f>
        <v>132</v>
      </c>
      <c r="G133" s="5" t="str">
        <f>IFERROR(__xludf.DUMMYFUNCTION("GOOGLETRANSLATE(B133, ""en"", ""hi"")"),"सिलंबम छड़ी का कौन सा हिस्सा वार करने के लिए सबसे खतरनाक माना जाता है?")</f>
        <v>सिलंबम छड़ी का कौन सा हिस्सा वार करने के लिए सबसे खतरनाक माना जाता है?</v>
      </c>
      <c r="H133" s="5" t="str">
        <f>IFERROR(__xludf.DUMMYFUNCTION("GOOGLETRANSLATE(C133, ""en"", ""hi"")"),"A) सिरा, B) मध्य, C) आधार, D) किनारे")</f>
        <v>A) सिरा, B) मध्य, C) आधार, D) किनारे</v>
      </c>
      <c r="I133" s="5" t="str">
        <f>IFERROR(__xludf.DUMMYFUNCTION("GOOGLETRANSLATE(D133, ""en"", ""hi"")"),"एक नोक")</f>
        <v>एक नोक</v>
      </c>
    </row>
    <row r="134" ht="22.5" customHeight="1">
      <c r="A134" s="3">
        <v>133.0</v>
      </c>
      <c r="B134" s="4" t="s">
        <v>9863</v>
      </c>
      <c r="C134" s="4" t="s">
        <v>9864</v>
      </c>
      <c r="D134" s="4" t="s">
        <v>9865</v>
      </c>
      <c r="F134" s="5" t="str">
        <f>IFERROR(__xludf.DUMMYFUNCTION("GOOGLETRANSLATE(A134, ""en"", ""hi"")"),"133")</f>
        <v>133</v>
      </c>
      <c r="G134" s="5" t="str">
        <f>IFERROR(__xludf.DUMMYFUNCTION("GOOGLETRANSLATE(B134, ""en"", ""hi"")"),"किस तमिल योद्धा रानी को सिलंबम में निपुण कहा जाता था?")</f>
        <v>किस तमिल योद्धा रानी को सिलंबम में निपुण कहा जाता था?</v>
      </c>
      <c r="H134" s="5" t="str">
        <f>IFERROR(__xludf.DUMMYFUNCTION("GOOGLETRANSLATE(C134, ""en"", ""hi"")"),"ए) वेलु नचियार, बी) रानी मंगम्मल, सी) कुंडवई, डी) मीनाक्षी")</f>
        <v>ए) वेलु नचियार, बी) रानी मंगम्मल, सी) कुंडवई, डी) मीनाक्षी</v>
      </c>
      <c r="I134" s="5" t="str">
        <f>IFERROR(__xludf.DUMMYFUNCTION("GOOGLETRANSLATE(D134, ""en"", ""hi"")"),"A) वेलु नाचियार")</f>
        <v>A) वेलु नाचियार</v>
      </c>
    </row>
    <row r="135" ht="22.5" customHeight="1">
      <c r="A135" s="3">
        <v>134.0</v>
      </c>
      <c r="B135" s="4" t="s">
        <v>9866</v>
      </c>
      <c r="C135" s="4" t="s">
        <v>9867</v>
      </c>
      <c r="D135" s="4" t="s">
        <v>4043</v>
      </c>
      <c r="F135" s="5" t="str">
        <f>IFERROR(__xludf.DUMMYFUNCTION("GOOGLETRANSLATE(A135, ""en"", ""hi"")"),"134")</f>
        <v>134</v>
      </c>
      <c r="G135" s="5" t="str">
        <f>IFERROR(__xludf.DUMMYFUNCTION("GOOGLETRANSLATE(B135, ""en"", ""hi"")"),"कौन सा तमिल ग्रंथ, जो अक्सर मार्शल आर्ट से जुड़ा होता है, में सिलंबम तकनीक शामिल है?")</f>
        <v>कौन सा तमिल ग्रंथ, जो अक्सर मार्शल आर्ट से जुड़ा होता है, में सिलंबम तकनीक शामिल है?</v>
      </c>
      <c r="H135" s="5" t="str">
        <f>IFERROR(__xludf.DUMMYFUNCTION("GOOGLETRANSLATE(C135, ""en"", ""hi"")"),"ए) कुरल, बी) टोलकाप्पियम, सी) सिलप्पातिकारम, डी) पेरियापुराणम")</f>
        <v>ए) कुरल, बी) टोलकाप्पियम, सी) सिलप्पातिकारम, डी) पेरियापुराणम</v>
      </c>
      <c r="I135" s="5" t="str">
        <f>IFERROR(__xludf.DUMMYFUNCTION("GOOGLETRANSLATE(D135, ""en"", ""hi"")"),"C) सिलप्पाटिकरम")</f>
        <v>C) सिलप्पाटिकरम</v>
      </c>
    </row>
    <row r="136" ht="22.5" customHeight="1">
      <c r="A136" s="3">
        <v>135.0</v>
      </c>
      <c r="B136" s="4" t="s">
        <v>9868</v>
      </c>
      <c r="C136" s="4" t="s">
        <v>9869</v>
      </c>
      <c r="D136" s="4" t="s">
        <v>9870</v>
      </c>
      <c r="F136" s="5" t="str">
        <f>IFERROR(__xludf.DUMMYFUNCTION("GOOGLETRANSLATE(A136, ""en"", ""hi"")"),"135")</f>
        <v>135</v>
      </c>
      <c r="G136" s="5" t="str">
        <f>IFERROR(__xludf.DUMMYFUNCTION("GOOGLETRANSLATE(B136, ""en"", ""hi"")"),"सिलंबम को दुनिया की सबसे पुरानी मार्शल आर्ट में से एक माना जाता है। इसका इतिहास किस शताब्दी का है?")</f>
        <v>सिलंबम को दुनिया की सबसे पुरानी मार्शल आर्ट में से एक माना जाता है। इसका इतिहास किस शताब्दी का है?</v>
      </c>
      <c r="H136" s="5" t="str">
        <f>IFERROR(__xludf.DUMMYFUNCTION("GOOGLETRANSLATE(C136, ""en"", ""hi"")"),"A) पहली शताब्दी ईसा पूर्व, B) तीसरी शताब्दी ईसा पूर्व, C) 5वीं शताब्दी ईस्वी, D) 6ठी शताब्दी ईस्वी")</f>
        <v>A) पहली शताब्दी ईसा पूर्व, B) तीसरी शताब्दी ईसा पूर्व, C) 5वीं शताब्दी ईस्वी, D) 6ठी शताब्दी ईस्वी</v>
      </c>
      <c r="I136" s="5" t="str">
        <f>IFERROR(__xludf.DUMMYFUNCTION("GOOGLETRANSLATE(D136, ""en"", ""hi"")"),"बी) तीसरी शताब्दी ईसा पूर्व")</f>
        <v>बी) तीसरी शताब्दी ईसा पूर्व</v>
      </c>
    </row>
    <row r="137" ht="22.5" customHeight="1">
      <c r="A137" s="3">
        <v>136.0</v>
      </c>
      <c r="B137" s="4" t="s">
        <v>9871</v>
      </c>
      <c r="C137" s="4" t="s">
        <v>9872</v>
      </c>
      <c r="D137" s="4" t="s">
        <v>9873</v>
      </c>
      <c r="F137" s="5" t="str">
        <f>IFERROR(__xludf.DUMMYFUNCTION("GOOGLETRANSLATE(A137, ""en"", ""hi"")"),"136")</f>
        <v>136</v>
      </c>
      <c r="G137" s="5" t="str">
        <f>IFERROR(__xludf.DUMMYFUNCTION("GOOGLETRANSLATE(B137, ""en"", ""hi"")"),"कौन सा प्राचीन तमिल राजा सिलंबम सहित मार्शल आर्ट को बढ़ावा देने के लिए जाना जाता था?")</f>
        <v>कौन सा प्राचीन तमिल राजा सिलंबम सहित मार्शल आर्ट को बढ़ावा देने के लिए जाना जाता था?</v>
      </c>
      <c r="H137" s="5" t="str">
        <f>IFERROR(__xludf.DUMMYFUNCTION("GOOGLETRANSLATE(C137, ""en"", ""hi"")"),"ए) करिकाला चोल, बी) राजराजा चोल, सी) वीरपांडिया कट्टाबोम्मन, डी) मार्तंड वर्मा")</f>
        <v>ए) करिकाला चोल, बी) राजराजा चोल, सी) वीरपांडिया कट्टाबोम्मन, डी) मार्तंड वर्मा</v>
      </c>
      <c r="I137" s="5" t="str">
        <f>IFERROR(__xludf.DUMMYFUNCTION("GOOGLETRANSLATE(D137, ""en"", ""hi"")"),"A) करिकाल चोल")</f>
        <v>A) करिकाल चोल</v>
      </c>
    </row>
    <row r="138" ht="22.5" customHeight="1">
      <c r="A138" s="3">
        <v>137.0</v>
      </c>
      <c r="B138" s="4" t="s">
        <v>9874</v>
      </c>
      <c r="C138" s="4" t="s">
        <v>9875</v>
      </c>
      <c r="D138" s="4" t="s">
        <v>9876</v>
      </c>
      <c r="F138" s="5" t="str">
        <f>IFERROR(__xludf.DUMMYFUNCTION("GOOGLETRANSLATE(A138, ""en"", ""hi"")"),"137")</f>
        <v>137</v>
      </c>
      <c r="G138" s="5" t="str">
        <f>IFERROR(__xludf.DUMMYFUNCTION("GOOGLETRANSLATE(B138, ""en"", ""hi"")"),"किस प्रमुख संघर्ष के दौरान तमिल योद्धाओं द्वारा ब्रिटिश शासन का विरोध करने के लिए सिलंबम का इस्तेमाल किया गया था?")</f>
        <v>किस प्रमुख संघर्ष के दौरान तमिल योद्धाओं द्वारा ब्रिटिश शासन का विरोध करने के लिए सिलंबम का इस्तेमाल किया गया था?</v>
      </c>
      <c r="H138" s="5" t="str">
        <f>IFERROR(__xludf.DUMMYFUNCTION("GOOGLETRANSLATE(C138, ""en"", ""hi"")"),"A) वेल्लोर विद्रोह, B) प्रथम कर्नाटक युद्ध, C) पोलिगर युद्ध, D) प्लासी का युद्ध")</f>
        <v>A) वेल्लोर विद्रोह, B) प्रथम कर्नाटक युद्ध, C) पोलिगर युद्ध, D) प्लासी का युद्ध</v>
      </c>
      <c r="I138" s="5" t="str">
        <f>IFERROR(__xludf.DUMMYFUNCTION("GOOGLETRANSLATE(D138, ""en"", ""hi"")"),"C) पोलिगर युद्ध")</f>
        <v>C) पोलिगर युद्ध</v>
      </c>
    </row>
    <row r="139" ht="22.5" customHeight="1">
      <c r="A139" s="3">
        <v>138.0</v>
      </c>
      <c r="B139" s="4" t="s">
        <v>9877</v>
      </c>
      <c r="C139" s="4" t="s">
        <v>9878</v>
      </c>
      <c r="D139" s="4" t="s">
        <v>9879</v>
      </c>
      <c r="F139" s="5" t="str">
        <f>IFERROR(__xludf.DUMMYFUNCTION("GOOGLETRANSLATE(A139, ""en"", ""hi"")"),"138")</f>
        <v>138</v>
      </c>
      <c r="G139" s="5" t="str">
        <f>IFERROR(__xludf.DUMMYFUNCTION("GOOGLETRANSLATE(B139, ""en"", ""hi"")"),"तमिलनाडु में ऐतिहासिक रूप से सिलंबम को किस शिक्षण पद्धति के माध्यम से आगे बढ़ाया गया?")</f>
        <v>तमिलनाडु में ऐतिहासिक रूप से सिलंबम को किस शिक्षण पद्धति के माध्यम से आगे बढ़ाया गया?</v>
      </c>
      <c r="H139" s="5" t="str">
        <f>IFERROR(__xludf.DUMMYFUNCTION("GOOGLETRANSLATE(C139, ""en"", ""hi"")"),"A) मंदिर, B) मठ, C) मार्शल आर्ट स्कूल, D) पारिवारिक वंश")</f>
        <v>A) मंदिर, B) मठ, C) मार्शल आर्ट स्कूल, D) पारिवारिक वंश</v>
      </c>
      <c r="I139" s="5" t="str">
        <f>IFERROR(__xludf.DUMMYFUNCTION("GOOGLETRANSLATE(D139, ""en"", ""hi"")"),"D) पारिवारिक वंश")</f>
        <v>D) पारिवारिक वंश</v>
      </c>
    </row>
    <row r="140" ht="22.5" customHeight="1">
      <c r="A140" s="3">
        <v>139.0</v>
      </c>
      <c r="B140" s="4" t="s">
        <v>9880</v>
      </c>
      <c r="C140" s="4" t="s">
        <v>9881</v>
      </c>
      <c r="D140" s="4" t="s">
        <v>9882</v>
      </c>
      <c r="F140" s="5" t="str">
        <f>IFERROR(__xludf.DUMMYFUNCTION("GOOGLETRANSLATE(A140, ""en"", ""hi"")"),"139")</f>
        <v>139</v>
      </c>
      <c r="G140" s="5" t="str">
        <f>IFERROR(__xludf.DUMMYFUNCTION("GOOGLETRANSLATE(B140, ""en"", ""hi"")"),"सिलंबम स्टाफ को पारंपरिक रूप से किस कारक से मापा जाता है?")</f>
        <v>सिलंबम स्टाफ को पारंपरिक रूप से किस कारक से मापा जाता है?</v>
      </c>
      <c r="H140" s="5" t="str">
        <f>IFERROR(__xludf.DUMMYFUNCTION("GOOGLETRANSLATE(C140, ""en"", ""hi"")"),"A) योद्धा की भुजा की लंबाई, B) योद्धा की ऊंचाई, C) छड़ी का वजन, D) कर्मचारी की मोटाई")</f>
        <v>A) योद्धा की भुजा की लंबाई, B) योद्धा की ऊंचाई, C) छड़ी का वजन, D) कर्मचारी की मोटाई</v>
      </c>
      <c r="I140" s="5" t="str">
        <f>IFERROR(__xludf.DUMMYFUNCTION("GOOGLETRANSLATE(D140, ""en"", ""hi"")"),"B) योद्धा की ऊंचाई")</f>
        <v>B) योद्धा की ऊंचाई</v>
      </c>
    </row>
    <row r="141" ht="22.5" customHeight="1">
      <c r="A141" s="3">
        <v>140.0</v>
      </c>
      <c r="B141" s="4" t="s">
        <v>9883</v>
      </c>
      <c r="C141" s="4" t="s">
        <v>9884</v>
      </c>
      <c r="D141" s="4" t="s">
        <v>9885</v>
      </c>
      <c r="F141" s="5" t="str">
        <f>IFERROR(__xludf.DUMMYFUNCTION("GOOGLETRANSLATE(A141, ""en"", ""hi"")"),"140")</f>
        <v>140</v>
      </c>
      <c r="G141" s="5" t="str">
        <f>IFERROR(__xludf.DUMMYFUNCTION("GOOGLETRANSLATE(B141, ""en"", ""hi"")"),"सिलंबम की उत्पत्ति प्राचीन तमिल लोगों के किस समूह से जुड़ी हुई है?")</f>
        <v>सिलंबम की उत्पत्ति प्राचीन तमिल लोगों के किस समूह से जुड़ी हुई है?</v>
      </c>
      <c r="H141" s="5" t="str">
        <f>IFERROR(__xludf.DUMMYFUNCTION("GOOGLETRANSLATE(C141, ""en"", ""hi"")"),"ए) कालभ्रस, बी) मारवाड़, सी) पल्लव, डी) कल्लार")</f>
        <v>ए) कालभ्रस, बी) मारवाड़, सी) पल्लव, डी) कल्लार</v>
      </c>
      <c r="I141" s="5" t="str">
        <f>IFERROR(__xludf.DUMMYFUNCTION("GOOGLETRANSLATE(D141, ""en"", ""hi"")"),"बी) मारवार्स")</f>
        <v>बी) मारवार्स</v>
      </c>
    </row>
    <row r="142" ht="22.5" customHeight="1">
      <c r="A142" s="3">
        <v>141.0</v>
      </c>
      <c r="B142" s="4" t="s">
        <v>9886</v>
      </c>
      <c r="C142" s="4" t="s">
        <v>9887</v>
      </c>
      <c r="D142" s="4" t="s">
        <v>9888</v>
      </c>
      <c r="F142" s="5" t="str">
        <f>IFERROR(__xludf.DUMMYFUNCTION("GOOGLETRANSLATE(A142, ""en"", ""hi"")"),"141")</f>
        <v>141</v>
      </c>
      <c r="G142" s="5" t="str">
        <f>IFERROR(__xludf.DUMMYFUNCTION("GOOGLETRANSLATE(B142, ""en"", ""hi"")"),"किस ऐतिहासिक आक्रमण के कारण सिलंबम प्रथा में अस्थायी गिरावट आई?")</f>
        <v>किस ऐतिहासिक आक्रमण के कारण सिलंबम प्रथा में अस्थायी गिरावट आई?</v>
      </c>
      <c r="H142" s="5" t="str">
        <f>IFERROR(__xludf.DUMMYFUNCTION("GOOGLETRANSLATE(C142, ""en"", ""hi"")"),"A) मुगल आक्रमण, B) ब्रिटिश आक्रमण, C) डच आक्रमण, D) पुर्तगाली आक्रमण")</f>
        <v>A) मुगल आक्रमण, B) ब्रिटिश आक्रमण, C) डच आक्रमण, D) पुर्तगाली आक्रमण</v>
      </c>
      <c r="I142" s="5" t="str">
        <f>IFERROR(__xludf.DUMMYFUNCTION("GOOGLETRANSLATE(D142, ""en"", ""hi"")"),"बी) ब्रिटिश आक्रमण")</f>
        <v>बी) ब्रिटिश आक्रमण</v>
      </c>
    </row>
    <row r="143" ht="22.5" customHeight="1">
      <c r="A143" s="3">
        <v>142.0</v>
      </c>
      <c r="B143" s="4" t="s">
        <v>9889</v>
      </c>
      <c r="C143" s="4" t="s">
        <v>9890</v>
      </c>
      <c r="D143" s="4" t="s">
        <v>172</v>
      </c>
      <c r="F143" s="5" t="str">
        <f>IFERROR(__xludf.DUMMYFUNCTION("GOOGLETRANSLATE(A143, ""en"", ""hi"")"),"142")</f>
        <v>142</v>
      </c>
      <c r="G143" s="5" t="str">
        <f>IFERROR(__xludf.DUMMYFUNCTION("GOOGLETRANSLATE(B143, ""en"", ""hi"")"),"ऐसा माना जाता है कि सिलंबम की ऐतिहासिक जड़ें किस पड़ोसी क्षेत्र की मार्शल आर्ट से प्रभावित हैं?")</f>
        <v>ऐसा माना जाता है कि सिलंबम की ऐतिहासिक जड़ें किस पड़ोसी क्षेत्र की मार्शल आर्ट से प्रभावित हैं?</v>
      </c>
      <c r="H143" s="5" t="str">
        <f>IFERROR(__xludf.DUMMYFUNCTION("GOOGLETRANSLATE(C143, ""en"", ""hi"")"),"A) केरल, B) श्रीलंका, C) आंध्र प्रदेश, D) कर्नाटक")</f>
        <v>A) केरल, B) श्रीलंका, C) आंध्र प्रदेश, D) कर्नाटक</v>
      </c>
      <c r="I143" s="5" t="str">
        <f>IFERROR(__xludf.DUMMYFUNCTION("GOOGLETRANSLATE(D143, ""en"", ""hi"")"),"A) केरल")</f>
        <v>A) केरल</v>
      </c>
    </row>
    <row r="144" ht="22.5" customHeight="1">
      <c r="A144" s="3">
        <v>143.0</v>
      </c>
      <c r="B144" s="4" t="s">
        <v>9891</v>
      </c>
      <c r="C144" s="4" t="s">
        <v>9892</v>
      </c>
      <c r="D144" s="4" t="s">
        <v>9855</v>
      </c>
      <c r="F144" s="5" t="str">
        <f>IFERROR(__xludf.DUMMYFUNCTION("GOOGLETRANSLATE(A144, ""en"", ""hi"")"),"143")</f>
        <v>143</v>
      </c>
      <c r="G144" s="5" t="str">
        <f>IFERROR(__xludf.DUMMYFUNCTION("GOOGLETRANSLATE(B144, ""en"", ""hi"")"),"कौन सा तमिल देवता सिलंबम और मार्शल कौशल के अभ्यास से जुड़ा हुआ है?")</f>
        <v>कौन सा तमिल देवता सिलंबम और मार्शल कौशल के अभ्यास से जुड़ा हुआ है?</v>
      </c>
      <c r="H144" s="5" t="str">
        <f>IFERROR(__xludf.DUMMYFUNCTION("GOOGLETRANSLATE(C144, ""en"", ""hi"")"),"A) भगवान मुरुगन, B) भगवान विष्णु, C) भगवान शिव, D) देवी पार्वती")</f>
        <v>A) भगवान मुरुगन, B) भगवान विष्णु, C) भगवान शिव, D) देवी पार्वती</v>
      </c>
      <c r="I144" s="5" t="str">
        <f>IFERROR(__xludf.DUMMYFUNCTION("GOOGLETRANSLATE(D144, ""en"", ""hi"")"),"A) भगवान मुरुगन")</f>
        <v>A) भगवान मुरुगन</v>
      </c>
    </row>
    <row r="145" ht="22.5" customHeight="1">
      <c r="A145" s="3">
        <v>144.0</v>
      </c>
      <c r="B145" s="4" t="s">
        <v>9893</v>
      </c>
      <c r="C145" s="4" t="s">
        <v>9894</v>
      </c>
      <c r="D145" s="4" t="s">
        <v>9895</v>
      </c>
      <c r="F145" s="5" t="str">
        <f>IFERROR(__xludf.DUMMYFUNCTION("GOOGLETRANSLATE(A145, ""en"", ""hi"")"),"144")</f>
        <v>144</v>
      </c>
      <c r="G145" s="5" t="str">
        <f>IFERROR(__xludf.DUMMYFUNCTION("GOOGLETRANSLATE(B145, ""en"", ""hi"")"),"18वीं शताब्दी के दौरान, सिलंबम किस तमिल राज्य के सैन्य प्रशिक्षण का एक प्रमुख हिस्सा था?")</f>
        <v>18वीं शताब्दी के दौरान, सिलंबम किस तमिल राज्य के सैन्य प्रशिक्षण का एक प्रमुख हिस्सा था?</v>
      </c>
      <c r="H145" s="5" t="str">
        <f>IFERROR(__xludf.DUMMYFUNCTION("GOOGLETRANSLATE(C145, ""en"", ""hi"")"),"A) चोल साम्राज्य, B) पांड्या साम्राज्य, C) त्रावणकोर साम्राज्य, D) मदुरै नायक")</f>
        <v>A) चोल साम्राज्य, B) पांड्या साम्राज्य, C) त्रावणकोर साम्राज्य, D) मदुरै नायक</v>
      </c>
      <c r="I145" s="5" t="str">
        <f>IFERROR(__xludf.DUMMYFUNCTION("GOOGLETRANSLATE(D145, ""en"", ""hi"")"),"D) मदुरै नायक")</f>
        <v>D) मदुरै नायक</v>
      </c>
    </row>
    <row r="146" ht="22.5" customHeight="1">
      <c r="A146" s="3">
        <v>145.0</v>
      </c>
      <c r="B146" s="4" t="s">
        <v>9896</v>
      </c>
      <c r="C146" s="4" t="s">
        <v>9897</v>
      </c>
      <c r="D146" s="4" t="s">
        <v>9898</v>
      </c>
      <c r="F146" s="5" t="str">
        <f>IFERROR(__xludf.DUMMYFUNCTION("GOOGLETRANSLATE(A146, ""en"", ""hi"")"),"145")</f>
        <v>145</v>
      </c>
      <c r="G146" s="5" t="str">
        <f>IFERROR(__xludf.DUMMYFUNCTION("GOOGLETRANSLATE(B146, ""en"", ""hi"")"),"पारंपरिक सिलंबम प्रशिक्षण में निम्नलिखित में से कौन सा अनुष्ठान शामिल था?")</f>
        <v>पारंपरिक सिलंबम प्रशिक्षण में निम्नलिखित में से कौन सा अनुष्ठान शामिल था?</v>
      </c>
      <c r="H146" s="5" t="str">
        <f>IFERROR(__xludf.DUMMYFUNCTION("GOOGLETRANSLATE(C146, ""en"", ""hi"")"),"ए) प्रशिक्षण से पहले उपवास, बी) सुबह और शाम का अभ्यास, सी) औपचारिक अर्पण, डी) पवित्र धागे पहनना")</f>
        <v>ए) प्रशिक्षण से पहले उपवास, बी) सुबह और शाम का अभ्यास, सी) औपचारिक अर्पण, डी) पवित्र धागे पहनना</v>
      </c>
      <c r="I146" s="5" t="str">
        <f>IFERROR(__xludf.DUMMYFUNCTION("GOOGLETRANSLATE(D146, ""en"", ""hi"")"),"बी) सुबह और शाम का अभ्यास")</f>
        <v>बी) सुबह और शाम का अभ्यास</v>
      </c>
    </row>
    <row r="147" ht="22.5" customHeight="1">
      <c r="A147" s="3">
        <v>146.0</v>
      </c>
      <c r="B147" s="4" t="s">
        <v>9899</v>
      </c>
      <c r="C147" s="4" t="s">
        <v>9900</v>
      </c>
      <c r="D147" s="4" t="s">
        <v>3590</v>
      </c>
      <c r="F147" s="5" t="str">
        <f>IFERROR(__xludf.DUMMYFUNCTION("GOOGLETRANSLATE(A147, ""en"", ""hi"")"),"146")</f>
        <v>146</v>
      </c>
      <c r="G147" s="5" t="str">
        <f>IFERROR(__xludf.DUMMYFUNCTION("GOOGLETRANSLATE(B147, ""en"", ""hi"")"),"19वीं शताब्दी में किस यूरोपीय औपनिवेशिक शक्ति ने सिलंबम पर प्रतिबंध लगाने का प्रयास किया?")</f>
        <v>19वीं शताब्दी में किस यूरोपीय औपनिवेशिक शक्ति ने सिलंबम पर प्रतिबंध लगाने का प्रयास किया?</v>
      </c>
      <c r="H147" s="5" t="str">
        <f>IFERROR(__xludf.DUMMYFUNCTION("GOOGLETRANSLATE(C147, ""en"", ""hi"")"),"A) फ्रांसीसी, B) पुर्तगाली, C) डच, D) ब्रिटिश")</f>
        <v>A) फ्रांसीसी, B) पुर्तगाली, C) डच, D) ब्रिटिश</v>
      </c>
      <c r="I147" s="5" t="str">
        <f>IFERROR(__xludf.DUMMYFUNCTION("GOOGLETRANSLATE(D147, ""en"", ""hi"")"),"D) ब्रिटिश")</f>
        <v>D) ब्रिटिश</v>
      </c>
    </row>
    <row r="148" ht="22.5" customHeight="1">
      <c r="A148" s="3">
        <v>147.0</v>
      </c>
      <c r="B148" s="4" t="s">
        <v>9901</v>
      </c>
      <c r="C148" s="4" t="s">
        <v>9902</v>
      </c>
      <c r="D148" s="4" t="s">
        <v>9903</v>
      </c>
      <c r="F148" s="5" t="str">
        <f>IFERROR(__xludf.DUMMYFUNCTION("GOOGLETRANSLATE(A148, ""en"", ""hi"")"),"147")</f>
        <v>147</v>
      </c>
      <c r="G148" s="5" t="str">
        <f>IFERROR(__xludf.DUMMYFUNCTION("GOOGLETRANSLATE(B148, ""en"", ""hi"")"),"तमिलनाडु में किस प्राचीन खतरे के खिलाफ आत्मरक्षा के रूप में सिलंबम का अभ्यास किया जाता था?")</f>
        <v>तमिलनाडु में किस प्राचीन खतरे के खिलाफ आत्मरक्षा के रूप में सिलंबम का अभ्यास किया जाता था?</v>
      </c>
      <c r="H148" s="5" t="str">
        <f>IFERROR(__xludf.DUMMYFUNCTION("GOOGLETRANSLATE(C148, ""en"", ""hi"")"),"A) जानवरों का हमला, B) डाकू, C) प्रतिद्वंद्वी राज्य, D) समुद्री डाकू")</f>
        <v>A) जानवरों का हमला, B) डाकू, C) प्रतिद्वंद्वी राज्य, D) समुद्री डाकू</v>
      </c>
      <c r="I148" s="5" t="str">
        <f>IFERROR(__xludf.DUMMYFUNCTION("GOOGLETRANSLATE(D148, ""en"", ""hi"")"),"बी) डाकू")</f>
        <v>बी) डाकू</v>
      </c>
    </row>
    <row r="149" ht="22.5" customHeight="1">
      <c r="A149" s="3">
        <v>148.0</v>
      </c>
      <c r="B149" s="4" t="s">
        <v>9904</v>
      </c>
      <c r="C149" s="4" t="s">
        <v>9905</v>
      </c>
      <c r="D149" s="4" t="s">
        <v>9034</v>
      </c>
      <c r="F149" s="5" t="str">
        <f>IFERROR(__xludf.DUMMYFUNCTION("GOOGLETRANSLATE(A149, ""en"", ""hi"")"),"148")</f>
        <v>148</v>
      </c>
      <c r="G149" s="5" t="str">
        <f>IFERROR(__xludf.DUMMYFUNCTION("GOOGLETRANSLATE(B149, ""en"", ""hi"")"),"प्राचीन तमिल युद्ध में सिलंबम के साथ पारंपरिक रूप से किस हथियार का प्रयोग किया जाता था?")</f>
        <v>प्राचीन तमिल युद्ध में सिलंबम के साथ पारंपरिक रूप से किस हथियार का प्रयोग किया जाता था?</v>
      </c>
      <c r="H149" s="5" t="str">
        <f>IFERROR(__xludf.DUMMYFUNCTION("GOOGLETRANSLATE(C149, ""en"", ""hi"")"),"A) तलवार, B) भाला, C) धनुष और बाण, D) ढाल")</f>
        <v>A) तलवार, B) भाला, C) धनुष और बाण, D) ढाल</v>
      </c>
      <c r="I149" s="5" t="str">
        <f>IFERROR(__xludf.DUMMYFUNCTION("GOOGLETRANSLATE(D149, ""en"", ""hi"")"),"ए) तलवार")</f>
        <v>ए) तलवार</v>
      </c>
    </row>
    <row r="150" ht="22.5" customHeight="1">
      <c r="A150" s="3">
        <v>149.0</v>
      </c>
      <c r="B150" s="4" t="s">
        <v>9906</v>
      </c>
      <c r="C150" s="4" t="s">
        <v>9907</v>
      </c>
      <c r="D150" s="4" t="s">
        <v>9908</v>
      </c>
      <c r="F150" s="5" t="str">
        <f>IFERROR(__xludf.DUMMYFUNCTION("GOOGLETRANSLATE(A150, ""en"", ""hi"")"),"149")</f>
        <v>149</v>
      </c>
      <c r="G150" s="5" t="str">
        <f>IFERROR(__xludf.DUMMYFUNCTION("GOOGLETRANSLATE(B150, ""en"", ""hi"")"),"सिलंबम का उपयोग किस प्राचीन तमिल व्यापार मार्ग की सुरक्षा के लिए किया गया था?")</f>
        <v>सिलंबम का उपयोग किस प्राचीन तमिल व्यापार मार्ग की सुरक्षा के लिए किया गया था?</v>
      </c>
      <c r="H150" s="5" t="str">
        <f>IFERROR(__xludf.DUMMYFUNCTION("GOOGLETRANSLATE(C150, ""en"", ""hi"")"),"A) समुद्री व्यापार मार्ग, B) मसाला मार्ग, C) रेशम मार्ग, D) नमक मार्ग")</f>
        <v>A) समुद्री व्यापार मार्ग, B) मसाला मार्ग, C) रेशम मार्ग, D) नमक मार्ग</v>
      </c>
      <c r="I150" s="5" t="str">
        <f>IFERROR(__xludf.DUMMYFUNCTION("GOOGLETRANSLATE(D150, ""en"", ""hi"")"),"बी) मसाला मार्ग")</f>
        <v>बी) मसाला मार्ग</v>
      </c>
    </row>
    <row r="151" ht="22.5" customHeight="1">
      <c r="A151" s="3">
        <v>150.0</v>
      </c>
      <c r="B151" s="4" t="s">
        <v>9909</v>
      </c>
      <c r="C151" s="4" t="s">
        <v>2534</v>
      </c>
      <c r="D151" s="4" t="s">
        <v>2535</v>
      </c>
      <c r="F151" s="5" t="str">
        <f>IFERROR(__xludf.DUMMYFUNCTION("GOOGLETRANSLATE(A151, ""en"", ""hi"")"),"150")</f>
        <v>150</v>
      </c>
      <c r="G151" s="5" t="str">
        <f>IFERROR(__xludf.DUMMYFUNCTION("GOOGLETRANSLATE(B151, ""en"", ""hi"")"),"सिलंबम किस प्राचीन तमिल जाति समूह में विशेष रूप से लोकप्रिय था?")</f>
        <v>सिलंबम किस प्राचीन तमिल जाति समूह में विशेष रूप से लोकप्रिय था?</v>
      </c>
      <c r="H151" s="5" t="str">
        <f>IFERROR(__xludf.DUMMYFUNCTION("GOOGLETRANSLATE(C151, ""en"", ""hi"")"),"ए) ब्राह्मण, बी) क्षत्रिय, सी) वैश्य, डी) शूद्र")</f>
        <v>ए) ब्राह्मण, बी) क्षत्रिय, सी) वैश्य, डी) शूद्र</v>
      </c>
      <c r="I151" s="5" t="str">
        <f>IFERROR(__xludf.DUMMYFUNCTION("GOOGLETRANSLATE(D151, ""en"", ""hi"")"),"बी) क्षत्रिय")</f>
        <v>बी) क्षत्रिय</v>
      </c>
    </row>
    <row r="152" ht="22.5" customHeight="1">
      <c r="A152" s="3">
        <v>151.0</v>
      </c>
      <c r="B152" s="4" t="s">
        <v>9910</v>
      </c>
      <c r="C152" s="4" t="s">
        <v>9911</v>
      </c>
      <c r="D152" s="4" t="s">
        <v>9912</v>
      </c>
      <c r="F152" s="5" t="str">
        <f>IFERROR(__xludf.DUMMYFUNCTION("GOOGLETRANSLATE(A152, ""en"", ""hi"")"),"151")</f>
        <v>151</v>
      </c>
      <c r="G152" s="5" t="str">
        <f>IFERROR(__xludf.DUMMYFUNCTION("GOOGLETRANSLATE(B152, ""en"", ""hi"")"),"औपनिवेशिक काल के दौरान सिलंबम का संरक्षण मुख्यतः किस समूह के प्रयासों के कारण हुआ था?")</f>
        <v>औपनिवेशिक काल के दौरान सिलंबम का संरक्षण मुख्यतः किस समूह के प्रयासों के कारण हुआ था?</v>
      </c>
      <c r="H152" s="5" t="str">
        <f>IFERROR(__xludf.DUMMYFUNCTION("GOOGLETRANSLATE(C152, ""en"", ""hi"")"),"A) किसान योद्धा, B) भिक्षु, C) गुप्त समाज, D) स्वतंत्रता सेनानी")</f>
        <v>A) किसान योद्धा, B) भिक्षु, C) गुप्त समाज, D) स्वतंत्रता सेनानी</v>
      </c>
      <c r="I152" s="5" t="str">
        <f>IFERROR(__xludf.DUMMYFUNCTION("GOOGLETRANSLATE(D152, ""en"", ""hi"")"),"D) स्वतंत्रता सेनानी")</f>
        <v>D) स्वतंत्रता सेनानी</v>
      </c>
    </row>
    <row r="153" ht="22.5" customHeight="1">
      <c r="A153" s="3">
        <v>152.0</v>
      </c>
      <c r="B153" s="4" t="s">
        <v>9913</v>
      </c>
      <c r="C153" s="4" t="s">
        <v>9914</v>
      </c>
      <c r="D153" s="4" t="s">
        <v>9915</v>
      </c>
      <c r="F153" s="5" t="str">
        <f>IFERROR(__xludf.DUMMYFUNCTION("GOOGLETRANSLATE(A153, ""en"", ""hi"")"),"152")</f>
        <v>152</v>
      </c>
      <c r="G153" s="5" t="str">
        <f>IFERROR(__xludf.DUMMYFUNCTION("GOOGLETRANSLATE(B153, ""en"", ""hi"")"),"किस प्रसिद्ध तमिल कवि ने अपनी रचनाओं में सिलंबम जैसी मार्शल आर्ट का उल्लेख किया है?")</f>
        <v>किस प्रसिद्ध तमिल कवि ने अपनी रचनाओं में सिलंबम जैसी मार्शल आर्ट का उल्लेख किया है?</v>
      </c>
      <c r="H153" s="5" t="str">
        <f>IFERROR(__xludf.DUMMYFUNCTION("GOOGLETRANSLATE(C153, ""en"", ""hi"")"),"ए) सुब्रमण्यम भारती, बी) अव्वैयार, सी) कंबर, डी) तिरुवल्लुवर")</f>
        <v>ए) सुब्रमण्यम भारती, बी) अव्वैयार, सी) कंबर, डी) तिरुवल्लुवर</v>
      </c>
      <c r="I153" s="5" t="str">
        <f>IFERROR(__xludf.DUMMYFUNCTION("GOOGLETRANSLATE(D153, ""en"", ""hi"")"),"C) कंबार")</f>
        <v>C) कंबार</v>
      </c>
    </row>
    <row r="154" ht="22.5" customHeight="1">
      <c r="A154" s="3">
        <v>153.0</v>
      </c>
      <c r="B154" s="4" t="s">
        <v>9916</v>
      </c>
      <c r="C154" s="4" t="s">
        <v>9917</v>
      </c>
      <c r="D154" s="4" t="s">
        <v>9635</v>
      </c>
      <c r="F154" s="5" t="str">
        <f>IFERROR(__xludf.DUMMYFUNCTION("GOOGLETRANSLATE(A154, ""en"", ""hi"")"),"153")</f>
        <v>153</v>
      </c>
      <c r="G154" s="5" t="str">
        <f>IFERROR(__xludf.DUMMYFUNCTION("GOOGLETRANSLATE(B154, ""en"", ""hi"")"),"संगम युग के किस प्रारंभिक ग्रंथ में सिलंबम प्रथा का महत्वपूर्ण उल्लेख मिलता है?")</f>
        <v>संगम युग के किस प्रारंभिक ग्रंथ में सिलंबम प्रथा का महत्वपूर्ण उल्लेख मिलता है?</v>
      </c>
      <c r="H154" s="5" t="str">
        <f>IFERROR(__xludf.DUMMYFUNCTION("GOOGLETRANSLATE(C154, ""en"", ""hi"")"),"ए) पुराणनुरू, बी) थिरुक्कुरल, सी) ऐनकुरुनुरू, डी) मणिमेकलाई")</f>
        <v>ए) पुराणनुरू, बी) थिरुक्कुरल, सी) ऐनकुरुनुरू, डी) मणिमेकलाई</v>
      </c>
      <c r="I154" s="5" t="str">
        <f>IFERROR(__xludf.DUMMYFUNCTION("GOOGLETRANSLATE(D154, ""en"", ""hi"")"),"A) पूरनानुरू")</f>
        <v>A) पूरनानुरू</v>
      </c>
    </row>
    <row r="155" ht="22.5" customHeight="1">
      <c r="A155" s="3">
        <v>154.0</v>
      </c>
      <c r="B155" s="4" t="s">
        <v>9918</v>
      </c>
      <c r="C155" s="4" t="s">
        <v>9919</v>
      </c>
      <c r="D155" s="4" t="s">
        <v>4854</v>
      </c>
      <c r="F155" s="5" t="str">
        <f>IFERROR(__xludf.DUMMYFUNCTION("GOOGLETRANSLATE(A155, ""en"", ""hi"")"),"154")</f>
        <v>154</v>
      </c>
      <c r="G155" s="5" t="str">
        <f>IFERROR(__xludf.DUMMYFUNCTION("GOOGLETRANSLATE(B155, ""en"", ""hi"")"),"किस तमिल त्यौहार के दौरान सिलंबम का पारंपरिक रूप से प्रदर्शन किया जाता था?")</f>
        <v>किस तमिल त्यौहार के दौरान सिलंबम का पारंपरिक रूप से प्रदर्शन किया जाता था?</v>
      </c>
      <c r="H155" s="5" t="str">
        <f>IFERROR(__xludf.DUMMYFUNCTION("GOOGLETRANSLATE(C155, ""en"", ""hi"")"),"ए) पोंगल, बी) दिवाली, सी) उगादि, डी) होली")</f>
        <v>ए) पोंगल, बी) दिवाली, सी) उगादि, डी) होली</v>
      </c>
      <c r="I155" s="5" t="str">
        <f>IFERROR(__xludf.DUMMYFUNCTION("GOOGLETRANSLATE(D155, ""en"", ""hi"")"),"ए) पोंगल")</f>
        <v>ए) पोंगल</v>
      </c>
    </row>
    <row r="156" ht="22.5" customHeight="1">
      <c r="A156" s="3">
        <v>155.0</v>
      </c>
      <c r="B156" s="4" t="s">
        <v>9920</v>
      </c>
      <c r="C156" s="4" t="s">
        <v>9921</v>
      </c>
      <c r="D156" s="4" t="s">
        <v>9691</v>
      </c>
      <c r="F156" s="5" t="str">
        <f>IFERROR(__xludf.DUMMYFUNCTION("GOOGLETRANSLATE(A156, ""en"", ""hi"")"),"155")</f>
        <v>155</v>
      </c>
      <c r="G156" s="5" t="str">
        <f>IFERROR(__xludf.DUMMYFUNCTION("GOOGLETRANSLATE(B156, ""en"", ""hi"")"),"प्राचीन काल में भारत के बाहर सिलंबम का प्रसार किस दक्षिण-पूर्व एशियाई देश से जुड़ा हुआ है?")</f>
        <v>प्राचीन काल में भारत के बाहर सिलंबम का प्रसार किस दक्षिण-पूर्व एशियाई देश से जुड़ा हुआ है?</v>
      </c>
      <c r="H156" s="5" t="str">
        <f>IFERROR(__xludf.DUMMYFUNCTION("GOOGLETRANSLATE(C156, ""en"", ""hi"")"),"A) थाईलैंड, B) इंडोनेशिया, C) मलेशिया, D) कंबोडिया")</f>
        <v>A) थाईलैंड, B) इंडोनेशिया, C) मलेशिया, D) कंबोडिया</v>
      </c>
      <c r="I156" s="5" t="str">
        <f>IFERROR(__xludf.DUMMYFUNCTION("GOOGLETRANSLATE(D156, ""en"", ""hi"")"),"C) मलेशिया")</f>
        <v>C) मलेशिया</v>
      </c>
    </row>
    <row r="157" ht="22.5" customHeight="1">
      <c r="A157" s="3">
        <v>156.0</v>
      </c>
      <c r="B157" s="4" t="s">
        <v>9922</v>
      </c>
      <c r="C157" s="4" t="s">
        <v>9923</v>
      </c>
      <c r="D157" s="4" t="s">
        <v>9924</v>
      </c>
      <c r="F157" s="5" t="str">
        <f>IFERROR(__xludf.DUMMYFUNCTION("GOOGLETRANSLATE(A157, ""en"", ""hi"")"),"156")</f>
        <v>156</v>
      </c>
      <c r="G157" s="5" t="str">
        <f>IFERROR(__xludf.DUMMYFUNCTION("GOOGLETRANSLATE(B157, ""en"", ""hi"")"),"सिलंबम की तुलना अक्सर इसकी तकनीकों के कारण किस दक्षिण पूर्व एशियाई मार्शल आर्ट से की जाती है?")</f>
        <v>सिलंबम की तुलना अक्सर इसकी तकनीकों के कारण किस दक्षिण पूर्व एशियाई मार्शल आर्ट से की जाती है?</v>
      </c>
      <c r="H157" s="5" t="str">
        <f>IFERROR(__xludf.DUMMYFUNCTION("GOOGLETRANSLATE(C157, ""en"", ""hi"")"),"ए) एस्क्रिमा, बी) क्राव मागा, सी) पेनकक सिलाट, डी) मय थाई")</f>
        <v>ए) एस्क्रिमा, बी) क्राव मागा, सी) पेनकक सिलाट, डी) मय थाई</v>
      </c>
      <c r="I157" s="5" t="str">
        <f>IFERROR(__xludf.DUMMYFUNCTION("GOOGLETRANSLATE(D157, ""en"", ""hi"")"),"C) पेनकैक सिलाट")</f>
        <v>C) पेनकैक सिलाट</v>
      </c>
    </row>
    <row r="158" ht="22.5" customHeight="1">
      <c r="A158" s="3">
        <v>157.0</v>
      </c>
      <c r="B158" s="4" t="s">
        <v>9925</v>
      </c>
      <c r="C158" s="4" t="s">
        <v>9926</v>
      </c>
      <c r="D158" s="4" t="s">
        <v>9927</v>
      </c>
      <c r="F158" s="5" t="str">
        <f>IFERROR(__xludf.DUMMYFUNCTION("GOOGLETRANSLATE(A158, ""en"", ""hi"")"),"157")</f>
        <v>157</v>
      </c>
      <c r="G158" s="5" t="str">
        <f>IFERROR(__xludf.DUMMYFUNCTION("GOOGLETRANSLATE(B158, ""en"", ""hi"")"),"किस तमिल राजकुमारी को अपनी शाही शिक्षा के भाग के रूप में सिलंबम में प्रशिक्षण प्राप्त करने के लिए जाना जाता है?")</f>
        <v>किस तमिल राजकुमारी को अपनी शाही शिक्षा के भाग के रूप में सिलंबम में प्रशिक्षण प्राप्त करने के लिए जाना जाता है?</v>
      </c>
      <c r="H158" s="5" t="str">
        <f>IFERROR(__xludf.DUMMYFUNCTION("GOOGLETRANSLATE(C158, ""en"", ""hi"")"),"ए) वेलु नचियार, बी) रानी मंगम्मल, सी) मीनाक्षी, डी) कुंडवई")</f>
        <v>ए) वेलु नचियार, बी) रानी मंगम्मल, सी) मीनाक्षी, डी) कुंडवई</v>
      </c>
      <c r="I158" s="5" t="str">
        <f>IFERROR(__xludf.DUMMYFUNCTION("GOOGLETRANSLATE(D158, ""en"", ""hi"")"),"C) मीनाक्षी")</f>
        <v>C) मीनाक्षी</v>
      </c>
    </row>
    <row r="159" ht="22.5" customHeight="1">
      <c r="A159" s="3">
        <v>158.0</v>
      </c>
      <c r="B159" s="4" t="s">
        <v>9928</v>
      </c>
      <c r="C159" s="4" t="s">
        <v>9929</v>
      </c>
      <c r="D159" s="4" t="s">
        <v>9930</v>
      </c>
      <c r="F159" s="5" t="str">
        <f>IFERROR(__xludf.DUMMYFUNCTION("GOOGLETRANSLATE(A159, ""en"", ""hi"")"),"158")</f>
        <v>158</v>
      </c>
      <c r="G159" s="5" t="str">
        <f>IFERROR(__xludf.DUMMYFUNCTION("GOOGLETRANSLATE(B159, ""en"", ""hi"")"),"प्राचीन तमिलनाडु में यह माना जाता था कि सिलंबम न केवल शारीरिक शक्ति बल्कि कौन सी मानसिक विशेषता भी विकसित करता है?")</f>
        <v>प्राचीन तमिलनाडु में यह माना जाता था कि सिलंबम न केवल शारीरिक शक्ति बल्कि कौन सी मानसिक विशेषता भी विकसित करता है?</v>
      </c>
      <c r="H159" s="5" t="str">
        <f>IFERROR(__xludf.DUMMYFUNCTION("GOOGLETRANSLATE(C159, ""en"", ""hi"")"),"A) बुद्धि, B) एकाग्रता, C) निर्भयता, D) धैर्य")</f>
        <v>A) बुद्धि, B) एकाग्रता, C) निर्भयता, D) धैर्य</v>
      </c>
      <c r="I159" s="5" t="str">
        <f>IFERROR(__xludf.DUMMYFUNCTION("GOOGLETRANSLATE(D159, ""en"", ""hi"")"),"बी) एकाग्रता")</f>
        <v>बी) एकाग्रता</v>
      </c>
    </row>
    <row r="160" ht="22.5" customHeight="1">
      <c r="A160" s="3">
        <v>159.0</v>
      </c>
      <c r="B160" s="4" t="s">
        <v>9931</v>
      </c>
      <c r="C160" s="4" t="s">
        <v>9932</v>
      </c>
      <c r="D160" s="4" t="s">
        <v>9933</v>
      </c>
      <c r="F160" s="5" t="str">
        <f>IFERROR(__xludf.DUMMYFUNCTION("GOOGLETRANSLATE(A160, ""en"", ""hi"")"),"159")</f>
        <v>159</v>
      </c>
      <c r="G160" s="5" t="str">
        <f>IFERROR(__xludf.DUMMYFUNCTION("GOOGLETRANSLATE(B160, ""en"", ""hi"")"),"सिलंबम साधक पारंपरिक रूप से अलग-अलग लंबाई की छड़ियाँ धारण करते थे। लंबी छड़ियों का उद्देश्य क्या था?")</f>
        <v>सिलंबम साधक पारंपरिक रूप से अलग-अलग लंबाई की छड़ियाँ धारण करते थे। लंबी छड़ियों का उद्देश्य क्या था?</v>
      </c>
      <c r="H160" s="5" t="str">
        <f>IFERROR(__xludf.DUMMYFUNCTION("GOOGLETRANSLATE(C160, ""en"", ""hi"")"),"A) द्वंदयुद्ध, B) लंबी दूरी की लड़ाई, C) जानवरों से बचाव, D) अनुष्ठान प्रदर्शन")</f>
        <v>A) द्वंदयुद्ध, B) लंबी दूरी की लड़ाई, C) जानवरों से बचाव, D) अनुष्ठान प्रदर्शन</v>
      </c>
      <c r="I160" s="5" t="str">
        <f>IFERROR(__xludf.DUMMYFUNCTION("GOOGLETRANSLATE(D160, ""en"", ""hi"")"),"बी) लंबी दूरी की लड़ाई")</f>
        <v>बी) लंबी दूरी की लड़ाई</v>
      </c>
    </row>
    <row r="161" ht="22.5" customHeight="1">
      <c r="A161" s="3">
        <v>160.0</v>
      </c>
      <c r="B161" s="4" t="s">
        <v>9934</v>
      </c>
      <c r="C161" s="4" t="s">
        <v>9935</v>
      </c>
      <c r="D161" s="4" t="s">
        <v>9936</v>
      </c>
      <c r="F161" s="5" t="str">
        <f>IFERROR(__xludf.DUMMYFUNCTION("GOOGLETRANSLATE(A161, ""en"", ""hi"")"),"160")</f>
        <v>160</v>
      </c>
      <c r="G161" s="5" t="str">
        <f>IFERROR(__xludf.DUMMYFUNCTION("GOOGLETRANSLATE(B161, ""en"", ""hi"")"),"किस तमिल दार्शनिक-योद्धा ने अपने अनुशासन के एक भाग के रूप में सिलंबम का अभ्यास किया था?")</f>
        <v>किस तमिल दार्शनिक-योद्धा ने अपने अनुशासन के एक भाग के रूप में सिलंबम का अभ्यास किया था?</v>
      </c>
      <c r="H161" s="5" t="str">
        <f>IFERROR(__xludf.DUMMYFUNCTION("GOOGLETRANSLATE(C161, ""en"", ""hi"")"),"ए) पतंजलि, बी) अगस्त्य, सी) भोगर, डी) वल्लालर")</f>
        <v>ए) पतंजलि, बी) अगस्त्य, सी) भोगर, डी) वल्लालर</v>
      </c>
      <c r="I161" s="5" t="str">
        <f>IFERROR(__xludf.DUMMYFUNCTION("GOOGLETRANSLATE(D161, ""en"", ""hi"")"),"बी) अगस्त्य")</f>
        <v>बी) अगस्त्य</v>
      </c>
    </row>
    <row r="162" ht="22.5" customHeight="1">
      <c r="A162" s="3">
        <v>161.0</v>
      </c>
      <c r="B162" s="4" t="s">
        <v>9937</v>
      </c>
      <c r="C162" s="4" t="s">
        <v>9938</v>
      </c>
      <c r="D162" s="4" t="s">
        <v>9939</v>
      </c>
      <c r="F162" s="5" t="str">
        <f>IFERROR(__xludf.DUMMYFUNCTION("GOOGLETRANSLATE(A162, ""en"", ""hi"")"),"161")</f>
        <v>161</v>
      </c>
      <c r="G162" s="5" t="str">
        <f>IFERROR(__xludf.DUMMYFUNCTION("GOOGLETRANSLATE(B162, ""en"", ""hi"")"),"सिलंबम का प्रदर्शन अक्सर शाही दरबारों में किस अन्य तमिल मार्शल आर्ट के साथ किया जाता था?")</f>
        <v>सिलंबम का प्रदर्शन अक्सर शाही दरबारों में किस अन्य तमिल मार्शल आर्ट के साथ किया जाता था?</v>
      </c>
      <c r="H162" s="5" t="str">
        <f>IFERROR(__xludf.DUMMYFUNCTION("GOOGLETRANSLATE(C162, ""en"", ""hi"")"),"ए) वर्मा कलाई, बी) कलारीपयट्टु, सी) आदिमुरई, डी) माल्युथम")</f>
        <v>ए) वर्मा कलाई, बी) कलारीपयट्टु, सी) आदिमुरई, डी) माल्युथम</v>
      </c>
      <c r="I162" s="5" t="str">
        <f>IFERROR(__xludf.DUMMYFUNCTION("GOOGLETRANSLATE(D162, ""en"", ""hi"")"),"A) वर्मा कलाई")</f>
        <v>A) वर्मा कलाई</v>
      </c>
    </row>
    <row r="163" ht="22.5" customHeight="1">
      <c r="A163" s="3">
        <v>162.0</v>
      </c>
      <c r="B163" s="4" t="s">
        <v>9940</v>
      </c>
      <c r="C163" s="4" t="s">
        <v>9941</v>
      </c>
      <c r="D163" s="4" t="s">
        <v>3881</v>
      </c>
      <c r="F163" s="5" t="str">
        <f>IFERROR(__xludf.DUMMYFUNCTION("GOOGLETRANSLATE(A163, ""en"", ""hi"")"),"162")</f>
        <v>162</v>
      </c>
      <c r="G163" s="5" t="str">
        <f>IFERROR(__xludf.DUMMYFUNCTION("GOOGLETRANSLATE(B163, ""en"", ""hi"")"),"सिलंबम प्रदर्शन किस तमिल राजवंश में सैन्य प्रशिक्षण का एक हिस्सा थे?")</f>
        <v>सिलंबम प्रदर्शन किस तमिल राजवंश में सैन्य प्रशिक्षण का एक हिस्सा थे?</v>
      </c>
      <c r="H163" s="5" t="str">
        <f>IFERROR(__xludf.DUMMYFUNCTION("GOOGLETRANSLATE(C163, ""en"", ""hi"")"),"ए) चेर, बी) चोल, सी) पल्लव, डी) पांड्य")</f>
        <v>ए) चेर, बी) चोल, सी) पल्लव, डी) पांड्य</v>
      </c>
      <c r="I163" s="5" t="str">
        <f>IFERROR(__xludf.DUMMYFUNCTION("GOOGLETRANSLATE(D163, ""en"", ""hi"")"),"बी) चोल")</f>
        <v>बी) चोल</v>
      </c>
    </row>
    <row r="164" ht="22.5" customHeight="1">
      <c r="A164" s="3">
        <v>163.0</v>
      </c>
      <c r="B164" s="4" t="s">
        <v>9942</v>
      </c>
      <c r="C164" s="4" t="s">
        <v>9943</v>
      </c>
      <c r="D164" s="4" t="s">
        <v>9944</v>
      </c>
      <c r="F164" s="5" t="str">
        <f>IFERROR(__xludf.DUMMYFUNCTION("GOOGLETRANSLATE(A164, ""en"", ""hi"")"),"163")</f>
        <v>163</v>
      </c>
      <c r="G164" s="5" t="str">
        <f>IFERROR(__xludf.DUMMYFUNCTION("GOOGLETRANSLATE(B164, ""en"", ""hi"")"),"ब्रिटिश शासन के प्रति प्रतिरोध के लिए प्रसिद्ध किस तमिल योद्धा ने अपने विद्रोह में सिलंबम का प्रयोग किया?")</f>
        <v>ब्रिटिश शासन के प्रति प्रतिरोध के लिए प्रसिद्ध किस तमिल योद्धा ने अपने विद्रोह में सिलंबम का प्रयोग किया?</v>
      </c>
      <c r="H164" s="5" t="str">
        <f>IFERROR(__xludf.DUMMYFUNCTION("GOOGLETRANSLATE(C164, ""en"", ""hi"")"),"ए) वीरपांडिया कट्टाबोम्मन, बी) मारुथु पांडियार, सी) पुली थेवर, डी) धीरन चिन्नामलाई")</f>
        <v>ए) वीरपांडिया कट्टाबोम्मन, बी) मारुथु पांडियार, सी) पुली थेवर, डी) धीरन चिन्नामलाई</v>
      </c>
      <c r="I164" s="5" t="str">
        <f>IFERROR(__xludf.DUMMYFUNCTION("GOOGLETRANSLATE(D164, ""en"", ""hi"")"),"A) वीरपांडिया कट्टाबोम्मन")</f>
        <v>A) वीरपांडिया कट्टाबोम्मन</v>
      </c>
    </row>
    <row r="165" ht="22.5" customHeight="1">
      <c r="A165" s="3">
        <v>164.0</v>
      </c>
      <c r="B165" s="4" t="s">
        <v>9945</v>
      </c>
      <c r="C165" s="4" t="s">
        <v>9946</v>
      </c>
      <c r="D165" s="4" t="s">
        <v>9947</v>
      </c>
      <c r="F165" s="5" t="str">
        <f>IFERROR(__xludf.DUMMYFUNCTION("GOOGLETRANSLATE(A165, ""en"", ""hi"")"),"164")</f>
        <v>164</v>
      </c>
      <c r="G165" s="5" t="str">
        <f>IFERROR(__xludf.DUMMYFUNCTION("GOOGLETRANSLATE(B165, ""en"", ""hi"")"),"1800 के दशक में किस ब्रिटिश औपनिवेशिक अधिनियम ने अप्रत्यक्ष रूप से सिलंबम में रुचि का पुनरुत्थान किया?")</f>
        <v>1800 के दशक में किस ब्रिटिश औपनिवेशिक अधिनियम ने अप्रत्यक्ष रूप से सिलंबम में रुचि का पुनरुत्थान किया?</v>
      </c>
      <c r="H165" s="5" t="str">
        <f>IFERROR(__xludf.DUMMYFUNCTION("GOOGLETRANSLATE(C165, ""en"", ""hi"")"),"A) भारतीय दंड संहिता, B) शस्त्र अधिनियम, C) रौलट अधिनियम, D) वर्नाक्युलर प्रेस अधिनियम")</f>
        <v>A) भारतीय दंड संहिता, B) शस्त्र अधिनियम, C) रौलट अधिनियम, D) वर्नाक्युलर प्रेस अधिनियम</v>
      </c>
      <c r="I165" s="5" t="str">
        <f>IFERROR(__xludf.DUMMYFUNCTION("GOOGLETRANSLATE(D165, ""en"", ""hi"")"),"बी) शस्त्र अधिनियम")</f>
        <v>बी) शस्त्र अधिनियम</v>
      </c>
    </row>
    <row r="166" ht="22.5" customHeight="1">
      <c r="A166" s="3">
        <v>165.0</v>
      </c>
      <c r="B166" s="4" t="s">
        <v>9948</v>
      </c>
      <c r="C166" s="4" t="s">
        <v>9949</v>
      </c>
      <c r="D166" s="4" t="s">
        <v>9950</v>
      </c>
      <c r="F166" s="5" t="str">
        <f>IFERROR(__xludf.DUMMYFUNCTION("GOOGLETRANSLATE(A166, ""en"", ""hi"")"),"165")</f>
        <v>165</v>
      </c>
      <c r="G166" s="5" t="str">
        <f>IFERROR(__xludf.DUMMYFUNCTION("GOOGLETRANSLATE(B166, ""en"", ""hi"")"),"पारंपरिक सिलंबम स्टाफ के किस भाग का आध्यात्मिक महत्व माना जाता है?")</f>
        <v>पारंपरिक सिलंबम स्टाफ के किस भाग का आध्यात्मिक महत्व माना जाता है?</v>
      </c>
      <c r="H166" s="5" t="str">
        <f>IFERROR(__xludf.DUMMYFUNCTION("GOOGLETRANSLATE(C166, ""en"", ""hi"")"),"A) हैंडल, B) मध्य, C) टिप, D) संपूर्ण स्टाफ")</f>
        <v>A) हैंडल, B) मध्य, C) टिप, D) संपूर्ण स्टाफ</v>
      </c>
      <c r="I166" s="5" t="str">
        <f>IFERROR(__xludf.DUMMYFUNCTION("GOOGLETRANSLATE(D166, ""en"", ""hi"")"),"D) संपूर्ण स्टाफ")</f>
        <v>D) संपूर्ण स्टाफ</v>
      </c>
    </row>
    <row r="167" ht="22.5" customHeight="1">
      <c r="A167" s="3">
        <v>166.0</v>
      </c>
      <c r="B167" s="4" t="s">
        <v>9951</v>
      </c>
      <c r="C167" s="4" t="s">
        <v>9952</v>
      </c>
      <c r="D167" s="4" t="s">
        <v>9953</v>
      </c>
      <c r="F167" s="5" t="str">
        <f>IFERROR(__xludf.DUMMYFUNCTION("GOOGLETRANSLATE(A167, ""en"", ""hi"")"),"166")</f>
        <v>166</v>
      </c>
      <c r="G167" s="5" t="str">
        <f>IFERROR(__xludf.DUMMYFUNCTION("GOOGLETRANSLATE(B167, ""en"", ""hi"")"),"आधुनिक तमिलनाडु में सिलंबम का पुनरुत्थान अक्सर किस आंदोलन से जुड़ा हुआ है?")</f>
        <v>आधुनिक तमिलनाडु में सिलंबम का पुनरुत्थान अक्सर किस आंदोलन से जुड़ा हुआ है?</v>
      </c>
      <c r="H167" s="5" t="str">
        <f>IFERROR(__xludf.DUMMYFUNCTION("GOOGLETRANSLATE(C167, ""en"", ""hi"")"),"A) उपनिवेशवाद विरोधी आंदोलन, B) सांस्कृतिक पुनर्जागरण, C) भाषा शुद्धता आंदोलन, D) कृषि सुधार")</f>
        <v>A) उपनिवेशवाद विरोधी आंदोलन, B) सांस्कृतिक पुनर्जागरण, C) भाषा शुद्धता आंदोलन, D) कृषि सुधार</v>
      </c>
      <c r="I167" s="5" t="str">
        <f>IFERROR(__xludf.DUMMYFUNCTION("GOOGLETRANSLATE(D167, ""en"", ""hi"")"),"बी) सांस्कृतिक पुनर्जागरण")</f>
        <v>बी) सांस्कृतिक पुनर्जागरण</v>
      </c>
    </row>
    <row r="168" ht="22.5" customHeight="1">
      <c r="A168" s="3">
        <v>167.0</v>
      </c>
      <c r="B168" s="4" t="s">
        <v>9954</v>
      </c>
      <c r="C168" s="4" t="s">
        <v>9955</v>
      </c>
      <c r="D168" s="4" t="s">
        <v>9706</v>
      </c>
      <c r="F168" s="5" t="str">
        <f>IFERROR(__xludf.DUMMYFUNCTION("GOOGLETRANSLATE(A168, ""en"", ""hi"")"),"167")</f>
        <v>167</v>
      </c>
      <c r="G168" s="5" t="str">
        <f>IFERROR(__xludf.DUMMYFUNCTION("GOOGLETRANSLATE(B168, ""en"", ""hi"")"),"प्राचीन काल में सिलंबम अक्सर किस प्रकार के संस्थानों में पढ़ाया जाता था?")</f>
        <v>प्राचीन काल में सिलंबम अक्सर किस प्रकार के संस्थानों में पढ़ाया जाता था?</v>
      </c>
      <c r="H168" s="5" t="str">
        <f>IFERROR(__xludf.DUMMYFUNCTION("GOOGLETRANSLATE(C168, ""en"", ""hi"")"),"A) शाही महल, B) मंदिर, C) गाँव के चौराहे, D) सैन्य अकादमियाँ")</f>
        <v>A) शाही महल, B) मंदिर, C) गाँव के चौराहे, D) सैन्य अकादमियाँ</v>
      </c>
      <c r="I168" s="5" t="str">
        <f>IFERROR(__xludf.DUMMYFUNCTION("GOOGLETRANSLATE(D168, ""en"", ""hi"")"),"बी) मंदिर")</f>
        <v>बी) मंदिर</v>
      </c>
    </row>
    <row r="169" ht="22.5" customHeight="1">
      <c r="A169" s="3">
        <v>168.0</v>
      </c>
      <c r="B169" s="4" t="s">
        <v>9956</v>
      </c>
      <c r="C169" s="4" t="s">
        <v>3417</v>
      </c>
      <c r="D169" s="4" t="s">
        <v>9957</v>
      </c>
      <c r="F169" s="5" t="str">
        <f>IFERROR(__xludf.DUMMYFUNCTION("GOOGLETRANSLATE(A169, ""en"", ""hi"")"),"168")</f>
        <v>168</v>
      </c>
      <c r="G169" s="5" t="str">
        <f>IFERROR(__xludf.DUMMYFUNCTION("GOOGLETRANSLATE(B169, ""en"", ""hi"")"),"पारंपरिक सिलंबम युद्ध में शरीर के किस अंग को सबसे अधिक निशाना बनाया जाता है?")</f>
        <v>पारंपरिक सिलंबम युद्ध में शरीर के किस अंग को सबसे अधिक निशाना बनाया जाता है?</v>
      </c>
      <c r="H169" s="5" t="str">
        <f>IFERROR(__xludf.DUMMYFUNCTION("GOOGLETRANSLATE(C169, ""en"", ""hi"")"),"A) पैर, B) सिर, C) भुजाएँ, D) धड़")</f>
        <v>A) पैर, B) सिर, C) भुजाएँ, D) धड़</v>
      </c>
      <c r="I169" s="5" t="str">
        <f>IFERROR(__xludf.DUMMYFUNCTION("GOOGLETRANSLATE(D169, ""en"", ""hi"")"),"ए) पैर")</f>
        <v>ए) पैर</v>
      </c>
    </row>
    <row r="170" ht="22.5" customHeight="1">
      <c r="A170" s="3">
        <v>169.0</v>
      </c>
      <c r="B170" s="4" t="s">
        <v>9958</v>
      </c>
      <c r="C170" s="4" t="s">
        <v>9959</v>
      </c>
      <c r="D170" s="4" t="s">
        <v>9960</v>
      </c>
      <c r="F170" s="5" t="str">
        <f>IFERROR(__xludf.DUMMYFUNCTION("GOOGLETRANSLATE(A170, ""en"", ""hi"")"),"169")</f>
        <v>169</v>
      </c>
      <c r="G170" s="5" t="str">
        <f>IFERROR(__xludf.DUMMYFUNCTION("GOOGLETRANSLATE(B170, ""en"", ""hi"")"),"सिलंबम किस योद्धा वंश से संबंधित तमिल योद्धाओं के बीच लोकप्रिय था?")</f>
        <v>सिलंबम किस योद्धा वंश से संबंधित तमिल योद्धाओं के बीच लोकप्रिय था?</v>
      </c>
      <c r="H170" s="5" t="str">
        <f>IFERROR(__xludf.DUMMYFUNCTION("GOOGLETRANSLATE(C170, ""en"", ""hi"")"),"ए) कल्लार, बी) नादर, सी) वन्नियार, डी) पारावार")</f>
        <v>ए) कल्लार, बी) नादर, सी) वन्नियार, डी) पारावार</v>
      </c>
      <c r="I170" s="5" t="str">
        <f>IFERROR(__xludf.DUMMYFUNCTION("GOOGLETRANSLATE(D170, ""en"", ""hi"")"),"A) कल्लर")</f>
        <v>A) कल्लर</v>
      </c>
    </row>
    <row r="171" ht="22.5" customHeight="1">
      <c r="A171" s="3">
        <v>170.0</v>
      </c>
      <c r="B171" s="4" t="s">
        <v>9961</v>
      </c>
      <c r="C171" s="4" t="s">
        <v>9962</v>
      </c>
      <c r="D171" s="4" t="s">
        <v>9963</v>
      </c>
      <c r="F171" s="5" t="str">
        <f>IFERROR(__xludf.DUMMYFUNCTION("GOOGLETRANSLATE(A171, ""en"", ""hi"")"),"170")</f>
        <v>170</v>
      </c>
      <c r="G171" s="5" t="str">
        <f>IFERROR(__xludf.DUMMYFUNCTION("GOOGLETRANSLATE(B171, ""en"", ""hi"")"),"तमिलनाडु का कौन सा नदी क्षेत्र ऐतिहासिक रूप से सिलंबम योद्धाओं के प्रशिक्षण के लिए जाना जाता है?")</f>
        <v>तमिलनाडु का कौन सा नदी क्षेत्र ऐतिहासिक रूप से सिलंबम योद्धाओं के प्रशिक्षण के लिए जाना जाता है?</v>
      </c>
      <c r="H171" s="5" t="str">
        <f>IFERROR(__xludf.DUMMYFUNCTION("GOOGLETRANSLATE(C171, ""en"", ""hi"")"),"ए) कावेरी, बी) वैगई, सी) पलार, डी) तमिरापरानी")</f>
        <v>ए) कावेरी, बी) वैगई, सी) पलार, डी) तमिरापरानी</v>
      </c>
      <c r="I171" s="5" t="str">
        <f>IFERROR(__xludf.DUMMYFUNCTION("GOOGLETRANSLATE(D171, ""en"", ""hi"")"),"बी) वैगई")</f>
        <v>बी) वैगई</v>
      </c>
    </row>
    <row r="172" ht="22.5" customHeight="1">
      <c r="A172" s="3">
        <v>171.0</v>
      </c>
      <c r="B172" s="4" t="s">
        <v>9964</v>
      </c>
      <c r="C172" s="4" t="s">
        <v>9965</v>
      </c>
      <c r="D172" s="4" t="s">
        <v>9966</v>
      </c>
      <c r="F172" s="5" t="str">
        <f>IFERROR(__xludf.DUMMYFUNCTION("GOOGLETRANSLATE(A172, ""en"", ""hi"")"),"171")</f>
        <v>171</v>
      </c>
      <c r="G172" s="5" t="str">
        <f>IFERROR(__xludf.DUMMYFUNCTION("GOOGLETRANSLATE(B172, ""en"", ""hi"")"),"ऐसा माना जाता है कि सिलंबम की तकनीक किस जानवर की गतिविधियों से ली गई थी?")</f>
        <v>ऐसा माना जाता है कि सिलंबम की तकनीक किस जानवर की गतिविधियों से ली गई थी?</v>
      </c>
      <c r="H172" s="5" t="str">
        <f>IFERROR(__xludf.DUMMYFUNCTION("GOOGLETRANSLATE(C172, ""en"", ""hi"")"),"A) साँप, B) बंदर, C) बाघ, D) मोर")</f>
        <v>A) साँप, B) बंदर, C) बाघ, D) मोर</v>
      </c>
      <c r="I172" s="5" t="str">
        <f>IFERROR(__xludf.DUMMYFUNCTION("GOOGLETRANSLATE(D172, ""en"", ""hi"")"),"एक साँप")</f>
        <v>एक साँप</v>
      </c>
    </row>
    <row r="173" ht="22.5" customHeight="1">
      <c r="A173" s="3">
        <v>172.0</v>
      </c>
      <c r="B173" s="4" t="s">
        <v>9967</v>
      </c>
      <c r="C173" s="4" t="s">
        <v>9968</v>
      </c>
      <c r="D173" s="4" t="s">
        <v>9846</v>
      </c>
      <c r="F173" s="5" t="str">
        <f>IFERROR(__xludf.DUMMYFUNCTION("GOOGLETRANSLATE(A173, ""en"", ""hi"")"),"172")</f>
        <v>172</v>
      </c>
      <c r="G173" s="5" t="str">
        <f>IFERROR(__xludf.DUMMYFUNCTION("GOOGLETRANSLATE(B173, ""en"", ""hi"")"),"किस तमिल विद्वान को सिलंबम के सबसे पुराने ज्ञात नियमों को संकलित करने का श्रेय दिया गया है?")</f>
        <v>किस तमिल विद्वान को सिलंबम के सबसे पुराने ज्ञात नियमों को संकलित करने का श्रेय दिया गया है?</v>
      </c>
      <c r="H173" s="5" t="str">
        <f>IFERROR(__xludf.DUMMYFUNCTION("GOOGLETRANSLATE(C173, ""en"", ""hi"")"),"ए) कंबन, बी) तिरुवल्लुवर, सी) अगस्त्य, डी) भारतीदासन")</f>
        <v>ए) कंबन, बी) तिरुवल्लुवर, सी) अगस्त्य, डी) भारतीदासन</v>
      </c>
      <c r="I173" s="5" t="str">
        <f>IFERROR(__xludf.DUMMYFUNCTION("GOOGLETRANSLATE(D173, ""en"", ""hi"")"),"C) अगस्त्य")</f>
        <v>C) अगस्त्य</v>
      </c>
    </row>
    <row r="174" ht="22.5" customHeight="1">
      <c r="A174" s="3">
        <v>173.0</v>
      </c>
      <c r="B174" s="4" t="s">
        <v>9969</v>
      </c>
      <c r="C174" s="4" t="s">
        <v>9970</v>
      </c>
      <c r="D174" s="4" t="s">
        <v>9603</v>
      </c>
      <c r="F174" s="5" t="str">
        <f>IFERROR(__xludf.DUMMYFUNCTION("GOOGLETRANSLATE(A174, ""en"", ""hi"")"),"173")</f>
        <v>173</v>
      </c>
      <c r="G174" s="5" t="str">
        <f>IFERROR(__xludf.DUMMYFUNCTION("GOOGLETRANSLATE(B174, ""en"", ""hi"")"),"प्राचीन काल में तमिलनाडु का कौन सा भाग सिलंबम प्रथा का प्रमुख केंद्र था?")</f>
        <v>प्राचीन काल में तमिलनाडु का कौन सा भाग सिलंबम प्रथा का प्रमुख केंद्र था?</v>
      </c>
      <c r="H174" s="5" t="str">
        <f>IFERROR(__xludf.DUMMYFUNCTION("GOOGLETRANSLATE(C174, ""en"", ""hi"")"),"A) मदुरै, B) तंजावुर, C) कोयंबटूर, D) कांचीपुरम")</f>
        <v>A) मदुरै, B) तंजावुर, C) कोयंबटूर, D) कांचीपुरम</v>
      </c>
      <c r="I174" s="5" t="str">
        <f>IFERROR(__xludf.DUMMYFUNCTION("GOOGLETRANSLATE(D174, ""en"", ""hi"")"),"A) मदुरै")</f>
        <v>A) मदुरै</v>
      </c>
    </row>
    <row r="175" ht="22.5" customHeight="1">
      <c r="A175" s="3">
        <v>174.0</v>
      </c>
      <c r="B175" s="4" t="s">
        <v>9971</v>
      </c>
      <c r="C175" s="4" t="s">
        <v>9972</v>
      </c>
      <c r="D175" s="4" t="s">
        <v>9973</v>
      </c>
      <c r="F175" s="5" t="str">
        <f>IFERROR(__xludf.DUMMYFUNCTION("GOOGLETRANSLATE(A175, ""en"", ""hi"")"),"174")</f>
        <v>174</v>
      </c>
      <c r="G175" s="5" t="str">
        <f>IFERROR(__xludf.DUMMYFUNCTION("GOOGLETRANSLATE(B175, ""en"", ""hi"")"),"सिलंबम को कभी-कभी किस प्रसिद्ध तमिल साम्राज्य की 'लाठी लड़ाई' के रूप में संदर्भित किया जाता है?")</f>
        <v>सिलंबम को कभी-कभी किस प्रसिद्ध तमिल साम्राज्य की 'लाठी लड़ाई' के रूप में संदर्भित किया जाता है?</v>
      </c>
      <c r="H175" s="5" t="str">
        <f>IFERROR(__xludf.DUMMYFUNCTION("GOOGLETRANSLATE(C175, ""en"", ""hi"")"),"ए) पल्लव, बी) चोल, सी) पांड्य, डी) चेर")</f>
        <v>ए) पल्लव, बी) चोल, सी) पांड्य, डी) चेर</v>
      </c>
      <c r="I175" s="5" t="str">
        <f>IFERROR(__xludf.DUMMYFUNCTION("GOOGLETRANSLATE(D175, ""en"", ""hi"")"),"C) पांड्या")</f>
        <v>C) पांड्या</v>
      </c>
    </row>
    <row r="176" ht="22.5" customHeight="1">
      <c r="A176" s="3">
        <v>175.0</v>
      </c>
      <c r="B176" s="4" t="s">
        <v>9974</v>
      </c>
      <c r="C176" s="4" t="s">
        <v>9975</v>
      </c>
      <c r="D176" s="4" t="s">
        <v>9976</v>
      </c>
      <c r="F176" s="5" t="str">
        <f>IFERROR(__xludf.DUMMYFUNCTION("GOOGLETRANSLATE(A176, ""en"", ""hi"")"),"175")</f>
        <v>175</v>
      </c>
      <c r="G176" s="5" t="str">
        <f>IFERROR(__xludf.DUMMYFUNCTION("GOOGLETRANSLATE(B176, ""en"", ""hi"")"),"सिलंबम का अंतर्राष्ट्रीय प्रसार 19वीं शताब्दी में किस क्षेत्र में प्रवास के कारण शुरू हुआ?")</f>
        <v>सिलंबम का अंतर्राष्ट्रीय प्रसार 19वीं शताब्दी में किस क्षेत्र में प्रवास के कारण शुरू हुआ?</v>
      </c>
      <c r="H176" s="5" t="str">
        <f>IFERROR(__xludf.DUMMYFUNCTION("GOOGLETRANSLATE(C176, ""en"", ""hi"")"),"A) यूरोप, B) दक्षिण पूर्व एशिया, C) अफ्रीका, D) मध्य पूर्व")</f>
        <v>A) यूरोप, B) दक्षिण पूर्व एशिया, C) अफ्रीका, D) मध्य पूर्व</v>
      </c>
      <c r="I176" s="5" t="str">
        <f>IFERROR(__xludf.DUMMYFUNCTION("GOOGLETRANSLATE(D176, ""en"", ""hi"")"),"बी) दक्षिण पूर्व एशिया")</f>
        <v>बी) दक्षिण पूर्व एशिया</v>
      </c>
    </row>
    <row r="177" ht="22.5" customHeight="1">
      <c r="A177" s="3">
        <v>176.0</v>
      </c>
      <c r="B177" s="4" t="s">
        <v>9977</v>
      </c>
      <c r="C177" s="4" t="s">
        <v>9978</v>
      </c>
      <c r="D177" s="4" t="s">
        <v>9979</v>
      </c>
      <c r="F177" s="5" t="str">
        <f>IFERROR(__xludf.DUMMYFUNCTION("GOOGLETRANSLATE(A177, ""en"", ""hi"")"),"176")</f>
        <v>176</v>
      </c>
      <c r="G177" s="5" t="str">
        <f>IFERROR(__xludf.DUMMYFUNCTION("GOOGLETRANSLATE(B177, ""en"", ""hi"")"),"सिलंबम के लिए प्रयुक्त बांस की कटाई पारंपरिक रूप से किस मौसम में की जाती है?")</f>
        <v>सिलंबम के लिए प्रयुक्त बांस की कटाई पारंपरिक रूप से किस मौसम में की जाती है?</v>
      </c>
      <c r="H177" s="5" t="str">
        <f>IFERROR(__xludf.DUMMYFUNCTION("GOOGLETRANSLATE(C177, ""en"", ""hi"")"),"A) ग्रीष्म, B) मानसून, C) शरद, D) वसंत")</f>
        <v>A) ग्रीष्म, B) मानसून, C) शरद, D) वसंत</v>
      </c>
      <c r="I177" s="5" t="str">
        <f>IFERROR(__xludf.DUMMYFUNCTION("GOOGLETRANSLATE(D177, ""en"", ""hi"")"),"बी) मानसून")</f>
        <v>बी) मानसून</v>
      </c>
    </row>
    <row r="178" ht="22.5" customHeight="1">
      <c r="A178" s="3">
        <v>177.0</v>
      </c>
      <c r="B178" s="4" t="s">
        <v>9980</v>
      </c>
      <c r="C178" s="4" t="s">
        <v>9981</v>
      </c>
      <c r="D178" s="4" t="s">
        <v>9982</v>
      </c>
      <c r="F178" s="5" t="str">
        <f>IFERROR(__xludf.DUMMYFUNCTION("GOOGLETRANSLATE(A178, ""en"", ""hi"")"),"177")</f>
        <v>177</v>
      </c>
      <c r="G178" s="5" t="str">
        <f>IFERROR(__xludf.DUMMYFUNCTION("GOOGLETRANSLATE(B178, ""en"", ""hi"")"),"किस प्राचीन तमिल पांडुलिपि में युद्ध प्रशिक्षण की एक विधि के रूप में सिलंबम का उल्लेख है?")</f>
        <v>किस प्राचीन तमिल पांडुलिपि में युद्ध प्रशिक्षण की एक विधि के रूप में सिलंबम का उल्लेख है?</v>
      </c>
      <c r="H178" s="5" t="str">
        <f>IFERROR(__xludf.DUMMYFUNCTION("GOOGLETRANSLATE(C178, ""en"", ""hi"")"),"ए) संगम साहित्य, बी) थोलकप्पियम, सी) अगस्त्य संहिता, डी) पेरिया पुराणम")</f>
        <v>ए) संगम साहित्य, बी) थोलकप्पियम, सी) अगस्त्य संहिता, डी) पेरिया पुराणम</v>
      </c>
      <c r="I178" s="5" t="str">
        <f>IFERROR(__xludf.DUMMYFUNCTION("GOOGLETRANSLATE(D178, ""en"", ""hi"")"),"C) अगस्त्य संहिता")</f>
        <v>C) अगस्त्य संहिता</v>
      </c>
    </row>
    <row r="179" ht="22.5" customHeight="1">
      <c r="A179" s="3">
        <v>178.0</v>
      </c>
      <c r="B179" s="4" t="s">
        <v>9983</v>
      </c>
      <c r="C179" s="4" t="s">
        <v>9984</v>
      </c>
      <c r="D179" s="4" t="s">
        <v>9985</v>
      </c>
      <c r="F179" s="5" t="str">
        <f>IFERROR(__xludf.DUMMYFUNCTION("GOOGLETRANSLATE(A179, ""en"", ""hi"")"),"178")</f>
        <v>178</v>
      </c>
      <c r="G179" s="5" t="str">
        <f>IFERROR(__xludf.DUMMYFUNCTION("GOOGLETRANSLATE(B179, ""en"", ""hi"")"),"सिलंबम अपने विशिष्ट हथियार के लिए जाना जाता है। यह हथियार पारंपरिक रूप से किससे बनाया जाता है?")</f>
        <v>सिलंबम अपने विशिष्ट हथियार के लिए जाना जाता है। यह हथियार पारंपरिक रूप से किससे बनाया जाता है?</v>
      </c>
      <c r="H179" s="5" t="str">
        <f>IFERROR(__xludf.DUMMYFUNCTION("GOOGLETRANSLATE(C179, ""en"", ""hi"")"),"A) लकड़ी, B) धातु, C) बांस, D) चमड़ा")</f>
        <v>A) लकड़ी, B) धातु, C) बांस, D) चमड़ा</v>
      </c>
      <c r="I179" s="5" t="str">
        <f>IFERROR(__xludf.DUMMYFUNCTION("GOOGLETRANSLATE(D179, ""en"", ""hi"")"),"C) बांस")</f>
        <v>C) बांस</v>
      </c>
    </row>
    <row r="180" ht="22.5" customHeight="1">
      <c r="A180" s="3">
        <v>179.0</v>
      </c>
      <c r="B180" s="4" t="s">
        <v>9986</v>
      </c>
      <c r="C180" s="4" t="s">
        <v>9987</v>
      </c>
      <c r="D180" s="4" t="s">
        <v>9159</v>
      </c>
      <c r="F180" s="5" t="str">
        <f>IFERROR(__xludf.DUMMYFUNCTION("GOOGLETRANSLATE(A180, ""en"", ""hi"")"),"179")</f>
        <v>179</v>
      </c>
      <c r="G180" s="5" t="str">
        <f>IFERROR(__xludf.DUMMYFUNCTION("GOOGLETRANSLATE(B180, ""en"", ""hi"")"),"मध्यकाल के दौरान कौन सा तमिल राज्य अपने सैन्य प्रशिक्षण में सिलंबम को शामिल करने के लिए जाना जाता था?")</f>
        <v>मध्यकाल के दौरान कौन सा तमिल राज्य अपने सैन्य प्रशिक्षण में सिलंबम को शामिल करने के लिए जाना जाता था?</v>
      </c>
      <c r="H180" s="5" t="str">
        <f>IFERROR(__xludf.DUMMYFUNCTION("GOOGLETRANSLATE(C180, ""en"", ""hi"")"),"A) चोल वंश, B) विजयनगर साम्राज्य, C) पांड्य वंश, D) चेर वंश")</f>
        <v>A) चोल वंश, B) विजयनगर साम्राज्य, C) पांड्य वंश, D) चेर वंश</v>
      </c>
      <c r="I180" s="5" t="str">
        <f>IFERROR(__xludf.DUMMYFUNCTION("GOOGLETRANSLATE(D180, ""en"", ""hi"")"),"A) चोल राजवंश")</f>
        <v>A) चोल राजवंश</v>
      </c>
    </row>
    <row r="181" ht="22.5" customHeight="1">
      <c r="A181" s="3">
        <v>180.0</v>
      </c>
      <c r="B181" s="4" t="s">
        <v>9988</v>
      </c>
      <c r="C181" s="4" t="s">
        <v>9989</v>
      </c>
      <c r="D181" s="4" t="s">
        <v>9990</v>
      </c>
      <c r="F181" s="5" t="str">
        <f>IFERROR(__xludf.DUMMYFUNCTION("GOOGLETRANSLATE(A181, ""en"", ""hi"")"),"180")</f>
        <v>180</v>
      </c>
      <c r="G181" s="5" t="str">
        <f>IFERROR(__xludf.DUMMYFUNCTION("GOOGLETRANSLATE(B181, ""en"", ""hi"")"),"किस ऐतिहासिक काल के दौरान सिलंबम ने औपनिवेशिक शासन के कारण महत्वपूर्ण गिरावट का अनुभव किया?")</f>
        <v>किस ऐतिहासिक काल के दौरान सिलंबम ने औपनिवेशिक शासन के कारण महत्वपूर्ण गिरावट का अनुभव किया?</v>
      </c>
      <c r="H181" s="5" t="str">
        <f>IFERROR(__xludf.DUMMYFUNCTION("GOOGLETRANSLATE(C181, ""en"", ""hi"")"),"A) प्रारंभिक आधुनिक काल, B) मध्यकालीन काल, C) प्राचीन काल, D) उत्तर-औद्योगिक काल")</f>
        <v>A) प्रारंभिक आधुनिक काल, B) मध्यकालीन काल, C) प्राचीन काल, D) उत्तर-औद्योगिक काल</v>
      </c>
      <c r="I181" s="5" t="str">
        <f>IFERROR(__xludf.DUMMYFUNCTION("GOOGLETRANSLATE(D181, ""en"", ""hi"")"),"A) प्रारंभिक आधुनिक काल")</f>
        <v>A) प्रारंभिक आधुनिक काल</v>
      </c>
    </row>
    <row r="182" ht="22.5" customHeight="1">
      <c r="A182" s="3">
        <v>181.0</v>
      </c>
      <c r="B182" s="4" t="s">
        <v>9991</v>
      </c>
      <c r="C182" s="4" t="s">
        <v>9992</v>
      </c>
      <c r="D182" s="4" t="s">
        <v>9583</v>
      </c>
      <c r="F182" s="5" t="str">
        <f>IFERROR(__xludf.DUMMYFUNCTION("GOOGLETRANSLATE(A182, ""en"", ""hi"")"),"181")</f>
        <v>181</v>
      </c>
      <c r="G182" s="5" t="str">
        <f>IFERROR(__xludf.DUMMYFUNCTION("GOOGLETRANSLATE(B182, ""en"", ""hi"")"),"कौन सा तमिल क्षेत्र पारंपरिक सिलंबम स्कूलों के लिए प्रसिद्ध है, जिन्होंने औपनिवेशिक युग के दौरान कला को संरक्षित रखा?")</f>
        <v>कौन सा तमिल क्षेत्र पारंपरिक सिलंबम स्कूलों के लिए प्रसिद्ध है, जिन्होंने औपनिवेशिक युग के दौरान कला को संरक्षित रखा?</v>
      </c>
      <c r="H182" s="5" t="str">
        <f>IFERROR(__xludf.DUMMYFUNCTION("GOOGLETRANSLATE(C182, ""en"", ""hi"")"),"A) कन्याकुमारी, B) मदुरै, C) चेन्नई, D) तिरुनेलवेली")</f>
        <v>A) कन्याकुमारी, B) मदुरै, C) चेन्नई, D) तिरुनेलवेली</v>
      </c>
      <c r="I182" s="5" t="str">
        <f>IFERROR(__xludf.DUMMYFUNCTION("GOOGLETRANSLATE(D182, ""en"", ""hi"")"),"बी) मदुरै")</f>
        <v>बी) मदुरै</v>
      </c>
    </row>
    <row r="183" ht="22.5" customHeight="1">
      <c r="A183" s="3">
        <v>182.0</v>
      </c>
      <c r="B183" s="4" t="s">
        <v>9993</v>
      </c>
      <c r="C183" s="4" t="s">
        <v>9994</v>
      </c>
      <c r="D183" s="4" t="s">
        <v>9706</v>
      </c>
      <c r="F183" s="5" t="str">
        <f>IFERROR(__xludf.DUMMYFUNCTION("GOOGLETRANSLATE(A183, ""en"", ""hi"")"),"182")</f>
        <v>182</v>
      </c>
      <c r="G183" s="5" t="str">
        <f>IFERROR(__xludf.DUMMYFUNCTION("GOOGLETRANSLATE(B183, ""en"", ""hi"")"),"सिलंबम प्रथा को ऐतिहासिक रूप से किस तमिल सांस्कृतिक संस्था द्वारा समर्थन दिया गया था?")</f>
        <v>सिलंबम प्रथा को ऐतिहासिक रूप से किस तमिल सांस्कृतिक संस्था द्वारा समर्थन दिया गया था?</v>
      </c>
      <c r="H183" s="5" t="str">
        <f>IFERROR(__xludf.DUMMYFUNCTION("GOOGLETRANSLATE(C183, ""en"", ""hi"")"),"A) मठ, B) मंदिर, C) शाही दरबार, D) ग्राम परिषदें")</f>
        <v>A) मठ, B) मंदिर, C) शाही दरबार, D) ग्राम परिषदें</v>
      </c>
      <c r="I183" s="5" t="str">
        <f>IFERROR(__xludf.DUMMYFUNCTION("GOOGLETRANSLATE(D183, ""en"", ""hi"")"),"बी) मंदिर")</f>
        <v>बी) मंदिर</v>
      </c>
    </row>
    <row r="184" ht="22.5" customHeight="1">
      <c r="A184" s="3">
        <v>183.0</v>
      </c>
      <c r="B184" s="4" t="s">
        <v>9995</v>
      </c>
      <c r="C184" s="4" t="s">
        <v>9996</v>
      </c>
      <c r="D184" s="4" t="s">
        <v>9997</v>
      </c>
      <c r="F184" s="5" t="str">
        <f>IFERROR(__xludf.DUMMYFUNCTION("GOOGLETRANSLATE(A184, ""en"", ""hi"")"),"183")</f>
        <v>183</v>
      </c>
      <c r="G184" s="5" t="str">
        <f>IFERROR(__xludf.DUMMYFUNCTION("GOOGLETRANSLATE(B184, ""en"", ""hi"")"),"कौन सा तमिल योद्धा राजा युद्ध में सिलंबम तकनीक के प्रचार से जुड़ा हुआ है?")</f>
        <v>कौन सा तमिल योद्धा राजा युद्ध में सिलंबम तकनीक के प्रचार से जुड़ा हुआ है?</v>
      </c>
      <c r="H184" s="5" t="str">
        <f>IFERROR(__xludf.DUMMYFUNCTION("GOOGLETRANSLATE(C184, ""en"", ""hi"")"),"ए) राजराजा चोल, बी) वीरपांडिया कट्टाबोम्मन, सी) सुंदरा चोल, डी) मारुथु पांडियार")</f>
        <v>ए) राजराजा चोल, बी) वीरपांडिया कट्टाबोम्मन, सी) सुंदरा चोल, डी) मारुथु पांडियार</v>
      </c>
      <c r="I184" s="5" t="str">
        <f>IFERROR(__xludf.DUMMYFUNCTION("GOOGLETRANSLATE(D184, ""en"", ""hi"")"),"A) राजराजा चोल")</f>
        <v>A) राजराजा चोल</v>
      </c>
    </row>
    <row r="185" ht="22.5" customHeight="1">
      <c r="A185" s="3">
        <v>184.0</v>
      </c>
      <c r="B185" s="4" t="s">
        <v>9998</v>
      </c>
      <c r="C185" s="4" t="s">
        <v>9999</v>
      </c>
      <c r="D185" s="4" t="s">
        <v>9512</v>
      </c>
      <c r="F185" s="5" t="str">
        <f>IFERROR(__xludf.DUMMYFUNCTION("GOOGLETRANSLATE(A185, ""en"", ""hi"")"),"184")</f>
        <v>184</v>
      </c>
      <c r="G185" s="5" t="str">
        <f>IFERROR(__xludf.DUMMYFUNCTION("GOOGLETRANSLATE(B185, ""en"", ""hi"")"),"किस तमिल महाकाव्य में सिलंबम को सैन्य वीरता के प्रमुख घटक के रूप में चित्रित किया गया है?")</f>
        <v>किस तमिल महाकाव्य में सिलंबम को सैन्य वीरता के प्रमुख घटक के रूप में चित्रित किया गया है?</v>
      </c>
      <c r="H185" s="5" t="str">
        <f>IFERROR(__xludf.DUMMYFUNCTION("GOOGLETRANSLATE(C185, ""en"", ""hi"")"),"ए) सिलप्पातिकारम, बी) मणिमेकलाई, सी) कंबार रामायणम, डी) तिरुक्कुरल")</f>
        <v>ए) सिलप्पातिकारम, बी) मणिमेकलाई, सी) कंबार रामायणम, डी) तिरुक्कुरल</v>
      </c>
      <c r="I185" s="5" t="str">
        <f>IFERROR(__xludf.DUMMYFUNCTION("GOOGLETRANSLATE(D185, ""en"", ""hi"")"),"A) सिलप्पाटिकरम")</f>
        <v>A) सिलप्पाटिकरम</v>
      </c>
    </row>
    <row r="186" ht="22.5" customHeight="1">
      <c r="A186" s="3">
        <v>185.0</v>
      </c>
      <c r="B186" s="4" t="s">
        <v>10000</v>
      </c>
      <c r="C186" s="4" t="s">
        <v>10001</v>
      </c>
      <c r="D186" s="4" t="s">
        <v>4854</v>
      </c>
      <c r="F186" s="5" t="str">
        <f>IFERROR(__xludf.DUMMYFUNCTION("GOOGLETRANSLATE(A186, ""en"", ""hi"")"),"185")</f>
        <v>185</v>
      </c>
      <c r="G186" s="5" t="str">
        <f>IFERROR(__xludf.DUMMYFUNCTION("GOOGLETRANSLATE(B186, ""en"", ""hi"")"),"मध्यकाल के दौरान किस तमिल त्यौहार में पारंपरिक कार्यक्रमों के भाग के रूप में सिलंबम प्रदर्शन शामिल था?")</f>
        <v>मध्यकाल के दौरान किस तमिल त्यौहार में पारंपरिक कार्यक्रमों के भाग के रूप में सिलंबम प्रदर्शन शामिल था?</v>
      </c>
      <c r="H186" s="5" t="str">
        <f>IFERROR(__xludf.DUMMYFUNCTION("GOOGLETRANSLATE(C186, ""en"", ""hi"")"),"ए) पोंगल, बी) तमिल नव वर्ष, सी) दीपावली, डी) महा शिवरात्रि")</f>
        <v>ए) पोंगल, बी) तमिल नव वर्ष, सी) दीपावली, डी) महा शिवरात्रि</v>
      </c>
      <c r="I186" s="5" t="str">
        <f>IFERROR(__xludf.DUMMYFUNCTION("GOOGLETRANSLATE(D186, ""en"", ""hi"")"),"ए) पोंगल")</f>
        <v>ए) पोंगल</v>
      </c>
    </row>
    <row r="187" ht="22.5" customHeight="1">
      <c r="A187" s="3">
        <v>186.0</v>
      </c>
      <c r="B187" s="4" t="s">
        <v>10002</v>
      </c>
      <c r="C187" s="4" t="s">
        <v>10003</v>
      </c>
      <c r="D187" s="4" t="s">
        <v>7560</v>
      </c>
      <c r="F187" s="5" t="str">
        <f>IFERROR(__xludf.DUMMYFUNCTION("GOOGLETRANSLATE(A187, ""en"", ""hi"")"),"186")</f>
        <v>186</v>
      </c>
      <c r="G187" s="5" t="str">
        <f>IFERROR(__xludf.DUMMYFUNCTION("GOOGLETRANSLATE(B187, ""en"", ""hi"")"),"किस विदेशी आक्रमणकारी के आगमन से प्रतिरोध की एक विधि के रूप में सिलंबम का महत्व बढ़ गया?")</f>
        <v>किस विदेशी आक्रमणकारी के आगमन से प्रतिरोध की एक विधि के रूप में सिलंबम का महत्व बढ़ गया?</v>
      </c>
      <c r="H187" s="5" t="str">
        <f>IFERROR(__xludf.DUMMYFUNCTION("GOOGLETRANSLATE(C187, ""en"", ""hi"")"),"A) डच, B) फ़्रांसीसी, C) ब्रिटिश, D) पुर्तगाली")</f>
        <v>A) डच, B) फ़्रांसीसी, C) ब्रिटिश, D) पुर्तगाली</v>
      </c>
      <c r="I187" s="5" t="str">
        <f>IFERROR(__xludf.DUMMYFUNCTION("GOOGLETRANSLATE(D187, ""en"", ""hi"")"),"C) ब्रिटिश")</f>
        <v>C) ब्रिटिश</v>
      </c>
    </row>
    <row r="188" ht="22.5" customHeight="1">
      <c r="A188" s="3">
        <v>187.0</v>
      </c>
      <c r="B188" s="4" t="s">
        <v>10004</v>
      </c>
      <c r="C188" s="4" t="s">
        <v>10005</v>
      </c>
      <c r="D188" s="4" t="s">
        <v>10006</v>
      </c>
      <c r="F188" s="5" t="str">
        <f>IFERROR(__xludf.DUMMYFUNCTION("GOOGLETRANSLATE(A188, ""en"", ""hi"")"),"187")</f>
        <v>187</v>
      </c>
      <c r="G188" s="5" t="str">
        <f>IFERROR(__xludf.DUMMYFUNCTION("GOOGLETRANSLATE(B188, ""en"", ""hi"")"),"कौन सा प्राचीन तमिल शहर अपने सिलंबम चिकित्सकों और स्कूलों के लिए प्रसिद्ध था?")</f>
        <v>कौन सा प्राचीन तमिल शहर अपने सिलंबम चिकित्सकों और स्कूलों के लिए प्रसिद्ध था?</v>
      </c>
      <c r="H188" s="5" t="str">
        <f>IFERROR(__xludf.DUMMYFUNCTION("GOOGLETRANSLATE(C188, ""en"", ""hi"")"),"A) कांचीपुरम, B) तंजावुर, C) मदुरै, D) कोयंबटूर")</f>
        <v>A) कांचीपुरम, B) तंजावुर, C) मदुरै, D) कोयंबटूर</v>
      </c>
      <c r="I188" s="5" t="str">
        <f>IFERROR(__xludf.DUMMYFUNCTION("GOOGLETRANSLATE(D188, ""en"", ""hi"")"),"C) मदुरै")</f>
        <v>C) मदुरै</v>
      </c>
    </row>
    <row r="189" ht="22.5" customHeight="1">
      <c r="A189" s="3">
        <v>188.0</v>
      </c>
      <c r="B189" s="4" t="s">
        <v>10007</v>
      </c>
      <c r="C189" s="4" t="s">
        <v>10008</v>
      </c>
      <c r="D189" s="4" t="s">
        <v>10009</v>
      </c>
      <c r="F189" s="5" t="str">
        <f>IFERROR(__xludf.DUMMYFUNCTION("GOOGLETRANSLATE(A189, ""en"", ""hi"")"),"188")</f>
        <v>188</v>
      </c>
      <c r="G189" s="5" t="str">
        <f>IFERROR(__xludf.DUMMYFUNCTION("GOOGLETRANSLATE(B189, ""en"", ""hi"")"),"किस तमिल राजा ने अपने निजी रक्षकों के लिए उत्कृष्ट प्रशिक्षण के रूप में सिलंबम का प्रयोग किया था?")</f>
        <v>किस तमिल राजा ने अपने निजी रक्षकों के लिए उत्कृष्ट प्रशिक्षण के रूप में सिलंबम का प्रयोग किया था?</v>
      </c>
      <c r="H189" s="5" t="str">
        <f>IFERROR(__xludf.DUMMYFUNCTION("GOOGLETRANSLATE(C189, ""en"", ""hi"")"),"A) राजा राज चोल, B) विक्रम चोल, C) कुलोथुंगा चोल, D) राजेंद्र चोल")</f>
        <v>A) राजा राज चोल, B) विक्रम चोल, C) कुलोथुंगा चोल, D) राजेंद्र चोल</v>
      </c>
      <c r="I189" s="5" t="str">
        <f>IFERROR(__xludf.DUMMYFUNCTION("GOOGLETRANSLATE(D189, ""en"", ""hi"")"),"D) राजेंद्र चोल")</f>
        <v>D) राजेंद्र चोल</v>
      </c>
    </row>
    <row r="190" ht="22.5" customHeight="1">
      <c r="A190" s="3">
        <v>189.0</v>
      </c>
      <c r="B190" s="4" t="s">
        <v>10010</v>
      </c>
      <c r="C190" s="4" t="s">
        <v>10011</v>
      </c>
      <c r="D190" s="4" t="s">
        <v>2732</v>
      </c>
      <c r="F190" s="5" t="str">
        <f>IFERROR(__xludf.DUMMYFUNCTION("GOOGLETRANSLATE(A190, ""en"", ""hi"")"),"189")</f>
        <v>189</v>
      </c>
      <c r="G190" s="5" t="str">
        <f>IFERROR(__xludf.DUMMYFUNCTION("GOOGLETRANSLATE(B190, ""en"", ""hi"")"),"सिलंबम से निकटता से संबंधित कौन सी तमिल मार्शल आर्ट भी विभिन्न प्रकार के हथियारों का उपयोग करती है?")</f>
        <v>सिलंबम से निकटता से संबंधित कौन सी तमिल मार्शल आर्ट भी विभिन्न प्रकार के हथियारों का उपयोग करती है?</v>
      </c>
      <c r="H190" s="5" t="str">
        <f>IFERROR(__xludf.DUMMYFUNCTION("GOOGLETRANSLATE(C190, ""en"", ""hi"")"),"ए) कलारीपयट्टु, बी) वर्मा कलाई, सी) आदिमुराई, डी) माल्युथम")</f>
        <v>ए) कलारीपयट्टु, बी) वर्मा कलाई, सी) आदिमुराई, डी) माल्युथम</v>
      </c>
      <c r="I190" s="5" t="str">
        <f>IFERROR(__xludf.DUMMYFUNCTION("GOOGLETRANSLATE(D190, ""en"", ""hi"")"),"A) कलारीपयट्टू")</f>
        <v>A) कलारीपयट्टू</v>
      </c>
    </row>
    <row r="191" ht="22.5" customHeight="1">
      <c r="A191" s="3">
        <v>190.0</v>
      </c>
      <c r="B191" s="4" t="s">
        <v>10012</v>
      </c>
      <c r="C191" s="4" t="s">
        <v>10013</v>
      </c>
      <c r="D191" s="4" t="s">
        <v>10014</v>
      </c>
      <c r="F191" s="5" t="str">
        <f>IFERROR(__xludf.DUMMYFUNCTION("GOOGLETRANSLATE(A191, ""en"", ""hi"")"),"190")</f>
        <v>190</v>
      </c>
      <c r="G191" s="5" t="str">
        <f>IFERROR(__xludf.DUMMYFUNCTION("GOOGLETRANSLATE(B191, ""en"", ""hi"")"),"20वीं शताब्दी के दौरान सिलंबम को पुनर्जीवित करने के लिए किस ऐतिहासिक तमिल हस्ती को सम्मानित किया जाता है?")</f>
        <v>20वीं शताब्दी के दौरान सिलंबम को पुनर्जीवित करने के लिए किस ऐतिहासिक तमिल हस्ती को सम्मानित किया जाता है?</v>
      </c>
      <c r="H191" s="5" t="str">
        <f>IFERROR(__xludf.DUMMYFUNCTION("GOOGLETRANSLATE(C191, ""en"", ""hi"")"),"ए) सुब्रमण्यम भारती, बी) वी. कृष्णमाचारी, सी) एम. आर. वासुदेवन, डी) के. एन. गणपति")</f>
        <v>ए) सुब्रमण्यम भारती, बी) वी. कृष्णमाचारी, सी) एम. आर. वासुदेवन, डी) के. एन. गणपति</v>
      </c>
      <c r="I191" s="5" t="str">
        <f>IFERROR(__xludf.DUMMYFUNCTION("GOOGLETRANSLATE(D191, ""en"", ""hi"")"),"बी) वी. कृष्णमाचारी")</f>
        <v>बी) वी. कृष्णमाचारी</v>
      </c>
    </row>
    <row r="192" ht="22.5" customHeight="1">
      <c r="A192" s="3">
        <v>191.0</v>
      </c>
      <c r="B192" s="4" t="s">
        <v>10015</v>
      </c>
      <c r="C192" s="4" t="s">
        <v>10016</v>
      </c>
      <c r="D192" s="4" t="s">
        <v>10017</v>
      </c>
      <c r="F192" s="5" t="str">
        <f>IFERROR(__xludf.DUMMYFUNCTION("GOOGLETRANSLATE(A192, ""en"", ""hi"")"),"191")</f>
        <v>191</v>
      </c>
      <c r="G192" s="5" t="str">
        <f>IFERROR(__xludf.DUMMYFUNCTION("GOOGLETRANSLATE(B192, ""en"", ""hi"")"),"किस तमिल कला रूप ने अपने पारंपरिक प्रदर्शन में सिलंबम को एक प्रमुख तत्व के रूप में प्रयोग किया?")</f>
        <v>किस तमिल कला रूप ने अपने पारंपरिक प्रदर्शन में सिलंबम को एक प्रमुख तत्व के रूप में प्रयोग किया?</v>
      </c>
      <c r="H192" s="5" t="str">
        <f>IFERROR(__xludf.DUMMYFUNCTION("GOOGLETRANSLATE(C192, ""en"", ""hi"")"),"ए) भरतनाट्यम, बी) कथकली, सी) कुट्टू, डी) ओट्टमथुल्लल")</f>
        <v>ए) भरतनाट्यम, बी) कथकली, सी) कुट्टू, डी) ओट्टमथुल्लल</v>
      </c>
      <c r="I192" s="5" t="str">
        <f>IFERROR(__xludf.DUMMYFUNCTION("GOOGLETRANSLATE(D192, ""en"", ""hi"")"),"C) कुट्टू")</f>
        <v>C) कुट्टू</v>
      </c>
    </row>
    <row r="193" ht="22.5" customHeight="1">
      <c r="A193" s="3">
        <v>192.0</v>
      </c>
      <c r="B193" s="4" t="s">
        <v>10018</v>
      </c>
      <c r="C193" s="4" t="s">
        <v>10019</v>
      </c>
      <c r="D193" s="4" t="s">
        <v>10020</v>
      </c>
      <c r="F193" s="5" t="str">
        <f>IFERROR(__xludf.DUMMYFUNCTION("GOOGLETRANSLATE(A193, ""en"", ""hi"")"),"192")</f>
        <v>192</v>
      </c>
      <c r="G193" s="5" t="str">
        <f>IFERROR(__xludf.DUMMYFUNCTION("GOOGLETRANSLATE(B193, ""en"", ""hi"")"),"किस तमिल राजा की सेना सिलंबम प्रशिक्षित सैनिकों से सुसज्जित थी?")</f>
        <v>किस तमिल राजा की सेना सिलंबम प्रशिक्षित सैनिकों से सुसज्जित थी?</v>
      </c>
      <c r="H193" s="5" t="str">
        <f>IFERROR(__xludf.DUMMYFUNCTION("GOOGLETRANSLATE(C193, ""en"", ""hi"")"),"ए) चेर राजा, बी) चोल राजा, सी) पांड्य राजा, डी) पल्लव राजा")</f>
        <v>ए) चेर राजा, बी) चोल राजा, सी) पांड्य राजा, डी) पल्लव राजा</v>
      </c>
      <c r="I193" s="5" t="str">
        <f>IFERROR(__xludf.DUMMYFUNCTION("GOOGLETRANSLATE(D193, ""en"", ""hi"")"),"बी) चोल राजा")</f>
        <v>बी) चोल राजा</v>
      </c>
    </row>
    <row r="194" ht="22.5" customHeight="1">
      <c r="A194" s="3">
        <v>193.0</v>
      </c>
      <c r="B194" s="4" t="s">
        <v>10021</v>
      </c>
      <c r="C194" s="4" t="s">
        <v>10022</v>
      </c>
      <c r="D194" s="4" t="s">
        <v>10023</v>
      </c>
      <c r="F194" s="5" t="str">
        <f>IFERROR(__xludf.DUMMYFUNCTION("GOOGLETRANSLATE(A194, ""en"", ""hi"")"),"193")</f>
        <v>193</v>
      </c>
      <c r="G194" s="5" t="str">
        <f>IFERROR(__xludf.DUMMYFUNCTION("GOOGLETRANSLATE(B194, ""en"", ""hi"")"),"सिलंबम का प्रशिक्षण प्रायः किस प्रकार की पारंपरिक तमिल शिक्षा से जुड़ा था?")</f>
        <v>सिलंबम का प्रशिक्षण प्रायः किस प्रकार की पारंपरिक तमिल शिक्षा से जुड़ा था?</v>
      </c>
      <c r="H194" s="5" t="str">
        <f>IFERROR(__xludf.DUMMYFUNCTION("GOOGLETRANSLATE(C194, ""en"", ""hi"")"),"A) गुरुकुल प्रणाली, B) मठवासी स्कूल, C) शाही अकादमियाँ, D) मंदिर स्कूल")</f>
        <v>A) गुरुकुल प्रणाली, B) मठवासी स्कूल, C) शाही अकादमियाँ, D) मंदिर स्कूल</v>
      </c>
      <c r="I194" s="5" t="str">
        <f>IFERROR(__xludf.DUMMYFUNCTION("GOOGLETRANSLATE(D194, ""en"", ""hi"")"),"A) गुरुकुल प्रणाली")</f>
        <v>A) गुरुकुल प्रणाली</v>
      </c>
    </row>
    <row r="195" ht="22.5" customHeight="1">
      <c r="A195" s="3">
        <v>194.0</v>
      </c>
      <c r="B195" s="4" t="s">
        <v>10024</v>
      </c>
      <c r="C195" s="4" t="s">
        <v>10025</v>
      </c>
      <c r="D195" s="4" t="s">
        <v>10026</v>
      </c>
      <c r="F195" s="5" t="str">
        <f>IFERROR(__xludf.DUMMYFUNCTION("GOOGLETRANSLATE(A195, ""en"", ""hi"")"),"194")</f>
        <v>194</v>
      </c>
      <c r="G195" s="5" t="str">
        <f>IFERROR(__xludf.DUMMYFUNCTION("GOOGLETRANSLATE(B195, ""en"", ""hi"")"),"तमिल इतिहास के संदर्भ में, सिलंबम का उपयोग किस प्रकार के खतरे के खिलाफ रक्षा के रूप में किया जाता था?")</f>
        <v>तमिल इतिहास के संदर्भ में, सिलंबम का उपयोग किस प्रकार के खतरे के खिलाफ रक्षा के रूप में किया जाता था?</v>
      </c>
      <c r="H195" s="5" t="str">
        <f>IFERROR(__xludf.DUMMYFUNCTION("GOOGLETRANSLATE(C195, ""en"", ""hi"")"),"A) विदेशी आक्रमण, B) डाकू, C) प्राकृतिक आपदाएँ, D) पशु हमले")</f>
        <v>A) विदेशी आक्रमण, B) डाकू, C) प्राकृतिक आपदाएँ, D) पशु हमले</v>
      </c>
      <c r="I195" s="5" t="str">
        <f>IFERROR(__xludf.DUMMYFUNCTION("GOOGLETRANSLATE(D195, ""en"", ""hi"")"),"बी) डाकू")</f>
        <v>बी) डाकू</v>
      </c>
    </row>
    <row r="196" ht="22.5" customHeight="1">
      <c r="A196" s="3">
        <v>195.0</v>
      </c>
      <c r="B196" s="4" t="s">
        <v>10027</v>
      </c>
      <c r="C196" s="4" t="s">
        <v>10028</v>
      </c>
      <c r="D196" s="4" t="s">
        <v>10029</v>
      </c>
      <c r="F196" s="5" t="str">
        <f>IFERROR(__xludf.DUMMYFUNCTION("GOOGLETRANSLATE(A196, ""en"", ""hi"")"),"195")</f>
        <v>195</v>
      </c>
      <c r="G196" s="5" t="str">
        <f>IFERROR(__xludf.DUMMYFUNCTION("GOOGLETRANSLATE(B196, ""en"", ""hi"")"),"कौन सा तमिल राजकुमार सिलंबम में अपनी विशेषज्ञता और युद्ध में इसके रणनीतिक उपयोग के लिए जाना जाता था?")</f>
        <v>कौन सा तमिल राजकुमार सिलंबम में अपनी विशेषज्ञता और युद्ध में इसके रणनीतिक उपयोग के लिए जाना जाता था?</v>
      </c>
      <c r="H196" s="5" t="str">
        <f>IFERROR(__xludf.DUMMYFUNCTION("GOOGLETRANSLATE(C196, ""en"", ""hi"")"),"A) राजकुमार भरत, B) राजकुमार राजेंद्र, C) राजकुमार सुंदरा, D) राजकुमार चोल")</f>
        <v>A) राजकुमार भरत, B) राजकुमार राजेंद्र, C) राजकुमार सुंदरा, D) राजकुमार चोल</v>
      </c>
      <c r="I196" s="5" t="str">
        <f>IFERROR(__xludf.DUMMYFUNCTION("GOOGLETRANSLATE(D196, ""en"", ""hi"")"),"बी) राजकुमार राजेंद्र")</f>
        <v>बी) राजकुमार राजेंद्र</v>
      </c>
    </row>
    <row r="197" ht="22.5" customHeight="1">
      <c r="A197" s="3">
        <v>196.0</v>
      </c>
      <c r="B197" s="4" t="s">
        <v>10030</v>
      </c>
      <c r="C197" s="4" t="s">
        <v>10031</v>
      </c>
      <c r="D197" s="4" t="s">
        <v>10032</v>
      </c>
      <c r="F197" s="5" t="str">
        <f>IFERROR(__xludf.DUMMYFUNCTION("GOOGLETRANSLATE(A197, ""en"", ""hi"")"),"196")</f>
        <v>196</v>
      </c>
      <c r="G197" s="5" t="str">
        <f>IFERROR(__xludf.DUMMYFUNCTION("GOOGLETRANSLATE(B197, ""en"", ""hi"")"),"किस तमिल मार्शल आर्ट परंपरा ने सिलंबम के विकास को प्रभावित किया?")</f>
        <v>किस तमिल मार्शल आर्ट परंपरा ने सिलंबम के विकास को प्रभावित किया?</v>
      </c>
      <c r="H197" s="5" t="str">
        <f>IFERROR(__xludf.DUMMYFUNCTION("GOOGLETRANSLATE(C197, ""en"", ""hi"")"),"ए) कलारीपयट्टु, बी) आदिमुराई, सी) वर्मा कलाई, डी) माल्युथम")</f>
        <v>ए) कलारीपयट्टु, बी) आदिमुराई, सी) वर्मा कलाई, डी) माल्युथम</v>
      </c>
      <c r="I197" s="5" t="str">
        <f>IFERROR(__xludf.DUMMYFUNCTION("GOOGLETRANSLATE(D197, ""en"", ""hi"")"),"बी) आदिमुराई")</f>
        <v>बी) आदिमुराई</v>
      </c>
    </row>
    <row r="198" ht="22.5" customHeight="1">
      <c r="A198" s="3">
        <v>197.0</v>
      </c>
      <c r="B198" s="4" t="s">
        <v>10033</v>
      </c>
      <c r="C198" s="4" t="s">
        <v>9943</v>
      </c>
      <c r="D198" s="4" t="s">
        <v>10034</v>
      </c>
      <c r="F198" s="5" t="str">
        <f>IFERROR(__xludf.DUMMYFUNCTION("GOOGLETRANSLATE(A198, ""en"", ""hi"")"),"197")</f>
        <v>197</v>
      </c>
      <c r="G198" s="5" t="str">
        <f>IFERROR(__xludf.DUMMYFUNCTION("GOOGLETRANSLATE(B198, ""en"", ""hi"")"),"कौन सा तमिल ऐतिहासिक व्यक्ति अपने राज्य की रक्षा में सिलंबम तकनीक का उपयोग करने के लिए जाना जाता था?")</f>
        <v>कौन सा तमिल ऐतिहासिक व्यक्ति अपने राज्य की रक्षा में सिलंबम तकनीक का उपयोग करने के लिए जाना जाता था?</v>
      </c>
      <c r="H198" s="5" t="str">
        <f>IFERROR(__xludf.DUMMYFUNCTION("GOOGLETRANSLATE(C198, ""en"", ""hi"")"),"ए) वीरपांडिया कट्टाबोम्मन, बी) मारुथु पांडियार, सी) पुली थेवर, डी) धीरन चिन्नामलाई")</f>
        <v>ए) वीरपांडिया कट्टाबोम्मन, बी) मारुथु पांडियार, सी) पुली थेवर, डी) धीरन चिन्नामलाई</v>
      </c>
      <c r="I198" s="5" t="str">
        <f>IFERROR(__xludf.DUMMYFUNCTION("GOOGLETRANSLATE(D198, ""en"", ""hi"")"),"C) पुली थेवर")</f>
        <v>C) पुली थेवर</v>
      </c>
    </row>
    <row r="199" ht="22.5" customHeight="1">
      <c r="A199" s="3">
        <v>198.0</v>
      </c>
      <c r="B199" s="4" t="s">
        <v>10035</v>
      </c>
      <c r="C199" s="4" t="s">
        <v>10036</v>
      </c>
      <c r="D199" s="4" t="s">
        <v>10037</v>
      </c>
      <c r="F199" s="5" t="str">
        <f>IFERROR(__xludf.DUMMYFUNCTION("GOOGLETRANSLATE(A199, ""en"", ""hi"")"),"198")</f>
        <v>198</v>
      </c>
      <c r="G199" s="5" t="str">
        <f>IFERROR(__xludf.DUMMYFUNCTION("GOOGLETRANSLATE(B199, ""en"", ""hi"")"),"तमिल सैन्य इतिहास में सिलंबम की भूमिका का पता किस प्राचीन ग्रंथ से लगाया जा सकता है?")</f>
        <v>तमिल सैन्य इतिहास में सिलंबम की भूमिका का पता किस प्राचीन ग्रंथ से लगाया जा सकता है?</v>
      </c>
      <c r="H199" s="5" t="str">
        <f>IFERROR(__xludf.DUMMYFUNCTION("GOOGLETRANSLATE(C199, ""en"", ""hi"")"),"ए) कुरल, बी) थोलकप्पियम, सी) अगस्त्य की रचनाएँ, डी) संगम कविता")</f>
        <v>ए) कुरल, बी) थोलकप्पियम, सी) अगस्त्य की रचनाएँ, डी) संगम कविता</v>
      </c>
      <c r="I199" s="5" t="str">
        <f>IFERROR(__xludf.DUMMYFUNCTION("GOOGLETRANSLATE(D199, ""en"", ""hi"")"),"C) अगस्त्य की रचनाएँ")</f>
        <v>C) अगस्त्य की रचनाएँ</v>
      </c>
    </row>
    <row r="200" ht="22.5" customHeight="1">
      <c r="A200" s="3">
        <v>199.0</v>
      </c>
      <c r="B200" s="4" t="s">
        <v>10038</v>
      </c>
      <c r="C200" s="4" t="s">
        <v>10039</v>
      </c>
      <c r="D200" s="4" t="s">
        <v>4854</v>
      </c>
      <c r="F200" s="5" t="str">
        <f>IFERROR(__xludf.DUMMYFUNCTION("GOOGLETRANSLATE(A200, ""en"", ""hi"")"),"199")</f>
        <v>199</v>
      </c>
      <c r="G200" s="5" t="str">
        <f>IFERROR(__xludf.DUMMYFUNCTION("GOOGLETRANSLATE(B200, ""en"", ""hi"")"),"कौन सा तमिल त्यौहार, जो आज भी मनाया जाता है, में पारंपरिक सिलंबम प्रदर्शन शामिल है?")</f>
        <v>कौन सा तमिल त्यौहार, जो आज भी मनाया जाता है, में पारंपरिक सिलंबम प्रदर्शन शामिल है?</v>
      </c>
      <c r="H200" s="5" t="str">
        <f>IFERROR(__xludf.DUMMYFUNCTION("GOOGLETRANSLATE(C200, ""en"", ""hi"")"),"ए) पोंगल, बी) दिवाली, सी) नवरात्रि, डी) गोलू")</f>
        <v>ए) पोंगल, बी) दिवाली, सी) नवरात्रि, डी) गोलू</v>
      </c>
      <c r="I200" s="5" t="str">
        <f>IFERROR(__xludf.DUMMYFUNCTION("GOOGLETRANSLATE(D200, ""en"", ""hi"")"),"ए) पोंगल")</f>
        <v>ए) पोंगल</v>
      </c>
    </row>
    <row r="201" ht="22.5" customHeight="1">
      <c r="A201" s="3">
        <v>200.0</v>
      </c>
      <c r="B201" s="4" t="s">
        <v>10040</v>
      </c>
      <c r="C201" s="4" t="s">
        <v>10041</v>
      </c>
      <c r="D201" s="4" t="s">
        <v>4043</v>
      </c>
      <c r="F201" s="5" t="str">
        <f>IFERROR(__xludf.DUMMYFUNCTION("GOOGLETRANSLATE(A201, ""en"", ""hi"")"),"200")</f>
        <v>200</v>
      </c>
      <c r="G201" s="5" t="str">
        <f>IFERROR(__xludf.DUMMYFUNCTION("GOOGLETRANSLATE(B201, ""en"", ""hi"")"),"सिलंबम की तकनीकों का दस्तावेजीकरण किस प्राचीन तमिल कृति में किया गया था?")</f>
        <v>सिलंबम की तकनीकों का दस्तावेजीकरण किस प्राचीन तमिल कृति में किया गया था?</v>
      </c>
      <c r="H201" s="5" t="str">
        <f>IFERROR(__xludf.DUMMYFUNCTION("GOOGLETRANSLATE(C201, ""en"", ""hi"")"),"ए) टोलकाप्पियम, बी) कुरल, सी) सिलप्पातिकारम, डी) मणिमेकलाई")</f>
        <v>ए) टोलकाप्पियम, बी) कुरल, सी) सिलप्पातिकारम, डी) मणिमेकलाई</v>
      </c>
      <c r="I201" s="5" t="str">
        <f>IFERROR(__xludf.DUMMYFUNCTION("GOOGLETRANSLATE(D201, ""en"", ""hi"")"),"C) सिलप्पाटिकरम")</f>
        <v>C) सिलप्पाटिकरम</v>
      </c>
    </row>
    <row r="202" ht="22.5" customHeight="1">
      <c r="A202" s="3">
        <v>201.0</v>
      </c>
      <c r="B202" s="4" t="s">
        <v>10042</v>
      </c>
      <c r="C202" s="4" t="s">
        <v>10043</v>
      </c>
      <c r="D202" s="4" t="s">
        <v>10044</v>
      </c>
      <c r="F202" s="5" t="str">
        <f>IFERROR(__xludf.DUMMYFUNCTION("GOOGLETRANSLATE(A202, ""en"", ""hi"")"),"201")</f>
        <v>201</v>
      </c>
      <c r="G202" s="5" t="str">
        <f>IFERROR(__xludf.DUMMYFUNCTION("GOOGLETRANSLATE(B202, ""en"", ""hi"")"),"तमिल योद्धाओं द्वारा सिलंबम का उपयोग मुख्यतः किस उद्देश्य के लिए किया जाता था?")</f>
        <v>तमिल योद्धाओं द्वारा सिलंबम का उपयोग मुख्यतः किस उद्देश्य के लिए किया जाता था?</v>
      </c>
      <c r="H202" s="5" t="str">
        <f>IFERROR(__xludf.DUMMYFUNCTION("GOOGLETRANSLATE(C202, ""en"", ""hi"")"),"A) खेल, B) अनुष्ठान, C) युद्ध, D) मनोरंजन")</f>
        <v>A) खेल, B) अनुष्ठान, C) युद्ध, D) मनोरंजन</v>
      </c>
      <c r="I202" s="5" t="str">
        <f>IFERROR(__xludf.DUMMYFUNCTION("GOOGLETRANSLATE(D202, ""en"", ""hi"")"),"सी) युद्ध")</f>
        <v>सी) युद्ध</v>
      </c>
    </row>
    <row r="203" ht="22.5" customHeight="1">
      <c r="A203" s="3">
        <v>202.0</v>
      </c>
      <c r="B203" s="4" t="s">
        <v>10045</v>
      </c>
      <c r="C203" s="4" t="s">
        <v>10046</v>
      </c>
      <c r="D203" s="4" t="s">
        <v>9997</v>
      </c>
      <c r="F203" s="5" t="str">
        <f>IFERROR(__xludf.DUMMYFUNCTION("GOOGLETRANSLATE(A203, ""en"", ""hi"")"),"202")</f>
        <v>202</v>
      </c>
      <c r="G203" s="5" t="str">
        <f>IFERROR(__xludf.DUMMYFUNCTION("GOOGLETRANSLATE(B203, ""en"", ""hi"")"),"किस तमिल राजा के शासनकाल में मार्शल आर्ट के रूप में सिलंबम का विकास हुआ?")</f>
        <v>किस तमिल राजा के शासनकाल में मार्शल आर्ट के रूप में सिलंबम का विकास हुआ?</v>
      </c>
      <c r="H203" s="5" t="str">
        <f>IFERROR(__xludf.DUMMYFUNCTION("GOOGLETRANSLATE(C203, ""en"", ""hi"")"),"ए) राजराजा चोल, बी) सुंदर चोल, सी) कुलोथुंगा चोल, डी) राजेंद्र चोल")</f>
        <v>ए) राजराजा चोल, बी) सुंदर चोल, सी) कुलोथुंगा चोल, डी) राजेंद्र चोल</v>
      </c>
      <c r="I203" s="5" t="str">
        <f>IFERROR(__xludf.DUMMYFUNCTION("GOOGLETRANSLATE(D203, ""en"", ""hi"")"),"A) राजराजा चोल")</f>
        <v>A) राजराजा चोल</v>
      </c>
    </row>
    <row r="204" ht="22.5" customHeight="1">
      <c r="A204" s="3">
        <v>203.0</v>
      </c>
      <c r="B204" s="4" t="s">
        <v>10047</v>
      </c>
      <c r="C204" s="4" t="s">
        <v>10048</v>
      </c>
      <c r="D204" s="4" t="s">
        <v>9583</v>
      </c>
      <c r="F204" s="5" t="str">
        <f>IFERROR(__xludf.DUMMYFUNCTION("GOOGLETRANSLATE(A204, ""en"", ""hi"")"),"203")</f>
        <v>203</v>
      </c>
      <c r="G204" s="5" t="str">
        <f>IFERROR(__xludf.DUMMYFUNCTION("GOOGLETRANSLATE(B204, ""en"", ""hi"")"),"कौन सा तमिल क्षेत्र ऐतिहासिक रूप से सिलंबम प्रथा में अपने महत्वपूर्ण योगदान के लिए जाना जाता है?")</f>
        <v>कौन सा तमिल क्षेत्र ऐतिहासिक रूप से सिलंबम प्रथा में अपने महत्वपूर्ण योगदान के लिए जाना जाता है?</v>
      </c>
      <c r="H204" s="5" t="str">
        <f>IFERROR(__xludf.DUMMYFUNCTION("GOOGLETRANSLATE(C204, ""en"", ""hi"")"),"ए) कन्याकुमारी, बी) मदुरै, सी) चेन्नई, डी) कोयंबटूर")</f>
        <v>ए) कन्याकुमारी, बी) मदुरै, सी) चेन्नई, डी) कोयंबटूर</v>
      </c>
      <c r="I204" s="5" t="str">
        <f>IFERROR(__xludf.DUMMYFUNCTION("GOOGLETRANSLATE(D204, ""en"", ""hi"")"),"बी) मदुरै")</f>
        <v>बी) मदुरै</v>
      </c>
    </row>
    <row r="205" ht="22.5" customHeight="1">
      <c r="A205" s="3">
        <v>204.0</v>
      </c>
      <c r="B205" s="4" t="s">
        <v>10049</v>
      </c>
      <c r="C205" s="4" t="s">
        <v>10050</v>
      </c>
      <c r="D205" s="4" t="s">
        <v>9542</v>
      </c>
      <c r="F205" s="5" t="str">
        <f>IFERROR(__xludf.DUMMYFUNCTION("GOOGLETRANSLATE(A205, ""en"", ""hi"")"),"204")</f>
        <v>204</v>
      </c>
      <c r="G205" s="5" t="str">
        <f>IFERROR(__xludf.DUMMYFUNCTION("GOOGLETRANSLATE(B205, ""en"", ""hi"")"),"आधुनिक समय में सिलंबम के पुनरुत्थान का श्रेय किस सांस्कृतिक पुनरुत्थान आंदोलन को दिया जाता है?")</f>
        <v>आधुनिक समय में सिलंबम के पुनरुत्थान का श्रेय किस सांस्कृतिक पुनरुत्थान आंदोलन को दिया जाता है?</v>
      </c>
      <c r="H205" s="5" t="str">
        <f>IFERROR(__xludf.DUMMYFUNCTION("GOOGLETRANSLATE(C205, ""en"", ""hi"")"),"A) तमिल पुनर्जागरण, B) भक्ति आंदोलन, C) सुधार आंदोलन, D) राष्ट्रवादी आंदोलन")</f>
        <v>A) तमिल पुनर्जागरण, B) भक्ति आंदोलन, C) सुधार आंदोलन, D) राष्ट्रवादी आंदोलन</v>
      </c>
      <c r="I205" s="5" t="str">
        <f>IFERROR(__xludf.DUMMYFUNCTION("GOOGLETRANSLATE(D205, ""en"", ""hi"")"),"A) तमिल पुनर्जागरण")</f>
        <v>A) तमिल पुनर्जागरण</v>
      </c>
    </row>
    <row r="206" ht="22.5" customHeight="1">
      <c r="A206" s="3">
        <v>205.0</v>
      </c>
      <c r="B206" s="4" t="s">
        <v>10051</v>
      </c>
      <c r="C206" s="4" t="s">
        <v>10052</v>
      </c>
      <c r="D206" s="4" t="s">
        <v>10053</v>
      </c>
      <c r="F206" s="5" t="str">
        <f>IFERROR(__xludf.DUMMYFUNCTION("GOOGLETRANSLATE(A206, ""en"", ""hi"")"),"205")</f>
        <v>205</v>
      </c>
      <c r="G206" s="5" t="str">
        <f>IFERROR(__xludf.DUMMYFUNCTION("GOOGLETRANSLATE(B206, ""en"", ""hi"")"),"मार्शल आर्ट परंपरा में प्रतिष्ठित किस तमिल ग्रंथ में सिलंबम पर पाठ शामिल हैं?")</f>
        <v>मार्शल आर्ट परंपरा में प्रतिष्ठित किस तमिल ग्रंथ में सिलंबम पर पाठ शामिल हैं?</v>
      </c>
      <c r="H206" s="5" t="str">
        <f>IFERROR(__xludf.DUMMYFUNCTION("GOOGLETRANSLATE(C206, ""en"", ""hi"")"),"ए) थोलकप्पियम, बी) अगस्त्य संहिता, सी) कुरल, डी) सिलप्पातिकारम")</f>
        <v>ए) थोलकप्पियम, बी) अगस्त्य संहिता, सी) कुरल, डी) सिलप्पातिकारम</v>
      </c>
      <c r="I206" s="5" t="str">
        <f>IFERROR(__xludf.DUMMYFUNCTION("GOOGLETRANSLATE(D206, ""en"", ""hi"")"),"बी) अगस्त्य संहिता")</f>
        <v>बी) अगस्त्य संहिता</v>
      </c>
    </row>
    <row r="207" ht="22.5" customHeight="1">
      <c r="A207" s="3">
        <v>206.0</v>
      </c>
      <c r="B207" s="4" t="s">
        <v>10054</v>
      </c>
      <c r="C207" s="4" t="s">
        <v>10055</v>
      </c>
      <c r="D207" s="4" t="s">
        <v>9159</v>
      </c>
      <c r="F207" s="5" t="str">
        <f>IFERROR(__xludf.DUMMYFUNCTION("GOOGLETRANSLATE(A207, ""en"", ""hi"")"),"206")</f>
        <v>206</v>
      </c>
      <c r="G207" s="5" t="str">
        <f>IFERROR(__xludf.DUMMYFUNCTION("GOOGLETRANSLATE(B207, ""en"", ""hi"")"),"किस तमिल राजवंश में सिलंबम एक प्रमुख मार्शल प्रथा बन गई?")</f>
        <v>किस तमिल राजवंश में सिलंबम एक प्रमुख मार्शल प्रथा बन गई?</v>
      </c>
      <c r="H207" s="5" t="str">
        <f>IFERROR(__xludf.DUMMYFUNCTION("GOOGLETRANSLATE(C207, ""en"", ""hi"")"),"A) चोल वंश, B) पांड्य वंश, C) चेर वंश, D) विजयनगर वंश")</f>
        <v>A) चोल वंश, B) पांड्य वंश, C) चेर वंश, D) विजयनगर वंश</v>
      </c>
      <c r="I207" s="5" t="str">
        <f>IFERROR(__xludf.DUMMYFUNCTION("GOOGLETRANSLATE(D207, ""en"", ""hi"")"),"A) चोल राजवंश")</f>
        <v>A) चोल राजवंश</v>
      </c>
    </row>
    <row r="208" ht="22.5" customHeight="1">
      <c r="A208" s="3">
        <v>207.0</v>
      </c>
      <c r="B208" s="4" t="s">
        <v>10056</v>
      </c>
      <c r="C208" s="4" t="s">
        <v>10057</v>
      </c>
      <c r="D208" s="4" t="s">
        <v>10058</v>
      </c>
      <c r="F208" s="5" t="str">
        <f>IFERROR(__xludf.DUMMYFUNCTION("GOOGLETRANSLATE(A208, ""en"", ""hi"")"),"207")</f>
        <v>207</v>
      </c>
      <c r="G208" s="5" t="str">
        <f>IFERROR(__xludf.DUMMYFUNCTION("GOOGLETRANSLATE(B208, ""en"", ""hi"")"),"तमिल मार्शल परंपरा के साथ सिलंबम का संबंध किस ऐतिहासिक कथा में परिलक्षित होता है?")</f>
        <v>तमिल मार्शल परंपरा के साथ सिलंबम का संबंध किस ऐतिहासिक कथा में परिलक्षित होता है?</v>
      </c>
      <c r="H208" s="5" t="str">
        <f>IFERROR(__xludf.DUMMYFUNCTION("GOOGLETRANSLATE(C208, ""en"", ""hi"")"),"ए) संगम काव्य, बी) पेरिया पुराणम, सी) थेवरम, डी) कंबा रामायणम")</f>
        <v>ए) संगम काव्य, बी) पेरिया पुराणम, सी) थेवरम, डी) कंबा रामायणम</v>
      </c>
      <c r="I208" s="5" t="str">
        <f>IFERROR(__xludf.DUMMYFUNCTION("GOOGLETRANSLATE(D208, ""en"", ""hi"")"),"A) संगम काव्य")</f>
        <v>A) संगम काव्य</v>
      </c>
    </row>
    <row r="209" ht="22.5" customHeight="1">
      <c r="A209" s="3">
        <v>208.0</v>
      </c>
      <c r="B209" s="4" t="s">
        <v>10059</v>
      </c>
      <c r="C209" s="4" t="s">
        <v>10060</v>
      </c>
      <c r="D209" s="4" t="s">
        <v>3043</v>
      </c>
      <c r="F209" s="5" t="str">
        <f>IFERROR(__xludf.DUMMYFUNCTION("GOOGLETRANSLATE(A209, ""en"", ""hi"")"),"208")</f>
        <v>208</v>
      </c>
      <c r="G209" s="5" t="str">
        <f>IFERROR(__xludf.DUMMYFUNCTION("GOOGLETRANSLATE(B209, ""en"", ""hi"")"),"कौन सा ऐतिहासिक व्यक्ति सिलंबम तकनीकों का दस्तावेजीकरण और संहिताकरण करने के लिए जाना जाता है?")</f>
        <v>कौन सा ऐतिहासिक व्यक्ति सिलंबम तकनीकों का दस्तावेजीकरण और संहिताकरण करने के लिए जाना जाता है?</v>
      </c>
      <c r="H209" s="5" t="str">
        <f>IFERROR(__xludf.DUMMYFUNCTION("GOOGLETRANSLATE(C209, ""en"", ""hi"")"),"ए) अगस्त्य, बी) कंबार, सी) तिरुवल्लुवर, डी) भारतीदासन")</f>
        <v>ए) अगस्त्य, बी) कंबार, सी) तिरुवल्लुवर, डी) भारतीदासन</v>
      </c>
      <c r="I209" s="5" t="str">
        <f>IFERROR(__xludf.DUMMYFUNCTION("GOOGLETRANSLATE(D209, ""en"", ""hi"")"),"A) अगस्त्य")</f>
        <v>A) अगस्त्य</v>
      </c>
    </row>
    <row r="210" ht="22.5" customHeight="1">
      <c r="A210" s="3">
        <v>209.0</v>
      </c>
      <c r="B210" s="4" t="s">
        <v>10061</v>
      </c>
      <c r="C210" s="4" t="s">
        <v>10062</v>
      </c>
      <c r="D210" s="4" t="s">
        <v>10063</v>
      </c>
      <c r="F210" s="5" t="str">
        <f>IFERROR(__xludf.DUMMYFUNCTION("GOOGLETRANSLATE(A210, ""en"", ""hi"")"),"209")</f>
        <v>209</v>
      </c>
      <c r="G210" s="5" t="str">
        <f>IFERROR(__xludf.DUMMYFUNCTION("GOOGLETRANSLATE(B210, ""en"", ""hi"")"),"सिलंबम की प्रथा ऐतिहासिक रूप से किस प्रकार की तमिल सामाजिक भूमिका से जुड़ी थी?")</f>
        <v>सिलंबम की प्रथा ऐतिहासिक रूप से किस प्रकार की तमिल सामाजिक भूमिका से जुड़ी थी?</v>
      </c>
      <c r="H210" s="5" t="str">
        <f>IFERROR(__xludf.DUMMYFUNCTION("GOOGLETRANSLATE(C210, ""en"", ""hi"")"),"A) योद्धा वर्ग, B) व्यापारी वर्ग, C) पुजारी वर्ग, D) कारीगर वर्ग")</f>
        <v>A) योद्धा वर्ग, B) व्यापारी वर्ग, C) पुजारी वर्ग, D) कारीगर वर्ग</v>
      </c>
      <c r="I210" s="5" t="str">
        <f>IFERROR(__xludf.DUMMYFUNCTION("GOOGLETRANSLATE(D210, ""en"", ""hi"")"),"A) योद्धा वर्ग")</f>
        <v>A) योद्धा वर्ग</v>
      </c>
    </row>
    <row r="211" ht="22.5" customHeight="1">
      <c r="A211" s="3">
        <v>210.0</v>
      </c>
      <c r="B211" s="4" t="s">
        <v>10064</v>
      </c>
      <c r="C211" s="4" t="s">
        <v>10065</v>
      </c>
      <c r="D211" s="4" t="s">
        <v>10066</v>
      </c>
      <c r="F211" s="5" t="str">
        <f>IFERROR(__xludf.DUMMYFUNCTION("GOOGLETRANSLATE(A211, ""en"", ""hi"")"),"210")</f>
        <v>210</v>
      </c>
      <c r="G211" s="5" t="str">
        <f>IFERROR(__xludf.DUMMYFUNCTION("GOOGLETRANSLATE(B211, ""en"", ""hi"")"),"वह महान तमिल कवि जिसने अपनी रचनाओं में सिलंबम की प्रशंसा की थी:")</f>
        <v>वह महान तमिल कवि जिसने अपनी रचनाओं में सिलंबम की प्रशंसा की थी:</v>
      </c>
      <c r="H211" s="5" t="str">
        <f>IFERROR(__xludf.DUMMYFUNCTION("GOOGLETRANSLATE(C211, ""en"", ""hi"")"),"ए) कंबार, बी) तिरुवल्लुवर, सी) इलंगो आदिगल, डी) भारतीदासन")</f>
        <v>ए) कंबार, बी) तिरुवल्लुवर, सी) इलंगो आदिगल, डी) भारतीदासन</v>
      </c>
      <c r="I211" s="5" t="str">
        <f>IFERROR(__xludf.DUMMYFUNCTION("GOOGLETRANSLATE(D211, ""en"", ""hi"")"),"C) इलंगो अडिगाल")</f>
        <v>C) इलंगो अडिगाल</v>
      </c>
    </row>
    <row r="212" ht="22.5" customHeight="1">
      <c r="A212" s="3">
        <v>211.0</v>
      </c>
      <c r="B212" s="4" t="s">
        <v>10067</v>
      </c>
      <c r="C212" s="4" t="s">
        <v>10068</v>
      </c>
      <c r="D212" s="4" t="s">
        <v>10053</v>
      </c>
      <c r="F212" s="5" t="str">
        <f>IFERROR(__xludf.DUMMYFUNCTION("GOOGLETRANSLATE(A212, ""en"", ""hi"")"),"211")</f>
        <v>211</v>
      </c>
      <c r="G212" s="5" t="str">
        <f>IFERROR(__xludf.DUMMYFUNCTION("GOOGLETRANSLATE(B212, ""en"", ""hi"")"),"कौन सी प्राचीन तमिल पांडुलिपि को सिलंबम की ऐतिहासिक तकनीकों का प्रमुख स्रोत माना जाता है?")</f>
        <v>कौन सी प्राचीन तमिल पांडुलिपि को सिलंबम की ऐतिहासिक तकनीकों का प्रमुख स्रोत माना जाता है?</v>
      </c>
      <c r="H212" s="5" t="str">
        <f>IFERROR(__xludf.DUMMYFUNCTION("GOOGLETRANSLATE(C212, ""en"", ""hi"")"),"ए) कुरल, बी) अगस्त्य संहिता, सी) सिलप्पातिकरम, डी) टोलकाप्पियम")</f>
        <v>ए) कुरल, बी) अगस्त्य संहिता, सी) सिलप्पातिकरम, डी) टोलकाप्पियम</v>
      </c>
      <c r="I212" s="5" t="str">
        <f>IFERROR(__xludf.DUMMYFUNCTION("GOOGLETRANSLATE(D212, ""en"", ""hi"")"),"बी) अगस्त्य संहिता")</f>
        <v>बी) अगस्त्य संहिता</v>
      </c>
    </row>
    <row r="213" ht="22.5" customHeight="1">
      <c r="A213" s="3">
        <v>212.0</v>
      </c>
      <c r="B213" s="4" t="s">
        <v>10069</v>
      </c>
      <c r="C213" s="4" t="s">
        <v>10070</v>
      </c>
      <c r="D213" s="4" t="s">
        <v>10071</v>
      </c>
      <c r="F213" s="5" t="str">
        <f>IFERROR(__xludf.DUMMYFUNCTION("GOOGLETRANSLATE(A213, ""en"", ""hi"")"),"212")</f>
        <v>212</v>
      </c>
      <c r="G213" s="5" t="str">
        <f>IFERROR(__xludf.DUMMYFUNCTION("GOOGLETRANSLATE(B213, ""en"", ""hi"")"),"मध्यकाल के दौरान कौन सा तमिल शाही परिवार सिलंबम के संरक्षण के लिए जाना जाता था?")</f>
        <v>मध्यकाल के दौरान कौन सा तमिल शाही परिवार सिलंबम के संरक्षण के लिए जाना जाता था?</v>
      </c>
      <c r="H213" s="5" t="str">
        <f>IFERROR(__xludf.DUMMYFUNCTION("GOOGLETRANSLATE(C213, ""en"", ""hi"")"),"ए) चोल, बी) पांड्य, सी) चेर, डी) विजयनगर")</f>
        <v>ए) चोल, बी) पांड्य, सी) चेर, डी) विजयनगर</v>
      </c>
      <c r="I213" s="5" t="str">
        <f>IFERROR(__xludf.DUMMYFUNCTION("GOOGLETRANSLATE(D213, ""en"", ""hi"")"),"बी) पांड्या")</f>
        <v>बी) पांड्या</v>
      </c>
    </row>
    <row r="214" ht="22.5" customHeight="1">
      <c r="A214" s="3">
        <v>213.0</v>
      </c>
      <c r="B214" s="4" t="s">
        <v>10072</v>
      </c>
      <c r="C214" s="4" t="s">
        <v>10073</v>
      </c>
      <c r="D214" s="4" t="s">
        <v>10074</v>
      </c>
      <c r="F214" s="5" t="str">
        <f>IFERROR(__xludf.DUMMYFUNCTION("GOOGLETRANSLATE(A214, ""en"", ""hi"")"),"213")</f>
        <v>213</v>
      </c>
      <c r="G214" s="5" t="str">
        <f>IFERROR(__xludf.DUMMYFUNCTION("GOOGLETRANSLATE(B214, ""en"", ""hi"")"),"सिलंबम तकनीकों को तमिल मार्शल आर्ट पाठ्यक्रम में किस ऐतिहासिक संस्थान द्वारा शामिल किया गया था?")</f>
        <v>सिलंबम तकनीकों को तमिल मार्शल आर्ट पाठ्यक्रम में किस ऐतिहासिक संस्थान द्वारा शामिल किया गया था?</v>
      </c>
      <c r="H214" s="5" t="str">
        <f>IFERROR(__xludf.DUMMYFUNCTION("GOOGLETRANSLATE(C214, ""en"", ""hi"")"),"A) शाही दरबार, B) मठवासी स्कूल, C) मंदिर अकादमियाँ, D) ग्राम परिषदें")</f>
        <v>A) शाही दरबार, B) मठवासी स्कूल, C) मंदिर अकादमियाँ, D) ग्राम परिषदें</v>
      </c>
      <c r="I214" s="5" t="str">
        <f>IFERROR(__xludf.DUMMYFUNCTION("GOOGLETRANSLATE(D214, ""en"", ""hi"")"),"C) मंदिर अकादमियाँ")</f>
        <v>C) मंदिर अकादमियाँ</v>
      </c>
    </row>
    <row r="215" ht="22.5" customHeight="1">
      <c r="A215" s="3">
        <v>214.0</v>
      </c>
      <c r="B215" s="4" t="s">
        <v>10075</v>
      </c>
      <c r="C215" s="4" t="s">
        <v>10076</v>
      </c>
      <c r="D215" s="4" t="s">
        <v>10066</v>
      </c>
      <c r="F215" s="5" t="str">
        <f>IFERROR(__xludf.DUMMYFUNCTION("GOOGLETRANSLATE(A215, ""en"", ""hi"")"),"214")</f>
        <v>214</v>
      </c>
      <c r="G215" s="5" t="str">
        <f>IFERROR(__xludf.DUMMYFUNCTION("GOOGLETRANSLATE(B215, ""en"", ""hi"")"),"कौन सा तमिल कवि और विद्वान अपने साहित्य में सिलंबम तकनीकों के विस्तृत वर्णन के लिए जाना जाता है?")</f>
        <v>कौन सा तमिल कवि और विद्वान अपने साहित्य में सिलंबम तकनीकों के विस्तृत वर्णन के लिए जाना जाता है?</v>
      </c>
      <c r="H215" s="5" t="str">
        <f>IFERROR(__xludf.DUMMYFUNCTION("GOOGLETRANSLATE(C215, ""en"", ""hi"")"),"ए) कंबार, बी) भारतीदासन, सी) इलंगो आदिगल, डी) तिरुवल्लुवर")</f>
        <v>ए) कंबार, बी) भारतीदासन, सी) इलंगो आदिगल, डी) तिरुवल्लुवर</v>
      </c>
      <c r="I215" s="5" t="str">
        <f>IFERROR(__xludf.DUMMYFUNCTION("GOOGLETRANSLATE(D215, ""en"", ""hi"")"),"C) इलंगो अडिगाल")</f>
        <v>C) इलंगो अडिगाल</v>
      </c>
    </row>
    <row r="216" ht="22.5" customHeight="1">
      <c r="A216" s="3">
        <v>215.0</v>
      </c>
      <c r="B216" s="4" t="s">
        <v>10077</v>
      </c>
      <c r="C216" s="4" t="s">
        <v>10078</v>
      </c>
      <c r="D216" s="4" t="s">
        <v>10079</v>
      </c>
      <c r="F216" s="5" t="str">
        <f>IFERROR(__xludf.DUMMYFUNCTION("GOOGLETRANSLATE(A216, ""en"", ""hi"")"),"215")</f>
        <v>215</v>
      </c>
      <c r="G216" s="5" t="str">
        <f>IFERROR(__xludf.DUMMYFUNCTION("GOOGLETRANSLATE(B216, ""en"", ""hi"")"),"किस ऐतिहासिक काल के दौरान विदेशी आक्रमणों के खिलाफ रक्षा कला के रूप में सिलंबम को प्रमुखता मिली?")</f>
        <v>किस ऐतिहासिक काल के दौरान विदेशी आक्रमणों के खिलाफ रक्षा कला के रूप में सिलंबम को प्रमुखता मिली?</v>
      </c>
      <c r="H216" s="5" t="str">
        <f>IFERROR(__xludf.DUMMYFUNCTION("GOOGLETRANSLATE(C216, ""en"", ""hi"")"),"A) मध्यकाल, B) प्राचीन काल, C) औपनिवेशिक काल, D) उत्तर-औपनिवेशिक काल")</f>
        <v>A) मध्यकाल, B) प्राचीन काल, C) औपनिवेशिक काल, D) उत्तर-औपनिवेशिक काल</v>
      </c>
      <c r="I216" s="5" t="str">
        <f>IFERROR(__xludf.DUMMYFUNCTION("GOOGLETRANSLATE(D216, ""en"", ""hi"")"),"A) मध्यकालीन काल")</f>
        <v>A) मध्यकालीन काल</v>
      </c>
    </row>
    <row r="217" ht="22.5" customHeight="1">
      <c r="A217" s="3">
        <v>216.0</v>
      </c>
      <c r="B217" s="4" t="s">
        <v>10080</v>
      </c>
      <c r="C217" s="4" t="s">
        <v>10081</v>
      </c>
      <c r="D217" s="4" t="s">
        <v>10082</v>
      </c>
      <c r="F217" s="5" t="str">
        <f>IFERROR(__xludf.DUMMYFUNCTION("GOOGLETRANSLATE(A217, ""en"", ""hi"")"),"216")</f>
        <v>216</v>
      </c>
      <c r="G217" s="5" t="str">
        <f>IFERROR(__xludf.DUMMYFUNCTION("GOOGLETRANSLATE(B217, ""en"", ""hi"")"),"किस तमिल राजा के शासनकाल में क्षेत्रीय संघर्षों में सिलंबम का व्यापक उपयोग देखा गया?")</f>
        <v>किस तमिल राजा के शासनकाल में क्षेत्रीय संघर्षों में सिलंबम का व्यापक उपयोग देखा गया?</v>
      </c>
      <c r="H217" s="5" t="str">
        <f>IFERROR(__xludf.DUMMYFUNCTION("GOOGLETRANSLATE(C217, ""en"", ""hi"")"),"ए) राजराजा चोल, बी) राजेंद्र चोल, सी) सुंदरा चोल, डी) कुलोथुंगा चोल")</f>
        <v>ए) राजराजा चोल, बी) राजेंद्र चोल, सी) सुंदरा चोल, डी) कुलोथुंगा चोल</v>
      </c>
      <c r="I217" s="5" t="str">
        <f>IFERROR(__xludf.DUMMYFUNCTION("GOOGLETRANSLATE(D217, ""en"", ""hi"")"),"B) राजेंद्र चोल")</f>
        <v>B) राजेंद्र चोल</v>
      </c>
    </row>
    <row r="218" ht="22.5" customHeight="1">
      <c r="A218" s="3">
        <v>217.0</v>
      </c>
      <c r="B218" s="4" t="s">
        <v>10083</v>
      </c>
      <c r="C218" s="4" t="s">
        <v>10084</v>
      </c>
      <c r="D218" s="4" t="s">
        <v>10023</v>
      </c>
      <c r="F218" s="5" t="str">
        <f>IFERROR(__xludf.DUMMYFUNCTION("GOOGLETRANSLATE(A218, ""en"", ""hi"")"),"217")</f>
        <v>217</v>
      </c>
      <c r="G218" s="5" t="str">
        <f>IFERROR(__xludf.DUMMYFUNCTION("GOOGLETRANSLATE(B218, ""en"", ""hi"")"),"सिलंबम की तकनीकों को किस पारंपरिक तमिल संस्था के माध्यम से संरक्षित और पारित किया गया?")</f>
        <v>सिलंबम की तकनीकों को किस पारंपरिक तमिल संस्था के माध्यम से संरक्षित और पारित किया गया?</v>
      </c>
      <c r="H218" s="5" t="str">
        <f>IFERROR(__xludf.DUMMYFUNCTION("GOOGLETRANSLATE(C218, ""en"", ""hi"")"),"A) गुरुकुल प्रणाली, B) मंदिर स्कूल, C) शाही दरबार, D) मठ केंद्र")</f>
        <v>A) गुरुकुल प्रणाली, B) मंदिर स्कूल, C) शाही दरबार, D) मठ केंद्र</v>
      </c>
      <c r="I218" s="5" t="str">
        <f>IFERROR(__xludf.DUMMYFUNCTION("GOOGLETRANSLATE(D218, ""en"", ""hi"")"),"A) गुरुकुल प्रणाली")</f>
        <v>A) गुरुकुल प्रणाली</v>
      </c>
    </row>
    <row r="219" ht="22.5" customHeight="1">
      <c r="A219" s="3">
        <v>218.0</v>
      </c>
      <c r="B219" s="4" t="s">
        <v>10085</v>
      </c>
      <c r="C219" s="4" t="s">
        <v>10086</v>
      </c>
      <c r="D219" s="4" t="s">
        <v>4854</v>
      </c>
      <c r="F219" s="5" t="str">
        <f>IFERROR(__xludf.DUMMYFUNCTION("GOOGLETRANSLATE(A219, ""en"", ""hi"")"),"218")</f>
        <v>218</v>
      </c>
      <c r="G219" s="5" t="str">
        <f>IFERROR(__xludf.DUMMYFUNCTION("GOOGLETRANSLATE(B219, ""en"", ""hi"")"),"कौन सा तमिल त्यौहार अपने पारंपरिक उत्सव के हिस्से के रूप में सिलंबम को प्रदर्शित करने के लिए जाना जाता है?")</f>
        <v>कौन सा तमिल त्यौहार अपने पारंपरिक उत्सव के हिस्से के रूप में सिलंबम को प्रदर्शित करने के लिए जाना जाता है?</v>
      </c>
      <c r="H219" s="5" t="str">
        <f>IFERROR(__xludf.DUMMYFUNCTION("GOOGLETRANSLATE(C219, ""en"", ""hi"")"),"ए) पोंगल, बी) दीपावली, सी) नवरात्रि, डी) उगादि")</f>
        <v>ए) पोंगल, बी) दीपावली, सी) नवरात्रि, डी) उगादि</v>
      </c>
      <c r="I219" s="5" t="str">
        <f>IFERROR(__xludf.DUMMYFUNCTION("GOOGLETRANSLATE(D219, ""en"", ""hi"")"),"ए) पोंगल")</f>
        <v>ए) पोंगल</v>
      </c>
    </row>
    <row r="220" ht="22.5" customHeight="1">
      <c r="A220" s="3">
        <v>219.0</v>
      </c>
      <c r="B220" s="4" t="s">
        <v>10087</v>
      </c>
      <c r="C220" s="4" t="s">
        <v>10088</v>
      </c>
      <c r="D220" s="4" t="s">
        <v>10089</v>
      </c>
      <c r="F220" s="5" t="str">
        <f>IFERROR(__xludf.DUMMYFUNCTION("GOOGLETRANSLATE(A220, ""en"", ""hi"")"),"219")</f>
        <v>219</v>
      </c>
      <c r="G220" s="5" t="str">
        <f>IFERROR(__xludf.DUMMYFUNCTION("GOOGLETRANSLATE(B220, ""en"", ""hi"")"),"औपनिवेशिक काल के दौरान तमिलनाडु में सिलंबम प्रथा को किस ऐतिहासिक व्यक्ति द्वारा समर्थन दिया गया था?")</f>
        <v>औपनिवेशिक काल के दौरान तमिलनाडु में सिलंबम प्रथा को किस ऐतिहासिक व्यक्ति द्वारा समर्थन दिया गया था?</v>
      </c>
      <c r="H220" s="5" t="str">
        <f>IFERROR(__xludf.DUMMYFUNCTION("GOOGLETRANSLATE(C220, ""en"", ""hi"")"),"ए) वी. कृष्णमाचारी, बी) सुब्रमण्यम भारती, सी) पी. सुब्रमण्यम अय्यर, डी) एम. आर. वासुदेवन")</f>
        <v>ए) वी. कृष्णमाचारी, बी) सुब्रमण्यम भारती, सी) पी. सुब्रमण्यम अय्यर, डी) एम. आर. वासुदेवन</v>
      </c>
      <c r="I220" s="5" t="str">
        <f>IFERROR(__xludf.DUMMYFUNCTION("GOOGLETRANSLATE(D220, ""en"", ""hi"")"),"A) वी. कृष्णमाचारी")</f>
        <v>A) वी. कृष्णमाचारी</v>
      </c>
    </row>
    <row r="221" ht="22.5" customHeight="1">
      <c r="A221" s="3">
        <v>220.0</v>
      </c>
      <c r="B221" s="4" t="s">
        <v>10090</v>
      </c>
      <c r="C221" s="4" t="s">
        <v>10091</v>
      </c>
      <c r="D221" s="4" t="s">
        <v>9603</v>
      </c>
      <c r="F221" s="5" t="str">
        <f>IFERROR(__xludf.DUMMYFUNCTION("GOOGLETRANSLATE(A221, ""en"", ""hi"")"),"220")</f>
        <v>220</v>
      </c>
      <c r="G221" s="5" t="str">
        <f>IFERROR(__xludf.DUMMYFUNCTION("GOOGLETRANSLATE(B221, ""en"", ""hi"")"),"कौन सा ऐतिहासिक तमिल शहर अपनी पारंपरिक सिलंबम अकादमियों के लिए जाना जाता था?")</f>
        <v>कौन सा ऐतिहासिक तमिल शहर अपनी पारंपरिक सिलंबम अकादमियों के लिए जाना जाता था?</v>
      </c>
      <c r="H221" s="5" t="str">
        <f>IFERROR(__xludf.DUMMYFUNCTION("GOOGLETRANSLATE(C221, ""en"", ""hi"")"),"A) मदुरै, B) चेन्नई, C) कांचीपुरम, D) कोयंबटूर")</f>
        <v>A) मदुरै, B) चेन्नई, C) कांचीपुरम, D) कोयंबटूर</v>
      </c>
      <c r="I221" s="5" t="str">
        <f>IFERROR(__xludf.DUMMYFUNCTION("GOOGLETRANSLATE(D221, ""en"", ""hi"")"),"A) मदुरै")</f>
        <v>A) मदुरै</v>
      </c>
    </row>
    <row r="222" ht="22.5" customHeight="1">
      <c r="A222" s="3">
        <v>221.0</v>
      </c>
      <c r="B222" s="4" t="s">
        <v>10092</v>
      </c>
      <c r="C222" s="4" t="s">
        <v>10031</v>
      </c>
      <c r="D222" s="4" t="s">
        <v>10032</v>
      </c>
      <c r="F222" s="5" t="str">
        <f>IFERROR(__xludf.DUMMYFUNCTION("GOOGLETRANSLATE(A222, ""en"", ""hi"")"),"221")</f>
        <v>221</v>
      </c>
      <c r="G222" s="5" t="str">
        <f>IFERROR(__xludf.DUMMYFUNCTION("GOOGLETRANSLATE(B222, ""en"", ""hi"")"),"सिलंबम का प्रभाव किस तमिल मार्शल आर्ट परंपरा में देखा जा सकता है?")</f>
        <v>सिलंबम का प्रभाव किस तमिल मार्शल आर्ट परंपरा में देखा जा सकता है?</v>
      </c>
      <c r="H222" s="5" t="str">
        <f>IFERROR(__xludf.DUMMYFUNCTION("GOOGLETRANSLATE(C222, ""en"", ""hi"")"),"ए) कलारीपयट्टु, बी) आदिमुराई, सी) वर्मा कलाई, डी) माल्युथम")</f>
        <v>ए) कलारीपयट्टु, बी) आदिमुराई, सी) वर्मा कलाई, डी) माल्युथम</v>
      </c>
      <c r="I222" s="5" t="str">
        <f>IFERROR(__xludf.DUMMYFUNCTION("GOOGLETRANSLATE(D222, ""en"", ""hi"")"),"बी) आदिमुराई")</f>
        <v>बी) आदिमुराई</v>
      </c>
    </row>
    <row r="223" ht="22.5" customHeight="1">
      <c r="A223" s="3">
        <v>222.0</v>
      </c>
      <c r="B223" s="4" t="s">
        <v>10093</v>
      </c>
      <c r="C223" s="4" t="s">
        <v>10094</v>
      </c>
      <c r="D223" s="4" t="s">
        <v>9022</v>
      </c>
      <c r="F223" s="5" t="str">
        <f>IFERROR(__xludf.DUMMYFUNCTION("GOOGLETRANSLATE(A223, ""en"", ""hi"")"),"222")</f>
        <v>222</v>
      </c>
      <c r="G223" s="5" t="str">
        <f>IFERROR(__xludf.DUMMYFUNCTION("GOOGLETRANSLATE(B223, ""en"", ""hi"")"),"किस तमिल राजा के शासनकाल में सिलंबम को राज्य की सैन्य प्रथाओं में शामिल किया गया था?")</f>
        <v>किस तमिल राजा के शासनकाल में सिलंबम को राज्य की सैन्य प्रथाओं में शामिल किया गया था?</v>
      </c>
      <c r="H223" s="5" t="str">
        <f>IFERROR(__xludf.DUMMYFUNCTION("GOOGLETRANSLATE(C223, ""en"", ""hi"")"),"ए) राजा राजा चोल, बी) राजेंद्र चोल, सी) सुंदरा चोल, डी) कुलोथुंगा चोल")</f>
        <v>ए) राजा राजा चोल, बी) राजेंद्र चोल, सी) सुंदरा चोल, डी) कुलोथुंगा चोल</v>
      </c>
      <c r="I223" s="5" t="str">
        <f>IFERROR(__xludf.DUMMYFUNCTION("GOOGLETRANSLATE(D223, ""en"", ""hi"")"),"A) राजा राजा चोल")</f>
        <v>A) राजा राजा चोल</v>
      </c>
    </row>
    <row r="224" ht="22.5" customHeight="1">
      <c r="A224" s="3">
        <v>223.0</v>
      </c>
      <c r="B224" s="4" t="s">
        <v>10095</v>
      </c>
      <c r="C224" s="4" t="s">
        <v>10096</v>
      </c>
      <c r="D224" s="4" t="s">
        <v>10097</v>
      </c>
      <c r="F224" s="5" t="str">
        <f>IFERROR(__xludf.DUMMYFUNCTION("GOOGLETRANSLATE(A224, ""en"", ""hi"")"),"223")</f>
        <v>223</v>
      </c>
      <c r="G224" s="5" t="str">
        <f>IFERROR(__xludf.DUMMYFUNCTION("GOOGLETRANSLATE(B224, ""en"", ""hi"")"),"सिलंबम की पारंपरिक प्रथा किस तमिल सांस्कृतिक पहलू से निकटता से जुड़ी हुई थी?")</f>
        <v>सिलंबम की पारंपरिक प्रथा किस तमिल सांस्कृतिक पहलू से निकटता से जुड़ी हुई थी?</v>
      </c>
      <c r="H224" s="5" t="str">
        <f>IFERROR(__xludf.DUMMYFUNCTION("GOOGLETRANSLATE(C224, ""en"", ""hi"")"),"A) धार्मिक अनुष्ठान, B) कृषि पद्धतियाँ, C) कलात्मक प्रदर्शन, D) शाही समारोह")</f>
        <v>A) धार्मिक अनुष्ठान, B) कृषि पद्धतियाँ, C) कलात्मक प्रदर्शन, D) शाही समारोह</v>
      </c>
      <c r="I224" s="5" t="str">
        <f>IFERROR(__xludf.DUMMYFUNCTION("GOOGLETRANSLATE(D224, ""en"", ""hi"")"),"A) धार्मिक अनुष्ठान")</f>
        <v>A) धार्मिक अनुष्ठान</v>
      </c>
    </row>
    <row r="225" ht="22.5" customHeight="1">
      <c r="A225" s="3">
        <v>224.0</v>
      </c>
      <c r="B225" s="4" t="s">
        <v>10098</v>
      </c>
      <c r="C225" s="4" t="s">
        <v>10099</v>
      </c>
      <c r="D225" s="4" t="s">
        <v>10100</v>
      </c>
      <c r="F225" s="5" t="str">
        <f>IFERROR(__xludf.DUMMYFUNCTION("GOOGLETRANSLATE(A225, ""en"", ""hi"")"),"224")</f>
        <v>224</v>
      </c>
      <c r="G225" s="5" t="str">
        <f>IFERROR(__xludf.DUMMYFUNCTION("GOOGLETRANSLATE(B225, ""en"", ""hi"")"),"कौन सा तमिल ग्रंथ सिलंबम के ऐतिहासिक महत्व और तकनीकों का वर्णन करता है?")</f>
        <v>कौन सा तमिल ग्रंथ सिलंबम के ऐतिहासिक महत्व और तकनीकों का वर्णन करता है?</v>
      </c>
      <c r="H225" s="5" t="str">
        <f>IFERROR(__xludf.DUMMYFUNCTION("GOOGLETRANSLATE(C225, ""en"", ""hi"")"),"ए) टोलकाप्पियम, बी) सिलप्पातिकारम, सी) कुरल, डी) अगस्त्य संहिता")</f>
        <v>ए) टोलकाप्पियम, बी) सिलप्पातिकारम, सी) कुरल, डी) अगस्त्य संहिता</v>
      </c>
      <c r="I225" s="5" t="str">
        <f>IFERROR(__xludf.DUMMYFUNCTION("GOOGLETRANSLATE(D225, ""en"", ""hi"")"),"D) अगस्त्य संहिता")</f>
        <v>D) अगस्त्य संहिता</v>
      </c>
    </row>
    <row r="226" ht="22.5" customHeight="1">
      <c r="A226" s="3">
        <v>225.0</v>
      </c>
      <c r="B226" s="4" t="s">
        <v>10101</v>
      </c>
      <c r="C226" s="4" t="s">
        <v>10102</v>
      </c>
      <c r="D226" s="4" t="s">
        <v>9050</v>
      </c>
      <c r="F226" s="5" t="str">
        <f>IFERROR(__xludf.DUMMYFUNCTION("GOOGLETRANSLATE(A226, ""en"", ""hi"")"),"225")</f>
        <v>225</v>
      </c>
      <c r="G226" s="5" t="str">
        <f>IFERROR(__xludf.DUMMYFUNCTION("GOOGLETRANSLATE(B226, ""en"", ""hi"")"),"ऐतिहासिक रूप से सिलंबम किस प्रकार के तमिल शिक्षक द्वारा पढ़ाया जाता था?")</f>
        <v>ऐतिहासिक रूप से सिलंबम किस प्रकार के तमिल शिक्षक द्वारा पढ़ाया जाता था?</v>
      </c>
      <c r="H226" s="5" t="str">
        <f>IFERROR(__xludf.DUMMYFUNCTION("GOOGLETRANSLATE(C226, ""en"", ""hi"")"),"A) गुरु, B) शाही प्रशिक्षक, C) सैन्य प्रशिक्षक, D) मंदिर के पुजारी")</f>
        <v>A) गुरु, B) शाही प्रशिक्षक, C) सैन्य प्रशिक्षक, D) मंदिर के पुजारी</v>
      </c>
      <c r="I226" s="5" t="str">
        <f>IFERROR(__xludf.DUMMYFUNCTION("GOOGLETRANSLATE(D226, ""en"", ""hi"")"),"A) गुरु")</f>
        <v>A) गुरु</v>
      </c>
    </row>
    <row r="227" ht="22.5" customHeight="1">
      <c r="A227" s="3">
        <v>226.0</v>
      </c>
      <c r="B227" s="4" t="s">
        <v>10103</v>
      </c>
      <c r="C227" s="4" t="s">
        <v>10031</v>
      </c>
      <c r="D227" s="4" t="s">
        <v>10032</v>
      </c>
      <c r="F227" s="5" t="str">
        <f>IFERROR(__xludf.DUMMYFUNCTION("GOOGLETRANSLATE(A227, ""en"", ""hi"")"),"226")</f>
        <v>226</v>
      </c>
      <c r="G227" s="5" t="str">
        <f>IFERROR(__xludf.DUMMYFUNCTION("GOOGLETRANSLATE(B227, ""en"", ""hi"")"),"कौन सी तमिल मार्शल आर्ट, जो सिलंबम से निकटता से संबंधित है, विभिन्न प्रकार के हथियारों का भी उपयोग करती है?")</f>
        <v>कौन सी तमिल मार्शल आर्ट, जो सिलंबम से निकटता से संबंधित है, विभिन्न प्रकार के हथियारों का भी उपयोग करती है?</v>
      </c>
      <c r="H227" s="5" t="str">
        <f>IFERROR(__xludf.DUMMYFUNCTION("GOOGLETRANSLATE(C227, ""en"", ""hi"")"),"ए) कलारीपयट्टु, बी) आदिमुराई, सी) वर्मा कलाई, डी) माल्युथम")</f>
        <v>ए) कलारीपयट्टु, बी) आदिमुराई, सी) वर्मा कलाई, डी) माल्युथम</v>
      </c>
      <c r="I227" s="5" t="str">
        <f>IFERROR(__xludf.DUMMYFUNCTION("GOOGLETRANSLATE(D227, ""en"", ""hi"")"),"बी) आदिमुराई")</f>
        <v>बी) आदिमुराई</v>
      </c>
    </row>
    <row r="228" ht="22.5" customHeight="1">
      <c r="A228" s="3">
        <v>227.0</v>
      </c>
      <c r="B228" s="4" t="s">
        <v>10104</v>
      </c>
      <c r="C228" s="4" t="s">
        <v>10081</v>
      </c>
      <c r="D228" s="4" t="s">
        <v>10082</v>
      </c>
      <c r="F228" s="5" t="str">
        <f>IFERROR(__xludf.DUMMYFUNCTION("GOOGLETRANSLATE(A228, ""en"", ""hi"")"),"227")</f>
        <v>227</v>
      </c>
      <c r="G228" s="5" t="str">
        <f>IFERROR(__xludf.DUMMYFUNCTION("GOOGLETRANSLATE(B228, ""en"", ""hi"")"),"किस तमिल शासक को अपने शासनकाल के दौरान सिलंबम के संरक्षण और समर्थन के लिए जाना जाता है?")</f>
        <v>किस तमिल शासक को अपने शासनकाल के दौरान सिलंबम के संरक्षण और समर्थन के लिए जाना जाता है?</v>
      </c>
      <c r="H228" s="5" t="str">
        <f>IFERROR(__xludf.DUMMYFUNCTION("GOOGLETRANSLATE(C228, ""en"", ""hi"")"),"ए) राजराजा चोल, बी) राजेंद्र चोल, सी) सुंदरा चोल, डी) कुलोथुंगा चोल")</f>
        <v>ए) राजराजा चोल, बी) राजेंद्र चोल, सी) सुंदरा चोल, डी) कुलोथुंगा चोल</v>
      </c>
      <c r="I228" s="5" t="str">
        <f>IFERROR(__xludf.DUMMYFUNCTION("GOOGLETRANSLATE(D228, ""en"", ""hi"")"),"B) राजेंद्र चोल")</f>
        <v>B) राजेंद्र चोल</v>
      </c>
    </row>
    <row r="229" ht="22.5" customHeight="1">
      <c r="A229" s="3">
        <v>228.0</v>
      </c>
      <c r="B229" s="4" t="s">
        <v>10105</v>
      </c>
      <c r="C229" s="4" t="s">
        <v>9992</v>
      </c>
      <c r="D229" s="4" t="s">
        <v>9583</v>
      </c>
      <c r="F229" s="5" t="str">
        <f>IFERROR(__xludf.DUMMYFUNCTION("GOOGLETRANSLATE(A229, ""en"", ""hi"")"),"228")</f>
        <v>228</v>
      </c>
      <c r="G229" s="5" t="str">
        <f>IFERROR(__xludf.DUMMYFUNCTION("GOOGLETRANSLATE(B229, ""en"", ""hi"")"),"कौन सा तमिल क्षेत्र ग्रामीण त्योहारों के माध्यम से पारंपरिक सिलंबम तकनीकों के संरक्षण के लिए जाना जाता है?")</f>
        <v>कौन सा तमिल क्षेत्र ग्रामीण त्योहारों के माध्यम से पारंपरिक सिलंबम तकनीकों के संरक्षण के लिए जाना जाता है?</v>
      </c>
      <c r="H229" s="5" t="str">
        <f>IFERROR(__xludf.DUMMYFUNCTION("GOOGLETRANSLATE(C229, ""en"", ""hi"")"),"A) कन्याकुमारी, B) मदुरै, C) चेन्नई, D) तिरुनेलवेली")</f>
        <v>A) कन्याकुमारी, B) मदुरै, C) चेन्नई, D) तिरुनेलवेली</v>
      </c>
      <c r="I229" s="5" t="str">
        <f>IFERROR(__xludf.DUMMYFUNCTION("GOOGLETRANSLATE(D229, ""en"", ""hi"")"),"बी) मदुरै")</f>
        <v>बी) मदुरै</v>
      </c>
    </row>
    <row r="230" ht="22.5" customHeight="1">
      <c r="A230" s="3">
        <v>229.0</v>
      </c>
      <c r="B230" s="4" t="s">
        <v>10106</v>
      </c>
      <c r="C230" s="4" t="s">
        <v>9959</v>
      </c>
      <c r="D230" s="4" t="s">
        <v>9960</v>
      </c>
      <c r="F230" s="5" t="str">
        <f>IFERROR(__xludf.DUMMYFUNCTION("GOOGLETRANSLATE(A230, ""en"", ""hi"")"),"229")</f>
        <v>229</v>
      </c>
      <c r="G230" s="5" t="str">
        <f>IFERROR(__xludf.DUMMYFUNCTION("GOOGLETRANSLATE(B230, ""en"", ""hi"")"),"ऐतिहासिक रूप से सिलंबम का अभ्यास किस तमिल योद्धा वर्ग द्वारा किया जाता था?")</f>
        <v>ऐतिहासिक रूप से सिलंबम का अभ्यास किस तमिल योद्धा वर्ग द्वारा किया जाता था?</v>
      </c>
      <c r="H230" s="5" t="str">
        <f>IFERROR(__xludf.DUMMYFUNCTION("GOOGLETRANSLATE(C230, ""en"", ""hi"")"),"ए) कल्लार, बी) नादर, सी) वन्नियार, डी) पारावार")</f>
        <v>ए) कल्लार, बी) नादर, सी) वन्नियार, डी) पारावार</v>
      </c>
      <c r="I230" s="5" t="str">
        <f>IFERROR(__xludf.DUMMYFUNCTION("GOOGLETRANSLATE(D230, ""en"", ""hi"")"),"A) कल्लर")</f>
        <v>A) कल्लर</v>
      </c>
    </row>
    <row r="231" ht="22.5" customHeight="1">
      <c r="A231" s="3">
        <v>230.0</v>
      </c>
      <c r="B231" s="4" t="s">
        <v>10107</v>
      </c>
      <c r="C231" s="4" t="s">
        <v>10108</v>
      </c>
      <c r="D231" s="4" t="s">
        <v>9244</v>
      </c>
      <c r="F231" s="5" t="str">
        <f>IFERROR(__xludf.DUMMYFUNCTION("GOOGLETRANSLATE(A231, ""en"", ""hi"")"),"230")</f>
        <v>230</v>
      </c>
      <c r="G231" s="5" t="str">
        <f>IFERROR(__xludf.DUMMYFUNCTION("GOOGLETRANSLATE(B231, ""en"", ""hi"")"),"तमिलनाडु में सिलंबम का प्रयोग किस ऐतिहासिक काल से शुरू हुआ?")</f>
        <v>तमिलनाडु में सिलंबम का प्रयोग किस ऐतिहासिक काल से शुरू हुआ?</v>
      </c>
      <c r="H231" s="5" t="str">
        <f>IFERROR(__xludf.DUMMYFUNCTION("GOOGLETRANSLATE(C231, ""en"", ""hi"")"),"A) प्राचीन काल, B) मध्यकाल, C) औपनिवेशिक काल, D) उत्तर-औपनिवेशिक काल")</f>
        <v>A) प्राचीन काल, B) मध्यकाल, C) औपनिवेशिक काल, D) उत्तर-औपनिवेशिक काल</v>
      </c>
      <c r="I231" s="5" t="str">
        <f>IFERROR(__xludf.DUMMYFUNCTION("GOOGLETRANSLATE(D231, ""en"", ""hi"")"),"A) प्राचीन काल")</f>
        <v>A) प्राचीन काल</v>
      </c>
    </row>
    <row r="232" ht="22.5" customHeight="1">
      <c r="A232" s="3">
        <v>231.0</v>
      </c>
      <c r="B232" s="4" t="s">
        <v>10109</v>
      </c>
      <c r="C232" s="4" t="s">
        <v>10110</v>
      </c>
      <c r="D232" s="4" t="s">
        <v>10100</v>
      </c>
      <c r="F232" s="5" t="str">
        <f>IFERROR(__xludf.DUMMYFUNCTION("GOOGLETRANSLATE(A232, ""en"", ""hi"")"),"231")</f>
        <v>231</v>
      </c>
      <c r="G232" s="5" t="str">
        <f>IFERROR(__xludf.DUMMYFUNCTION("GOOGLETRANSLATE(B232, ""en"", ""hi"")"),"कौन सा ऐतिहासिक तमिल ग्रंथ सिलंबम तकनीकों के विस्तृत वर्णन के लिए जाना जाता है?")</f>
        <v>कौन सा ऐतिहासिक तमिल ग्रंथ सिलंबम तकनीकों के विस्तृत वर्णन के लिए जाना जाता है?</v>
      </c>
      <c r="H232" s="5" t="str">
        <f>IFERROR(__xludf.DUMMYFUNCTION("GOOGLETRANSLATE(C232, ""en"", ""hi"")"),"ए) थोलकप्पियम, बी) कुरल, सी) सिलप्पातिकारम, डी) अगस्त्य संहिता")</f>
        <v>ए) थोलकप्पियम, बी) कुरल, सी) सिलप्पातिकारम, डी) अगस्त्य संहिता</v>
      </c>
      <c r="I232" s="5" t="str">
        <f>IFERROR(__xludf.DUMMYFUNCTION("GOOGLETRANSLATE(D232, ""en"", ""hi"")"),"D) अगस्त्य संहिता")</f>
        <v>D) अगस्त्य संहिता</v>
      </c>
    </row>
    <row r="233" ht="22.5" customHeight="1">
      <c r="A233" s="3">
        <v>232.0</v>
      </c>
      <c r="B233" s="4" t="s">
        <v>10111</v>
      </c>
      <c r="C233" s="4" t="s">
        <v>10112</v>
      </c>
      <c r="D233" s="4" t="s">
        <v>10113</v>
      </c>
      <c r="F233" s="5" t="str">
        <f>IFERROR(__xludf.DUMMYFUNCTION("GOOGLETRANSLATE(A233, ""en"", ""hi"")"),"232")</f>
        <v>232</v>
      </c>
      <c r="G233" s="5" t="str">
        <f>IFERROR(__xludf.DUMMYFUNCTION("GOOGLETRANSLATE(B233, ""en"", ""hi"")"),"कौन सा तमिल ऐतिहासिक व्यक्ति सिलंबम के संरक्षण और दस्तावेजीकरण में अपने योगदान के लिए जाना जाता है?")</f>
        <v>कौन सा तमिल ऐतिहासिक व्यक्ति सिलंबम के संरक्षण और दस्तावेजीकरण में अपने योगदान के लिए जाना जाता है?</v>
      </c>
      <c r="H233" s="5" t="str">
        <f>IFERROR(__xludf.DUMMYFUNCTION("GOOGLETRANSLATE(C233, ""en"", ""hi"")"),"ए) कंबार, बी) इलंगो आदिगल, सी) भारतीदासन, डी) तिरुवल्लुवर")</f>
        <v>ए) कंबार, बी) इलंगो आदिगल, सी) भारतीदासन, डी) तिरुवल्लुवर</v>
      </c>
      <c r="I233" s="5" t="str">
        <f>IFERROR(__xludf.DUMMYFUNCTION("GOOGLETRANSLATE(D233, ""en"", ""hi"")"),"बी) इलंगो अडिगाल")</f>
        <v>बी) इलंगो अडिगाल</v>
      </c>
    </row>
    <row r="234" ht="22.5" customHeight="1">
      <c r="A234" s="3">
        <v>233.0</v>
      </c>
      <c r="B234" s="4" t="s">
        <v>10114</v>
      </c>
      <c r="C234" s="4" t="s">
        <v>10115</v>
      </c>
      <c r="D234" s="4" t="s">
        <v>10116</v>
      </c>
      <c r="F234" s="5" t="str">
        <f>IFERROR(__xludf.DUMMYFUNCTION("GOOGLETRANSLATE(A234, ""en"", ""hi"")"),"233")</f>
        <v>233</v>
      </c>
      <c r="G234" s="5" t="str">
        <f>IFERROR(__xludf.DUMMYFUNCTION("GOOGLETRANSLATE(B234, ""en"", ""hi"")"),"सिलंबम की प्रथा किस ऐतिहासिक तमिल सैन्य परंपरा से प्रभावित थी?")</f>
        <v>सिलंबम की प्रथा किस ऐतिहासिक तमिल सैन्य परंपरा से प्रभावित थी?</v>
      </c>
      <c r="H234" s="5" t="str">
        <f>IFERROR(__xludf.DUMMYFUNCTION("GOOGLETRANSLATE(C234, ""en"", ""hi"")"),"A) चोल सेना, B) पांड्य सेना, C) चेर सेना, D) विजयनगर सेना")</f>
        <v>A) चोल सेना, B) पांड्य सेना, C) चेर सेना, D) विजयनगर सेना</v>
      </c>
      <c r="I234" s="5" t="str">
        <f>IFERROR(__xludf.DUMMYFUNCTION("GOOGLETRANSLATE(D234, ""en"", ""hi"")"),"A) चोल सेना")</f>
        <v>A) चोल सेना</v>
      </c>
    </row>
    <row r="235" ht="22.5" customHeight="1">
      <c r="A235" s="3">
        <v>234.0</v>
      </c>
      <c r="B235" s="4" t="s">
        <v>10117</v>
      </c>
      <c r="C235" s="4" t="s">
        <v>10118</v>
      </c>
      <c r="D235" s="4" t="s">
        <v>10023</v>
      </c>
      <c r="F235" s="5" t="str">
        <f>IFERROR(__xludf.DUMMYFUNCTION("GOOGLETRANSLATE(A235, ""en"", ""hi"")"),"234")</f>
        <v>234</v>
      </c>
      <c r="G235" s="5" t="str">
        <f>IFERROR(__xludf.DUMMYFUNCTION("GOOGLETRANSLATE(B235, ""en"", ""hi"")"),"सिलंबम तकनीकों को किस पारंपरिक तमिल संस्थान के माध्यम से प्रलेखित और संरक्षित किया गया था?")</f>
        <v>सिलंबम तकनीकों को किस पारंपरिक तमिल संस्थान के माध्यम से प्रलेखित और संरक्षित किया गया था?</v>
      </c>
      <c r="H235" s="5" t="str">
        <f>IFERROR(__xludf.DUMMYFUNCTION("GOOGLETRANSLATE(C235, ""en"", ""hi"")"),"A) गुरुकुल प्रणाली, B) शाही दरबार, C) मंदिर स्कूल, D) मठ केंद्र")</f>
        <v>A) गुरुकुल प्रणाली, B) शाही दरबार, C) मंदिर स्कूल, D) मठ केंद्र</v>
      </c>
      <c r="I235" s="5" t="str">
        <f>IFERROR(__xludf.DUMMYFUNCTION("GOOGLETRANSLATE(D235, ""en"", ""hi"")"),"A) गुरुकुल प्रणाली")</f>
        <v>A) गुरुकुल प्रणाली</v>
      </c>
    </row>
    <row r="236" ht="22.5" customHeight="1">
      <c r="A236" s="3">
        <v>235.0</v>
      </c>
      <c r="B236" s="4" t="s">
        <v>10119</v>
      </c>
      <c r="C236" s="4" t="s">
        <v>10081</v>
      </c>
      <c r="D236" s="4" t="s">
        <v>9997</v>
      </c>
      <c r="F236" s="5" t="str">
        <f>IFERROR(__xludf.DUMMYFUNCTION("GOOGLETRANSLATE(A236, ""en"", ""hi"")"),"235")</f>
        <v>235</v>
      </c>
      <c r="G236" s="5" t="str">
        <f>IFERROR(__xludf.DUMMYFUNCTION("GOOGLETRANSLATE(B236, ""en"", ""hi"")"),"किस तमिल राजा के शासनकाल में शाही सैन्य पाठ्यक्रम में सिलंबम को शामिल किया गया था?")</f>
        <v>किस तमिल राजा के शासनकाल में शाही सैन्य पाठ्यक्रम में सिलंबम को शामिल किया गया था?</v>
      </c>
      <c r="H236" s="5" t="str">
        <f>IFERROR(__xludf.DUMMYFUNCTION("GOOGLETRANSLATE(C236, ""en"", ""hi"")"),"ए) राजराजा चोल, बी) राजेंद्र चोल, सी) सुंदरा चोल, डी) कुलोथुंगा चोल")</f>
        <v>ए) राजराजा चोल, बी) राजेंद्र चोल, सी) सुंदरा चोल, डी) कुलोथुंगा चोल</v>
      </c>
      <c r="I236" s="5" t="str">
        <f>IFERROR(__xludf.DUMMYFUNCTION("GOOGLETRANSLATE(D236, ""en"", ""hi"")"),"A) राजराजा चोल")</f>
        <v>A) राजराजा चोल</v>
      </c>
    </row>
    <row r="237" ht="22.5" customHeight="1">
      <c r="A237" s="3">
        <v>236.0</v>
      </c>
      <c r="B237" s="4" t="s">
        <v>10120</v>
      </c>
      <c r="C237" s="4" t="s">
        <v>10091</v>
      </c>
      <c r="D237" s="4" t="s">
        <v>9603</v>
      </c>
      <c r="F237" s="5" t="str">
        <f>IFERROR(__xludf.DUMMYFUNCTION("GOOGLETRANSLATE(A237, ""en"", ""hi"")"),"236")</f>
        <v>236</v>
      </c>
      <c r="G237" s="5" t="str">
        <f>IFERROR(__xludf.DUMMYFUNCTION("GOOGLETRANSLATE(B237, ""en"", ""hi"")"),"सिलंबम का ऐतिहासिक महत्व किस तमिल क्षेत्र से सबसे अधिक जुड़ा हुआ है?")</f>
        <v>सिलंबम का ऐतिहासिक महत्व किस तमिल क्षेत्र से सबसे अधिक जुड़ा हुआ है?</v>
      </c>
      <c r="H237" s="5" t="str">
        <f>IFERROR(__xludf.DUMMYFUNCTION("GOOGLETRANSLATE(C237, ""en"", ""hi"")"),"A) मदुरै, B) चेन्नई, C) कांचीपुरम, D) कोयंबटूर")</f>
        <v>A) मदुरै, B) चेन्नई, C) कांचीपुरम, D) कोयंबटूर</v>
      </c>
      <c r="I237" s="5" t="str">
        <f>IFERROR(__xludf.DUMMYFUNCTION("GOOGLETRANSLATE(D237, ""en"", ""hi"")"),"A) मदुरै")</f>
        <v>A) मदुरै</v>
      </c>
    </row>
    <row r="238" ht="22.5" customHeight="1">
      <c r="A238" s="3">
        <v>237.0</v>
      </c>
      <c r="B238" s="4" t="s">
        <v>10121</v>
      </c>
      <c r="C238" s="4" t="s">
        <v>10088</v>
      </c>
      <c r="D238" s="4" t="s">
        <v>10089</v>
      </c>
      <c r="F238" s="5" t="str">
        <f>IFERROR(__xludf.DUMMYFUNCTION("GOOGLETRANSLATE(A238, ""en"", ""hi"")"),"237")</f>
        <v>237</v>
      </c>
      <c r="G238" s="5" t="str">
        <f>IFERROR(__xludf.DUMMYFUNCTION("GOOGLETRANSLATE(B238, ""en"", ""hi"")"),"आधुनिक समय में सिलंबम को लोकप्रिय बनाने का श्रेय किस तमिल ऐतिहासिक व्यक्ति को दिया जाता है?")</f>
        <v>आधुनिक समय में सिलंबम को लोकप्रिय बनाने का श्रेय किस तमिल ऐतिहासिक व्यक्ति को दिया जाता है?</v>
      </c>
      <c r="H238" s="5" t="str">
        <f>IFERROR(__xludf.DUMMYFUNCTION("GOOGLETRANSLATE(C238, ""en"", ""hi"")"),"ए) वी. कृष्णमाचारी, बी) सुब्रमण्यम भारती, सी) पी. सुब्रमण्यम अय्यर, डी) एम. आर. वासुदेवन")</f>
        <v>ए) वी. कृष्णमाचारी, बी) सुब्रमण्यम भारती, सी) पी. सुब्रमण्यम अय्यर, डी) एम. आर. वासुदेवन</v>
      </c>
      <c r="I238" s="5" t="str">
        <f>IFERROR(__xludf.DUMMYFUNCTION("GOOGLETRANSLATE(D238, ""en"", ""hi"")"),"A) वी. कृष्णमाचारी")</f>
        <v>A) वी. कृष्णमाचारी</v>
      </c>
    </row>
    <row r="239" ht="22.5" customHeight="1">
      <c r="A239" s="3">
        <v>238.0</v>
      </c>
      <c r="B239" s="4" t="s">
        <v>10122</v>
      </c>
      <c r="C239" s="4" t="s">
        <v>10123</v>
      </c>
      <c r="D239" s="4" t="s">
        <v>9539</v>
      </c>
      <c r="F239" s="5" t="str">
        <f>IFERROR(__xludf.DUMMYFUNCTION("GOOGLETRANSLATE(A239, ""en"", ""hi"")"),"238")</f>
        <v>238</v>
      </c>
      <c r="G239" s="5" t="str">
        <f>IFERROR(__xludf.DUMMYFUNCTION("GOOGLETRANSLATE(B239, ""en"", ""hi"")"),"कौन सा ऐतिहासिक तमिल ग्रंथ प्राचीन तमिल काल के दौरान प्रयुक्त सिलंबम सहित मार्शल आर्ट प्रथाओं पर प्रकाश डालता है?")</f>
        <v>कौन सा ऐतिहासिक तमिल ग्रंथ प्राचीन तमिल काल के दौरान प्रयुक्त सिलंबम सहित मार्शल आर्ट प्रथाओं पर प्रकाश डालता है?</v>
      </c>
      <c r="H239" s="5" t="str">
        <f>IFERROR(__xludf.DUMMYFUNCTION("GOOGLETRANSLATE(C239, ""en"", ""hi"")"),"ए) टोलकाप्पियम, बी) सिलप्पातिकारम, सी) अगस्त्य संहिता, डी) कुरल")</f>
        <v>ए) टोलकाप्पियम, बी) सिलप्पातिकारम, सी) अगस्त्य संहिता, डी) कुरल</v>
      </c>
      <c r="I239" s="5" t="str">
        <f>IFERROR(__xludf.DUMMYFUNCTION("GOOGLETRANSLATE(D239, ""en"", ""hi"")"),"बी) सिलप्पाटिकरम")</f>
        <v>बी) सिलप्पाटिकरम</v>
      </c>
    </row>
    <row r="240" ht="22.5" customHeight="1">
      <c r="A240" s="3">
        <v>239.0</v>
      </c>
      <c r="B240" s="4" t="s">
        <v>10124</v>
      </c>
      <c r="C240" s="4" t="s">
        <v>10081</v>
      </c>
      <c r="D240" s="4" t="s">
        <v>10082</v>
      </c>
      <c r="F240" s="5" t="str">
        <f>IFERROR(__xludf.DUMMYFUNCTION("GOOGLETRANSLATE(A240, ""en"", ""hi"")"),"239")</f>
        <v>239</v>
      </c>
      <c r="G240" s="5" t="str">
        <f>IFERROR(__xludf.DUMMYFUNCTION("GOOGLETRANSLATE(B240, ""en"", ""hi"")"),"किस तमिल राजा के सिलंबम के समर्थन ने तमिल सैन्य रणनीति में उसकी भूमिका को प्रभावित किया?")</f>
        <v>किस तमिल राजा के सिलंबम के समर्थन ने तमिल सैन्य रणनीति में उसकी भूमिका को प्रभावित किया?</v>
      </c>
      <c r="H240" s="5" t="str">
        <f>IFERROR(__xludf.DUMMYFUNCTION("GOOGLETRANSLATE(C240, ""en"", ""hi"")"),"ए) राजराजा चोल, बी) राजेंद्र चोल, सी) सुंदरा चोल, डी) कुलोथुंगा चोल")</f>
        <v>ए) राजराजा चोल, बी) राजेंद्र चोल, सी) सुंदरा चोल, डी) कुलोथुंगा चोल</v>
      </c>
      <c r="I240" s="5" t="str">
        <f>IFERROR(__xludf.DUMMYFUNCTION("GOOGLETRANSLATE(D240, ""en"", ""hi"")"),"B) राजेंद्र चोल")</f>
        <v>B) राजेंद्र चोल</v>
      </c>
    </row>
    <row r="241" ht="22.5" customHeight="1">
      <c r="A241" s="3">
        <v>240.0</v>
      </c>
      <c r="B241" s="4" t="s">
        <v>10125</v>
      </c>
      <c r="C241" s="4" t="s">
        <v>10126</v>
      </c>
      <c r="D241" s="4" t="s">
        <v>10127</v>
      </c>
      <c r="F241" s="5" t="str">
        <f>IFERROR(__xludf.DUMMYFUNCTION("GOOGLETRANSLATE(A241, ""en"", ""hi"")"),"240")</f>
        <v>240</v>
      </c>
      <c r="G241" s="5" t="str">
        <f>IFERROR(__xludf.DUMMYFUNCTION("GOOGLETRANSLATE(B241, ""en"", ""hi"")"),"तमिलनाडु में सिलंबम की पारंपरिक प्रथा को किस सांस्कृतिक संस्था द्वारा समर्थन दिया गया था?")</f>
        <v>तमिलनाडु में सिलंबम की पारंपरिक प्रथा को किस सांस्कृतिक संस्था द्वारा समर्थन दिया गया था?</v>
      </c>
      <c r="H241" s="5" t="str">
        <f>IFERROR(__xludf.DUMMYFUNCTION("GOOGLETRANSLATE(C241, ""en"", ""hi"")"),"A) मंदिर विद्यालय, B) शाही दरबार, C) मठ केंद्र, D) गुरुकुल प्रणाली")</f>
        <v>A) मंदिर विद्यालय, B) शाही दरबार, C) मठ केंद्र, D) गुरुकुल प्रणाली</v>
      </c>
      <c r="I241" s="5" t="str">
        <f>IFERROR(__xludf.DUMMYFUNCTION("GOOGLETRANSLATE(D241, ""en"", ""hi"")"),"D) गुरुकुल प्रणाली")</f>
        <v>D) गुरुकुल प्रणाली</v>
      </c>
    </row>
    <row r="242" ht="22.5" customHeight="1">
      <c r="A242" s="3">
        <v>241.0</v>
      </c>
      <c r="B242" s="4" t="s">
        <v>10128</v>
      </c>
      <c r="C242" s="4" t="s">
        <v>10094</v>
      </c>
      <c r="D242" s="4" t="s">
        <v>9022</v>
      </c>
      <c r="F242" s="5" t="str">
        <f>IFERROR(__xludf.DUMMYFUNCTION("GOOGLETRANSLATE(A242, ""en"", ""hi"")"),"241")</f>
        <v>241</v>
      </c>
      <c r="G242" s="5" t="str">
        <f>IFERROR(__xludf.DUMMYFUNCTION("GOOGLETRANSLATE(B242, ""en"", ""hi"")"),"किस तमिल राजा का शासनकाल मार्शल आर्ट के रूप में सिलंबम के उत्कर्ष के लिए जाना जाता है?")</f>
        <v>किस तमिल राजा का शासनकाल मार्शल आर्ट के रूप में सिलंबम के उत्कर्ष के लिए जाना जाता है?</v>
      </c>
      <c r="H242" s="5" t="str">
        <f>IFERROR(__xludf.DUMMYFUNCTION("GOOGLETRANSLATE(C242, ""en"", ""hi"")"),"ए) राजा राजा चोल, बी) राजेंद्र चोल, सी) सुंदरा चोल, डी) कुलोथुंगा चोल")</f>
        <v>ए) राजा राजा चोल, बी) राजेंद्र चोल, सी) सुंदरा चोल, डी) कुलोथुंगा चोल</v>
      </c>
      <c r="I242" s="5" t="str">
        <f>IFERROR(__xludf.DUMMYFUNCTION("GOOGLETRANSLATE(D242, ""en"", ""hi"")"),"A) राजा राजा चोल")</f>
        <v>A) राजा राजा चोल</v>
      </c>
    </row>
    <row r="243" ht="22.5" customHeight="1">
      <c r="A243" s="3">
        <v>242.0</v>
      </c>
      <c r="B243" s="4" t="s">
        <v>10129</v>
      </c>
      <c r="C243" s="4" t="s">
        <v>10050</v>
      </c>
      <c r="D243" s="4" t="s">
        <v>9542</v>
      </c>
      <c r="F243" s="5" t="str">
        <f>IFERROR(__xludf.DUMMYFUNCTION("GOOGLETRANSLATE(A243, ""en"", ""hi"")"),"242")</f>
        <v>242</v>
      </c>
      <c r="G243" s="5" t="str">
        <f>IFERROR(__xludf.DUMMYFUNCTION("GOOGLETRANSLATE(B243, ""en"", ""hi"")"),"आधुनिक तमिलनाडु में सिलंबम के पुनरुत्थान का श्रेय किस आंदोलन को दिया जा सकता है?")</f>
        <v>आधुनिक तमिलनाडु में सिलंबम के पुनरुत्थान का श्रेय किस आंदोलन को दिया जा सकता है?</v>
      </c>
      <c r="H243" s="5" t="str">
        <f>IFERROR(__xludf.DUMMYFUNCTION("GOOGLETRANSLATE(C243, ""en"", ""hi"")"),"A) तमिल पुनर्जागरण, B) भक्ति आंदोलन, C) सुधार आंदोलन, D) राष्ट्रवादी आंदोलन")</f>
        <v>A) तमिल पुनर्जागरण, B) भक्ति आंदोलन, C) सुधार आंदोलन, D) राष्ट्रवादी आंदोलन</v>
      </c>
      <c r="I243" s="5" t="str">
        <f>IFERROR(__xludf.DUMMYFUNCTION("GOOGLETRANSLATE(D243, ""en"", ""hi"")"),"A) तमिल पुनर्जागरण")</f>
        <v>A) तमिल पुनर्जागरण</v>
      </c>
    </row>
    <row r="244" ht="22.5" customHeight="1">
      <c r="A244" s="3">
        <v>243.0</v>
      </c>
      <c r="B244" s="4" t="s">
        <v>10130</v>
      </c>
      <c r="C244" s="4" t="s">
        <v>10123</v>
      </c>
      <c r="D244" s="4" t="s">
        <v>9982</v>
      </c>
      <c r="F244" s="5" t="str">
        <f>IFERROR(__xludf.DUMMYFUNCTION("GOOGLETRANSLATE(A244, ""en"", ""hi"")"),"243")</f>
        <v>243</v>
      </c>
      <c r="G244" s="5" t="str">
        <f>IFERROR(__xludf.DUMMYFUNCTION("GOOGLETRANSLATE(B244, ""en"", ""hi"")"),"प्राचीन तमिल इतिहास में सिलंबम की मार्शल तकनीकों का वर्णन किस तमिल ग्रंथ में किया गया है?")</f>
        <v>प्राचीन तमिल इतिहास में सिलंबम की मार्शल तकनीकों का वर्णन किस तमिल ग्रंथ में किया गया है?</v>
      </c>
      <c r="H244" s="5" t="str">
        <f>IFERROR(__xludf.DUMMYFUNCTION("GOOGLETRANSLATE(C244, ""en"", ""hi"")"),"ए) टोलकाप्पियम, बी) सिलप्पातिकारम, सी) अगस्त्य संहिता, डी) कुरल")</f>
        <v>ए) टोलकाप्पियम, बी) सिलप्पातिकारम, सी) अगस्त्य संहिता, डी) कुरल</v>
      </c>
      <c r="I244" s="5" t="str">
        <f>IFERROR(__xludf.DUMMYFUNCTION("GOOGLETRANSLATE(D244, ""en"", ""hi"")"),"C) अगस्त्य संहिता")</f>
        <v>C) अगस्त्य संहिता</v>
      </c>
    </row>
    <row r="245" ht="22.5" customHeight="1">
      <c r="A245" s="3">
        <v>244.0</v>
      </c>
      <c r="B245" s="4" t="s">
        <v>10131</v>
      </c>
      <c r="C245" s="4" t="s">
        <v>10132</v>
      </c>
      <c r="D245" s="4" t="s">
        <v>10089</v>
      </c>
      <c r="F245" s="5" t="str">
        <f>IFERROR(__xludf.DUMMYFUNCTION("GOOGLETRANSLATE(A245, ""en"", ""hi"")"),"244")</f>
        <v>244</v>
      </c>
      <c r="G245" s="5" t="str">
        <f>IFERROR(__xludf.DUMMYFUNCTION("GOOGLETRANSLATE(B245, ""en"", ""hi"")"),"कौन सा तमिल ऐतिहासिक व्यक्ति औपनिवेशिक काल के दौरान सिलंबम के संरक्षण और संवर्धन में अपनी भूमिका के लिए जाना जाता है?")</f>
        <v>कौन सा तमिल ऐतिहासिक व्यक्ति औपनिवेशिक काल के दौरान सिलंबम के संरक्षण और संवर्धन में अपनी भूमिका के लिए जाना जाता है?</v>
      </c>
      <c r="H245" s="5" t="str">
        <f>IFERROR(__xludf.DUMMYFUNCTION("GOOGLETRANSLATE(C245,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245" s="5" t="str">
        <f>IFERROR(__xludf.DUMMYFUNCTION("GOOGLETRANSLATE(D245, ""en"", ""hi"")"),"A) वी. कृष्णमाचारी")</f>
        <v>A) वी. कृष्णमाचारी</v>
      </c>
    </row>
    <row r="246" ht="22.5" customHeight="1">
      <c r="A246" s="3">
        <v>245.0</v>
      </c>
      <c r="B246" s="4" t="s">
        <v>10133</v>
      </c>
      <c r="C246" s="4" t="s">
        <v>10031</v>
      </c>
      <c r="D246" s="4" t="s">
        <v>10032</v>
      </c>
      <c r="F246" s="5" t="str">
        <f>IFERROR(__xludf.DUMMYFUNCTION("GOOGLETRANSLATE(A246, ""en"", ""hi"")"),"245")</f>
        <v>245</v>
      </c>
      <c r="G246" s="5" t="str">
        <f>IFERROR(__xludf.DUMMYFUNCTION("GOOGLETRANSLATE(B246, ""en"", ""hi"")"),"सिलंबम किस तमिल पारंपरिक प्रथा का हिस्सा है जिसमें अन्य मार्शल आर्ट भी शामिल हैं?")</f>
        <v>सिलंबम किस तमिल पारंपरिक प्रथा का हिस्सा है जिसमें अन्य मार्शल आर्ट भी शामिल हैं?</v>
      </c>
      <c r="H246" s="5" t="str">
        <f>IFERROR(__xludf.DUMMYFUNCTION("GOOGLETRANSLATE(C246, ""en"", ""hi"")"),"ए) कलारीपयट्टु, बी) आदिमुराई, सी) वर्मा कलाई, डी) माल्युथम")</f>
        <v>ए) कलारीपयट्टु, बी) आदिमुराई, सी) वर्मा कलाई, डी) माल्युथम</v>
      </c>
      <c r="I246" s="5" t="str">
        <f>IFERROR(__xludf.DUMMYFUNCTION("GOOGLETRANSLATE(D246, ""en"", ""hi"")"),"बी) आदिमुराई")</f>
        <v>बी) आदिमुराई</v>
      </c>
    </row>
    <row r="247" ht="22.5" customHeight="1">
      <c r="A247" s="3">
        <v>246.0</v>
      </c>
      <c r="B247" s="4" t="s">
        <v>10134</v>
      </c>
      <c r="C247" s="4" t="s">
        <v>10081</v>
      </c>
      <c r="D247" s="4" t="s">
        <v>9997</v>
      </c>
      <c r="F247" s="5" t="str">
        <f>IFERROR(__xludf.DUMMYFUNCTION("GOOGLETRANSLATE(A247, ""en"", ""hi"")"),"246")</f>
        <v>246</v>
      </c>
      <c r="G247" s="5" t="str">
        <f>IFERROR(__xludf.DUMMYFUNCTION("GOOGLETRANSLATE(B247, ""en"", ""hi"")"),"किस तमिल राजा के शासनकाल में राज्य की सैन्य प्रथाओं में सिलंबम को शामिल किया गया था?")</f>
        <v>किस तमिल राजा के शासनकाल में राज्य की सैन्य प्रथाओं में सिलंबम को शामिल किया गया था?</v>
      </c>
      <c r="H247" s="5" t="str">
        <f>IFERROR(__xludf.DUMMYFUNCTION("GOOGLETRANSLATE(C247, ""en"", ""hi"")"),"ए) राजराजा चोल, बी) राजेंद्र चोल, सी) सुंदरा चोल, डी) कुलोथुंगा चोल")</f>
        <v>ए) राजराजा चोल, बी) राजेंद्र चोल, सी) सुंदरा चोल, डी) कुलोथुंगा चोल</v>
      </c>
      <c r="I247" s="5" t="str">
        <f>IFERROR(__xludf.DUMMYFUNCTION("GOOGLETRANSLATE(D247, ""en"", ""hi"")"),"A) राजराजा चोल")</f>
        <v>A) राजराजा चोल</v>
      </c>
    </row>
    <row r="248" ht="22.5" customHeight="1">
      <c r="A248" s="3">
        <v>247.0</v>
      </c>
      <c r="B248" s="4" t="s">
        <v>10135</v>
      </c>
      <c r="C248" s="4" t="s">
        <v>10057</v>
      </c>
      <c r="D248" s="4" t="s">
        <v>10058</v>
      </c>
      <c r="F248" s="5" t="str">
        <f>IFERROR(__xludf.DUMMYFUNCTION("GOOGLETRANSLATE(A248, ""en"", ""hi"")"),"247")</f>
        <v>247</v>
      </c>
      <c r="G248" s="5" t="str">
        <f>IFERROR(__xludf.DUMMYFUNCTION("GOOGLETRANSLATE(B248, ""en"", ""hi"")"),"तमिलनाडु के सैन्य इतिहास में सिलंबम की भूमिका किस ऐतिहासिक कथा में परिलक्षित होती है?")</f>
        <v>तमिलनाडु के सैन्य इतिहास में सिलंबम की भूमिका किस ऐतिहासिक कथा में परिलक्षित होती है?</v>
      </c>
      <c r="H248" s="5" t="str">
        <f>IFERROR(__xludf.DUMMYFUNCTION("GOOGLETRANSLATE(C248, ""en"", ""hi"")"),"ए) संगम काव्य, बी) पेरिया पुराणम, सी) थेवरम, डी) कंबा रामायणम")</f>
        <v>ए) संगम काव्य, बी) पेरिया पुराणम, सी) थेवरम, डी) कंबा रामायणम</v>
      </c>
      <c r="I248" s="5" t="str">
        <f>IFERROR(__xludf.DUMMYFUNCTION("GOOGLETRANSLATE(D248, ""en"", ""hi"")"),"A) संगम काव्य")</f>
        <v>A) संगम काव्य</v>
      </c>
    </row>
    <row r="249" ht="22.5" customHeight="1">
      <c r="A249" s="3">
        <v>248.0</v>
      </c>
      <c r="B249" s="4" t="s">
        <v>10136</v>
      </c>
      <c r="C249" s="4" t="s">
        <v>10137</v>
      </c>
      <c r="D249" s="4" t="s">
        <v>10138</v>
      </c>
      <c r="F249" s="5" t="str">
        <f>IFERROR(__xludf.DUMMYFUNCTION("GOOGLETRANSLATE(A249, ""en"", ""hi"")"),"248")</f>
        <v>248</v>
      </c>
      <c r="G249" s="5" t="str">
        <f>IFERROR(__xludf.DUMMYFUNCTION("GOOGLETRANSLATE(B249, ""en"", ""hi"")"),"कौन सा तमिल ऐतिहासिक व्यक्ति सिलंबम में अपनी विशेषज्ञता और युद्ध में इसके रणनीतिक उपयोग के लिए प्रसिद्ध है?")</f>
        <v>कौन सा तमिल ऐतिहासिक व्यक्ति सिलंबम में अपनी विशेषज्ञता और युद्ध में इसके रणनीतिक उपयोग के लिए प्रसिद्ध है?</v>
      </c>
      <c r="H249" s="5" t="str">
        <f>IFERROR(__xludf.DUMMYFUNCTION("GOOGLETRANSLATE(C249, ""en"", ""hi"")"),"ए) राजेंद्र चोल, बी) मारुथु पांडियार, सी) वीरपांडिया कट्टाबोम्मन, डी) धीरन चिन्नामलाई")</f>
        <v>ए) राजेंद्र चोल, बी) मारुथु पांडियार, सी) वीरपांडिया कट्टाबोम्मन, डी) धीरन चिन्नामलाई</v>
      </c>
      <c r="I249" s="5" t="str">
        <f>IFERROR(__xludf.DUMMYFUNCTION("GOOGLETRANSLATE(D249, ""en"", ""hi"")"),"B) मारुथु पंडियार")</f>
        <v>B) मारुथु पंडियार</v>
      </c>
    </row>
    <row r="250" ht="22.5" customHeight="1">
      <c r="A250" s="3">
        <v>249.0</v>
      </c>
      <c r="B250" s="4" t="s">
        <v>10139</v>
      </c>
      <c r="C250" s="4" t="s">
        <v>10118</v>
      </c>
      <c r="D250" s="4" t="s">
        <v>10023</v>
      </c>
      <c r="F250" s="5" t="str">
        <f>IFERROR(__xludf.DUMMYFUNCTION("GOOGLETRANSLATE(A250, ""en"", ""hi"")"),"249")</f>
        <v>249</v>
      </c>
      <c r="G250" s="5" t="str">
        <f>IFERROR(__xludf.DUMMYFUNCTION("GOOGLETRANSLATE(B250, ""en"", ""hi"")"),"सिलंबम की तकनीकों को किस ऐतिहासिक तमिल संस्था द्वारा प्रलेखित और संहिताबद्ध किया गया था?")</f>
        <v>सिलंबम की तकनीकों को किस ऐतिहासिक तमिल संस्था द्वारा प्रलेखित और संहिताबद्ध किया गया था?</v>
      </c>
      <c r="H250" s="5" t="str">
        <f>IFERROR(__xludf.DUMMYFUNCTION("GOOGLETRANSLATE(C250, ""en"", ""hi"")"),"A) गुरुकुल प्रणाली, B) शाही दरबार, C) मंदिर स्कूल, D) मठ केंद्र")</f>
        <v>A) गुरुकुल प्रणाली, B) शाही दरबार, C) मंदिर स्कूल, D) मठ केंद्र</v>
      </c>
      <c r="I250" s="5" t="str">
        <f>IFERROR(__xludf.DUMMYFUNCTION("GOOGLETRANSLATE(D250, ""en"", ""hi"")"),"A) गुरुकुल प्रणाली")</f>
        <v>A) गुरुकुल प्रणाली</v>
      </c>
    </row>
    <row r="251" ht="22.5" customHeight="1">
      <c r="A251" s="3">
        <v>250.0</v>
      </c>
      <c r="B251" s="4" t="s">
        <v>10140</v>
      </c>
      <c r="C251" s="4" t="s">
        <v>10141</v>
      </c>
      <c r="D251" s="4" t="s">
        <v>10097</v>
      </c>
      <c r="F251" s="5" t="str">
        <f>IFERROR(__xludf.DUMMYFUNCTION("GOOGLETRANSLATE(A251, ""en"", ""hi"")"),"250")</f>
        <v>250</v>
      </c>
      <c r="G251" s="5" t="str">
        <f>IFERROR(__xludf.DUMMYFUNCTION("GOOGLETRANSLATE(B251, ""en"", ""hi"")"),"मध्यकाल के दौरान सिलंबम किस तमिल सांस्कृतिक प्रथा का एक प्रमुख पहलू था?")</f>
        <v>मध्यकाल के दौरान सिलंबम किस तमिल सांस्कृतिक प्रथा का एक प्रमुख पहलू था?</v>
      </c>
      <c r="H251" s="5" t="str">
        <f>IFERROR(__xludf.DUMMYFUNCTION("GOOGLETRANSLATE(C251, ""en"", ""hi"")"),"A) धार्मिक अनुष्ठान, B) कृषि त्यौहार, C) शाही समारोह, D) कलात्मक प्रदर्शन")</f>
        <v>A) धार्मिक अनुष्ठान, B) कृषि त्यौहार, C) शाही समारोह, D) कलात्मक प्रदर्शन</v>
      </c>
      <c r="I251" s="5" t="str">
        <f>IFERROR(__xludf.DUMMYFUNCTION("GOOGLETRANSLATE(D251, ""en"", ""hi"")"),"A) धार्मिक अनुष्ठान")</f>
        <v>A) धार्मिक अनुष्ठान</v>
      </c>
    </row>
    <row r="252" ht="22.5" customHeight="1">
      <c r="A252" s="3">
        <v>251.0</v>
      </c>
      <c r="B252" s="4" t="s">
        <v>10142</v>
      </c>
      <c r="C252" s="4" t="s">
        <v>10055</v>
      </c>
      <c r="D252" s="4" t="s">
        <v>9159</v>
      </c>
      <c r="F252" s="5" t="str">
        <f>IFERROR(__xludf.DUMMYFUNCTION("GOOGLETRANSLATE(A252, ""en"", ""hi"")"),"251")</f>
        <v>251</v>
      </c>
      <c r="G252" s="5" t="str">
        <f>IFERROR(__xludf.DUMMYFUNCTION("GOOGLETRANSLATE(B252, ""en"", ""hi"")"),"कौन सा तमिल राजवंश सिलंबम को अपने सैन्य पाठ्यक्रम में शामिल करने के लिए जाना जाता था?")</f>
        <v>कौन सा तमिल राजवंश सिलंबम को अपने सैन्य पाठ्यक्रम में शामिल करने के लिए जाना जाता था?</v>
      </c>
      <c r="H252" s="5" t="str">
        <f>IFERROR(__xludf.DUMMYFUNCTION("GOOGLETRANSLATE(C252, ""en"", ""hi"")"),"A) चोल वंश, B) पांड्य वंश, C) चेर वंश, D) विजयनगर वंश")</f>
        <v>A) चोल वंश, B) पांड्य वंश, C) चेर वंश, D) विजयनगर वंश</v>
      </c>
      <c r="I252" s="5" t="str">
        <f>IFERROR(__xludf.DUMMYFUNCTION("GOOGLETRANSLATE(D252, ""en"", ""hi"")"),"A) चोल राजवंश")</f>
        <v>A) चोल राजवंश</v>
      </c>
    </row>
    <row r="253" ht="22.5" customHeight="1">
      <c r="A253" s="3">
        <v>252.0</v>
      </c>
      <c r="B253" s="4" t="s">
        <v>10143</v>
      </c>
      <c r="C253" s="4" t="s">
        <v>10132</v>
      </c>
      <c r="D253" s="4" t="s">
        <v>10089</v>
      </c>
      <c r="F253" s="5" t="str">
        <f>IFERROR(__xludf.DUMMYFUNCTION("GOOGLETRANSLATE(A253, ""en"", ""hi"")"),"252")</f>
        <v>252</v>
      </c>
      <c r="G253" s="5" t="str">
        <f>IFERROR(__xludf.DUMMYFUNCTION("GOOGLETRANSLATE(B253, ""en"", ""hi"")"),"आधुनिक तमिलनाडु में सिलंबम का पुनरुत्थान किस ऐतिहासिक व्यक्ति से महत्वपूर्ण रूप से प्रभावित था?")</f>
        <v>आधुनिक तमिलनाडु में सिलंबम का पुनरुत्थान किस ऐतिहासिक व्यक्ति से महत्वपूर्ण रूप से प्रभावित था?</v>
      </c>
      <c r="H253" s="5" t="str">
        <f>IFERROR(__xludf.DUMMYFUNCTION("GOOGLETRANSLATE(C253,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253" s="5" t="str">
        <f>IFERROR(__xludf.DUMMYFUNCTION("GOOGLETRANSLATE(D253, ""en"", ""hi"")"),"A) वी. कृष्णमाचारी")</f>
        <v>A) वी. कृष्णमाचारी</v>
      </c>
    </row>
    <row r="254" ht="22.5" customHeight="1">
      <c r="A254" s="3">
        <v>253.0</v>
      </c>
      <c r="B254" s="4" t="s">
        <v>10144</v>
      </c>
      <c r="C254" s="4" t="s">
        <v>10094</v>
      </c>
      <c r="D254" s="4" t="s">
        <v>10082</v>
      </c>
      <c r="F254" s="5" t="str">
        <f>IFERROR(__xludf.DUMMYFUNCTION("GOOGLETRANSLATE(A254, ""en"", ""hi"")"),"253")</f>
        <v>253</v>
      </c>
      <c r="G254" s="5" t="str">
        <f>IFERROR(__xludf.DUMMYFUNCTION("GOOGLETRANSLATE(B254, ""en"", ""hi"")"),"किस तमिल राजा के शासनकाल में क्षेत्रीय संघर्षों में सिलंबम की व्यापक प्रथा देखी गई?")</f>
        <v>किस तमिल राजा के शासनकाल में क्षेत्रीय संघर्षों में सिलंबम की व्यापक प्रथा देखी गई?</v>
      </c>
      <c r="H254" s="5" t="str">
        <f>IFERROR(__xludf.DUMMYFUNCTION("GOOGLETRANSLATE(C254, ""en"", ""hi"")"),"ए) राजा राजा चोल, बी) राजेंद्र चोल, सी) सुंदरा चोल, डी) कुलोथुंगा चोल")</f>
        <v>ए) राजा राजा चोल, बी) राजेंद्र चोल, सी) सुंदरा चोल, डी) कुलोथुंगा चोल</v>
      </c>
      <c r="I254" s="5" t="str">
        <f>IFERROR(__xludf.DUMMYFUNCTION("GOOGLETRANSLATE(D254, ""en"", ""hi"")"),"B) राजेंद्र चोल")</f>
        <v>B) राजेंद्र चोल</v>
      </c>
    </row>
    <row r="255" ht="22.5" customHeight="1">
      <c r="A255" s="3">
        <v>254.0</v>
      </c>
      <c r="B255" s="4" t="s">
        <v>10145</v>
      </c>
      <c r="C255" s="4" t="s">
        <v>10123</v>
      </c>
      <c r="D255" s="4" t="s">
        <v>9539</v>
      </c>
      <c r="F255" s="5" t="str">
        <f>IFERROR(__xludf.DUMMYFUNCTION("GOOGLETRANSLATE(A255, ""en"", ""hi"")"),"254")</f>
        <v>254</v>
      </c>
      <c r="G255" s="5" t="str">
        <f>IFERROR(__xludf.DUMMYFUNCTION("GOOGLETRANSLATE(B255, ""en"", ""hi"")"),"तमिल इतिहास में सिलंबम का महत्व निम्नलिखित में से किस ग्रंथ में परिलक्षित होता है?")</f>
        <v>तमिल इतिहास में सिलंबम का महत्व निम्नलिखित में से किस ग्रंथ में परिलक्षित होता है?</v>
      </c>
      <c r="H255" s="5" t="str">
        <f>IFERROR(__xludf.DUMMYFUNCTION("GOOGLETRANSLATE(C255, ""en"", ""hi"")"),"ए) टोलकाप्पियम, बी) सिलप्पातिकारम, सी) अगस्त्य संहिता, डी) कुरल")</f>
        <v>ए) टोलकाप्पियम, बी) सिलप्पातिकारम, सी) अगस्त्य संहिता, डी) कुरल</v>
      </c>
      <c r="I255" s="5" t="str">
        <f>IFERROR(__xludf.DUMMYFUNCTION("GOOGLETRANSLATE(D255, ""en"", ""hi"")"),"बी) सिलप्पाटिकरम")</f>
        <v>बी) सिलप्पाटिकरम</v>
      </c>
    </row>
    <row r="256" ht="22.5" customHeight="1">
      <c r="A256" s="3">
        <v>255.0</v>
      </c>
      <c r="B256" s="4" t="s">
        <v>10146</v>
      </c>
      <c r="C256" s="4" t="s">
        <v>10091</v>
      </c>
      <c r="D256" s="4" t="s">
        <v>9603</v>
      </c>
      <c r="F256" s="5" t="str">
        <f>IFERROR(__xludf.DUMMYFUNCTION("GOOGLETRANSLATE(A256, ""en"", ""hi"")"),"255")</f>
        <v>255</v>
      </c>
      <c r="G256" s="5" t="str">
        <f>IFERROR(__xludf.DUMMYFUNCTION("GOOGLETRANSLATE(B256, ""en"", ""hi"")"),"कौन सा तमिल क्षेत्र ऐतिहासिक रूप से अपने सिलंबम चिकित्सकों और स्कूलों के लिए जाना जाता है?")</f>
        <v>कौन सा तमिल क्षेत्र ऐतिहासिक रूप से अपने सिलंबम चिकित्सकों और स्कूलों के लिए जाना जाता है?</v>
      </c>
      <c r="H256" s="5" t="str">
        <f>IFERROR(__xludf.DUMMYFUNCTION("GOOGLETRANSLATE(C256, ""en"", ""hi"")"),"A) मदुरै, B) चेन्नई, C) कांचीपुरम, D) कोयंबटूर")</f>
        <v>A) मदुरै, B) चेन्नई, C) कांचीपुरम, D) कोयंबटूर</v>
      </c>
      <c r="I256" s="5" t="str">
        <f>IFERROR(__xludf.DUMMYFUNCTION("GOOGLETRANSLATE(D256, ""en"", ""hi"")"),"A) मदुरै")</f>
        <v>A) मदुरै</v>
      </c>
    </row>
    <row r="257" ht="22.5" customHeight="1">
      <c r="A257" s="3">
        <v>256.0</v>
      </c>
      <c r="B257" s="4" t="s">
        <v>10147</v>
      </c>
      <c r="C257" s="4" t="s">
        <v>10094</v>
      </c>
      <c r="D257" s="4" t="s">
        <v>10082</v>
      </c>
      <c r="F257" s="5" t="str">
        <f>IFERROR(__xludf.DUMMYFUNCTION("GOOGLETRANSLATE(A257, ""en"", ""hi"")"),"256")</f>
        <v>256</v>
      </c>
      <c r="G257" s="5" t="str">
        <f>IFERROR(__xludf.DUMMYFUNCTION("GOOGLETRANSLATE(B257, ""en"", ""hi"")"),"तमिल सैन्य रणनीति में सिलंबम की भूमिका पर किस तमिल राजा के शासनकाल में जोर दिया गया था?")</f>
        <v>तमिल सैन्य रणनीति में सिलंबम की भूमिका पर किस तमिल राजा के शासनकाल में जोर दिया गया था?</v>
      </c>
      <c r="H257" s="5" t="str">
        <f>IFERROR(__xludf.DUMMYFUNCTION("GOOGLETRANSLATE(C257, ""en"", ""hi"")"),"ए) राजा राजा चोल, बी) राजेंद्र चोल, सी) सुंदरा चोल, डी) कुलोथुंगा चोल")</f>
        <v>ए) राजा राजा चोल, बी) राजेंद्र चोल, सी) सुंदरा चोल, डी) कुलोथुंगा चोल</v>
      </c>
      <c r="I257" s="5" t="str">
        <f>IFERROR(__xludf.DUMMYFUNCTION("GOOGLETRANSLATE(D257, ""en"", ""hi"")"),"B) राजेंद्र चोल")</f>
        <v>B) राजेंद्र चोल</v>
      </c>
    </row>
    <row r="258" ht="22.5" customHeight="1">
      <c r="A258" s="3">
        <v>257.0</v>
      </c>
      <c r="B258" s="4" t="s">
        <v>10148</v>
      </c>
      <c r="C258" s="4" t="s">
        <v>10123</v>
      </c>
      <c r="D258" s="4" t="s">
        <v>9982</v>
      </c>
      <c r="F258" s="5" t="str">
        <f>IFERROR(__xludf.DUMMYFUNCTION("GOOGLETRANSLATE(A258, ""en"", ""hi"")"),"257")</f>
        <v>257</v>
      </c>
      <c r="G258" s="5" t="str">
        <f>IFERROR(__xludf.DUMMYFUNCTION("GOOGLETRANSLATE(B258, ""en"", ""hi"")"),"कौन सा ऐतिहासिक तमिल ग्रंथ प्राचीन तमिल काल के दौरान प्रयुक्त सिलंबम सहित मार्शल आर्ट प्रथाओं का वर्णन करता है?")</f>
        <v>कौन सा ऐतिहासिक तमिल ग्रंथ प्राचीन तमिल काल के दौरान प्रयुक्त सिलंबम सहित मार्शल आर्ट प्रथाओं का वर्णन करता है?</v>
      </c>
      <c r="H258" s="5" t="str">
        <f>IFERROR(__xludf.DUMMYFUNCTION("GOOGLETRANSLATE(C258, ""en"", ""hi"")"),"ए) टोलकाप्पियम, बी) सिलप्पातिकारम, सी) अगस्त्य संहिता, डी) कुरल")</f>
        <v>ए) टोलकाप्पियम, बी) सिलप्पातिकारम, सी) अगस्त्य संहिता, डी) कुरल</v>
      </c>
      <c r="I258" s="5" t="str">
        <f>IFERROR(__xludf.DUMMYFUNCTION("GOOGLETRANSLATE(D258, ""en"", ""hi"")"),"C) अगस्त्य संहिता")</f>
        <v>C) अगस्त्य संहिता</v>
      </c>
    </row>
    <row r="259" ht="22.5" customHeight="1">
      <c r="A259" s="3">
        <v>258.0</v>
      </c>
      <c r="B259" s="4" t="s">
        <v>10149</v>
      </c>
      <c r="C259" s="4" t="s">
        <v>10118</v>
      </c>
      <c r="D259" s="4" t="s">
        <v>10023</v>
      </c>
      <c r="F259" s="5" t="str">
        <f>IFERROR(__xludf.DUMMYFUNCTION("GOOGLETRANSLATE(A259, ""en"", ""hi"")"),"258")</f>
        <v>258</v>
      </c>
      <c r="G259" s="5" t="str">
        <f>IFERROR(__xludf.DUMMYFUNCTION("GOOGLETRANSLATE(B259, ""en"", ""hi"")"),"तमिलनाडु में सिलंबम की ऐतिहासिक प्रथा को किस पारंपरिक संस्था द्वारा समर्थन दिया गया था?")</f>
        <v>तमिलनाडु में सिलंबम की ऐतिहासिक प्रथा को किस पारंपरिक संस्था द्वारा समर्थन दिया गया था?</v>
      </c>
      <c r="H259" s="5" t="str">
        <f>IFERROR(__xludf.DUMMYFUNCTION("GOOGLETRANSLATE(C259, ""en"", ""hi"")"),"A) गुरुकुल प्रणाली, B) शाही दरबार, C) मंदिर स्कूल, D) मठ केंद्र")</f>
        <v>A) गुरुकुल प्रणाली, B) शाही दरबार, C) मंदिर स्कूल, D) मठ केंद्र</v>
      </c>
      <c r="I259" s="5" t="str">
        <f>IFERROR(__xludf.DUMMYFUNCTION("GOOGLETRANSLATE(D259, ""en"", ""hi"")"),"A) गुरुकुल प्रणाली")</f>
        <v>A) गुरुकुल प्रणाली</v>
      </c>
    </row>
    <row r="260" ht="22.5" customHeight="1">
      <c r="A260" s="3">
        <v>259.0</v>
      </c>
      <c r="B260" s="4" t="s">
        <v>10150</v>
      </c>
      <c r="C260" s="4" t="s">
        <v>9959</v>
      </c>
      <c r="D260" s="4" t="s">
        <v>9960</v>
      </c>
      <c r="F260" s="5" t="str">
        <f>IFERROR(__xludf.DUMMYFUNCTION("GOOGLETRANSLATE(A260, ""en"", ""hi"")"),"259")</f>
        <v>259</v>
      </c>
      <c r="G260" s="5" t="str">
        <f>IFERROR(__xludf.DUMMYFUNCTION("GOOGLETRANSLATE(B260, ""en"", ""hi"")"),"ऐतिहासिक रूप से सिलंबम का अभ्यास किस तमिल मार्शल वर्ग द्वारा किया जाता था?")</f>
        <v>ऐतिहासिक रूप से सिलंबम का अभ्यास किस तमिल मार्शल वर्ग द्वारा किया जाता था?</v>
      </c>
      <c r="H260" s="5" t="str">
        <f>IFERROR(__xludf.DUMMYFUNCTION("GOOGLETRANSLATE(C260, ""en"", ""hi"")"),"ए) कल्लार, बी) नादर, सी) वन्नियार, डी) पारावार")</f>
        <v>ए) कल्लार, बी) नादर, सी) वन्नियार, डी) पारावार</v>
      </c>
      <c r="I260" s="5" t="str">
        <f>IFERROR(__xludf.DUMMYFUNCTION("GOOGLETRANSLATE(D260, ""en"", ""hi"")"),"A) कल्लर")</f>
        <v>A) कल्लर</v>
      </c>
    </row>
    <row r="261" ht="22.5" customHeight="1">
      <c r="A261" s="3">
        <v>260.0</v>
      </c>
      <c r="B261" s="4" t="s">
        <v>10151</v>
      </c>
      <c r="C261" s="4" t="s">
        <v>10152</v>
      </c>
      <c r="D261" s="4" t="s">
        <v>10100</v>
      </c>
      <c r="F261" s="5" t="str">
        <f>IFERROR(__xludf.DUMMYFUNCTION("GOOGLETRANSLATE(A261, ""en"", ""hi"")"),"260")</f>
        <v>260</v>
      </c>
      <c r="G261" s="5" t="str">
        <f>IFERROR(__xludf.DUMMYFUNCTION("GOOGLETRANSLATE(B261, ""en"", ""hi"")"),"कौन सा तमिल ऐतिहासिक ग्रंथ सिलंबम तकनीकों के विस्तृत वर्णन के लिए जाना जाता है?")</f>
        <v>कौन सा तमिल ऐतिहासिक ग्रंथ सिलंबम तकनीकों के विस्तृत वर्णन के लिए जाना जाता है?</v>
      </c>
      <c r="H261" s="5" t="str">
        <f>IFERROR(__xludf.DUMMYFUNCTION("GOOGLETRANSLATE(C261, ""en"", ""hi"")"),"ए) टोलकाप्पियम, बी) कुरल, सी) सिलप्पातिकरम, डी) अगस्त्य संहिता")</f>
        <v>ए) टोलकाप्पियम, बी) कुरल, सी) सिलप्पातिकरम, डी) अगस्त्य संहिता</v>
      </c>
      <c r="I261" s="5" t="str">
        <f>IFERROR(__xludf.DUMMYFUNCTION("GOOGLETRANSLATE(D261, ""en"", ""hi"")"),"D) अगस्त्य संहिता")</f>
        <v>D) अगस्त्य संहिता</v>
      </c>
    </row>
    <row r="262" ht="22.5" customHeight="1">
      <c r="A262" s="3">
        <v>261.0</v>
      </c>
      <c r="B262" s="4" t="s">
        <v>10153</v>
      </c>
      <c r="C262" s="4" t="s">
        <v>10060</v>
      </c>
      <c r="D262" s="4" t="s">
        <v>3043</v>
      </c>
      <c r="F262" s="5" t="str">
        <f>IFERROR(__xludf.DUMMYFUNCTION("GOOGLETRANSLATE(A262, ""en"", ""hi"")"),"261")</f>
        <v>261</v>
      </c>
      <c r="G262" s="5" t="str">
        <f>IFERROR(__xludf.DUMMYFUNCTION("GOOGLETRANSLATE(B262, ""en"", ""hi"")"),"सिलंबम तकनीक को तमिल मार्शल आर्ट में किस ऐतिहासिक व्यक्ति द्वारा शामिल किया गया था?")</f>
        <v>सिलंबम तकनीक को तमिल मार्शल आर्ट में किस ऐतिहासिक व्यक्ति द्वारा शामिल किया गया था?</v>
      </c>
      <c r="H262" s="5" t="str">
        <f>IFERROR(__xludf.DUMMYFUNCTION("GOOGLETRANSLATE(C262, ""en"", ""hi"")"),"ए) अगस्त्य, बी) कंबार, सी) तिरुवल्लुवर, डी) भारतीदासन")</f>
        <v>ए) अगस्त्य, बी) कंबार, सी) तिरुवल्लुवर, डी) भारतीदासन</v>
      </c>
      <c r="I262" s="5" t="str">
        <f>IFERROR(__xludf.DUMMYFUNCTION("GOOGLETRANSLATE(D262, ""en"", ""hi"")"),"A) अगस्त्य")</f>
        <v>A) अगस्त्य</v>
      </c>
    </row>
    <row r="263" ht="22.5" customHeight="1">
      <c r="A263" s="3">
        <v>262.0</v>
      </c>
      <c r="B263" s="4" t="s">
        <v>10154</v>
      </c>
      <c r="C263" s="4" t="s">
        <v>10055</v>
      </c>
      <c r="D263" s="4" t="s">
        <v>9159</v>
      </c>
      <c r="F263" s="5" t="str">
        <f>IFERROR(__xludf.DUMMYFUNCTION("GOOGLETRANSLATE(A263, ""en"", ""hi"")"),"262")</f>
        <v>262</v>
      </c>
      <c r="G263" s="5" t="str">
        <f>IFERROR(__xludf.DUMMYFUNCTION("GOOGLETRANSLATE(B263, ""en"", ""hi"")"),"सिलंबम की ऐतिहासिक प्रथा किस तमिल शाही संस्था से सबसे अधिक जुड़ी हुई थी?")</f>
        <v>सिलंबम की ऐतिहासिक प्रथा किस तमिल शाही संस्था से सबसे अधिक जुड़ी हुई थी?</v>
      </c>
      <c r="H263" s="5" t="str">
        <f>IFERROR(__xludf.DUMMYFUNCTION("GOOGLETRANSLATE(C263, ""en"", ""hi"")"),"A) चोल वंश, B) पांड्य वंश, C) चेर वंश, D) विजयनगर वंश")</f>
        <v>A) चोल वंश, B) पांड्य वंश, C) चेर वंश, D) विजयनगर वंश</v>
      </c>
      <c r="I263" s="5" t="str">
        <f>IFERROR(__xludf.DUMMYFUNCTION("GOOGLETRANSLATE(D263, ""en"", ""hi"")"),"A) चोल राजवंश")</f>
        <v>A) चोल राजवंश</v>
      </c>
    </row>
    <row r="264" ht="22.5" customHeight="1">
      <c r="A264" s="3">
        <v>263.0</v>
      </c>
      <c r="B264" s="4" t="s">
        <v>10155</v>
      </c>
      <c r="C264" s="4" t="s">
        <v>10081</v>
      </c>
      <c r="D264" s="4" t="s">
        <v>10082</v>
      </c>
      <c r="F264" s="5" t="str">
        <f>IFERROR(__xludf.DUMMYFUNCTION("GOOGLETRANSLATE(A264, ""en"", ""hi"")"),"263")</f>
        <v>263</v>
      </c>
      <c r="G264" s="5" t="str">
        <f>IFERROR(__xludf.DUMMYFUNCTION("GOOGLETRANSLATE(B264, ""en"", ""hi"")"),"किस तमिल राजा के शासनकाल में क्षेत्रीय संघर्षों और युद्ध में सिलंबम का व्यापक प्रचलन देखा गया?")</f>
        <v>किस तमिल राजा के शासनकाल में क्षेत्रीय संघर्षों और युद्ध में सिलंबम का व्यापक प्रचलन देखा गया?</v>
      </c>
      <c r="H264" s="5" t="str">
        <f>IFERROR(__xludf.DUMMYFUNCTION("GOOGLETRANSLATE(C264, ""en"", ""hi"")"),"ए) राजराजा चोल, बी) राजेंद्र चोल, सी) सुंदरा चोल, डी) कुलोथुंगा चोल")</f>
        <v>ए) राजराजा चोल, बी) राजेंद्र चोल, सी) सुंदरा चोल, डी) कुलोथुंगा चोल</v>
      </c>
      <c r="I264" s="5" t="str">
        <f>IFERROR(__xludf.DUMMYFUNCTION("GOOGLETRANSLATE(D264, ""en"", ""hi"")"),"B) राजेंद्र चोल")</f>
        <v>B) राजेंद्र चोल</v>
      </c>
    </row>
    <row r="265" ht="22.5" customHeight="1">
      <c r="A265" s="3">
        <v>264.0</v>
      </c>
      <c r="B265" s="4" t="s">
        <v>10156</v>
      </c>
      <c r="C265" s="4" t="s">
        <v>10078</v>
      </c>
      <c r="D265" s="4" t="s">
        <v>10079</v>
      </c>
      <c r="F265" s="5" t="str">
        <f>IFERROR(__xludf.DUMMYFUNCTION("GOOGLETRANSLATE(A265, ""en"", ""hi"")"),"264")</f>
        <v>264</v>
      </c>
      <c r="G265" s="5" t="str">
        <f>IFERROR(__xludf.DUMMYFUNCTION("GOOGLETRANSLATE(B265, ""en"", ""hi"")"),"सिलंबम किस ऐतिहासिक काल के दौरान तमिल सैन्य प्रशिक्षण का एक प्रमुख पहलू था?")</f>
        <v>सिलंबम किस ऐतिहासिक काल के दौरान तमिल सैन्य प्रशिक्षण का एक प्रमुख पहलू था?</v>
      </c>
      <c r="H265" s="5" t="str">
        <f>IFERROR(__xludf.DUMMYFUNCTION("GOOGLETRANSLATE(C265, ""en"", ""hi"")"),"A) मध्यकाल, B) प्राचीन काल, C) औपनिवेशिक काल, D) उत्तर-औपनिवेशिक काल")</f>
        <v>A) मध्यकाल, B) प्राचीन काल, C) औपनिवेशिक काल, D) उत्तर-औपनिवेशिक काल</v>
      </c>
      <c r="I265" s="5" t="str">
        <f>IFERROR(__xludf.DUMMYFUNCTION("GOOGLETRANSLATE(D265, ""en"", ""hi"")"),"A) मध्यकालीन काल")</f>
        <v>A) मध्यकालीन काल</v>
      </c>
    </row>
    <row r="266" ht="22.5" customHeight="1">
      <c r="A266" s="3">
        <v>265.0</v>
      </c>
      <c r="B266" s="4" t="s">
        <v>10157</v>
      </c>
      <c r="C266" s="4" t="s">
        <v>10050</v>
      </c>
      <c r="D266" s="4" t="s">
        <v>9542</v>
      </c>
      <c r="F266" s="5" t="str">
        <f>IFERROR(__xludf.DUMMYFUNCTION("GOOGLETRANSLATE(A266, ""en"", ""hi"")"),"265")</f>
        <v>265</v>
      </c>
      <c r="G266" s="5" t="str">
        <f>IFERROR(__xludf.DUMMYFUNCTION("GOOGLETRANSLATE(B266, ""en"", ""hi"")"),"आधुनिक समय में सिलंबम का पुनरुत्थान किस तमिल सांस्कृतिक पुनरुत्थान आंदोलन से काफी हद तक प्रभावित था?")</f>
        <v>आधुनिक समय में सिलंबम का पुनरुत्थान किस तमिल सांस्कृतिक पुनरुत्थान आंदोलन से काफी हद तक प्रभावित था?</v>
      </c>
      <c r="H266" s="5" t="str">
        <f>IFERROR(__xludf.DUMMYFUNCTION("GOOGLETRANSLATE(C266, ""en"", ""hi"")"),"A) तमिल पुनर्जागरण, B) भक्ति आंदोलन, C) सुधार आंदोलन, D) राष्ट्रवादी आंदोलन")</f>
        <v>A) तमिल पुनर्जागरण, B) भक्ति आंदोलन, C) सुधार आंदोलन, D) राष्ट्रवादी आंदोलन</v>
      </c>
      <c r="I266" s="5" t="str">
        <f>IFERROR(__xludf.DUMMYFUNCTION("GOOGLETRANSLATE(D266, ""en"", ""hi"")"),"A) तमिल पुनर्जागरण")</f>
        <v>A) तमिल पुनर्जागरण</v>
      </c>
    </row>
    <row r="267" ht="22.5" customHeight="1">
      <c r="A267" s="3">
        <v>266.0</v>
      </c>
      <c r="B267" s="4" t="s">
        <v>10158</v>
      </c>
      <c r="C267" s="4" t="s">
        <v>10123</v>
      </c>
      <c r="D267" s="4" t="s">
        <v>9982</v>
      </c>
      <c r="F267" s="5" t="str">
        <f>IFERROR(__xludf.DUMMYFUNCTION("GOOGLETRANSLATE(A267, ""en"", ""hi"")"),"266")</f>
        <v>266</v>
      </c>
      <c r="G267" s="5" t="str">
        <f>IFERROR(__xludf.DUMMYFUNCTION("GOOGLETRANSLATE(B267, ""en"", ""hi"")"),"कौन सा तमिल ऐतिहासिक ग्रंथ सिलंबम की तकनीकों और महत्व के बारे में विस्तृत जानकारी प्रदान करता है?")</f>
        <v>कौन सा तमिल ऐतिहासिक ग्रंथ सिलंबम की तकनीकों और महत्व के बारे में विस्तृत जानकारी प्रदान करता है?</v>
      </c>
      <c r="H267" s="5" t="str">
        <f>IFERROR(__xludf.DUMMYFUNCTION("GOOGLETRANSLATE(C267, ""en"", ""hi"")"),"ए) टोलकाप्पियम, बी) सिलप्पातिकारम, सी) अगस्त्य संहिता, डी) कुरल")</f>
        <v>ए) टोलकाप्पियम, बी) सिलप्पातिकारम, सी) अगस्त्य संहिता, डी) कुरल</v>
      </c>
      <c r="I267" s="5" t="str">
        <f>IFERROR(__xludf.DUMMYFUNCTION("GOOGLETRANSLATE(D267, ""en"", ""hi"")"),"C) अगस्त्य संहिता")</f>
        <v>C) अगस्त्य संहिता</v>
      </c>
    </row>
    <row r="268" ht="22.5" customHeight="1">
      <c r="A268" s="3">
        <v>267.0</v>
      </c>
      <c r="B268" s="4" t="s">
        <v>10159</v>
      </c>
      <c r="C268" s="4" t="s">
        <v>10160</v>
      </c>
      <c r="D268" s="4" t="s">
        <v>3043</v>
      </c>
      <c r="F268" s="5" t="str">
        <f>IFERROR(__xludf.DUMMYFUNCTION("GOOGLETRANSLATE(A268, ""en"", ""hi"")"),"267")</f>
        <v>267</v>
      </c>
      <c r="G268" s="5" t="str">
        <f>IFERROR(__xludf.DUMMYFUNCTION("GOOGLETRANSLATE(B268, ""en"", ""hi"")"),"पारंपरिक सिलंबम तकनीकों को संरचित रूप में संकलित करने का श्रेय किस ऐतिहासिक व्यक्ति को दिया जाता है?")</f>
        <v>पारंपरिक सिलंबम तकनीकों को संरचित रूप में संकलित करने का श्रेय किस ऐतिहासिक व्यक्ति को दिया जाता है?</v>
      </c>
      <c r="H268" s="5" t="str">
        <f>IFERROR(__xludf.DUMMYFUNCTION("GOOGLETRANSLATE(C268, ""en"", ""hi"")"),"ए) अगस्त्य, बी) भारतीदासन, सी) कंबार, डी) तिरुवल्लुवर")</f>
        <v>ए) अगस्त्य, बी) भारतीदासन, सी) कंबार, डी) तिरुवल्लुवर</v>
      </c>
      <c r="I268" s="5" t="str">
        <f>IFERROR(__xludf.DUMMYFUNCTION("GOOGLETRANSLATE(D268, ""en"", ""hi"")"),"A) अगस्त्य")</f>
        <v>A) अगस्त्य</v>
      </c>
    </row>
    <row r="269" ht="22.5" customHeight="1">
      <c r="A269" s="3">
        <v>268.0</v>
      </c>
      <c r="B269" s="4" t="s">
        <v>10161</v>
      </c>
      <c r="C269" s="4" t="s">
        <v>10055</v>
      </c>
      <c r="D269" s="4" t="s">
        <v>9159</v>
      </c>
      <c r="F269" s="5" t="str">
        <f>IFERROR(__xludf.DUMMYFUNCTION("GOOGLETRANSLATE(A269, ""en"", ""hi"")"),"268")</f>
        <v>268</v>
      </c>
      <c r="G269" s="5" t="str">
        <f>IFERROR(__xludf.DUMMYFUNCTION("GOOGLETRANSLATE(B269, ""en"", ""hi"")"),"ऐसा माना जाता है कि सिलंबम प्रथा किस तमिल राजवंश के शासनकाल के दौरान लोकप्रिय हुई थी?")</f>
        <v>ऐसा माना जाता है कि सिलंबम प्रथा किस तमिल राजवंश के शासनकाल के दौरान लोकप्रिय हुई थी?</v>
      </c>
      <c r="H269" s="5" t="str">
        <f>IFERROR(__xludf.DUMMYFUNCTION("GOOGLETRANSLATE(C269, ""en"", ""hi"")"),"A) चोल वंश, B) पांड्य वंश, C) चेर वंश, D) विजयनगर वंश")</f>
        <v>A) चोल वंश, B) पांड्य वंश, C) चेर वंश, D) विजयनगर वंश</v>
      </c>
      <c r="I269" s="5" t="str">
        <f>IFERROR(__xludf.DUMMYFUNCTION("GOOGLETRANSLATE(D269, ""en"", ""hi"")"),"A) चोल राजवंश")</f>
        <v>A) चोल राजवंश</v>
      </c>
    </row>
    <row r="270" ht="22.5" customHeight="1">
      <c r="A270" s="3">
        <v>269.0</v>
      </c>
      <c r="B270" s="4" t="s">
        <v>10162</v>
      </c>
      <c r="C270" s="4" t="s">
        <v>10123</v>
      </c>
      <c r="D270" s="4" t="s">
        <v>9539</v>
      </c>
      <c r="F270" s="5" t="str">
        <f>IFERROR(__xludf.DUMMYFUNCTION("GOOGLETRANSLATE(A270, ""en"", ""hi"")"),"269")</f>
        <v>269</v>
      </c>
      <c r="G270" s="5" t="str">
        <f>IFERROR(__xludf.DUMMYFUNCTION("GOOGLETRANSLATE(B270, ""en"", ""hi"")"),"संगम काल के दौरान सिलंबम की प्राचीन प्रथा का दस्तावेजीकरण करने के लिए कौन सा तमिल ग्रंथ जाना जाता है?")</f>
        <v>संगम काल के दौरान सिलंबम की प्राचीन प्रथा का दस्तावेजीकरण करने के लिए कौन सा तमिल ग्रंथ जाना जाता है?</v>
      </c>
      <c r="H270" s="5" t="str">
        <f>IFERROR(__xludf.DUMMYFUNCTION("GOOGLETRANSLATE(C270, ""en"", ""hi"")"),"ए) टोलकाप्पियम, बी) सिलप्पातिकारम, सी) अगस्त्य संहिता, डी) कुरल")</f>
        <v>ए) टोलकाप्पियम, बी) सिलप्पातिकारम, सी) अगस्त्य संहिता, डी) कुरल</v>
      </c>
      <c r="I270" s="5" t="str">
        <f>IFERROR(__xludf.DUMMYFUNCTION("GOOGLETRANSLATE(D270, ""en"", ""hi"")"),"बी) सिलप्पाटिकरम")</f>
        <v>बी) सिलप्पाटिकरम</v>
      </c>
    </row>
    <row r="271" ht="22.5" customHeight="1">
      <c r="A271" s="3">
        <v>270.0</v>
      </c>
      <c r="B271" s="4" t="s">
        <v>10163</v>
      </c>
      <c r="C271" s="4" t="s">
        <v>10164</v>
      </c>
      <c r="D271" s="4" t="s">
        <v>10165</v>
      </c>
      <c r="F271" s="5" t="str">
        <f>IFERROR(__xludf.DUMMYFUNCTION("GOOGLETRANSLATE(A271, ""en"", ""hi"")"),"270")</f>
        <v>270</v>
      </c>
      <c r="G271" s="5" t="str">
        <f>IFERROR(__xludf.DUMMYFUNCTION("GOOGLETRANSLATE(B271, ""en"", ""hi"")"),"किस तमिल ऐतिहासिक काल में सिलंबम को मार्शल आर्ट के रूप में सबसे प्रमुखता से चित्रित किया गया था?")</f>
        <v>किस तमिल ऐतिहासिक काल में सिलंबम को मार्शल आर्ट के रूप में सबसे प्रमुखता से चित्रित किया गया था?</v>
      </c>
      <c r="H271" s="5" t="str">
        <f>IFERROR(__xludf.DUMMYFUNCTION("GOOGLETRANSLATE(C271, ""en"", ""hi"")"),"A) संगम काल, B) चोल काल, C) पांड्य काल, D) विजयनगर काल")</f>
        <v>A) संगम काल, B) चोल काल, C) पांड्य काल, D) विजयनगर काल</v>
      </c>
      <c r="I271" s="5" t="str">
        <f>IFERROR(__xludf.DUMMYFUNCTION("GOOGLETRANSLATE(D271, ""en"", ""hi"")"),"बी) चोल काल")</f>
        <v>बी) चोल काल</v>
      </c>
    </row>
    <row r="272" ht="22.5" customHeight="1">
      <c r="A272" s="3">
        <v>271.0</v>
      </c>
      <c r="B272" s="4" t="s">
        <v>10166</v>
      </c>
      <c r="C272" s="4" t="s">
        <v>9959</v>
      </c>
      <c r="D272" s="4" t="s">
        <v>9960</v>
      </c>
      <c r="F272" s="5" t="str">
        <f>IFERROR(__xludf.DUMMYFUNCTION("GOOGLETRANSLATE(A272, ""en"", ""hi"")"),"271")</f>
        <v>271</v>
      </c>
      <c r="G272" s="5" t="str">
        <f>IFERROR(__xludf.DUMMYFUNCTION("GOOGLETRANSLATE(B272, ""en"", ""hi"")"),"सिलंबम का अभ्यास तमिल योद्धाओं के किस वर्ग द्वारा प्रमुखता से किया जाता था?")</f>
        <v>सिलंबम का अभ्यास तमिल योद्धाओं के किस वर्ग द्वारा प्रमुखता से किया जाता था?</v>
      </c>
      <c r="H272" s="5" t="str">
        <f>IFERROR(__xludf.DUMMYFUNCTION("GOOGLETRANSLATE(C272, ""en"", ""hi"")"),"ए) कल्लार, बी) नादर, सी) वन्नियार, डी) पारावार")</f>
        <v>ए) कल्लार, बी) नादर, सी) वन्नियार, डी) पारावार</v>
      </c>
      <c r="I272" s="5" t="str">
        <f>IFERROR(__xludf.DUMMYFUNCTION("GOOGLETRANSLATE(D272, ""en"", ""hi"")"),"A) कल्लर")</f>
        <v>A) कल्लर</v>
      </c>
    </row>
    <row r="273" ht="22.5" customHeight="1">
      <c r="A273" s="3">
        <v>272.0</v>
      </c>
      <c r="B273" s="4" t="s">
        <v>10167</v>
      </c>
      <c r="C273" s="4" t="s">
        <v>10081</v>
      </c>
      <c r="D273" s="4" t="s">
        <v>10082</v>
      </c>
      <c r="F273" s="5" t="str">
        <f>IFERROR(__xludf.DUMMYFUNCTION("GOOGLETRANSLATE(A273, ""en"", ""hi"")"),"272")</f>
        <v>272</v>
      </c>
      <c r="G273" s="5" t="str">
        <f>IFERROR(__xludf.DUMMYFUNCTION("GOOGLETRANSLATE(B273, ""en"", ""hi"")"),"कौन सा तमिल राजा सिलंबम के प्रचार और विकास में अपने योगदान के लिए जाना जाता है?")</f>
        <v>कौन सा तमिल राजा सिलंबम के प्रचार और विकास में अपने योगदान के लिए जाना जाता है?</v>
      </c>
      <c r="H273" s="5" t="str">
        <f>IFERROR(__xludf.DUMMYFUNCTION("GOOGLETRANSLATE(C273, ""en"", ""hi"")"),"ए) राजराजा चोल, बी) राजेंद्र चोल, सी) सुंदरा चोल, डी) कुलोथुंगा चोल")</f>
        <v>ए) राजराजा चोल, बी) राजेंद्र चोल, सी) सुंदरा चोल, डी) कुलोथुंगा चोल</v>
      </c>
      <c r="I273" s="5" t="str">
        <f>IFERROR(__xludf.DUMMYFUNCTION("GOOGLETRANSLATE(D273, ""en"", ""hi"")"),"B) राजेंद्र चोल")</f>
        <v>B) राजेंद्र चोल</v>
      </c>
    </row>
    <row r="274" ht="22.5" customHeight="1">
      <c r="A274" s="3">
        <v>273.0</v>
      </c>
      <c r="B274" s="4" t="s">
        <v>10168</v>
      </c>
      <c r="C274" s="4" t="s">
        <v>10055</v>
      </c>
      <c r="D274" s="4" t="s">
        <v>9159</v>
      </c>
      <c r="F274" s="5" t="str">
        <f>IFERROR(__xludf.DUMMYFUNCTION("GOOGLETRANSLATE(A274, ""en"", ""hi"")"),"273")</f>
        <v>273</v>
      </c>
      <c r="G274" s="5" t="str">
        <f>IFERROR(__xludf.DUMMYFUNCTION("GOOGLETRANSLATE(B274, ""en"", ""hi"")"),"सिलंबम किस तमिल राजवंश के शासनकाल के दौरान सैन्य प्रशिक्षण का एक महत्वपूर्ण हिस्सा था?")</f>
        <v>सिलंबम किस तमिल राजवंश के शासनकाल के दौरान सैन्य प्रशिक्षण का एक महत्वपूर्ण हिस्सा था?</v>
      </c>
      <c r="H274" s="5" t="str">
        <f>IFERROR(__xludf.DUMMYFUNCTION("GOOGLETRANSLATE(C274, ""en"", ""hi"")"),"A) चोल वंश, B) पांड्य वंश, C) चेर वंश, D) विजयनगर वंश")</f>
        <v>A) चोल वंश, B) पांड्य वंश, C) चेर वंश, D) विजयनगर वंश</v>
      </c>
      <c r="I274" s="5" t="str">
        <f>IFERROR(__xludf.DUMMYFUNCTION("GOOGLETRANSLATE(D274, ""en"", ""hi"")"),"A) चोल राजवंश")</f>
        <v>A) चोल राजवंश</v>
      </c>
    </row>
    <row r="275" ht="22.5" customHeight="1">
      <c r="A275" s="3">
        <v>274.0</v>
      </c>
      <c r="B275" s="4" t="s">
        <v>10169</v>
      </c>
      <c r="C275" s="4" t="s">
        <v>10170</v>
      </c>
      <c r="D275" s="4" t="s">
        <v>10171</v>
      </c>
      <c r="F275" s="5" t="str">
        <f>IFERROR(__xludf.DUMMYFUNCTION("GOOGLETRANSLATE(A275, ""en"", ""hi"")"),"274")</f>
        <v>274</v>
      </c>
      <c r="G275" s="5" t="str">
        <f>IFERROR(__xludf.DUMMYFUNCTION("GOOGLETRANSLATE(B275, ""en"", ""hi"")"),"सिलंबम की प्राचीन तकनीकें किस पारंपरिक तमिल शिक्षा प्रणाली के माध्यम से आगे बढ़ाई गईं?")</f>
        <v>सिलंबम की प्राचीन तकनीकें किस पारंपरिक तमिल शिक्षा प्रणाली के माध्यम से आगे बढ़ाई गईं?</v>
      </c>
      <c r="H275" s="5" t="str">
        <f>IFERROR(__xludf.DUMMYFUNCTION("GOOGLETRANSLATE(C275, ""en"", ""hi"")"),"A) गुरुकुल प्रणाली, B) शाही दरबार, C) मंदिर विद्यालय, D) मठ केंद्र")</f>
        <v>A) गुरुकुल प्रणाली, B) शाही दरबार, C) मंदिर विद्यालय, D) मठ केंद्र</v>
      </c>
      <c r="I275" s="5" t="str">
        <f>IFERROR(__xludf.DUMMYFUNCTION("GOOGLETRANSLATE(D275, ""en"", ""hi"")"),"A) गुरुकुल प्रणाली")</f>
        <v>A) गुरुकुल प्रणाली</v>
      </c>
    </row>
    <row r="276" ht="22.5" customHeight="1">
      <c r="A276" s="3">
        <v>275.0</v>
      </c>
      <c r="B276" s="4" t="s">
        <v>10172</v>
      </c>
      <c r="C276" s="4" t="s">
        <v>10123</v>
      </c>
      <c r="D276" s="4" t="s">
        <v>9982</v>
      </c>
      <c r="F276" s="5" t="str">
        <f>IFERROR(__xludf.DUMMYFUNCTION("GOOGLETRANSLATE(A276, ""en"", ""hi"")"),"275")</f>
        <v>275</v>
      </c>
      <c r="G276" s="5" t="str">
        <f>IFERROR(__xludf.DUMMYFUNCTION("GOOGLETRANSLATE(B276, ""en"", ""hi"")"),"कौन सा ऐतिहासिक तमिल ग्रंथ सिलंबम सहित मार्शल आर्ट के वर्णन के लिए जाना जाता है?")</f>
        <v>कौन सा ऐतिहासिक तमिल ग्रंथ सिलंबम सहित मार्शल आर्ट के वर्णन के लिए जाना जाता है?</v>
      </c>
      <c r="H276" s="5" t="str">
        <f>IFERROR(__xludf.DUMMYFUNCTION("GOOGLETRANSLATE(C276, ""en"", ""hi"")"),"ए) टोलकाप्पियम, बी) सिलप्पातिकारम, सी) अगस्त्य संहिता, डी) कुरल")</f>
        <v>ए) टोलकाप्पियम, बी) सिलप्पातिकारम, सी) अगस्त्य संहिता, डी) कुरल</v>
      </c>
      <c r="I276" s="5" t="str">
        <f>IFERROR(__xludf.DUMMYFUNCTION("GOOGLETRANSLATE(D276, ""en"", ""hi"")"),"C) अगस्त्य संहिता")</f>
        <v>C) अगस्त्य संहिता</v>
      </c>
    </row>
    <row r="277" ht="22.5" customHeight="1">
      <c r="A277" s="3">
        <v>276.0</v>
      </c>
      <c r="B277" s="4" t="s">
        <v>10173</v>
      </c>
      <c r="C277" s="4" t="s">
        <v>10081</v>
      </c>
      <c r="D277" s="4" t="s">
        <v>9997</v>
      </c>
      <c r="F277" s="5" t="str">
        <f>IFERROR(__xludf.DUMMYFUNCTION("GOOGLETRANSLATE(A277, ""en"", ""hi"")"),"276")</f>
        <v>276</v>
      </c>
      <c r="G277" s="5" t="str">
        <f>IFERROR(__xludf.DUMMYFUNCTION("GOOGLETRANSLATE(B277, ""en"", ""hi"")"),"किस तमिल राजा के शासनकाल में सिलंबम में महत्वपूर्ण विकास और संहिताकरण हुआ?")</f>
        <v>किस तमिल राजा के शासनकाल में सिलंबम में महत्वपूर्ण विकास और संहिताकरण हुआ?</v>
      </c>
      <c r="H277" s="5" t="str">
        <f>IFERROR(__xludf.DUMMYFUNCTION("GOOGLETRANSLATE(C277, ""en"", ""hi"")"),"ए) राजराजा चोल, बी) राजेंद्र चोल, सी) सुंदरा चोल, डी) कुलोथुंगा चोल")</f>
        <v>ए) राजराजा चोल, बी) राजेंद्र चोल, सी) सुंदरा चोल, डी) कुलोथुंगा चोल</v>
      </c>
      <c r="I277" s="5" t="str">
        <f>IFERROR(__xludf.DUMMYFUNCTION("GOOGLETRANSLATE(D277, ""en"", ""hi"")"),"A) राजराजा चोल")</f>
        <v>A) राजराजा चोल</v>
      </c>
    </row>
    <row r="278" ht="22.5" customHeight="1">
      <c r="A278" s="3">
        <v>277.0</v>
      </c>
      <c r="B278" s="4" t="s">
        <v>10174</v>
      </c>
      <c r="C278" s="4" t="s">
        <v>10132</v>
      </c>
      <c r="D278" s="4" t="s">
        <v>10089</v>
      </c>
      <c r="F278" s="5" t="str">
        <f>IFERROR(__xludf.DUMMYFUNCTION("GOOGLETRANSLATE(A278, ""en"", ""hi"")"),"277")</f>
        <v>277</v>
      </c>
      <c r="G278" s="5" t="str">
        <f>IFERROR(__xludf.DUMMYFUNCTION("GOOGLETRANSLATE(B278, ""en"", ""hi"")"),"आधुनिक युग में सिलंबम के पुनरुत्थान का श्रेय किस तमिल सांस्कृतिक हस्ती के प्रयासों को दिया जाता है?")</f>
        <v>आधुनिक युग में सिलंबम के पुनरुत्थान का श्रेय किस तमिल सांस्कृतिक हस्ती के प्रयासों को दिया जाता है?</v>
      </c>
      <c r="H278" s="5" t="str">
        <f>IFERROR(__xludf.DUMMYFUNCTION("GOOGLETRANSLATE(C278,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278" s="5" t="str">
        <f>IFERROR(__xludf.DUMMYFUNCTION("GOOGLETRANSLATE(D278, ""en"", ""hi"")"),"A) वी. कृष्णमाचारी")</f>
        <v>A) वी. कृष्णमाचारी</v>
      </c>
    </row>
    <row r="279" ht="22.5" customHeight="1">
      <c r="A279" s="3">
        <v>278.0</v>
      </c>
      <c r="B279" s="4" t="s">
        <v>10175</v>
      </c>
      <c r="C279" s="4" t="s">
        <v>10176</v>
      </c>
      <c r="D279" s="4" t="s">
        <v>10079</v>
      </c>
      <c r="F279" s="5" t="str">
        <f>IFERROR(__xludf.DUMMYFUNCTION("GOOGLETRANSLATE(A279, ""en"", ""hi"")"),"278")</f>
        <v>278</v>
      </c>
      <c r="G279" s="5" t="str">
        <f>IFERROR(__xludf.DUMMYFUNCTION("GOOGLETRANSLATE(B279, ""en"", ""hi"")"),"तमिलनाडु की सैन्य रणनीति में सिलंबम का उपयोग किस अवधि के दौरान औपचारिक रूप दिया गया था?")</f>
        <v>तमिलनाडु की सैन्य रणनीति में सिलंबम का उपयोग किस अवधि के दौरान औपचारिक रूप दिया गया था?</v>
      </c>
      <c r="H279" s="5" t="str">
        <f>IFERROR(__xludf.DUMMYFUNCTION("GOOGLETRANSLATE(C279, ""en"", ""hi"")"),"A) मध्यकाल, B) प्राचीन काल, C) औपनिवेशिक काल, D) आधुनिक काल")</f>
        <v>A) मध्यकाल, B) प्राचीन काल, C) औपनिवेशिक काल, D) आधुनिक काल</v>
      </c>
      <c r="I279" s="5" t="str">
        <f>IFERROR(__xludf.DUMMYFUNCTION("GOOGLETRANSLATE(D279, ""en"", ""hi"")"),"A) मध्यकालीन काल")</f>
        <v>A) मध्यकालीन काल</v>
      </c>
    </row>
    <row r="280" ht="22.5" customHeight="1">
      <c r="A280" s="3">
        <v>279.0</v>
      </c>
      <c r="B280" s="4" t="s">
        <v>10177</v>
      </c>
      <c r="C280" s="4" t="s">
        <v>10081</v>
      </c>
      <c r="D280" s="4" t="s">
        <v>10082</v>
      </c>
      <c r="F280" s="5" t="str">
        <f>IFERROR(__xludf.DUMMYFUNCTION("GOOGLETRANSLATE(A280, ""en"", ""hi"")"),"279")</f>
        <v>279</v>
      </c>
      <c r="G280" s="5" t="str">
        <f>IFERROR(__xludf.DUMMYFUNCTION("GOOGLETRANSLATE(B280, ""en"", ""hi"")"),"किस तमिल राजा का शासनकाल क्षेत्रीय संघर्षों में सिलंबम के व्यापक एकीकरण के लिए जाना जाता है?")</f>
        <v>किस तमिल राजा का शासनकाल क्षेत्रीय संघर्षों में सिलंबम के व्यापक एकीकरण के लिए जाना जाता है?</v>
      </c>
      <c r="H280" s="5" t="str">
        <f>IFERROR(__xludf.DUMMYFUNCTION("GOOGLETRANSLATE(C280, ""en"", ""hi"")"),"ए) राजराजा चोल, बी) राजेंद्र चोल, सी) सुंदरा चोल, डी) कुलोथुंगा चोल")</f>
        <v>ए) राजराजा चोल, बी) राजेंद्र चोल, सी) सुंदरा चोल, डी) कुलोथुंगा चोल</v>
      </c>
      <c r="I280" s="5" t="str">
        <f>IFERROR(__xludf.DUMMYFUNCTION("GOOGLETRANSLATE(D280, ""en"", ""hi"")"),"B) राजेंद्र चोल")</f>
        <v>B) राजेंद्र चोल</v>
      </c>
    </row>
    <row r="281" ht="22.5" customHeight="1">
      <c r="A281" s="3">
        <v>280.0</v>
      </c>
      <c r="B281" s="4" t="s">
        <v>10178</v>
      </c>
      <c r="C281" s="4" t="s">
        <v>10179</v>
      </c>
      <c r="D281" s="4" t="s">
        <v>10180</v>
      </c>
      <c r="F281" s="5" t="str">
        <f>IFERROR(__xludf.DUMMYFUNCTION("GOOGLETRANSLATE(A281, ""en"", ""hi"")"),"280")</f>
        <v>280</v>
      </c>
      <c r="G281" s="5" t="str">
        <f>IFERROR(__xludf.DUMMYFUNCTION("GOOGLETRANSLATE(B281, ""en"", ""hi"")"),"तमिलनाडु में सिलंबम का पारंपरिक रूप से किस सांस्कृतिक परंपरा के भाग के रूप में अभ्यास किया जाता था?")</f>
        <v>तमिलनाडु में सिलंबम का पारंपरिक रूप से किस सांस्कृतिक परंपरा के भाग के रूप में अभ्यास किया जाता था?</v>
      </c>
      <c r="H281" s="5" t="str">
        <f>IFERROR(__xludf.DUMMYFUNCTION("GOOGLETRANSLATE(C281, ""en"", ""hi"")"),"ए) आदिमुराई, बी) कलारीपयट्टु, सी) वर्मा कलाई, डी) माल्युथम")</f>
        <v>ए) आदिमुराई, बी) कलारीपयट्टु, सी) वर्मा कलाई, डी) माल्युथम</v>
      </c>
      <c r="I281" s="5" t="str">
        <f>IFERROR(__xludf.DUMMYFUNCTION("GOOGLETRANSLATE(D281, ""en"", ""hi"")"),"A) आदिमुराई")</f>
        <v>A) आदिमुराई</v>
      </c>
    </row>
    <row r="282" ht="22.5" customHeight="1">
      <c r="A282" s="3">
        <v>281.0</v>
      </c>
      <c r="B282" s="4" t="s">
        <v>10181</v>
      </c>
      <c r="C282" s="4" t="s">
        <v>10123</v>
      </c>
      <c r="D282" s="4" t="s">
        <v>9539</v>
      </c>
      <c r="F282" s="5" t="str">
        <f>IFERROR(__xludf.DUMMYFUNCTION("GOOGLETRANSLATE(A282, ""en"", ""hi"")"),"281")</f>
        <v>281</v>
      </c>
      <c r="G282" s="5" t="str">
        <f>IFERROR(__xludf.DUMMYFUNCTION("GOOGLETRANSLATE(B282, ""en"", ""hi"")"),"कौन सा तमिल ऐतिहासिक ग्रंथ प्राचीन तमिल युद्ध में सिलंबम की भूमिका पर प्रकाश डालता है?")</f>
        <v>कौन सा तमिल ऐतिहासिक ग्रंथ प्राचीन तमिल युद्ध में सिलंबम की भूमिका पर प्रकाश डालता है?</v>
      </c>
      <c r="H282" s="5" t="str">
        <f>IFERROR(__xludf.DUMMYFUNCTION("GOOGLETRANSLATE(C282, ""en"", ""hi"")"),"ए) टोलकाप्पियम, बी) सिलप्पातिकारम, सी) अगस्त्य संहिता, डी) कुरल")</f>
        <v>ए) टोलकाप्पियम, बी) सिलप्पातिकारम, सी) अगस्त्य संहिता, डी) कुरल</v>
      </c>
      <c r="I282" s="5" t="str">
        <f>IFERROR(__xludf.DUMMYFUNCTION("GOOGLETRANSLATE(D282, ""en"", ""hi"")"),"बी) सिलप्पाटिकरम")</f>
        <v>बी) सिलप्पाटिकरम</v>
      </c>
    </row>
    <row r="283" ht="22.5" customHeight="1">
      <c r="A283" s="3">
        <v>282.0</v>
      </c>
      <c r="B283" s="4" t="s">
        <v>10182</v>
      </c>
      <c r="C283" s="4" t="s">
        <v>9959</v>
      </c>
      <c r="D283" s="4" t="s">
        <v>9960</v>
      </c>
      <c r="F283" s="5" t="str">
        <f>IFERROR(__xludf.DUMMYFUNCTION("GOOGLETRANSLATE(A283, ""en"", ""hi"")"),"282")</f>
        <v>282</v>
      </c>
      <c r="G283" s="5" t="str">
        <f>IFERROR(__xludf.DUMMYFUNCTION("GOOGLETRANSLATE(B283, ""en"", ""hi"")"),"सिलंबम की प्रथा किस तमिल ऐतिहासिक योद्धा वर्ग से अत्यधिक प्रभावित थी?")</f>
        <v>सिलंबम की प्रथा किस तमिल ऐतिहासिक योद्धा वर्ग से अत्यधिक प्रभावित थी?</v>
      </c>
      <c r="H283" s="5" t="str">
        <f>IFERROR(__xludf.DUMMYFUNCTION("GOOGLETRANSLATE(C283, ""en"", ""hi"")"),"ए) कल्लार, बी) नादर, सी) वन्नियार, डी) पारावार")</f>
        <v>ए) कल्लार, बी) नादर, सी) वन्नियार, डी) पारावार</v>
      </c>
      <c r="I283" s="5" t="str">
        <f>IFERROR(__xludf.DUMMYFUNCTION("GOOGLETRANSLATE(D283, ""en"", ""hi"")"),"A) कल्लर")</f>
        <v>A) कल्लर</v>
      </c>
    </row>
    <row r="284" ht="22.5" customHeight="1">
      <c r="A284" s="3">
        <v>283.0</v>
      </c>
      <c r="B284" s="4" t="s">
        <v>10183</v>
      </c>
      <c r="C284" s="4" t="s">
        <v>10050</v>
      </c>
      <c r="D284" s="4" t="s">
        <v>9542</v>
      </c>
      <c r="F284" s="5" t="str">
        <f>IFERROR(__xludf.DUMMYFUNCTION("GOOGLETRANSLATE(A284, ""en"", ""hi"")"),"283")</f>
        <v>283</v>
      </c>
      <c r="G284" s="5" t="str">
        <f>IFERROR(__xludf.DUMMYFUNCTION("GOOGLETRANSLATE(B284, ""en"", ""hi"")"),"समकालीन तमिल संस्कृति में सिलंबम का पुनरुत्थान अक्सर किस आंदोलन से जुड़ा हुआ है?")</f>
        <v>समकालीन तमिल संस्कृति में सिलंबम का पुनरुत्थान अक्सर किस आंदोलन से जुड़ा हुआ है?</v>
      </c>
      <c r="H284" s="5" t="str">
        <f>IFERROR(__xludf.DUMMYFUNCTION("GOOGLETRANSLATE(C284, ""en"", ""hi"")"),"A) तमिल पुनर्जागरण, B) भक्ति आंदोलन, C) सुधार आंदोलन, D) राष्ट्रवादी आंदोलन")</f>
        <v>A) तमिल पुनर्जागरण, B) भक्ति आंदोलन, C) सुधार आंदोलन, D) राष्ट्रवादी आंदोलन</v>
      </c>
      <c r="I284" s="5" t="str">
        <f>IFERROR(__xludf.DUMMYFUNCTION("GOOGLETRANSLATE(D284, ""en"", ""hi"")"),"A) तमिल पुनर्जागरण")</f>
        <v>A) तमिल पुनर्जागरण</v>
      </c>
    </row>
    <row r="285" ht="22.5" customHeight="1">
      <c r="A285" s="3">
        <v>284.0</v>
      </c>
      <c r="B285" s="4" t="s">
        <v>10184</v>
      </c>
      <c r="C285" s="4" t="s">
        <v>10123</v>
      </c>
      <c r="D285" s="4" t="s">
        <v>9982</v>
      </c>
      <c r="F285" s="5" t="str">
        <f>IFERROR(__xludf.DUMMYFUNCTION("GOOGLETRANSLATE(A285, ""en"", ""hi"")"),"284")</f>
        <v>284</v>
      </c>
      <c r="G285" s="5" t="str">
        <f>IFERROR(__xludf.DUMMYFUNCTION("GOOGLETRANSLATE(B285, ""en"", ""hi"")"),"सिलंबम की तकनीकों को किस तमिल ग्रंथ में व्यवस्थित रूप से प्रलेखित किया गया था?")</f>
        <v>सिलंबम की तकनीकों को किस तमिल ग्रंथ में व्यवस्थित रूप से प्रलेखित किया गया था?</v>
      </c>
      <c r="H285" s="5" t="str">
        <f>IFERROR(__xludf.DUMMYFUNCTION("GOOGLETRANSLATE(C285, ""en"", ""hi"")"),"ए) टोलकाप्पियम, बी) सिलप्पातिकारम, सी) अगस्त्य संहिता, डी) कुरल")</f>
        <v>ए) टोलकाप्पियम, बी) सिलप्पातिकारम, सी) अगस्त्य संहिता, डी) कुरल</v>
      </c>
      <c r="I285" s="5" t="str">
        <f>IFERROR(__xludf.DUMMYFUNCTION("GOOGLETRANSLATE(D285, ""en"", ""hi"")"),"C) अगस्त्य संहिता")</f>
        <v>C) अगस्त्य संहिता</v>
      </c>
    </row>
    <row r="286" ht="22.5" customHeight="1">
      <c r="A286" s="3">
        <v>285.0</v>
      </c>
      <c r="B286" s="4" t="s">
        <v>10185</v>
      </c>
      <c r="C286" s="4" t="s">
        <v>10081</v>
      </c>
      <c r="D286" s="4" t="s">
        <v>10082</v>
      </c>
      <c r="F286" s="5" t="str">
        <f>IFERROR(__xludf.DUMMYFUNCTION("GOOGLETRANSLATE(A286, ""en"", ""hi"")"),"285")</f>
        <v>285</v>
      </c>
      <c r="G286" s="5" t="str">
        <f>IFERROR(__xludf.DUMMYFUNCTION("GOOGLETRANSLATE(B286, ""en"", ""hi"")"),"किस तमिल राजा के संरक्षण ने सिलंबम को सैन्य प्रशिक्षण में प्रमुखता दिलाने में मदद की?")</f>
        <v>किस तमिल राजा के संरक्षण ने सिलंबम को सैन्य प्रशिक्षण में प्रमुखता दिलाने में मदद की?</v>
      </c>
      <c r="H286" s="5" t="str">
        <f>IFERROR(__xludf.DUMMYFUNCTION("GOOGLETRANSLATE(C286, ""en"", ""hi"")"),"ए) राजराजा चोल, बी) राजेंद्र चोल, सी) सुंदरा चोल, डी) कुलोथुंगा चोल")</f>
        <v>ए) राजराजा चोल, बी) राजेंद्र चोल, सी) सुंदरा चोल, डी) कुलोथुंगा चोल</v>
      </c>
      <c r="I286" s="5" t="str">
        <f>IFERROR(__xludf.DUMMYFUNCTION("GOOGLETRANSLATE(D286, ""en"", ""hi"")"),"B) राजेंद्र चोल")</f>
        <v>B) राजेंद्र चोल</v>
      </c>
    </row>
    <row r="287" ht="22.5" customHeight="1">
      <c r="A287" s="3">
        <v>286.0</v>
      </c>
      <c r="B287" s="4" t="s">
        <v>10186</v>
      </c>
      <c r="C287" s="4" t="s">
        <v>9959</v>
      </c>
      <c r="D287" s="4" t="s">
        <v>9960</v>
      </c>
      <c r="F287" s="5" t="str">
        <f>IFERROR(__xludf.DUMMYFUNCTION("GOOGLETRANSLATE(A287, ""en"", ""hi"")"),"286")</f>
        <v>286</v>
      </c>
      <c r="G287" s="5" t="str">
        <f>IFERROR(__xludf.DUMMYFUNCTION("GOOGLETRANSLATE(B287, ""en"", ""hi"")"),"सिलंबम प्रथा पारंपरिक रूप से किस तमिल योद्धा समुदाय से जुड़ी थी?")</f>
        <v>सिलंबम प्रथा पारंपरिक रूप से किस तमिल योद्धा समुदाय से जुड़ी थी?</v>
      </c>
      <c r="H287" s="5" t="str">
        <f>IFERROR(__xludf.DUMMYFUNCTION("GOOGLETRANSLATE(C287, ""en"", ""hi"")"),"ए) कल्लार, बी) नादर, सी) वन्नियार, डी) पारावार")</f>
        <v>ए) कल्लार, बी) नादर, सी) वन्नियार, डी) पारावार</v>
      </c>
      <c r="I287" s="5" t="str">
        <f>IFERROR(__xludf.DUMMYFUNCTION("GOOGLETRANSLATE(D287, ""en"", ""hi"")"),"A) कल्लर")</f>
        <v>A) कल्लर</v>
      </c>
    </row>
    <row r="288" ht="22.5" customHeight="1">
      <c r="A288" s="3">
        <v>287.0</v>
      </c>
      <c r="B288" s="4" t="s">
        <v>10187</v>
      </c>
      <c r="C288" s="4" t="s">
        <v>10081</v>
      </c>
      <c r="D288" s="4" t="s">
        <v>9997</v>
      </c>
      <c r="F288" s="5" t="str">
        <f>IFERROR(__xludf.DUMMYFUNCTION("GOOGLETRANSLATE(A288, ""en"", ""hi"")"),"287")</f>
        <v>287</v>
      </c>
      <c r="G288" s="5" t="str">
        <f>IFERROR(__xludf.DUMMYFUNCTION("GOOGLETRANSLATE(B288, ""en"", ""hi"")"),"किस तमिल राजा को सिलंबम के दस्तावेजीकरण और अभ्यास में महत्वपूर्ण योगदान का श्रेय दिया जाता है?")</f>
        <v>किस तमिल राजा को सिलंबम के दस्तावेजीकरण और अभ्यास में महत्वपूर्ण योगदान का श्रेय दिया जाता है?</v>
      </c>
      <c r="H288" s="5" t="str">
        <f>IFERROR(__xludf.DUMMYFUNCTION("GOOGLETRANSLATE(C288, ""en"", ""hi"")"),"ए) राजराजा चोल, बी) राजेंद्र चोल, सी) सुंदरा चोल, डी) कुलोथुंगा चोल")</f>
        <v>ए) राजराजा चोल, बी) राजेंद्र चोल, सी) सुंदरा चोल, डी) कुलोथुंगा चोल</v>
      </c>
      <c r="I288" s="5" t="str">
        <f>IFERROR(__xludf.DUMMYFUNCTION("GOOGLETRANSLATE(D288, ""en"", ""hi"")"),"A) राजराजा चोल")</f>
        <v>A) राजराजा चोल</v>
      </c>
    </row>
    <row r="289" ht="22.5" customHeight="1">
      <c r="A289" s="3">
        <v>288.0</v>
      </c>
      <c r="B289" s="4" t="s">
        <v>10188</v>
      </c>
      <c r="C289" s="4" t="s">
        <v>10176</v>
      </c>
      <c r="D289" s="4" t="s">
        <v>10079</v>
      </c>
      <c r="F289" s="5" t="str">
        <f>IFERROR(__xludf.DUMMYFUNCTION("GOOGLETRANSLATE(A289, ""en"", ""hi"")"),"288")</f>
        <v>288</v>
      </c>
      <c r="G289" s="5" t="str">
        <f>IFERROR(__xludf.DUMMYFUNCTION("GOOGLETRANSLATE(B289, ""en"", ""hi"")"),"सिलंबम किस काल के दौरान तमिल सैन्य रणनीति का एक अभिन्न अंग था?")</f>
        <v>सिलंबम किस काल के दौरान तमिल सैन्य रणनीति का एक अभिन्न अंग था?</v>
      </c>
      <c r="H289" s="5" t="str">
        <f>IFERROR(__xludf.DUMMYFUNCTION("GOOGLETRANSLATE(C289, ""en"", ""hi"")"),"A) मध्यकाल, B) प्राचीन काल, C) औपनिवेशिक काल, D) आधुनिक काल")</f>
        <v>A) मध्यकाल, B) प्राचीन काल, C) औपनिवेशिक काल, D) आधुनिक काल</v>
      </c>
      <c r="I289" s="5" t="str">
        <f>IFERROR(__xludf.DUMMYFUNCTION("GOOGLETRANSLATE(D289, ""en"", ""hi"")"),"A) मध्यकालीन काल")</f>
        <v>A) मध्यकालीन काल</v>
      </c>
    </row>
    <row r="290" ht="22.5" customHeight="1">
      <c r="A290" s="3">
        <v>289.0</v>
      </c>
      <c r="B290" s="4" t="s">
        <v>10189</v>
      </c>
      <c r="C290" s="4" t="s">
        <v>10132</v>
      </c>
      <c r="D290" s="4" t="s">
        <v>10089</v>
      </c>
      <c r="F290" s="5" t="str">
        <f>IFERROR(__xludf.DUMMYFUNCTION("GOOGLETRANSLATE(A290, ""en"", ""hi"")"),"289")</f>
        <v>289</v>
      </c>
      <c r="G290" s="5" t="str">
        <f>IFERROR(__xludf.DUMMYFUNCTION("GOOGLETRANSLATE(B290, ""en"", ""hi"")"),"कौन सा तमिल ऐतिहासिक व्यक्ति औपनिवेशिक युग के दौरान पारंपरिक सिलंबम तकनीकों के संरक्षण में अपनी भूमिका के लिए जाना जाता है?")</f>
        <v>कौन सा तमिल ऐतिहासिक व्यक्ति औपनिवेशिक युग के दौरान पारंपरिक सिलंबम तकनीकों के संरक्षण में अपनी भूमिका के लिए जाना जाता है?</v>
      </c>
      <c r="H290" s="5" t="str">
        <f>IFERROR(__xludf.DUMMYFUNCTION("GOOGLETRANSLATE(C290,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290" s="5" t="str">
        <f>IFERROR(__xludf.DUMMYFUNCTION("GOOGLETRANSLATE(D290, ""en"", ""hi"")"),"A) वी. कृष्णमाचारी")</f>
        <v>A) वी. कृष्णमाचारी</v>
      </c>
    </row>
    <row r="291" ht="22.5" customHeight="1">
      <c r="A291" s="3">
        <v>290.0</v>
      </c>
      <c r="B291" s="4" t="s">
        <v>10190</v>
      </c>
      <c r="C291" s="4" t="s">
        <v>10123</v>
      </c>
      <c r="D291" s="4" t="s">
        <v>9539</v>
      </c>
      <c r="F291" s="5" t="str">
        <f>IFERROR(__xludf.DUMMYFUNCTION("GOOGLETRANSLATE(A291, ""en"", ""hi"")"),"290")</f>
        <v>290</v>
      </c>
      <c r="G291" s="5" t="str">
        <f>IFERROR(__xludf.DUMMYFUNCTION("GOOGLETRANSLATE(B291, ""en"", ""hi"")"),"तमिलनाडु के इतिहास में सिलंबम का महत्व किस प्राचीन ग्रंथ में परिलक्षित होता है?")</f>
        <v>तमिलनाडु के इतिहास में सिलंबम का महत्व किस प्राचीन ग्रंथ में परिलक्षित होता है?</v>
      </c>
      <c r="H291" s="5" t="str">
        <f>IFERROR(__xludf.DUMMYFUNCTION("GOOGLETRANSLATE(C291, ""en"", ""hi"")"),"ए) टोलकाप्पियम, बी) सिलप्पातिकारम, सी) अगस्त्य संहिता, डी) कुरल")</f>
        <v>ए) टोलकाप्पियम, बी) सिलप्पातिकारम, सी) अगस्त्य संहिता, डी) कुरल</v>
      </c>
      <c r="I291" s="5" t="str">
        <f>IFERROR(__xludf.DUMMYFUNCTION("GOOGLETRANSLATE(D291, ""en"", ""hi"")"),"बी) सिलप्पाटिकरम")</f>
        <v>बी) सिलप्पाटिकरम</v>
      </c>
    </row>
    <row r="292" ht="22.5" customHeight="1">
      <c r="A292" s="3">
        <v>291.0</v>
      </c>
      <c r="B292" s="4" t="s">
        <v>10191</v>
      </c>
      <c r="C292" s="4" t="s">
        <v>10081</v>
      </c>
      <c r="D292" s="4" t="s">
        <v>10082</v>
      </c>
      <c r="F292" s="5" t="str">
        <f>IFERROR(__xludf.DUMMYFUNCTION("GOOGLETRANSLATE(A292, ""en"", ""hi"")"),"291")</f>
        <v>291</v>
      </c>
      <c r="G292" s="5" t="str">
        <f>IFERROR(__xludf.DUMMYFUNCTION("GOOGLETRANSLATE(B292, ""en"", ""hi"")"),"किस तमिल राजा के संरक्षण के कारण क्षेत्रीय संघर्षों में सिलंबम की प्रथा व्यापक रूप से प्रचलित हुई?")</f>
        <v>किस तमिल राजा के संरक्षण के कारण क्षेत्रीय संघर्षों में सिलंबम की प्रथा व्यापक रूप से प्रचलित हुई?</v>
      </c>
      <c r="H292" s="5" t="str">
        <f>IFERROR(__xludf.DUMMYFUNCTION("GOOGLETRANSLATE(C292, ""en"", ""hi"")"),"ए) राजराजा चोल, बी) राजेंद्र चोल, सी) सुंदरा चोल, डी) कुलोथुंगा चोल")</f>
        <v>ए) राजराजा चोल, बी) राजेंद्र चोल, सी) सुंदरा चोल, डी) कुलोथुंगा चोल</v>
      </c>
      <c r="I292" s="5" t="str">
        <f>IFERROR(__xludf.DUMMYFUNCTION("GOOGLETRANSLATE(D292, ""en"", ""hi"")"),"B) राजेंद्र चोल")</f>
        <v>B) राजेंद्र चोल</v>
      </c>
    </row>
    <row r="293" ht="22.5" customHeight="1">
      <c r="A293" s="3">
        <v>292.0</v>
      </c>
      <c r="B293" s="4" t="s">
        <v>10192</v>
      </c>
      <c r="C293" s="4" t="s">
        <v>10170</v>
      </c>
      <c r="D293" s="4" t="s">
        <v>10171</v>
      </c>
      <c r="F293" s="5" t="str">
        <f>IFERROR(__xludf.DUMMYFUNCTION("GOOGLETRANSLATE(A293, ""en"", ""hi"")"),"292")</f>
        <v>292</v>
      </c>
      <c r="G293" s="5" t="str">
        <f>IFERROR(__xludf.DUMMYFUNCTION("GOOGLETRANSLATE(B293, ""en"", ""hi"")"),"सिलंबम की पारंपरिक तकनीकों को मुख्य रूप से किस शैक्षिक प्रणाली के माध्यम से पढ़ाया जाता था?")</f>
        <v>सिलंबम की पारंपरिक तकनीकों को मुख्य रूप से किस शैक्षिक प्रणाली के माध्यम से पढ़ाया जाता था?</v>
      </c>
      <c r="H293" s="5" t="str">
        <f>IFERROR(__xludf.DUMMYFUNCTION("GOOGLETRANSLATE(C293, ""en"", ""hi"")"),"A) गुरुकुल प्रणाली, B) शाही दरबार, C) मंदिर विद्यालय, D) मठ केंद्र")</f>
        <v>A) गुरुकुल प्रणाली, B) शाही दरबार, C) मंदिर विद्यालय, D) मठ केंद्र</v>
      </c>
      <c r="I293" s="5" t="str">
        <f>IFERROR(__xludf.DUMMYFUNCTION("GOOGLETRANSLATE(D293, ""en"", ""hi"")"),"A) गुरुकुल प्रणाली")</f>
        <v>A) गुरुकुल प्रणाली</v>
      </c>
    </row>
    <row r="294" ht="22.5" customHeight="1">
      <c r="A294" s="3">
        <v>293.0</v>
      </c>
      <c r="B294" s="4" t="s">
        <v>10128</v>
      </c>
      <c r="C294" s="4" t="s">
        <v>10081</v>
      </c>
      <c r="D294" s="4" t="s">
        <v>9997</v>
      </c>
      <c r="F294" s="5" t="str">
        <f>IFERROR(__xludf.DUMMYFUNCTION("GOOGLETRANSLATE(A294, ""en"", ""hi"")"),"293")</f>
        <v>293</v>
      </c>
      <c r="G294" s="5" t="str">
        <f>IFERROR(__xludf.DUMMYFUNCTION("GOOGLETRANSLATE(B294, ""en"", ""hi"")"),"किस तमिल राजा का शासनकाल मार्शल आर्ट के रूप में सिलंबम के उत्कर्ष के लिए जाना जाता है?")</f>
        <v>किस तमिल राजा का शासनकाल मार्शल आर्ट के रूप में सिलंबम के उत्कर्ष के लिए जाना जाता है?</v>
      </c>
      <c r="H294" s="5" t="str">
        <f>IFERROR(__xludf.DUMMYFUNCTION("GOOGLETRANSLATE(C294, ""en"", ""hi"")"),"ए) राजराजा चोल, बी) राजेंद्र चोल, सी) सुंदरा चोल, डी) कुलोथुंगा चोल")</f>
        <v>ए) राजराजा चोल, बी) राजेंद्र चोल, सी) सुंदरा चोल, डी) कुलोथुंगा चोल</v>
      </c>
      <c r="I294" s="5" t="str">
        <f>IFERROR(__xludf.DUMMYFUNCTION("GOOGLETRANSLATE(D294, ""en"", ""hi"")"),"A) राजराजा चोल")</f>
        <v>A) राजराजा चोल</v>
      </c>
    </row>
    <row r="295" ht="22.5" customHeight="1">
      <c r="A295" s="3">
        <v>294.0</v>
      </c>
      <c r="B295" s="4" t="s">
        <v>10193</v>
      </c>
      <c r="C295" s="4" t="s">
        <v>10050</v>
      </c>
      <c r="D295" s="4" t="s">
        <v>9542</v>
      </c>
      <c r="F295" s="5" t="str">
        <f>IFERROR(__xludf.DUMMYFUNCTION("GOOGLETRANSLATE(A295, ""en"", ""hi"")"),"294")</f>
        <v>294</v>
      </c>
      <c r="G295" s="5" t="str">
        <f>IFERROR(__xludf.DUMMYFUNCTION("GOOGLETRANSLATE(B295, ""en"", ""hi"")"),"आधुनिक तमिलनाडु में सिलंबम के पुनरुत्थान का श्रेय अक्सर किस सांस्कृतिक पुनरुत्थान आंदोलन को दिया जाता है?")</f>
        <v>आधुनिक तमिलनाडु में सिलंबम के पुनरुत्थान का श्रेय अक्सर किस सांस्कृतिक पुनरुत्थान आंदोलन को दिया जाता है?</v>
      </c>
      <c r="H295" s="5" t="str">
        <f>IFERROR(__xludf.DUMMYFUNCTION("GOOGLETRANSLATE(C295, ""en"", ""hi"")"),"A) तमिल पुनर्जागरण, B) भक्ति आंदोलन, C) सुधार आंदोलन, D) राष्ट्रवादी आंदोलन")</f>
        <v>A) तमिल पुनर्जागरण, B) भक्ति आंदोलन, C) सुधार आंदोलन, D) राष्ट्रवादी आंदोलन</v>
      </c>
      <c r="I295" s="5" t="str">
        <f>IFERROR(__xludf.DUMMYFUNCTION("GOOGLETRANSLATE(D295, ""en"", ""hi"")"),"A) तमिल पुनर्जागरण")</f>
        <v>A) तमिल पुनर्जागरण</v>
      </c>
    </row>
    <row r="296" ht="22.5" customHeight="1">
      <c r="A296" s="3">
        <v>295.0</v>
      </c>
      <c r="B296" s="4" t="s">
        <v>10194</v>
      </c>
      <c r="C296" s="4" t="s">
        <v>10123</v>
      </c>
      <c r="D296" s="4" t="s">
        <v>9982</v>
      </c>
      <c r="F296" s="5" t="str">
        <f>IFERROR(__xludf.DUMMYFUNCTION("GOOGLETRANSLATE(A296, ""en"", ""hi"")"),"295")</f>
        <v>295</v>
      </c>
      <c r="G296" s="5" t="str">
        <f>IFERROR(__xludf.DUMMYFUNCTION("GOOGLETRANSLATE(B296, ""en"", ""hi"")"),"तमिल सैन्य इतिहास में सिलंबम की भूमिका पर किस पारंपरिक ग्रंथ में जोर दिया गया है?")</f>
        <v>तमिल सैन्य इतिहास में सिलंबम की भूमिका पर किस पारंपरिक ग्रंथ में जोर दिया गया है?</v>
      </c>
      <c r="H296" s="5" t="str">
        <f>IFERROR(__xludf.DUMMYFUNCTION("GOOGLETRANSLATE(C296, ""en"", ""hi"")"),"ए) टोलकाप्पियम, बी) सिलप्पातिकारम, सी) अगस्त्य संहिता, डी) कुरल")</f>
        <v>ए) टोलकाप्पियम, बी) सिलप्पातिकारम, सी) अगस्त्य संहिता, डी) कुरल</v>
      </c>
      <c r="I296" s="5" t="str">
        <f>IFERROR(__xludf.DUMMYFUNCTION("GOOGLETRANSLATE(D296, ""en"", ""hi"")"),"C) अगस्त्य संहिता")</f>
        <v>C) अगस्त्य संहिता</v>
      </c>
    </row>
    <row r="297" ht="22.5" customHeight="1">
      <c r="A297" s="3">
        <v>296.0</v>
      </c>
      <c r="B297" s="4" t="s">
        <v>10195</v>
      </c>
      <c r="C297" s="4" t="s">
        <v>10123</v>
      </c>
      <c r="D297" s="4" t="s">
        <v>9982</v>
      </c>
      <c r="F297" s="5" t="str">
        <f>IFERROR(__xludf.DUMMYFUNCTION("GOOGLETRANSLATE(A297, ""en"", ""hi"")"),"296")</f>
        <v>296</v>
      </c>
      <c r="G297" s="5" t="str">
        <f>IFERROR(__xludf.DUMMYFUNCTION("GOOGLETRANSLATE(B297, ""en"", ""hi"")"),"कौन सा तमिल ऐतिहासिक ग्रंथ सिलंबम तकनीकों और प्रशिक्षण विधियों पर अपने व्यापक विवरण के लिए जाना जाता है?")</f>
        <v>कौन सा तमिल ऐतिहासिक ग्रंथ सिलंबम तकनीकों और प्रशिक्षण विधियों पर अपने व्यापक विवरण के लिए जाना जाता है?</v>
      </c>
      <c r="H297" s="5" t="str">
        <f>IFERROR(__xludf.DUMMYFUNCTION("GOOGLETRANSLATE(C297, ""en"", ""hi"")"),"ए) टोलकाप्पियम, बी) सिलप्पातिकारम, सी) अगस्त्य संहिता, डी) कुरल")</f>
        <v>ए) टोलकाप्पियम, बी) सिलप्पातिकारम, सी) अगस्त्य संहिता, डी) कुरल</v>
      </c>
      <c r="I297" s="5" t="str">
        <f>IFERROR(__xludf.DUMMYFUNCTION("GOOGLETRANSLATE(D297, ""en"", ""hi"")"),"C) अगस्त्य संहिता")</f>
        <v>C) अगस्त्य संहिता</v>
      </c>
    </row>
    <row r="298" ht="22.5" customHeight="1">
      <c r="A298" s="3">
        <v>297.0</v>
      </c>
      <c r="B298" s="4" t="s">
        <v>10196</v>
      </c>
      <c r="C298" s="4" t="s">
        <v>10132</v>
      </c>
      <c r="D298" s="4" t="s">
        <v>10089</v>
      </c>
      <c r="F298" s="5" t="str">
        <f>IFERROR(__xludf.DUMMYFUNCTION("GOOGLETRANSLATE(A298, ""en"", ""hi"")"),"297")</f>
        <v>297</v>
      </c>
      <c r="G298" s="5" t="str">
        <f>IFERROR(__xludf.DUMMYFUNCTION("GOOGLETRANSLATE(B298, ""en"", ""hi"")"),"तमिलनाडु में पारंपरिक कला के रूप में सिलंबम के पुनरुत्थान का श्रेय किस ऐतिहासिक व्यक्ति को दिया जाता है?")</f>
        <v>तमिलनाडु में पारंपरिक कला के रूप में सिलंबम के पुनरुत्थान का श्रेय किस ऐतिहासिक व्यक्ति को दिया जाता है?</v>
      </c>
      <c r="H298" s="5" t="str">
        <f>IFERROR(__xludf.DUMMYFUNCTION("GOOGLETRANSLATE(C298,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298" s="5" t="str">
        <f>IFERROR(__xludf.DUMMYFUNCTION("GOOGLETRANSLATE(D298, ""en"", ""hi"")"),"A) वी. कृष्णमाचारी")</f>
        <v>A) वी. कृष्णमाचारी</v>
      </c>
    </row>
    <row r="299" ht="22.5" customHeight="1">
      <c r="A299" s="3">
        <v>298.0</v>
      </c>
      <c r="B299" s="4" t="s">
        <v>10197</v>
      </c>
      <c r="C299" s="4" t="s">
        <v>9959</v>
      </c>
      <c r="D299" s="4" t="s">
        <v>9960</v>
      </c>
      <c r="F299" s="5" t="str">
        <f>IFERROR(__xludf.DUMMYFUNCTION("GOOGLETRANSLATE(A299, ""en"", ""hi"")"),"298")</f>
        <v>298</v>
      </c>
      <c r="G299" s="5" t="str">
        <f>IFERROR(__xludf.DUMMYFUNCTION("GOOGLETRANSLATE(B299, ""en"", ""hi"")"),"सिलंबम प्रथा किस तमिल योद्धा वर्ग से अत्यधिक प्रभावित थी?")</f>
        <v>सिलंबम प्रथा किस तमिल योद्धा वर्ग से अत्यधिक प्रभावित थी?</v>
      </c>
      <c r="H299" s="5" t="str">
        <f>IFERROR(__xludf.DUMMYFUNCTION("GOOGLETRANSLATE(C299, ""en"", ""hi"")"),"ए) कल्लार, बी) नादर, सी) वन्नियार, डी) पारावार")</f>
        <v>ए) कल्लार, बी) नादर, सी) वन्नियार, डी) पारावार</v>
      </c>
      <c r="I299" s="5" t="str">
        <f>IFERROR(__xludf.DUMMYFUNCTION("GOOGLETRANSLATE(D299, ""en"", ""hi"")"),"A) कल्लर")</f>
        <v>A) कल्लर</v>
      </c>
    </row>
    <row r="300" ht="22.5" customHeight="1">
      <c r="A300" s="3">
        <v>299.0</v>
      </c>
      <c r="B300" s="4" t="s">
        <v>10198</v>
      </c>
      <c r="C300" s="4" t="s">
        <v>10081</v>
      </c>
      <c r="D300" s="4" t="s">
        <v>9997</v>
      </c>
      <c r="F300" s="5" t="str">
        <f>IFERROR(__xludf.DUMMYFUNCTION("GOOGLETRANSLATE(A300, ""en"", ""hi"")"),"299")</f>
        <v>299</v>
      </c>
      <c r="G300" s="5" t="str">
        <f>IFERROR(__xludf.DUMMYFUNCTION("GOOGLETRANSLATE(B300, ""en"", ""hi"")"),"किस तमिल राजा का शासनकाल सिलंबम तकनीकों के संहिताकरण और मानकीकरण के लिए जाना जाता है?")</f>
        <v>किस तमिल राजा का शासनकाल सिलंबम तकनीकों के संहिताकरण और मानकीकरण के लिए जाना जाता है?</v>
      </c>
      <c r="H300" s="5" t="str">
        <f>IFERROR(__xludf.DUMMYFUNCTION("GOOGLETRANSLATE(C300, ""en"", ""hi"")"),"ए) राजराजा चोल, बी) राजेंद्र चोल, सी) सुंदरा चोल, डी) कुलोथुंगा चोल")</f>
        <v>ए) राजराजा चोल, बी) राजेंद्र चोल, सी) सुंदरा चोल, डी) कुलोथुंगा चोल</v>
      </c>
      <c r="I300" s="5" t="str">
        <f>IFERROR(__xludf.DUMMYFUNCTION("GOOGLETRANSLATE(D300, ""en"", ""hi"")"),"A) राजराजा चोल")</f>
        <v>A) राजराजा चोल</v>
      </c>
    </row>
    <row r="301" ht="22.5" customHeight="1">
      <c r="A301" s="3">
        <v>300.0</v>
      </c>
      <c r="B301" s="4" t="s">
        <v>10199</v>
      </c>
      <c r="C301" s="4" t="s">
        <v>10123</v>
      </c>
      <c r="D301" s="4" t="s">
        <v>9539</v>
      </c>
      <c r="F301" s="5" t="str">
        <f>IFERROR(__xludf.DUMMYFUNCTION("GOOGLETRANSLATE(A301, ""en"", ""hi"")"),"300")</f>
        <v>300</v>
      </c>
      <c r="G301" s="5" t="str">
        <f>IFERROR(__xludf.DUMMYFUNCTION("GOOGLETRANSLATE(B301, ""en"", ""hi"")"),"तमिलनाडु की मार्शल आर्ट में सिलंबम का ऐतिहासिक महत्व किस प्राचीन ग्रंथ में वर्णित है?")</f>
        <v>तमिलनाडु की मार्शल आर्ट में सिलंबम का ऐतिहासिक महत्व किस प्राचीन ग्रंथ में वर्णित है?</v>
      </c>
      <c r="H301" s="5" t="str">
        <f>IFERROR(__xludf.DUMMYFUNCTION("GOOGLETRANSLATE(C301, ""en"", ""hi"")"),"ए) टोलकाप्पियम, बी) सिलप्पातिकारम, सी) अगस्त्य संहिता, डी) कुरल")</f>
        <v>ए) टोलकाप्पियम, बी) सिलप्पातिकारम, सी) अगस्त्य संहिता, डी) कुरल</v>
      </c>
      <c r="I301" s="5" t="str">
        <f>IFERROR(__xludf.DUMMYFUNCTION("GOOGLETRANSLATE(D301, ""en"", ""hi"")"),"बी) सिलप्पाटिकरम")</f>
        <v>बी) सिलप्पाटिकरम</v>
      </c>
    </row>
    <row r="302" ht="22.5" customHeight="1">
      <c r="A302" s="3">
        <v>301.0</v>
      </c>
      <c r="B302" s="4" t="s">
        <v>10200</v>
      </c>
      <c r="C302" s="4" t="s">
        <v>10176</v>
      </c>
      <c r="D302" s="4" t="s">
        <v>10079</v>
      </c>
      <c r="F302" s="5" t="str">
        <f>IFERROR(__xludf.DUMMYFUNCTION("GOOGLETRANSLATE(A302, ""en"", ""hi"")"),"301")</f>
        <v>301</v>
      </c>
      <c r="G302" s="5" t="str">
        <f>IFERROR(__xludf.DUMMYFUNCTION("GOOGLETRANSLATE(B302, ""en"", ""hi"")"),"तमिलनाडु में सिलंबम की प्रथा किस काल की सैन्य रणनीतियों से प्रभावित थी?")</f>
        <v>तमिलनाडु में सिलंबम की प्रथा किस काल की सैन्य रणनीतियों से प्रभावित थी?</v>
      </c>
      <c r="H302" s="5" t="str">
        <f>IFERROR(__xludf.DUMMYFUNCTION("GOOGLETRANSLATE(C302, ""en"", ""hi"")"),"A) मध्यकाल, B) प्राचीन काल, C) औपनिवेशिक काल, D) आधुनिक काल")</f>
        <v>A) मध्यकाल, B) प्राचीन काल, C) औपनिवेशिक काल, D) आधुनिक काल</v>
      </c>
      <c r="I302" s="5" t="str">
        <f>IFERROR(__xludf.DUMMYFUNCTION("GOOGLETRANSLATE(D302, ""en"", ""hi"")"),"A) मध्यकालीन काल")</f>
        <v>A) मध्यकालीन काल</v>
      </c>
    </row>
    <row r="303" ht="22.5" customHeight="1">
      <c r="A303" s="3">
        <v>302.0</v>
      </c>
      <c r="B303" s="4" t="s">
        <v>10201</v>
      </c>
      <c r="C303" s="4" t="s">
        <v>10170</v>
      </c>
      <c r="D303" s="4" t="s">
        <v>10171</v>
      </c>
      <c r="F303" s="5" t="str">
        <f>IFERROR(__xludf.DUMMYFUNCTION("GOOGLETRANSLATE(A303, ""en"", ""hi"")"),"302")</f>
        <v>302</v>
      </c>
      <c r="G303" s="5" t="str">
        <f>IFERROR(__xludf.DUMMYFUNCTION("GOOGLETRANSLATE(B303, ""en"", ""hi"")"),"प्राचीन तमिल काल में सिलंबम तकनीक पारंपरिक रूप से किस शिक्षा प्रणाली में सिखाई जाती थी?")</f>
        <v>प्राचीन तमिल काल में सिलंबम तकनीक पारंपरिक रूप से किस शिक्षा प्रणाली में सिखाई जाती थी?</v>
      </c>
      <c r="H303" s="5" t="str">
        <f>IFERROR(__xludf.DUMMYFUNCTION("GOOGLETRANSLATE(C303, ""en"", ""hi"")"),"A) गुरुकुल प्रणाली, B) शाही दरबार, C) मंदिर विद्यालय, D) मठ केंद्र")</f>
        <v>A) गुरुकुल प्रणाली, B) शाही दरबार, C) मंदिर विद्यालय, D) मठ केंद्र</v>
      </c>
      <c r="I303" s="5" t="str">
        <f>IFERROR(__xludf.DUMMYFUNCTION("GOOGLETRANSLATE(D303, ""en"", ""hi"")"),"A) गुरुकुल प्रणाली")</f>
        <v>A) गुरुकुल प्रणाली</v>
      </c>
    </row>
    <row r="304" ht="22.5" customHeight="1">
      <c r="A304" s="3">
        <v>303.0</v>
      </c>
      <c r="B304" s="4" t="s">
        <v>10202</v>
      </c>
      <c r="C304" s="4" t="s">
        <v>10081</v>
      </c>
      <c r="D304" s="4" t="s">
        <v>10082</v>
      </c>
      <c r="F304" s="5" t="str">
        <f>IFERROR(__xludf.DUMMYFUNCTION("GOOGLETRANSLATE(A304, ""en"", ""hi"")"),"303")</f>
        <v>303</v>
      </c>
      <c r="G304" s="5" t="str">
        <f>IFERROR(__xludf.DUMMYFUNCTION("GOOGLETRANSLATE(B304, ""en"", ""hi"")"),"मध्यकाल के दौरान सिलंबम के विकास और संवर्धन में किस तमिल राजा का संरक्षण महत्वपूर्ण था?")</f>
        <v>मध्यकाल के दौरान सिलंबम के विकास और संवर्धन में किस तमिल राजा का संरक्षण महत्वपूर्ण था?</v>
      </c>
      <c r="H304" s="5" t="str">
        <f>IFERROR(__xludf.DUMMYFUNCTION("GOOGLETRANSLATE(C304, ""en"", ""hi"")"),"ए) राजराजा चोल, बी) राजेंद्र चोल, सी) सुंदरा चोल, डी) कुलोथुंगा चोल")</f>
        <v>ए) राजराजा चोल, बी) राजेंद्र चोल, सी) सुंदरा चोल, डी) कुलोथुंगा चोल</v>
      </c>
      <c r="I304" s="5" t="str">
        <f>IFERROR(__xludf.DUMMYFUNCTION("GOOGLETRANSLATE(D304, ""en"", ""hi"")"),"B) राजेंद्र चोल")</f>
        <v>B) राजेंद्र चोल</v>
      </c>
    </row>
    <row r="305" ht="22.5" customHeight="1">
      <c r="A305" s="3">
        <v>304.0</v>
      </c>
      <c r="B305" s="4" t="s">
        <v>10203</v>
      </c>
      <c r="C305" s="4" t="s">
        <v>10055</v>
      </c>
      <c r="D305" s="4" t="s">
        <v>9159</v>
      </c>
      <c r="F305" s="5" t="str">
        <f>IFERROR(__xludf.DUMMYFUNCTION("GOOGLETRANSLATE(A305, ""en"", ""hi"")"),"304")</f>
        <v>304</v>
      </c>
      <c r="G305" s="5" t="str">
        <f>IFERROR(__xludf.DUMMYFUNCTION("GOOGLETRANSLATE(B305, ""en"", ""hi"")"),"सिलंबम की प्रथा किस तमिल राजवंश के सैन्य अभियानों के दौरान प्रमुखता से प्रदर्शित की गई थी?")</f>
        <v>सिलंबम की प्रथा किस तमिल राजवंश के सैन्य अभियानों के दौरान प्रमुखता से प्रदर्शित की गई थी?</v>
      </c>
      <c r="H305" s="5" t="str">
        <f>IFERROR(__xludf.DUMMYFUNCTION("GOOGLETRANSLATE(C305, ""en"", ""hi"")"),"A) चोल वंश, B) पांड्य वंश, C) चेर वंश, D) विजयनगर वंश")</f>
        <v>A) चोल वंश, B) पांड्य वंश, C) चेर वंश, D) विजयनगर वंश</v>
      </c>
      <c r="I305" s="5" t="str">
        <f>IFERROR(__xludf.DUMMYFUNCTION("GOOGLETRANSLATE(D305, ""en"", ""hi"")"),"A) चोल राजवंश")</f>
        <v>A) चोल राजवंश</v>
      </c>
    </row>
    <row r="306" ht="22.5" customHeight="1">
      <c r="A306" s="3">
        <v>305.0</v>
      </c>
      <c r="B306" s="4" t="s">
        <v>10204</v>
      </c>
      <c r="C306" s="4" t="s">
        <v>10123</v>
      </c>
      <c r="D306" s="4" t="s">
        <v>9982</v>
      </c>
      <c r="F306" s="5" t="str">
        <f>IFERROR(__xludf.DUMMYFUNCTION("GOOGLETRANSLATE(A306, ""en"", ""hi"")"),"305")</f>
        <v>305</v>
      </c>
      <c r="G306" s="5" t="str">
        <f>IFERROR(__xludf.DUMMYFUNCTION("GOOGLETRANSLATE(B306, ""en"", ""hi"")"),"कौन सा तमिल ऐतिहासिक ग्रंथ सिलंबम तकनीकों और प्रशिक्षण के विस्तृत विवरण के लिए जाना जाता है?")</f>
        <v>कौन सा तमिल ऐतिहासिक ग्रंथ सिलंबम तकनीकों और प्रशिक्षण के विस्तृत विवरण के लिए जाना जाता है?</v>
      </c>
      <c r="H306" s="5" t="str">
        <f>IFERROR(__xludf.DUMMYFUNCTION("GOOGLETRANSLATE(C306, ""en"", ""hi"")"),"ए) टोलकाप्पियम, बी) सिलप्पातिकारम, सी) अगस्त्य संहिता, डी) कुरल")</f>
        <v>ए) टोलकाप्पियम, बी) सिलप्पातिकारम, सी) अगस्त्य संहिता, डी) कुरल</v>
      </c>
      <c r="I306" s="5" t="str">
        <f>IFERROR(__xludf.DUMMYFUNCTION("GOOGLETRANSLATE(D306, ""en"", ""hi"")"),"C) अगस्त्य संहिता")</f>
        <v>C) अगस्त्य संहिता</v>
      </c>
    </row>
    <row r="307" ht="22.5" customHeight="1">
      <c r="A307" s="3">
        <v>306.0</v>
      </c>
      <c r="B307" s="4" t="s">
        <v>10205</v>
      </c>
      <c r="C307" s="4" t="s">
        <v>10081</v>
      </c>
      <c r="D307" s="4" t="s">
        <v>9997</v>
      </c>
      <c r="F307" s="5" t="str">
        <f>IFERROR(__xludf.DUMMYFUNCTION("GOOGLETRANSLATE(A307, ""en"", ""hi"")"),"306")</f>
        <v>306</v>
      </c>
      <c r="G307" s="5" t="str">
        <f>IFERROR(__xludf.DUMMYFUNCTION("GOOGLETRANSLATE(B307, ""en"", ""hi"")"),"किस तमिल राजा के शासनकाल में सिलंबम को मार्शल आर्ट के रूप में महत्वपूर्ण प्रगति देखने को मिली?")</f>
        <v>किस तमिल राजा के शासनकाल में सिलंबम को मार्शल आर्ट के रूप में महत्वपूर्ण प्रगति देखने को मिली?</v>
      </c>
      <c r="H307" s="5" t="str">
        <f>IFERROR(__xludf.DUMMYFUNCTION("GOOGLETRANSLATE(C307, ""en"", ""hi"")"),"ए) राजराजा चोल, बी) राजेंद्र चोल, सी) सुंदरा चोल, डी) कुलोथुंगा चोल")</f>
        <v>ए) राजराजा चोल, बी) राजेंद्र चोल, सी) सुंदरा चोल, डी) कुलोथुंगा चोल</v>
      </c>
      <c r="I307" s="5" t="str">
        <f>IFERROR(__xludf.DUMMYFUNCTION("GOOGLETRANSLATE(D307, ""en"", ""hi"")"),"A) राजराजा चोल")</f>
        <v>A) राजराजा चोल</v>
      </c>
    </row>
    <row r="308" ht="22.5" customHeight="1">
      <c r="A308" s="3">
        <v>307.0</v>
      </c>
      <c r="B308" s="4" t="s">
        <v>10206</v>
      </c>
      <c r="C308" s="4" t="s">
        <v>10132</v>
      </c>
      <c r="D308" s="4" t="s">
        <v>10089</v>
      </c>
      <c r="F308" s="5" t="str">
        <f>IFERROR(__xludf.DUMMYFUNCTION("GOOGLETRANSLATE(A308, ""en"", ""hi"")"),"307")</f>
        <v>307</v>
      </c>
      <c r="G308" s="5" t="str">
        <f>IFERROR(__xludf.DUMMYFUNCTION("GOOGLETRANSLATE(B308, ""en"", ""hi"")"),"औपनिवेशिक युग के दौरान सिलंबम तकनीकों को संरक्षित और पुनर्जीवित करने का श्रेय किस तमिल व्यक्ति को दिया जाता है?")</f>
        <v>औपनिवेशिक युग के दौरान सिलंबम तकनीकों को संरक्षित और पुनर्जीवित करने का श्रेय किस तमिल व्यक्ति को दिया जाता है?</v>
      </c>
      <c r="H308" s="5" t="str">
        <f>IFERROR(__xludf.DUMMYFUNCTION("GOOGLETRANSLATE(C308,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08" s="5" t="str">
        <f>IFERROR(__xludf.DUMMYFUNCTION("GOOGLETRANSLATE(D308, ""en"", ""hi"")"),"A) वी. कृष्णमाचारी")</f>
        <v>A) वी. कृष्णमाचारी</v>
      </c>
    </row>
    <row r="309" ht="22.5" customHeight="1">
      <c r="A309" s="3">
        <v>308.0</v>
      </c>
      <c r="B309" s="4" t="s">
        <v>10207</v>
      </c>
      <c r="C309" s="4" t="s">
        <v>10123</v>
      </c>
      <c r="D309" s="4" t="s">
        <v>9539</v>
      </c>
      <c r="F309" s="5" t="str">
        <f>IFERROR(__xludf.DUMMYFUNCTION("GOOGLETRANSLATE(A309, ""en"", ""hi"")"),"308")</f>
        <v>308</v>
      </c>
      <c r="G309" s="5" t="str">
        <f>IFERROR(__xludf.DUMMYFUNCTION("GOOGLETRANSLATE(B309, ""en"", ""hi"")"),"सिलंबम के ऐतिहासिक महत्व पर किस प्राचीन तमिल ग्रंथ में प्रकाश डाला गया है?")</f>
        <v>सिलंबम के ऐतिहासिक महत्व पर किस प्राचीन तमिल ग्रंथ में प्रकाश डाला गया है?</v>
      </c>
      <c r="H309" s="5" t="str">
        <f>IFERROR(__xludf.DUMMYFUNCTION("GOOGLETRANSLATE(C309, ""en"", ""hi"")"),"ए) टोलकाप्पियम, बी) सिलप्पातिकारम, सी) अगस्त्य संहिता, डी) कुरल")</f>
        <v>ए) टोलकाप्पियम, बी) सिलप्पातिकारम, सी) अगस्त्य संहिता, डी) कुरल</v>
      </c>
      <c r="I309" s="5" t="str">
        <f>IFERROR(__xludf.DUMMYFUNCTION("GOOGLETRANSLATE(D309, ""en"", ""hi"")"),"बी) सिलप्पाटिकरम")</f>
        <v>बी) सिलप्पाटिकरम</v>
      </c>
    </row>
    <row r="310" ht="22.5" customHeight="1">
      <c r="A310" s="3">
        <v>309.0</v>
      </c>
      <c r="B310" s="4" t="s">
        <v>10208</v>
      </c>
      <c r="C310" s="4" t="s">
        <v>10081</v>
      </c>
      <c r="D310" s="4" t="s">
        <v>10082</v>
      </c>
      <c r="F310" s="5" t="str">
        <f>IFERROR(__xludf.DUMMYFUNCTION("GOOGLETRANSLATE(A310, ""en"", ""hi"")"),"309")</f>
        <v>309</v>
      </c>
      <c r="G310" s="5" t="str">
        <f>IFERROR(__xludf.DUMMYFUNCTION("GOOGLETRANSLATE(B310, ""en"", ""hi"")"),"किस तमिल राजा के शासनकाल ने सिलंबम के दस्तावेजीकरण और प्रचार में महत्वपूर्ण योगदान दिया?")</f>
        <v>किस तमिल राजा के शासनकाल ने सिलंबम के दस्तावेजीकरण और प्रचार में महत्वपूर्ण योगदान दिया?</v>
      </c>
      <c r="H310" s="5" t="str">
        <f>IFERROR(__xludf.DUMMYFUNCTION("GOOGLETRANSLATE(C310, ""en"", ""hi"")"),"ए) राजराजा चोल, बी) राजेंद्र चोल, सी) सुंदरा चोल, डी) कुलोथुंगा चोल")</f>
        <v>ए) राजराजा चोल, बी) राजेंद्र चोल, सी) सुंदरा चोल, डी) कुलोथुंगा चोल</v>
      </c>
      <c r="I310" s="5" t="str">
        <f>IFERROR(__xludf.DUMMYFUNCTION("GOOGLETRANSLATE(D310, ""en"", ""hi"")"),"B) राजेंद्र चोल")</f>
        <v>B) राजेंद्र चोल</v>
      </c>
    </row>
    <row r="311" ht="22.5" customHeight="1">
      <c r="A311" s="3">
        <v>310.0</v>
      </c>
      <c r="B311" s="4" t="s">
        <v>10209</v>
      </c>
      <c r="C311" s="4" t="s">
        <v>10170</v>
      </c>
      <c r="D311" s="4" t="s">
        <v>10171</v>
      </c>
      <c r="F311" s="5" t="str">
        <f>IFERROR(__xludf.DUMMYFUNCTION("GOOGLETRANSLATE(A311, ""en"", ""hi"")"),"310")</f>
        <v>310</v>
      </c>
      <c r="G311" s="5" t="str">
        <f>IFERROR(__xludf.DUMMYFUNCTION("GOOGLETRANSLATE(B311, ""en"", ""hi"")"),"वह शैक्षिक प्रणाली जिसके माध्यम से पारंपरिक रूप से सिलंबम तकनीक सिखाई जाती थी, उसे क्या कहा जाता है?")</f>
        <v>वह शैक्षिक प्रणाली जिसके माध्यम से पारंपरिक रूप से सिलंबम तकनीक सिखाई जाती थी, उसे क्या कहा जाता है?</v>
      </c>
      <c r="H311" s="5" t="str">
        <f>IFERROR(__xludf.DUMMYFUNCTION("GOOGLETRANSLATE(C311, ""en"", ""hi"")"),"A) गुरुकुल प्रणाली, B) शाही दरबार, C) मंदिर विद्यालय, D) मठ केंद्र")</f>
        <v>A) गुरुकुल प्रणाली, B) शाही दरबार, C) मंदिर विद्यालय, D) मठ केंद्र</v>
      </c>
      <c r="I311" s="5" t="str">
        <f>IFERROR(__xludf.DUMMYFUNCTION("GOOGLETRANSLATE(D311, ""en"", ""hi"")"),"A) गुरुकुल प्रणाली")</f>
        <v>A) गुरुकुल प्रणाली</v>
      </c>
    </row>
    <row r="312" ht="22.5" customHeight="1">
      <c r="A312" s="3">
        <v>311.0</v>
      </c>
      <c r="B312" s="4" t="s">
        <v>10210</v>
      </c>
      <c r="C312" s="4" t="s">
        <v>10081</v>
      </c>
      <c r="D312" s="4" t="s">
        <v>9997</v>
      </c>
      <c r="F312" s="5" t="str">
        <f>IFERROR(__xludf.DUMMYFUNCTION("GOOGLETRANSLATE(A312, ""en"", ""hi"")"),"311")</f>
        <v>311</v>
      </c>
      <c r="G312" s="5" t="str">
        <f>IFERROR(__xludf.DUMMYFUNCTION("GOOGLETRANSLATE(B312, ""en"", ""hi"")"),"मध्यकाल में किस तमिल राजा के संरक्षण से सिलंबम तकनीक को औपचारिक रूप दिया गया?")</f>
        <v>मध्यकाल में किस तमिल राजा के संरक्षण से सिलंबम तकनीक को औपचारिक रूप दिया गया?</v>
      </c>
      <c r="H312" s="5" t="str">
        <f>IFERROR(__xludf.DUMMYFUNCTION("GOOGLETRANSLATE(C312, ""en"", ""hi"")"),"ए) राजराजा चोल, बी) राजेंद्र चोल, सी) सुंदरा चोल, डी) कुलोथुंगा चोल")</f>
        <v>ए) राजराजा चोल, बी) राजेंद्र चोल, सी) सुंदरा चोल, डी) कुलोथुंगा चोल</v>
      </c>
      <c r="I312" s="5" t="str">
        <f>IFERROR(__xludf.DUMMYFUNCTION("GOOGLETRANSLATE(D312, ""en"", ""hi"")"),"A) राजराजा चोल")</f>
        <v>A) राजराजा चोल</v>
      </c>
    </row>
    <row r="313" ht="22.5" customHeight="1">
      <c r="A313" s="3">
        <v>312.0</v>
      </c>
      <c r="B313" s="4" t="s">
        <v>10211</v>
      </c>
      <c r="C313" s="4" t="s">
        <v>9959</v>
      </c>
      <c r="D313" s="4" t="s">
        <v>9960</v>
      </c>
      <c r="F313" s="5" t="str">
        <f>IFERROR(__xludf.DUMMYFUNCTION("GOOGLETRANSLATE(A313, ""en"", ""hi"")"),"312")</f>
        <v>312</v>
      </c>
      <c r="G313" s="5" t="str">
        <f>IFERROR(__xludf.DUMMYFUNCTION("GOOGLETRANSLATE(B313, ""en"", ""hi"")"),"सिलंबम पारंपरिक रूप से किस तमिल योद्धा समुदाय से जुड़ा था?")</f>
        <v>सिलंबम पारंपरिक रूप से किस तमिल योद्धा समुदाय से जुड़ा था?</v>
      </c>
      <c r="H313" s="5" t="str">
        <f>IFERROR(__xludf.DUMMYFUNCTION("GOOGLETRANSLATE(C313, ""en"", ""hi"")"),"ए) कल्लार, बी) नादर, सी) वन्नियार, डी) पारावार")</f>
        <v>ए) कल्लार, बी) नादर, सी) वन्नियार, डी) पारावार</v>
      </c>
      <c r="I313" s="5" t="str">
        <f>IFERROR(__xludf.DUMMYFUNCTION("GOOGLETRANSLATE(D313, ""en"", ""hi"")"),"A) कल्लर")</f>
        <v>A) कल्लर</v>
      </c>
    </row>
    <row r="314" ht="22.5" customHeight="1">
      <c r="A314" s="3">
        <v>313.0</v>
      </c>
      <c r="B314" s="4" t="s">
        <v>10212</v>
      </c>
      <c r="C314" s="4" t="s">
        <v>10132</v>
      </c>
      <c r="D314" s="4" t="s">
        <v>10089</v>
      </c>
      <c r="F314" s="5" t="str">
        <f>IFERROR(__xludf.DUMMYFUNCTION("GOOGLETRANSLATE(A314, ""en"", ""hi"")"),"313")</f>
        <v>313</v>
      </c>
      <c r="G314" s="5" t="str">
        <f>IFERROR(__xludf.DUMMYFUNCTION("GOOGLETRANSLATE(B314, ""en"", ""hi"")"),"आधुनिक समय में सिलंबम प्रथा को पुनर्जीवित करने के लिए किस तमिल पुनर्जागरण व्यक्ति को जाना जाता है?")</f>
        <v>आधुनिक समय में सिलंबम प्रथा को पुनर्जीवित करने के लिए किस तमिल पुनर्जागरण व्यक्ति को जाना जाता है?</v>
      </c>
      <c r="H314" s="5" t="str">
        <f>IFERROR(__xludf.DUMMYFUNCTION("GOOGLETRANSLATE(C314,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14" s="5" t="str">
        <f>IFERROR(__xludf.DUMMYFUNCTION("GOOGLETRANSLATE(D314, ""en"", ""hi"")"),"A) वी. कृष्णमाचारी")</f>
        <v>A) वी. कृष्णमाचारी</v>
      </c>
    </row>
    <row r="315" ht="22.5" customHeight="1">
      <c r="A315" s="3">
        <v>314.0</v>
      </c>
      <c r="B315" s="4" t="s">
        <v>10213</v>
      </c>
      <c r="C315" s="4" t="s">
        <v>10123</v>
      </c>
      <c r="D315" s="4" t="s">
        <v>9982</v>
      </c>
      <c r="F315" s="5" t="str">
        <f>IFERROR(__xludf.DUMMYFUNCTION("GOOGLETRANSLATE(A315, ""en"", ""hi"")"),"314")</f>
        <v>314</v>
      </c>
      <c r="G315" s="5" t="str">
        <f>IFERROR(__xludf.DUMMYFUNCTION("GOOGLETRANSLATE(B315, ""en"", ""hi"")"),"तमिलनाडु में सिलंबम का ऐतिहासिक महत्व किस प्राचीन ग्रंथ में विस्तृत रूप से वर्णित है?")</f>
        <v>तमिलनाडु में सिलंबम का ऐतिहासिक महत्व किस प्राचीन ग्रंथ में विस्तृत रूप से वर्णित है?</v>
      </c>
      <c r="H315" s="5" t="str">
        <f>IFERROR(__xludf.DUMMYFUNCTION("GOOGLETRANSLATE(C315, ""en"", ""hi"")"),"ए) टोलकाप्पियम, बी) सिलप्पातिकारम, सी) अगस्त्य संहिता, डी) कुरल")</f>
        <v>ए) टोलकाप्पियम, बी) सिलप्पातिकारम, सी) अगस्त्य संहिता, डी) कुरल</v>
      </c>
      <c r="I315" s="5" t="str">
        <f>IFERROR(__xludf.DUMMYFUNCTION("GOOGLETRANSLATE(D315, ""en"", ""hi"")"),"C) अगस्त्य संहिता")</f>
        <v>C) अगस्त्य संहिता</v>
      </c>
    </row>
    <row r="316" ht="22.5" customHeight="1">
      <c r="A316" s="3">
        <v>315.0</v>
      </c>
      <c r="B316" s="4" t="s">
        <v>10214</v>
      </c>
      <c r="C316" s="4" t="s">
        <v>10081</v>
      </c>
      <c r="D316" s="4" t="s">
        <v>10082</v>
      </c>
      <c r="F316" s="5" t="str">
        <f>IFERROR(__xludf.DUMMYFUNCTION("GOOGLETRANSLATE(A316, ""en"", ""hi"")"),"315")</f>
        <v>315</v>
      </c>
      <c r="G316" s="5" t="str">
        <f>IFERROR(__xludf.DUMMYFUNCTION("GOOGLETRANSLATE(B316, ""en"", ""hi"")"),"किस तमिल राजा के शासनकाल में सिलंबम तकनीक में महत्वपूर्ण प्रगति हुई?")</f>
        <v>किस तमिल राजा के शासनकाल में सिलंबम तकनीक में महत्वपूर्ण प्रगति हुई?</v>
      </c>
      <c r="H316" s="5" t="str">
        <f>IFERROR(__xludf.DUMMYFUNCTION("GOOGLETRANSLATE(C316, ""en"", ""hi"")"),"ए) राजराजा चोल, बी) राजेंद्र चोल, सी) सुंदरा चोल, डी) कुलोथुंगा चोल")</f>
        <v>ए) राजराजा चोल, बी) राजेंद्र चोल, सी) सुंदरा चोल, डी) कुलोथुंगा चोल</v>
      </c>
      <c r="I316" s="5" t="str">
        <f>IFERROR(__xludf.DUMMYFUNCTION("GOOGLETRANSLATE(D316, ""en"", ""hi"")"),"B) राजेंद्र चोल")</f>
        <v>B) राजेंद्र चोल</v>
      </c>
    </row>
    <row r="317" ht="22.5" customHeight="1">
      <c r="A317" s="3">
        <v>316.0</v>
      </c>
      <c r="B317" s="4" t="s">
        <v>10215</v>
      </c>
      <c r="C317" s="4" t="s">
        <v>10055</v>
      </c>
      <c r="D317" s="4" t="s">
        <v>9159</v>
      </c>
      <c r="F317" s="5" t="str">
        <f>IFERROR(__xludf.DUMMYFUNCTION("GOOGLETRANSLATE(A317, ""en"", ""hi"")"),"316")</f>
        <v>316</v>
      </c>
      <c r="G317" s="5" t="str">
        <f>IFERROR(__xludf.DUMMYFUNCTION("GOOGLETRANSLATE(B317, ""en"", ""hi"")"),"सिलंबम किस तमिल राजवंश के सैन्य अभियानों के दौरान एक प्रमुख मार्शल आर्ट थी?")</f>
        <v>सिलंबम किस तमिल राजवंश के सैन्य अभियानों के दौरान एक प्रमुख मार्शल आर्ट थी?</v>
      </c>
      <c r="H317" s="5" t="str">
        <f>IFERROR(__xludf.DUMMYFUNCTION("GOOGLETRANSLATE(C317, ""en"", ""hi"")"),"A) चोल वंश, B) पांड्य वंश, C) चेर वंश, D) विजयनगर वंश")</f>
        <v>A) चोल वंश, B) पांड्य वंश, C) चेर वंश, D) विजयनगर वंश</v>
      </c>
      <c r="I317" s="5" t="str">
        <f>IFERROR(__xludf.DUMMYFUNCTION("GOOGLETRANSLATE(D317, ""en"", ""hi"")"),"A) चोल राजवंश")</f>
        <v>A) चोल राजवंश</v>
      </c>
    </row>
    <row r="318" ht="22.5" customHeight="1">
      <c r="A318" s="3">
        <v>317.0</v>
      </c>
      <c r="B318" s="4" t="s">
        <v>10216</v>
      </c>
      <c r="C318" s="4" t="s">
        <v>10123</v>
      </c>
      <c r="D318" s="4" t="s">
        <v>9982</v>
      </c>
      <c r="F318" s="5" t="str">
        <f>IFERROR(__xludf.DUMMYFUNCTION("GOOGLETRANSLATE(A318, ""en"", ""hi"")"),"317")</f>
        <v>317</v>
      </c>
      <c r="G318" s="5" t="str">
        <f>IFERROR(__xludf.DUMMYFUNCTION("GOOGLETRANSLATE(B318, ""en"", ""hi"")"),"कौन सा तमिल ग्रंथ सिलंबम तकनीकों और रणनीतियों का विस्तृत विवरण प्रदान करता है?")</f>
        <v>कौन सा तमिल ग्रंथ सिलंबम तकनीकों और रणनीतियों का विस्तृत विवरण प्रदान करता है?</v>
      </c>
      <c r="H318" s="5" t="str">
        <f>IFERROR(__xludf.DUMMYFUNCTION("GOOGLETRANSLATE(C318, ""en"", ""hi"")"),"ए) टोलकाप्पियम, बी) सिलप्पातिकारम, सी) अगस्त्य संहिता, डी) कुरल")</f>
        <v>ए) टोलकाप्पियम, बी) सिलप्पातिकारम, सी) अगस्त्य संहिता, डी) कुरल</v>
      </c>
      <c r="I318" s="5" t="str">
        <f>IFERROR(__xludf.DUMMYFUNCTION("GOOGLETRANSLATE(D318, ""en"", ""hi"")"),"C) अगस्त्य संहिता")</f>
        <v>C) अगस्त्य संहिता</v>
      </c>
    </row>
    <row r="319" ht="22.5" customHeight="1">
      <c r="A319" s="3">
        <v>318.0</v>
      </c>
      <c r="B319" s="4" t="s">
        <v>10217</v>
      </c>
      <c r="C319" s="4" t="s">
        <v>10011</v>
      </c>
      <c r="D319" s="4" t="s">
        <v>10218</v>
      </c>
      <c r="F319" s="5" t="str">
        <f>IFERROR(__xludf.DUMMYFUNCTION("GOOGLETRANSLATE(A319, ""en"", ""hi"")"),"318")</f>
        <v>318</v>
      </c>
      <c r="G319" s="5" t="str">
        <f>IFERROR(__xludf.DUMMYFUNCTION("GOOGLETRANSLATE(B319, ""en"", ""hi"")"),"तमिल मध्यकाल के दौरान सिलंबम की प्रथा किस मार्शल आर्ट से प्रभावित थी?")</f>
        <v>तमिल मध्यकाल के दौरान सिलंबम की प्रथा किस मार्शल आर्ट से प्रभावित थी?</v>
      </c>
      <c r="H319" s="5" t="str">
        <f>IFERROR(__xludf.DUMMYFUNCTION("GOOGLETRANSLATE(C319, ""en"", ""hi"")"),"ए) कलारीपयट्टु, बी) वर्मा कलाई, सी) आदिमुराई, डी) माल्युथम")</f>
        <v>ए) कलारीपयट्टु, बी) वर्मा कलाई, सी) आदिमुराई, डी) माल्युथम</v>
      </c>
      <c r="I319" s="5" t="str">
        <f>IFERROR(__xludf.DUMMYFUNCTION("GOOGLETRANSLATE(D319, ""en"", ""hi"")"),"C) आदिमुराई")</f>
        <v>C) आदिमुराई</v>
      </c>
    </row>
    <row r="320" ht="22.5" customHeight="1">
      <c r="A320" s="3">
        <v>319.0</v>
      </c>
      <c r="B320" s="4" t="s">
        <v>10219</v>
      </c>
      <c r="C320" s="4" t="s">
        <v>10081</v>
      </c>
      <c r="D320" s="4" t="s">
        <v>9997</v>
      </c>
      <c r="F320" s="5" t="str">
        <f>IFERROR(__xludf.DUMMYFUNCTION("GOOGLETRANSLATE(A320, ""en"", ""hi"")"),"319")</f>
        <v>319</v>
      </c>
      <c r="G320" s="5" t="str">
        <f>IFERROR(__xludf.DUMMYFUNCTION("GOOGLETRANSLATE(B320, ""en"", ""hi"")"),"किस तमिल ऐतिहासिक राजा के शासनकाल ने सिलंबम के मानकीकरण में महत्वपूर्ण योगदान दिया?")</f>
        <v>किस तमिल ऐतिहासिक राजा के शासनकाल ने सिलंबम के मानकीकरण में महत्वपूर्ण योगदान दिया?</v>
      </c>
      <c r="H320" s="5" t="str">
        <f>IFERROR(__xludf.DUMMYFUNCTION("GOOGLETRANSLATE(C320, ""en"", ""hi"")"),"ए) राजराजा चोल, बी) राजेंद्र चोल, सी) सुंदरा चोल, डी) कुलोथुंगा चोल")</f>
        <v>ए) राजराजा चोल, बी) राजेंद्र चोल, सी) सुंदरा चोल, डी) कुलोथुंगा चोल</v>
      </c>
      <c r="I320" s="5" t="str">
        <f>IFERROR(__xludf.DUMMYFUNCTION("GOOGLETRANSLATE(D320, ""en"", ""hi"")"),"A) राजराजा चोल")</f>
        <v>A) राजराजा चोल</v>
      </c>
    </row>
    <row r="321" ht="22.5" customHeight="1">
      <c r="A321" s="3">
        <v>320.0</v>
      </c>
      <c r="B321" s="4" t="s">
        <v>10220</v>
      </c>
      <c r="C321" s="4" t="s">
        <v>10132</v>
      </c>
      <c r="D321" s="4" t="s">
        <v>10089</v>
      </c>
      <c r="F321" s="5" t="str">
        <f>IFERROR(__xludf.DUMMYFUNCTION("GOOGLETRANSLATE(A321, ""en"", ""hi"")"),"320")</f>
        <v>320</v>
      </c>
      <c r="G321" s="5" t="str">
        <f>IFERROR(__xludf.DUMMYFUNCTION("GOOGLETRANSLATE(B321, ""en"", ""hi"")"),"आधुनिक तमिलनाडु में सिलंबम के पुनरुत्थान का श्रेय किस ऐतिहासिक व्यक्ति को दिया जाता है?")</f>
        <v>आधुनिक तमिलनाडु में सिलंबम के पुनरुत्थान का श्रेय किस ऐतिहासिक व्यक्ति को दिया जाता है?</v>
      </c>
      <c r="H321" s="5" t="str">
        <f>IFERROR(__xludf.DUMMYFUNCTION("GOOGLETRANSLATE(C321,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21" s="5" t="str">
        <f>IFERROR(__xludf.DUMMYFUNCTION("GOOGLETRANSLATE(D321, ""en"", ""hi"")"),"A) वी. कृष्णमाचारी")</f>
        <v>A) वी. कृष्णमाचारी</v>
      </c>
    </row>
    <row r="322" ht="22.5" customHeight="1">
      <c r="A322" s="3">
        <v>321.0</v>
      </c>
      <c r="B322" s="4" t="s">
        <v>10221</v>
      </c>
      <c r="C322" s="4" t="s">
        <v>10170</v>
      </c>
      <c r="D322" s="4" t="s">
        <v>10171</v>
      </c>
      <c r="F322" s="5" t="str">
        <f>IFERROR(__xludf.DUMMYFUNCTION("GOOGLETRANSLATE(A322, ""en"", ""hi"")"),"321")</f>
        <v>321</v>
      </c>
      <c r="G322" s="5" t="str">
        <f>IFERROR(__xludf.DUMMYFUNCTION("GOOGLETRANSLATE(B322, ""en"", ""hi"")"),"सिलंबम की तकनीकों को किस पारंपरिक तमिल शिक्षा प्रणाली के माध्यम से प्रलेखित और संरक्षित किया गया था?")</f>
        <v>सिलंबम की तकनीकों को किस पारंपरिक तमिल शिक्षा प्रणाली के माध्यम से प्रलेखित और संरक्षित किया गया था?</v>
      </c>
      <c r="H322" s="5" t="str">
        <f>IFERROR(__xludf.DUMMYFUNCTION("GOOGLETRANSLATE(C322, ""en"", ""hi"")"),"A) गुरुकुल प्रणाली, B) शाही दरबार, C) मंदिर विद्यालय, D) मठ केंद्र")</f>
        <v>A) गुरुकुल प्रणाली, B) शाही दरबार, C) मंदिर विद्यालय, D) मठ केंद्र</v>
      </c>
      <c r="I322" s="5" t="str">
        <f>IFERROR(__xludf.DUMMYFUNCTION("GOOGLETRANSLATE(D322, ""en"", ""hi"")"),"A) गुरुकुल प्रणाली")</f>
        <v>A) गुरुकुल प्रणाली</v>
      </c>
    </row>
    <row r="323" ht="22.5" customHeight="1">
      <c r="A323" s="3">
        <v>322.0</v>
      </c>
      <c r="B323" s="4" t="s">
        <v>10222</v>
      </c>
      <c r="C323" s="4" t="s">
        <v>10081</v>
      </c>
      <c r="D323" s="4" t="s">
        <v>10082</v>
      </c>
      <c r="F323" s="5" t="str">
        <f>IFERROR(__xludf.DUMMYFUNCTION("GOOGLETRANSLATE(A323, ""en"", ""hi"")"),"322")</f>
        <v>322</v>
      </c>
      <c r="G323" s="5" t="str">
        <f>IFERROR(__xludf.DUMMYFUNCTION("GOOGLETRANSLATE(B323, ""en"", ""hi"")"),"मध्यकाल के दौरान सिलंबम के विकास और संवर्धन में किस तमिल राजा के संरक्षण ने महत्वपूर्ण भूमिका निभाई?")</f>
        <v>मध्यकाल के दौरान सिलंबम के विकास और संवर्धन में किस तमिल राजा के संरक्षण ने महत्वपूर्ण भूमिका निभाई?</v>
      </c>
      <c r="H323" s="5" t="str">
        <f>IFERROR(__xludf.DUMMYFUNCTION("GOOGLETRANSLATE(C323, ""en"", ""hi"")"),"ए) राजराजा चोल, बी) राजेंद्र चोल, सी) सुंदरा चोल, डी) कुलोथुंगा चोल")</f>
        <v>ए) राजराजा चोल, बी) राजेंद्र चोल, सी) सुंदरा चोल, डी) कुलोथुंगा चोल</v>
      </c>
      <c r="I323" s="5" t="str">
        <f>IFERROR(__xludf.DUMMYFUNCTION("GOOGLETRANSLATE(D323, ""en"", ""hi"")"),"B) राजेंद्र चोल")</f>
        <v>B) राजेंद्र चोल</v>
      </c>
    </row>
    <row r="324" ht="22.5" customHeight="1">
      <c r="A324" s="3">
        <v>323.0</v>
      </c>
      <c r="B324" s="4" t="s">
        <v>10223</v>
      </c>
      <c r="C324" s="4" t="s">
        <v>10123</v>
      </c>
      <c r="D324" s="4" t="s">
        <v>9539</v>
      </c>
      <c r="F324" s="5" t="str">
        <f>IFERROR(__xludf.DUMMYFUNCTION("GOOGLETRANSLATE(A324, ""en"", ""hi"")"),"323")</f>
        <v>323</v>
      </c>
      <c r="G324" s="5" t="str">
        <f>IFERROR(__xludf.DUMMYFUNCTION("GOOGLETRANSLATE(B324, ""en"", ""hi"")"),"तमिलनाडु के सैन्य इतिहास में सिलंबम की भूमिका पर प्रकाश डालने वाला ऐतिहासिक ग्रंथ कौन सा है?")</f>
        <v>तमिलनाडु के सैन्य इतिहास में सिलंबम की भूमिका पर प्रकाश डालने वाला ऐतिहासिक ग्रंथ कौन सा है?</v>
      </c>
      <c r="H324" s="5" t="str">
        <f>IFERROR(__xludf.DUMMYFUNCTION("GOOGLETRANSLATE(C324, ""en"", ""hi"")"),"ए) टोलकाप्पियम, बी) सिलप्पातिकारम, सी) अगस्त्य संहिता, डी) कुरल")</f>
        <v>ए) टोलकाप्पियम, बी) सिलप्पातिकारम, सी) अगस्त्य संहिता, डी) कुरल</v>
      </c>
      <c r="I324" s="5" t="str">
        <f>IFERROR(__xludf.DUMMYFUNCTION("GOOGLETRANSLATE(D324, ""en"", ""hi"")"),"बी) सिलप्पाटिकरम")</f>
        <v>बी) सिलप्पाटिकरम</v>
      </c>
    </row>
    <row r="325" ht="22.5" customHeight="1">
      <c r="A325" s="3">
        <v>324.0</v>
      </c>
      <c r="B325" s="4" t="s">
        <v>10224</v>
      </c>
      <c r="C325" s="4" t="s">
        <v>10081</v>
      </c>
      <c r="D325" s="4" t="s">
        <v>9997</v>
      </c>
      <c r="F325" s="5" t="str">
        <f>IFERROR(__xludf.DUMMYFUNCTION("GOOGLETRANSLATE(A325, ""en"", ""hi"")"),"324")</f>
        <v>324</v>
      </c>
      <c r="G325" s="5" t="str">
        <f>IFERROR(__xludf.DUMMYFUNCTION("GOOGLETRANSLATE(B325, ""en"", ""hi"")"),"किस तमिल राजा के शासनकाल में सिलंबम एक महत्वपूर्ण मार्शल आर्ट के रूप में फला-फूला?")</f>
        <v>किस तमिल राजा के शासनकाल में सिलंबम एक महत्वपूर्ण मार्शल आर्ट के रूप में फला-फूला?</v>
      </c>
      <c r="H325" s="5" t="str">
        <f>IFERROR(__xludf.DUMMYFUNCTION("GOOGLETRANSLATE(C325, ""en"", ""hi"")"),"ए) राजराजा चोल, बी) राजेंद्र चोल, सी) सुंदरा चोल, डी) कुलोथुंगा चोल")</f>
        <v>ए) राजराजा चोल, बी) राजेंद्र चोल, सी) सुंदरा चोल, डी) कुलोथुंगा चोल</v>
      </c>
      <c r="I325" s="5" t="str">
        <f>IFERROR(__xludf.DUMMYFUNCTION("GOOGLETRANSLATE(D325, ""en"", ""hi"")"),"A) राजराजा चोल")</f>
        <v>A) राजराजा चोल</v>
      </c>
    </row>
    <row r="326" ht="22.5" customHeight="1">
      <c r="A326" s="3">
        <v>325.0</v>
      </c>
      <c r="B326" s="4" t="s">
        <v>10225</v>
      </c>
      <c r="C326" s="4" t="s">
        <v>9959</v>
      </c>
      <c r="D326" s="4" t="s">
        <v>9960</v>
      </c>
      <c r="F326" s="5" t="str">
        <f>IFERROR(__xludf.DUMMYFUNCTION("GOOGLETRANSLATE(A326, ""en"", ""hi"")"),"325")</f>
        <v>325</v>
      </c>
      <c r="G326" s="5" t="str">
        <f>IFERROR(__xludf.DUMMYFUNCTION("GOOGLETRANSLATE(B326, ""en"", ""hi"")"),"मध्यकाल में सिलंबम प्रथा किस तमिल योद्धा समुदाय से प्रभावित थी?")</f>
        <v>मध्यकाल में सिलंबम प्रथा किस तमिल योद्धा समुदाय से प्रभावित थी?</v>
      </c>
      <c r="H326" s="5" t="str">
        <f>IFERROR(__xludf.DUMMYFUNCTION("GOOGLETRANSLATE(C326, ""en"", ""hi"")"),"ए) कल्लार, बी) नादर, सी) वन्नियार, डी) पारावार")</f>
        <v>ए) कल्लार, बी) नादर, सी) वन्नियार, डी) पारावार</v>
      </c>
      <c r="I326" s="5" t="str">
        <f>IFERROR(__xludf.DUMMYFUNCTION("GOOGLETRANSLATE(D326, ""en"", ""hi"")"),"A) कल्लर")</f>
        <v>A) कल्लर</v>
      </c>
    </row>
    <row r="327" ht="22.5" customHeight="1">
      <c r="A327" s="3">
        <v>326.0</v>
      </c>
      <c r="B327" s="4" t="s">
        <v>10226</v>
      </c>
      <c r="C327" s="4" t="s">
        <v>10132</v>
      </c>
      <c r="D327" s="4" t="s">
        <v>10089</v>
      </c>
      <c r="F327" s="5" t="str">
        <f>IFERROR(__xludf.DUMMYFUNCTION("GOOGLETRANSLATE(A327, ""en"", ""hi"")"),"326")</f>
        <v>326</v>
      </c>
      <c r="G327" s="5" t="str">
        <f>IFERROR(__xludf.DUMMYFUNCTION("GOOGLETRANSLATE(B327, ""en"", ""hi"")"),"औपनिवेशिक काल के दौरान सिलंबम तकनीकों के संरक्षण और पुनरुद्धार के प्रयासों के लिए कौन सा तमिल व्यक्ति जाना जाता है?")</f>
        <v>औपनिवेशिक काल के दौरान सिलंबम तकनीकों के संरक्षण और पुनरुद्धार के प्रयासों के लिए कौन सा तमिल व्यक्ति जाना जाता है?</v>
      </c>
      <c r="H327" s="5" t="str">
        <f>IFERROR(__xludf.DUMMYFUNCTION("GOOGLETRANSLATE(C327,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27" s="5" t="str">
        <f>IFERROR(__xludf.DUMMYFUNCTION("GOOGLETRANSLATE(D327, ""en"", ""hi"")"),"A) वी. कृष्णमाचारी")</f>
        <v>A) वी. कृष्णमाचारी</v>
      </c>
    </row>
    <row r="328" ht="22.5" customHeight="1">
      <c r="A328" s="3">
        <v>327.0</v>
      </c>
      <c r="B328" s="4" t="s">
        <v>10227</v>
      </c>
      <c r="C328" s="4" t="s">
        <v>10123</v>
      </c>
      <c r="D328" s="4" t="s">
        <v>9982</v>
      </c>
      <c r="F328" s="5" t="str">
        <f>IFERROR(__xludf.DUMMYFUNCTION("GOOGLETRANSLATE(A328, ""en"", ""hi"")"),"327")</f>
        <v>327</v>
      </c>
      <c r="G328" s="5" t="str">
        <f>IFERROR(__xludf.DUMMYFUNCTION("GOOGLETRANSLATE(B328, ""en"", ""hi"")"),"सिलंबम का ऐतिहासिक महत्व किस प्राचीन तमिल ग्रंथ में वर्णित है?")</f>
        <v>सिलंबम का ऐतिहासिक महत्व किस प्राचीन तमिल ग्रंथ में वर्णित है?</v>
      </c>
      <c r="H328" s="5" t="str">
        <f>IFERROR(__xludf.DUMMYFUNCTION("GOOGLETRANSLATE(C328, ""en"", ""hi"")"),"ए) टोलकाप्पियम, बी) सिलप्पातिकारम, सी) अगस्त्य संहिता, डी) कुरल")</f>
        <v>ए) टोलकाप्पियम, बी) सिलप्पातिकारम, सी) अगस्त्य संहिता, डी) कुरल</v>
      </c>
      <c r="I328" s="5" t="str">
        <f>IFERROR(__xludf.DUMMYFUNCTION("GOOGLETRANSLATE(D328, ""en"", ""hi"")"),"C) अगस्त्य संहिता")</f>
        <v>C) अगस्त्य संहिता</v>
      </c>
    </row>
    <row r="329" ht="22.5" customHeight="1">
      <c r="A329" s="3">
        <v>328.0</v>
      </c>
      <c r="B329" s="4" t="s">
        <v>10228</v>
      </c>
      <c r="C329" s="4" t="s">
        <v>10081</v>
      </c>
      <c r="D329" s="4" t="s">
        <v>9997</v>
      </c>
      <c r="F329" s="5" t="str">
        <f>IFERROR(__xludf.DUMMYFUNCTION("GOOGLETRANSLATE(A329, ""en"", ""hi"")"),"328")</f>
        <v>328</v>
      </c>
      <c r="G329" s="5" t="str">
        <f>IFERROR(__xludf.DUMMYFUNCTION("GOOGLETRANSLATE(B329, ""en"", ""hi"")"),"किस तमिल राजा के शासनकाल के दौरान सिलंबम तकनीकों को महत्वपूर्ण संहिताकरण प्राप्त हुआ?")</f>
        <v>किस तमिल राजा के शासनकाल के दौरान सिलंबम तकनीकों को महत्वपूर्ण संहिताकरण प्राप्त हुआ?</v>
      </c>
      <c r="H329" s="5" t="str">
        <f>IFERROR(__xludf.DUMMYFUNCTION("GOOGLETRANSLATE(C329, ""en"", ""hi"")"),"ए) राजराजा चोल, बी) राजेंद्र चोल, सी) सुंदरा चोल, डी) कुलोथुंगा चोल")</f>
        <v>ए) राजराजा चोल, बी) राजेंद्र चोल, सी) सुंदरा चोल, डी) कुलोथुंगा चोल</v>
      </c>
      <c r="I329" s="5" t="str">
        <f>IFERROR(__xludf.DUMMYFUNCTION("GOOGLETRANSLATE(D329, ""en"", ""hi"")"),"A) राजराजा चोल")</f>
        <v>A) राजराजा चोल</v>
      </c>
    </row>
    <row r="330" ht="22.5" customHeight="1">
      <c r="A330" s="3">
        <v>329.0</v>
      </c>
      <c r="B330" s="4" t="s">
        <v>10229</v>
      </c>
      <c r="C330" s="4" t="s">
        <v>10050</v>
      </c>
      <c r="D330" s="4" t="s">
        <v>9542</v>
      </c>
      <c r="F330" s="5" t="str">
        <f>IFERROR(__xludf.DUMMYFUNCTION("GOOGLETRANSLATE(A330, ""en"", ""hi"")"),"329")</f>
        <v>329</v>
      </c>
      <c r="G330" s="5" t="str">
        <f>IFERROR(__xludf.DUMMYFUNCTION("GOOGLETRANSLATE(B330, ""en"", ""hi"")"),"आधुनिक समय में तमिलनाडु में सिलंबम का पुनरुत्थान किस सांस्कृतिक पुनरुत्थान आंदोलन से जुड़ा है?")</f>
        <v>आधुनिक समय में तमिलनाडु में सिलंबम का पुनरुत्थान किस सांस्कृतिक पुनरुत्थान आंदोलन से जुड़ा है?</v>
      </c>
      <c r="H330" s="5" t="str">
        <f>IFERROR(__xludf.DUMMYFUNCTION("GOOGLETRANSLATE(C330, ""en"", ""hi"")"),"A) तमिल पुनर्जागरण, B) भक्ति आंदोलन, C) सुधार आंदोलन, D) राष्ट्रवादी आंदोलन")</f>
        <v>A) तमिल पुनर्जागरण, B) भक्ति आंदोलन, C) सुधार आंदोलन, D) राष्ट्रवादी आंदोलन</v>
      </c>
      <c r="I330" s="5" t="str">
        <f>IFERROR(__xludf.DUMMYFUNCTION("GOOGLETRANSLATE(D330, ""en"", ""hi"")"),"A) तमिल पुनर्जागरण")</f>
        <v>A) तमिल पुनर्जागरण</v>
      </c>
    </row>
    <row r="331" ht="22.5" customHeight="1">
      <c r="A331" s="3">
        <v>330.0</v>
      </c>
      <c r="B331" s="4" t="s">
        <v>10230</v>
      </c>
      <c r="C331" s="4" t="s">
        <v>10081</v>
      </c>
      <c r="D331" s="4" t="s">
        <v>9997</v>
      </c>
      <c r="F331" s="5" t="str">
        <f>IFERROR(__xludf.DUMMYFUNCTION("GOOGLETRANSLATE(A331, ""en"", ""hi"")"),"330")</f>
        <v>330</v>
      </c>
      <c r="G331" s="5" t="str">
        <f>IFERROR(__xludf.DUMMYFUNCTION("GOOGLETRANSLATE(B331, ""en"", ""hi"")"),"किस तमिल राजा का शासनकाल सिलंबम तकनीकों और प्रशिक्षण विधियों के औपचारिककरण से जुड़ा है?")</f>
        <v>किस तमिल राजा का शासनकाल सिलंबम तकनीकों और प्रशिक्षण विधियों के औपचारिककरण से जुड़ा है?</v>
      </c>
      <c r="H331" s="5" t="str">
        <f>IFERROR(__xludf.DUMMYFUNCTION("GOOGLETRANSLATE(C331, ""en"", ""hi"")"),"ए) राजराजा चोल, बी) राजेंद्र चोल, सी) सुंदरा चोल, डी) कुलोथुंगा चोल")</f>
        <v>ए) राजराजा चोल, बी) राजेंद्र चोल, सी) सुंदरा चोल, डी) कुलोथुंगा चोल</v>
      </c>
      <c r="I331" s="5" t="str">
        <f>IFERROR(__xludf.DUMMYFUNCTION("GOOGLETRANSLATE(D331, ""en"", ""hi"")"),"A) राजराजा चोल")</f>
        <v>A) राजराजा चोल</v>
      </c>
    </row>
    <row r="332" ht="22.5" customHeight="1">
      <c r="A332" s="3">
        <v>331.0</v>
      </c>
      <c r="B332" s="4" t="s">
        <v>10231</v>
      </c>
      <c r="C332" s="4" t="s">
        <v>10179</v>
      </c>
      <c r="D332" s="4" t="s">
        <v>10180</v>
      </c>
      <c r="F332" s="5" t="str">
        <f>IFERROR(__xludf.DUMMYFUNCTION("GOOGLETRANSLATE(A332, ""en"", ""hi"")"),"331")</f>
        <v>331</v>
      </c>
      <c r="G332" s="5" t="str">
        <f>IFERROR(__xludf.DUMMYFUNCTION("GOOGLETRANSLATE(B332, ""en"", ""hi"")"),"तमिलनाडु में सिलंबम का पारंपरिक रूप से किस मार्शल आर्ट परंपरा के भाग के रूप में अभ्यास किया जाता था?")</f>
        <v>तमिलनाडु में सिलंबम का पारंपरिक रूप से किस मार्शल आर्ट परंपरा के भाग के रूप में अभ्यास किया जाता था?</v>
      </c>
      <c r="H332" s="5" t="str">
        <f>IFERROR(__xludf.DUMMYFUNCTION("GOOGLETRANSLATE(C332, ""en"", ""hi"")"),"ए) आदिमुराई, बी) कलारीपयट्टु, सी) वर्मा कलाई, डी) माल्युथम")</f>
        <v>ए) आदिमुराई, बी) कलारीपयट्टु, सी) वर्मा कलाई, डी) माल्युथम</v>
      </c>
      <c r="I332" s="5" t="str">
        <f>IFERROR(__xludf.DUMMYFUNCTION("GOOGLETRANSLATE(D332, ""en"", ""hi"")"),"A) आदिमुराई")</f>
        <v>A) आदिमुराई</v>
      </c>
    </row>
    <row r="333" ht="22.5" customHeight="1">
      <c r="A333" s="3">
        <v>332.0</v>
      </c>
      <c r="B333" s="4" t="s">
        <v>10232</v>
      </c>
      <c r="C333" s="4" t="s">
        <v>10123</v>
      </c>
      <c r="D333" s="4" t="s">
        <v>9982</v>
      </c>
      <c r="F333" s="5" t="str">
        <f>IFERROR(__xludf.DUMMYFUNCTION("GOOGLETRANSLATE(A333, ""en"", ""hi"")"),"332")</f>
        <v>332</v>
      </c>
      <c r="G333" s="5" t="str">
        <f>IFERROR(__xludf.DUMMYFUNCTION("GOOGLETRANSLATE(B333, ""en"", ""hi"")"),"कौन सा तमिल ग्रंथ सिलंबम तकनीकों और युद्ध में उनके अनुप्रयोग का विस्तृत विवरण प्रदान करता है?")</f>
        <v>कौन सा तमिल ग्रंथ सिलंबम तकनीकों और युद्ध में उनके अनुप्रयोग का विस्तृत विवरण प्रदान करता है?</v>
      </c>
      <c r="H333" s="5" t="str">
        <f>IFERROR(__xludf.DUMMYFUNCTION("GOOGLETRANSLATE(C333, ""en"", ""hi"")"),"ए) टोलकाप्पियम, बी) सिलप्पातिकारम, सी) अगस्त्य संहिता, डी) कुरल")</f>
        <v>ए) टोलकाप्पियम, बी) सिलप्पातिकारम, सी) अगस्त्य संहिता, डी) कुरल</v>
      </c>
      <c r="I333" s="5" t="str">
        <f>IFERROR(__xludf.DUMMYFUNCTION("GOOGLETRANSLATE(D333, ""en"", ""hi"")"),"C) अगस्त्य संहिता")</f>
        <v>C) अगस्त्य संहिता</v>
      </c>
    </row>
    <row r="334" ht="22.5" customHeight="1">
      <c r="A334" s="3">
        <v>333.0</v>
      </c>
      <c r="B334" s="4" t="s">
        <v>10233</v>
      </c>
      <c r="C334" s="4" t="s">
        <v>10123</v>
      </c>
      <c r="D334" s="4" t="s">
        <v>9539</v>
      </c>
      <c r="F334" s="5" t="str">
        <f>IFERROR(__xludf.DUMMYFUNCTION("GOOGLETRANSLATE(A334, ""en"", ""hi"")"),"333")</f>
        <v>333</v>
      </c>
      <c r="G334" s="5" t="str">
        <f>IFERROR(__xludf.DUMMYFUNCTION("GOOGLETRANSLATE(B334, ""en"", ""hi"")"),"तमिल सैन्य इतिहास में सिलंबम के महत्व पर किस ऐतिहासिक ग्रंथ में जोर दिया गया है?")</f>
        <v>तमिल सैन्य इतिहास में सिलंबम के महत्व पर किस ऐतिहासिक ग्रंथ में जोर दिया गया है?</v>
      </c>
      <c r="H334" s="5" t="str">
        <f>IFERROR(__xludf.DUMMYFUNCTION("GOOGLETRANSLATE(C334, ""en"", ""hi"")"),"ए) टोलकाप्पियम, बी) सिलप्पातिकारम, सी) अगस्त्य संहिता, डी) कुरल")</f>
        <v>ए) टोलकाप्पियम, बी) सिलप्पातिकारम, सी) अगस्त्य संहिता, डी) कुरल</v>
      </c>
      <c r="I334" s="5" t="str">
        <f>IFERROR(__xludf.DUMMYFUNCTION("GOOGLETRANSLATE(D334, ""en"", ""hi"")"),"बी) सिलप्पाटिकरम")</f>
        <v>बी) सिलप्पाटिकरम</v>
      </c>
    </row>
    <row r="335" ht="22.5" customHeight="1">
      <c r="A335" s="3">
        <v>334.0</v>
      </c>
      <c r="B335" s="4" t="s">
        <v>10234</v>
      </c>
      <c r="C335" s="4" t="s">
        <v>10081</v>
      </c>
      <c r="D335" s="4" t="s">
        <v>10082</v>
      </c>
      <c r="F335" s="5" t="str">
        <f>IFERROR(__xludf.DUMMYFUNCTION("GOOGLETRANSLATE(A335, ""en"", ""hi"")"),"334")</f>
        <v>334</v>
      </c>
      <c r="G335" s="5" t="str">
        <f>IFERROR(__xludf.DUMMYFUNCTION("GOOGLETRANSLATE(B335, ""en"", ""hi"")"),"किस तमिल राजा के संरक्षण से सिलंबम तकनीक का विकास और मानकीकरण हुआ?")</f>
        <v>किस तमिल राजा के संरक्षण से सिलंबम तकनीक का विकास और मानकीकरण हुआ?</v>
      </c>
      <c r="H335" s="5" t="str">
        <f>IFERROR(__xludf.DUMMYFUNCTION("GOOGLETRANSLATE(C335, ""en"", ""hi"")"),"ए) राजराजा चोल, बी) राजेंद्र चोल, सी) सुंदरा चोल, डी) कुलोथुंगा चोल")</f>
        <v>ए) राजराजा चोल, बी) राजेंद्र चोल, सी) सुंदरा चोल, डी) कुलोथुंगा चोल</v>
      </c>
      <c r="I335" s="5" t="str">
        <f>IFERROR(__xludf.DUMMYFUNCTION("GOOGLETRANSLATE(D335, ""en"", ""hi"")"),"B) राजेंद्र चोल")</f>
        <v>B) राजेंद्र चोल</v>
      </c>
    </row>
    <row r="336" ht="22.5" customHeight="1">
      <c r="A336" s="3">
        <v>335.0</v>
      </c>
      <c r="B336" s="4" t="s">
        <v>10235</v>
      </c>
      <c r="C336" s="4" t="s">
        <v>10132</v>
      </c>
      <c r="D336" s="4" t="s">
        <v>10089</v>
      </c>
      <c r="F336" s="5" t="str">
        <f>IFERROR(__xludf.DUMMYFUNCTION("GOOGLETRANSLATE(A336, ""en"", ""hi"")"),"335")</f>
        <v>335</v>
      </c>
      <c r="G336" s="5" t="str">
        <f>IFERROR(__xludf.DUMMYFUNCTION("GOOGLETRANSLATE(B336, ""en"", ""hi"")"),"हाल के दिनों में तमिलनाडु में सिलंबम के पुनरुत्थान को अक्सर किस आंकड़े से जोड़ा जाता है?")</f>
        <v>हाल के दिनों में तमिलनाडु में सिलंबम के पुनरुत्थान को अक्सर किस आंकड़े से जोड़ा जाता है?</v>
      </c>
      <c r="H336" s="5" t="str">
        <f>IFERROR(__xludf.DUMMYFUNCTION("GOOGLETRANSLATE(C336,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36" s="5" t="str">
        <f>IFERROR(__xludf.DUMMYFUNCTION("GOOGLETRANSLATE(D336, ""en"", ""hi"")"),"A) वी. कृष्णमाचारी")</f>
        <v>A) वी. कृष्णमाचारी</v>
      </c>
    </row>
    <row r="337" ht="22.5" customHeight="1">
      <c r="A337" s="3">
        <v>336.0</v>
      </c>
      <c r="B337" s="4" t="s">
        <v>10236</v>
      </c>
      <c r="C337" s="4" t="s">
        <v>10123</v>
      </c>
      <c r="D337" s="4" t="s">
        <v>9539</v>
      </c>
      <c r="F337" s="5" t="str">
        <f>IFERROR(__xludf.DUMMYFUNCTION("GOOGLETRANSLATE(A337, ""en"", ""hi"")"),"336")</f>
        <v>336</v>
      </c>
      <c r="G337" s="5" t="str">
        <f>IFERROR(__xludf.DUMMYFUNCTION("GOOGLETRANSLATE(B337, ""en"", ""hi"")"),"तमिलनाडु की ऐतिहासिक सैन्य रणनीतियों में सिलंबम की भूमिका किस प्राचीन तमिल ग्रंथ में वर्णित है?")</f>
        <v>तमिलनाडु की ऐतिहासिक सैन्य रणनीतियों में सिलंबम की भूमिका किस प्राचीन तमिल ग्रंथ में वर्णित है?</v>
      </c>
      <c r="H337" s="5" t="str">
        <f>IFERROR(__xludf.DUMMYFUNCTION("GOOGLETRANSLATE(C337, ""en"", ""hi"")"),"ए) टोलकाप्पियम, बी) सिलप्पातिकारम, सी) अगस्त्य संहिता, डी) कुरल")</f>
        <v>ए) टोलकाप्पियम, बी) सिलप्पातिकारम, सी) अगस्त्य संहिता, डी) कुरल</v>
      </c>
      <c r="I337" s="5" t="str">
        <f>IFERROR(__xludf.DUMMYFUNCTION("GOOGLETRANSLATE(D337, ""en"", ""hi"")"),"बी) सिलप्पाटिकरम")</f>
        <v>बी) सिलप्पाटिकरम</v>
      </c>
    </row>
    <row r="338" ht="22.5" customHeight="1">
      <c r="A338" s="3">
        <v>337.0</v>
      </c>
      <c r="B338" s="4" t="s">
        <v>10237</v>
      </c>
      <c r="C338" s="4" t="s">
        <v>10081</v>
      </c>
      <c r="D338" s="4" t="s">
        <v>9997</v>
      </c>
      <c r="F338" s="5" t="str">
        <f>IFERROR(__xludf.DUMMYFUNCTION("GOOGLETRANSLATE(A338, ""en"", ""hi"")"),"337")</f>
        <v>337</v>
      </c>
      <c r="G338" s="5" t="str">
        <f>IFERROR(__xludf.DUMMYFUNCTION("GOOGLETRANSLATE(B338, ""en"", ""hi"")"),"किस तमिल राजा के शासनकाल में सैन्य प्रशिक्षण के प्रमुख तत्व के रूप में सिलंबम का विकास हुआ?")</f>
        <v>किस तमिल राजा के शासनकाल में सैन्य प्रशिक्षण के प्रमुख तत्व के रूप में सिलंबम का विकास हुआ?</v>
      </c>
      <c r="H338" s="5" t="str">
        <f>IFERROR(__xludf.DUMMYFUNCTION("GOOGLETRANSLATE(C338, ""en"", ""hi"")"),"ए) राजराजा चोल, बी) राजेंद्र चोल, सी) सुंदरा चोल, डी) कुलोथुंगा चोल")</f>
        <v>ए) राजराजा चोल, बी) राजेंद्र चोल, सी) सुंदरा चोल, डी) कुलोथुंगा चोल</v>
      </c>
      <c r="I338" s="5" t="str">
        <f>IFERROR(__xludf.DUMMYFUNCTION("GOOGLETRANSLATE(D338, ""en"", ""hi"")"),"A) राजराजा चोल")</f>
        <v>A) राजराजा चोल</v>
      </c>
    </row>
    <row r="339" ht="22.5" customHeight="1">
      <c r="A339" s="3">
        <v>338.0</v>
      </c>
      <c r="B339" s="4" t="s">
        <v>10238</v>
      </c>
      <c r="C339" s="4" t="s">
        <v>9959</v>
      </c>
      <c r="D339" s="4" t="s">
        <v>9960</v>
      </c>
      <c r="F339" s="5" t="str">
        <f>IFERROR(__xludf.DUMMYFUNCTION("GOOGLETRANSLATE(A339, ""en"", ""hi"")"),"338")</f>
        <v>338</v>
      </c>
      <c r="G339" s="5" t="str">
        <f>IFERROR(__xludf.DUMMYFUNCTION("GOOGLETRANSLATE(B339, ""en"", ""hi"")"),"प्राचीन काल में सिलंबम प्रथा किस तमिल योद्धा समुदाय से प्रभावित थी?")</f>
        <v>प्राचीन काल में सिलंबम प्रथा किस तमिल योद्धा समुदाय से प्रभावित थी?</v>
      </c>
      <c r="H339" s="5" t="str">
        <f>IFERROR(__xludf.DUMMYFUNCTION("GOOGLETRANSLATE(C339, ""en"", ""hi"")"),"ए) कल्लार, बी) नादर, सी) वन्नियार, डी) पारावार")</f>
        <v>ए) कल्लार, बी) नादर, सी) वन्नियार, डी) पारावार</v>
      </c>
      <c r="I339" s="5" t="str">
        <f>IFERROR(__xludf.DUMMYFUNCTION("GOOGLETRANSLATE(D339, ""en"", ""hi"")"),"A) कल्लर")</f>
        <v>A) कल्लर</v>
      </c>
    </row>
    <row r="340" ht="22.5" customHeight="1">
      <c r="A340" s="3">
        <v>339.0</v>
      </c>
      <c r="B340" s="4" t="s">
        <v>10239</v>
      </c>
      <c r="C340" s="4" t="s">
        <v>10132</v>
      </c>
      <c r="D340" s="4" t="s">
        <v>10089</v>
      </c>
      <c r="F340" s="5" t="str">
        <f>IFERROR(__xludf.DUMMYFUNCTION("GOOGLETRANSLATE(A340, ""en"", ""hi"")"),"339")</f>
        <v>339</v>
      </c>
      <c r="G340" s="5" t="str">
        <f>IFERROR(__xludf.DUMMYFUNCTION("GOOGLETRANSLATE(B340, ""en"", ""hi"")"),"औपनिवेशिक युग के दौरान सिलंबम के संरक्षण और पुनरुद्धार का श्रेय किस तमिल व्यक्ति को दिया जाता है?")</f>
        <v>औपनिवेशिक युग के दौरान सिलंबम के संरक्षण और पुनरुद्धार का श्रेय किस तमिल व्यक्ति को दिया जाता है?</v>
      </c>
      <c r="H340" s="5" t="str">
        <f>IFERROR(__xludf.DUMMYFUNCTION("GOOGLETRANSLATE(C340,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40" s="5" t="str">
        <f>IFERROR(__xludf.DUMMYFUNCTION("GOOGLETRANSLATE(D340, ""en"", ""hi"")"),"A) वी. कृष्णमाचारी")</f>
        <v>A) वी. कृष्णमाचारी</v>
      </c>
    </row>
    <row r="341" ht="22.5" customHeight="1">
      <c r="A341" s="3">
        <v>340.0</v>
      </c>
      <c r="B341" s="4" t="s">
        <v>10240</v>
      </c>
      <c r="C341" s="4" t="s">
        <v>10123</v>
      </c>
      <c r="D341" s="4" t="s">
        <v>9982</v>
      </c>
      <c r="F341" s="5" t="str">
        <f>IFERROR(__xludf.DUMMYFUNCTION("GOOGLETRANSLATE(A341, ""en"", ""hi"")"),"340")</f>
        <v>340</v>
      </c>
      <c r="G341" s="5" t="str">
        <f>IFERROR(__xludf.DUMMYFUNCTION("GOOGLETRANSLATE(B341, ""en"", ""hi"")"),"तमिल सैन्य इतिहास में सिलंबम के महत्व पर प्रकाश डालने वाला ऐतिहासिक ग्रंथ कौन सा है?")</f>
        <v>तमिल सैन्य इतिहास में सिलंबम के महत्व पर प्रकाश डालने वाला ऐतिहासिक ग्रंथ कौन सा है?</v>
      </c>
      <c r="H341" s="5" t="str">
        <f>IFERROR(__xludf.DUMMYFUNCTION("GOOGLETRANSLATE(C341, ""en"", ""hi"")"),"ए) टोलकाप्पियम, बी) सिलप्पातिकारम, सी) अगस्त्य संहिता, डी) कुरल")</f>
        <v>ए) टोलकाप्पियम, बी) सिलप्पातिकारम, सी) अगस्त्य संहिता, डी) कुरल</v>
      </c>
      <c r="I341" s="5" t="str">
        <f>IFERROR(__xludf.DUMMYFUNCTION("GOOGLETRANSLATE(D341, ""en"", ""hi"")"),"C) अगस्त्य संहिता")</f>
        <v>C) अगस्त्य संहिता</v>
      </c>
    </row>
    <row r="342" ht="22.5" customHeight="1">
      <c r="A342" s="3">
        <v>341.0</v>
      </c>
      <c r="B342" s="4" t="s">
        <v>10241</v>
      </c>
      <c r="C342" s="4" t="s">
        <v>10081</v>
      </c>
      <c r="D342" s="4" t="s">
        <v>10082</v>
      </c>
      <c r="F342" s="5" t="str">
        <f>IFERROR(__xludf.DUMMYFUNCTION("GOOGLETRANSLATE(A342, ""en"", ""hi"")"),"341")</f>
        <v>341</v>
      </c>
      <c r="G342" s="5" t="str">
        <f>IFERROR(__xludf.DUMMYFUNCTION("GOOGLETRANSLATE(B342, ""en"", ""hi"")"),"किस तमिल राजा के शासनकाल ने सिलंबम तकनीकों के व्यापक संहिताकरण और मानकीकरण में योगदान दिया?")</f>
        <v>किस तमिल राजा के शासनकाल ने सिलंबम तकनीकों के व्यापक संहिताकरण और मानकीकरण में योगदान दिया?</v>
      </c>
      <c r="H342" s="5" t="str">
        <f>IFERROR(__xludf.DUMMYFUNCTION("GOOGLETRANSLATE(C342, ""en"", ""hi"")"),"ए) राजराजा चोल, बी) राजेंद्र चोल, सी) सुंदरा चोल, डी) कुलोथुंगा चोल")</f>
        <v>ए) राजराजा चोल, बी) राजेंद्र चोल, सी) सुंदरा चोल, डी) कुलोथुंगा चोल</v>
      </c>
      <c r="I342" s="5" t="str">
        <f>IFERROR(__xludf.DUMMYFUNCTION("GOOGLETRANSLATE(D342, ""en"", ""hi"")"),"B) राजेंद्र चोल")</f>
        <v>B) राजेंद्र चोल</v>
      </c>
    </row>
    <row r="343" ht="22.5" customHeight="1">
      <c r="A343" s="3">
        <v>342.0</v>
      </c>
      <c r="B343" s="4" t="s">
        <v>10242</v>
      </c>
      <c r="C343" s="4" t="s">
        <v>10170</v>
      </c>
      <c r="D343" s="4" t="s">
        <v>10171</v>
      </c>
      <c r="F343" s="5" t="str">
        <f>IFERROR(__xludf.DUMMYFUNCTION("GOOGLETRANSLATE(A343, ""en"", ""hi"")"),"342")</f>
        <v>342</v>
      </c>
      <c r="G343" s="5" t="str">
        <f>IFERROR(__xludf.DUMMYFUNCTION("GOOGLETRANSLATE(B343, ""en"", ""hi"")"),"सिलंबम की पारंपरिक तकनीकें किस तमिल शिक्षा प्रणाली के माध्यम से आगे बढ़ाई गईं?")</f>
        <v>सिलंबम की पारंपरिक तकनीकें किस तमिल शिक्षा प्रणाली के माध्यम से आगे बढ़ाई गईं?</v>
      </c>
      <c r="H343" s="5" t="str">
        <f>IFERROR(__xludf.DUMMYFUNCTION("GOOGLETRANSLATE(C343, ""en"", ""hi"")"),"A) गुरुकुल प्रणाली, B) शाही दरबार, C) मंदिर विद्यालय, D) मठ केंद्र")</f>
        <v>A) गुरुकुल प्रणाली, B) शाही दरबार, C) मंदिर विद्यालय, D) मठ केंद्र</v>
      </c>
      <c r="I343" s="5" t="str">
        <f>IFERROR(__xludf.DUMMYFUNCTION("GOOGLETRANSLATE(D343, ""en"", ""hi"")"),"A) गुरुकुल प्रणाली")</f>
        <v>A) गुरुकुल प्रणाली</v>
      </c>
    </row>
    <row r="344" ht="22.5" customHeight="1">
      <c r="A344" s="3">
        <v>343.0</v>
      </c>
      <c r="B344" s="4" t="s">
        <v>10243</v>
      </c>
      <c r="C344" s="4" t="s">
        <v>10050</v>
      </c>
      <c r="D344" s="4" t="s">
        <v>9542</v>
      </c>
      <c r="F344" s="5" t="str">
        <f>IFERROR(__xludf.DUMMYFUNCTION("GOOGLETRANSLATE(A344, ""en"", ""hi"")"),"343")</f>
        <v>343</v>
      </c>
      <c r="G344" s="5" t="str">
        <f>IFERROR(__xludf.DUMMYFUNCTION("GOOGLETRANSLATE(B344, ""en"", ""hi"")"),"आधुनिक तमिलनाडु में सिलंबम का पुनरुत्थान किस सांस्कृतिक पुनरुत्थान आंदोलन से जुड़ा है?")</f>
        <v>आधुनिक तमिलनाडु में सिलंबम का पुनरुत्थान किस सांस्कृतिक पुनरुत्थान आंदोलन से जुड़ा है?</v>
      </c>
      <c r="H344" s="5" t="str">
        <f>IFERROR(__xludf.DUMMYFUNCTION("GOOGLETRANSLATE(C344, ""en"", ""hi"")"),"A) तमिल पुनर्जागरण, B) भक्ति आंदोलन, C) सुधार आंदोलन, D) राष्ट्रवादी आंदोलन")</f>
        <v>A) तमिल पुनर्जागरण, B) भक्ति आंदोलन, C) सुधार आंदोलन, D) राष्ट्रवादी आंदोलन</v>
      </c>
      <c r="I344" s="5" t="str">
        <f>IFERROR(__xludf.DUMMYFUNCTION("GOOGLETRANSLATE(D344, ""en"", ""hi"")"),"A) तमिल पुनर्जागरण")</f>
        <v>A) तमिल पुनर्जागरण</v>
      </c>
    </row>
    <row r="345" ht="22.5" customHeight="1">
      <c r="A345" s="3">
        <v>344.0</v>
      </c>
      <c r="B345" s="4" t="s">
        <v>10244</v>
      </c>
      <c r="C345" s="4" t="s">
        <v>10081</v>
      </c>
      <c r="D345" s="4" t="s">
        <v>9997</v>
      </c>
      <c r="F345" s="5" t="str">
        <f>IFERROR(__xludf.DUMMYFUNCTION("GOOGLETRANSLATE(A345, ""en"", ""hi"")"),"344")</f>
        <v>344</v>
      </c>
      <c r="G345" s="5" t="str">
        <f>IFERROR(__xludf.DUMMYFUNCTION("GOOGLETRANSLATE(B345, ""en"", ""hi"")"),"किस तमिल राजा के शासनकाल में सिलंबम को एक महत्वपूर्ण मार्शल आर्ट के रूप में बढ़ावा और विकास मिला?")</f>
        <v>किस तमिल राजा के शासनकाल में सिलंबम को एक महत्वपूर्ण मार्शल आर्ट के रूप में बढ़ावा और विकास मिला?</v>
      </c>
      <c r="H345" s="5" t="str">
        <f>IFERROR(__xludf.DUMMYFUNCTION("GOOGLETRANSLATE(C345, ""en"", ""hi"")"),"ए) राजराजा चोल, बी) राजेंद्र चोल, सी) सुंदरा चोल, डी) कुलोथुंगा चोल")</f>
        <v>ए) राजराजा चोल, बी) राजेंद्र चोल, सी) सुंदरा चोल, डी) कुलोथुंगा चोल</v>
      </c>
      <c r="I345" s="5" t="str">
        <f>IFERROR(__xludf.DUMMYFUNCTION("GOOGLETRANSLATE(D345, ""en"", ""hi"")"),"A) राजराजा चोल")</f>
        <v>A) राजराजा चोल</v>
      </c>
    </row>
    <row r="346" ht="22.5" customHeight="1">
      <c r="A346" s="3">
        <v>345.0</v>
      </c>
      <c r="B346" s="4" t="s">
        <v>10245</v>
      </c>
      <c r="C346" s="4" t="s">
        <v>10123</v>
      </c>
      <c r="D346" s="4" t="s">
        <v>9539</v>
      </c>
      <c r="F346" s="5" t="str">
        <f>IFERROR(__xludf.DUMMYFUNCTION("GOOGLETRANSLATE(A346, ""en"", ""hi"")"),"345")</f>
        <v>345</v>
      </c>
      <c r="G346" s="5" t="str">
        <f>IFERROR(__xludf.DUMMYFUNCTION("GOOGLETRANSLATE(B346, ""en"", ""hi"")"),"सिलंबम का ऐतिहासिक महत्व किस पारंपरिक तमिल ग्रंथ में वर्णित है?")</f>
        <v>सिलंबम का ऐतिहासिक महत्व किस पारंपरिक तमिल ग्रंथ में वर्णित है?</v>
      </c>
      <c r="H346" s="5" t="str">
        <f>IFERROR(__xludf.DUMMYFUNCTION("GOOGLETRANSLATE(C346, ""en"", ""hi"")"),"ए) टोलकाप्पियम, बी) सिलप्पातिकारम, सी) अगस्त्य संहिता, डी) कुरल")</f>
        <v>ए) टोलकाप्पियम, बी) सिलप्पातिकारम, सी) अगस्त्य संहिता, डी) कुरल</v>
      </c>
      <c r="I346" s="5" t="str">
        <f>IFERROR(__xludf.DUMMYFUNCTION("GOOGLETRANSLATE(D346, ""en"", ""hi"")"),"बी) सिलप्पाटिकरम")</f>
        <v>बी) सिलप्पाटिकरम</v>
      </c>
    </row>
    <row r="347" ht="22.5" customHeight="1">
      <c r="A347" s="3">
        <v>346.0</v>
      </c>
      <c r="B347" s="4" t="s">
        <v>10246</v>
      </c>
      <c r="C347" s="4" t="s">
        <v>10081</v>
      </c>
      <c r="D347" s="4" t="s">
        <v>9997</v>
      </c>
      <c r="F347" s="5" t="str">
        <f>IFERROR(__xludf.DUMMYFUNCTION("GOOGLETRANSLATE(A347, ""en"", ""hi"")"),"346")</f>
        <v>346</v>
      </c>
      <c r="G347" s="5" t="str">
        <f>IFERROR(__xludf.DUMMYFUNCTION("GOOGLETRANSLATE(B347, ""en"", ""hi"")"),"सिलंबम तकनीकों के मानकीकरण और संहिताकरण में किस तमिल राजा का संरक्षण महत्वपूर्ण था?")</f>
        <v>सिलंबम तकनीकों के मानकीकरण और संहिताकरण में किस तमिल राजा का संरक्षण महत्वपूर्ण था?</v>
      </c>
      <c r="H347" s="5" t="str">
        <f>IFERROR(__xludf.DUMMYFUNCTION("GOOGLETRANSLATE(C347, ""en"", ""hi"")"),"ए) राजराजा चोल, बी) राजेंद्र चोल, सी) सुंदरा चोल, डी) कुलोथुंगा चोल")</f>
        <v>ए) राजराजा चोल, बी) राजेंद्र चोल, सी) सुंदरा चोल, डी) कुलोथुंगा चोल</v>
      </c>
      <c r="I347" s="5" t="str">
        <f>IFERROR(__xludf.DUMMYFUNCTION("GOOGLETRANSLATE(D347, ""en"", ""hi"")"),"A) राजराजा चोल")</f>
        <v>A) राजराजा चोल</v>
      </c>
    </row>
    <row r="348" ht="22.5" customHeight="1">
      <c r="A348" s="3">
        <v>347.0</v>
      </c>
      <c r="B348" s="4" t="s">
        <v>10247</v>
      </c>
      <c r="C348" s="4" t="s">
        <v>10123</v>
      </c>
      <c r="D348" s="4" t="s">
        <v>9982</v>
      </c>
      <c r="F348" s="5" t="str">
        <f>IFERROR(__xludf.DUMMYFUNCTION("GOOGLETRANSLATE(A348, ""en"", ""hi"")"),"347")</f>
        <v>347</v>
      </c>
      <c r="G348" s="5" t="str">
        <f>IFERROR(__xludf.DUMMYFUNCTION("GOOGLETRANSLATE(B348, ""en"", ""hi"")"),"तमिलनाडु के सैन्य इतिहास में सिलंबम की भूमिका किस प्राचीन ग्रंथ में उजागर की गई है?")</f>
        <v>तमिलनाडु के सैन्य इतिहास में सिलंबम की भूमिका किस प्राचीन ग्रंथ में उजागर की गई है?</v>
      </c>
      <c r="H348" s="5" t="str">
        <f>IFERROR(__xludf.DUMMYFUNCTION("GOOGLETRANSLATE(C348, ""en"", ""hi"")"),"ए) टोलकाप्पियम, बी) सिलप्पातिकारम, सी) अगस्त्य संहिता, डी) कुरल")</f>
        <v>ए) टोलकाप्पियम, बी) सिलप्पातिकारम, सी) अगस्त्य संहिता, डी) कुरल</v>
      </c>
      <c r="I348" s="5" t="str">
        <f>IFERROR(__xludf.DUMMYFUNCTION("GOOGLETRANSLATE(D348, ""en"", ""hi"")"),"C) अगस्त्य संहिता")</f>
        <v>C) अगस्त्य संहिता</v>
      </c>
    </row>
    <row r="349" ht="22.5" customHeight="1">
      <c r="A349" s="3">
        <v>348.0</v>
      </c>
      <c r="B349" s="4" t="s">
        <v>10248</v>
      </c>
      <c r="C349" s="4" t="s">
        <v>10081</v>
      </c>
      <c r="D349" s="4" t="s">
        <v>9997</v>
      </c>
      <c r="F349" s="5" t="str">
        <f>IFERROR(__xludf.DUMMYFUNCTION("GOOGLETRANSLATE(A349, ""en"", ""hi"")"),"348")</f>
        <v>348</v>
      </c>
      <c r="G349" s="5" t="str">
        <f>IFERROR(__xludf.DUMMYFUNCTION("GOOGLETRANSLATE(B349, ""en"", ""hi"")"),"किस तमिल राजा के शासनकाल के दौरान सिलंबम तकनीक मानकीकृत और संहिताबद्ध हो गई?")</f>
        <v>किस तमिल राजा के शासनकाल के दौरान सिलंबम तकनीक मानकीकृत और संहिताबद्ध हो गई?</v>
      </c>
      <c r="H349" s="5" t="str">
        <f>IFERROR(__xludf.DUMMYFUNCTION("GOOGLETRANSLATE(C349, ""en"", ""hi"")"),"ए) राजराजा चोल, बी) राजेंद्र चोल, सी) सुंदरा चोल, डी) कुलोथुंगा चोल")</f>
        <v>ए) राजराजा चोल, बी) राजेंद्र चोल, सी) सुंदरा चोल, डी) कुलोथुंगा चोल</v>
      </c>
      <c r="I349" s="5" t="str">
        <f>IFERROR(__xludf.DUMMYFUNCTION("GOOGLETRANSLATE(D349, ""en"", ""hi"")"),"A) राजराजा चोल")</f>
        <v>A) राजराजा चोल</v>
      </c>
    </row>
    <row r="350" ht="22.5" customHeight="1">
      <c r="A350" s="3">
        <v>349.0</v>
      </c>
      <c r="B350" s="4" t="s">
        <v>10249</v>
      </c>
      <c r="C350" s="4" t="s">
        <v>10132</v>
      </c>
      <c r="D350" s="4" t="s">
        <v>10089</v>
      </c>
      <c r="F350" s="5" t="str">
        <f>IFERROR(__xludf.DUMMYFUNCTION("GOOGLETRANSLATE(A350, ""en"", ""hi"")"),"349")</f>
        <v>349</v>
      </c>
      <c r="G350" s="5" t="str">
        <f>IFERROR(__xludf.DUMMYFUNCTION("GOOGLETRANSLATE(B350, ""en"", ""hi"")"),"आधुनिक समय में तमिलनाडु में सिलंबम का पुनरुत्थान अक्सर किस सांस्कृतिक व्यक्तित्व से जुड़ा हुआ है?")</f>
        <v>आधुनिक समय में तमिलनाडु में सिलंबम का पुनरुत्थान अक्सर किस सांस्कृतिक व्यक्तित्व से जुड़ा हुआ है?</v>
      </c>
      <c r="H350" s="5" t="str">
        <f>IFERROR(__xludf.DUMMYFUNCTION("GOOGLETRANSLATE(C350,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50" s="5" t="str">
        <f>IFERROR(__xludf.DUMMYFUNCTION("GOOGLETRANSLATE(D350, ""en"", ""hi"")"),"A) वी. कृष्णमाचारी")</f>
        <v>A) वी. कृष्णमाचारी</v>
      </c>
    </row>
    <row r="351" ht="22.5" customHeight="1">
      <c r="A351" s="3">
        <v>350.0</v>
      </c>
      <c r="B351" s="4" t="s">
        <v>10250</v>
      </c>
      <c r="C351" s="4" t="s">
        <v>10251</v>
      </c>
      <c r="D351" s="4" t="s">
        <v>9521</v>
      </c>
      <c r="F351" s="5" t="str">
        <f>IFERROR(__xludf.DUMMYFUNCTION("GOOGLETRANSLATE(A351, ""en"", ""hi"")"),"350")</f>
        <v>350</v>
      </c>
      <c r="G351" s="5" t="str">
        <f>IFERROR(__xludf.DUMMYFUNCTION("GOOGLETRANSLATE(B351, ""en"", ""hi"")"),"कौन सा प्राचीन तमिल राजा सिलंबम से जुड़ी सैन्य रणनीतियों से जुड़ा हुआ है?")</f>
        <v>कौन सा प्राचीन तमिल राजा सिलंबम से जुड़ी सैन्य रणनीतियों से जुड़ा हुआ है?</v>
      </c>
      <c r="H351" s="5" t="str">
        <f>IFERROR(__xludf.DUMMYFUNCTION("GOOGLETRANSLATE(C351, ""en"", ""hi"")"),"ए) राजराजा चोल, बी) करिकाला चोल, सी) परांतक चोल, डी) राजेंद्र चोल")</f>
        <v>ए) राजराजा चोल, बी) करिकाला चोल, सी) परांतक चोल, डी) राजेंद्र चोल</v>
      </c>
      <c r="I351" s="5" t="str">
        <f>IFERROR(__xludf.DUMMYFUNCTION("GOOGLETRANSLATE(D351, ""en"", ""hi"")"),"B) करिकाल चोल")</f>
        <v>B) करिकाल चोल</v>
      </c>
    </row>
    <row r="352" ht="22.5" customHeight="1">
      <c r="A352" s="3">
        <v>351.0</v>
      </c>
      <c r="B352" s="4" t="s">
        <v>10252</v>
      </c>
      <c r="C352" s="4" t="s">
        <v>10253</v>
      </c>
      <c r="D352" s="4" t="s">
        <v>10254</v>
      </c>
      <c r="F352" s="5" t="str">
        <f>IFERROR(__xludf.DUMMYFUNCTION("GOOGLETRANSLATE(A352, ""en"", ""hi"")"),"351")</f>
        <v>351</v>
      </c>
      <c r="G352" s="5" t="str">
        <f>IFERROR(__xludf.DUMMYFUNCTION("GOOGLETRANSLATE(B352, ""en"", ""hi"")"),"सिलंबम प्रथा का उल्लेख किस तमिल ऐतिहासिक काल में हुआ था?")</f>
        <v>सिलंबम प्रथा का उल्लेख किस तमिल ऐतिहासिक काल में हुआ था?</v>
      </c>
      <c r="H352" s="5" t="str">
        <f>IFERROR(__xludf.DUMMYFUNCTION("GOOGLETRANSLATE(C352, ""en"", ""hi"")"),"A) संगम काल, B) चोल काल, C) पांड्य काल, D) चेर काल")</f>
        <v>A) संगम काल, B) चोल काल, C) पांड्य काल, D) चेर काल</v>
      </c>
      <c r="I352" s="5" t="str">
        <f>IFERROR(__xludf.DUMMYFUNCTION("GOOGLETRANSLATE(D352, ""en"", ""hi"")"),"A) संगम काल")</f>
        <v>A) संगम काल</v>
      </c>
    </row>
    <row r="353" ht="22.5" customHeight="1">
      <c r="A353" s="3">
        <v>352.0</v>
      </c>
      <c r="B353" s="4" t="s">
        <v>10255</v>
      </c>
      <c r="C353" s="4" t="s">
        <v>10055</v>
      </c>
      <c r="D353" s="4" t="s">
        <v>9159</v>
      </c>
      <c r="F353" s="5" t="str">
        <f>IFERROR(__xludf.DUMMYFUNCTION("GOOGLETRANSLATE(A353, ""en"", ""hi"")"),"352")</f>
        <v>352</v>
      </c>
      <c r="G353" s="5" t="str">
        <f>IFERROR(__xludf.DUMMYFUNCTION("GOOGLETRANSLATE(B353, ""en"", ""hi"")"),"कौन सा तमिल राजवंश अपने सैन्य प्रशिक्षण में सिलंबम को शामिल करने के लिए जाना जाता है?")</f>
        <v>कौन सा तमिल राजवंश अपने सैन्य प्रशिक्षण में सिलंबम को शामिल करने के लिए जाना जाता है?</v>
      </c>
      <c r="H353" s="5" t="str">
        <f>IFERROR(__xludf.DUMMYFUNCTION("GOOGLETRANSLATE(C353, ""en"", ""hi"")"),"A) चोल वंश, B) पांड्य वंश, C) चेर वंश, D) विजयनगर वंश")</f>
        <v>A) चोल वंश, B) पांड्य वंश, C) चेर वंश, D) विजयनगर वंश</v>
      </c>
      <c r="I353" s="5" t="str">
        <f>IFERROR(__xludf.DUMMYFUNCTION("GOOGLETRANSLATE(D353, ""en"", ""hi"")"),"A) चोल राजवंश")</f>
        <v>A) चोल राजवंश</v>
      </c>
    </row>
    <row r="354" ht="22.5" customHeight="1">
      <c r="A354" s="3">
        <v>353.0</v>
      </c>
      <c r="B354" s="4" t="s">
        <v>10256</v>
      </c>
      <c r="C354" s="4" t="s">
        <v>10257</v>
      </c>
      <c r="D354" s="4" t="s">
        <v>9539</v>
      </c>
      <c r="F354" s="5" t="str">
        <f>IFERROR(__xludf.DUMMYFUNCTION("GOOGLETRANSLATE(A354, ""en"", ""hi"")"),"353")</f>
        <v>353</v>
      </c>
      <c r="G354" s="5" t="str">
        <f>IFERROR(__xludf.DUMMYFUNCTION("GOOGLETRANSLATE(B354, ""en"", ""hi"")"),"शास्त्रीय तमिल पाठ जो सिलंबम को मार्शल परंपराओं के हिस्से के रूप में वर्णित करता है, वह है?")</f>
        <v>शास्त्रीय तमिल पाठ जो सिलंबम को मार्शल परंपराओं के हिस्से के रूप में वर्णित करता है, वह है?</v>
      </c>
      <c r="H354" s="5" t="str">
        <f>IFERROR(__xludf.DUMMYFUNCTION("GOOGLETRANSLATE(C354, ""en"", ""hi"")"),"ए) टोलकाप्पियम, बी) सिलप्पातिकारम, सी) मणिमेकलै, डी) अगस्त्य संहिता")</f>
        <v>ए) टोलकाप्पियम, बी) सिलप्पातिकारम, सी) मणिमेकलै, डी) अगस्त्य संहिता</v>
      </c>
      <c r="I354" s="5" t="str">
        <f>IFERROR(__xludf.DUMMYFUNCTION("GOOGLETRANSLATE(D354, ""en"", ""hi"")"),"बी) सिलप्पाटिकरम")</f>
        <v>बी) सिलप्पाटिकरम</v>
      </c>
    </row>
    <row r="355" ht="22.5" customHeight="1">
      <c r="A355" s="3">
        <v>354.0</v>
      </c>
      <c r="B355" s="4" t="s">
        <v>10258</v>
      </c>
      <c r="C355" s="4" t="s">
        <v>10259</v>
      </c>
      <c r="D355" s="4" t="s">
        <v>3043</v>
      </c>
      <c r="F355" s="5" t="str">
        <f>IFERROR(__xludf.DUMMYFUNCTION("GOOGLETRANSLATE(A355, ""en"", ""hi"")"),"354")</f>
        <v>354</v>
      </c>
      <c r="G355" s="5" t="str">
        <f>IFERROR(__xludf.DUMMYFUNCTION("GOOGLETRANSLATE(B355, ""en"", ""hi"")"),"प्राचीन तमिलनाडु में सिलंबम की तकनीकों का दस्तावेजीकरण करने का श्रेय किस ऐतिहासिक व्यक्ति को दिया जाता है?")</f>
        <v>प्राचीन तमिलनाडु में सिलंबम की तकनीकों का दस्तावेजीकरण करने का श्रेय किस ऐतिहासिक व्यक्ति को दिया जाता है?</v>
      </c>
      <c r="H355" s="5" t="str">
        <f>IFERROR(__xludf.DUMMYFUNCTION("GOOGLETRANSLATE(C355, ""en"", ""hi"")"),"ए) अगस्त्य, बी) तिरुवल्लुवर, सी) कंबर, डी) भारथिअर")</f>
        <v>ए) अगस्त्य, बी) तिरुवल्लुवर, सी) कंबर, डी) भारथिअर</v>
      </c>
      <c r="I355" s="5" t="str">
        <f>IFERROR(__xludf.DUMMYFUNCTION("GOOGLETRANSLATE(D355, ""en"", ""hi"")"),"A) अगस्त्य")</f>
        <v>A) अगस्त्य</v>
      </c>
    </row>
    <row r="356" ht="22.5" customHeight="1">
      <c r="A356" s="3">
        <v>355.0</v>
      </c>
      <c r="B356" s="4" t="s">
        <v>10260</v>
      </c>
      <c r="C356" s="4" t="s">
        <v>10081</v>
      </c>
      <c r="D356" s="4" t="s">
        <v>10261</v>
      </c>
      <c r="F356" s="5" t="str">
        <f>IFERROR(__xludf.DUMMYFUNCTION("GOOGLETRANSLATE(A356, ""en"", ""hi"")"),"355")</f>
        <v>355</v>
      </c>
      <c r="G356" s="5" t="str">
        <f>IFERROR(__xludf.DUMMYFUNCTION("GOOGLETRANSLATE(B356, ""en"", ""hi"")"),"सिलंबम का प्रचलन और संरक्षण किस तमिल राजा के शासनकाल में प्रमुखता से किया गया था?")</f>
        <v>सिलंबम का प्रचलन और संरक्षण किस तमिल राजा के शासनकाल में प्रमुखता से किया गया था?</v>
      </c>
      <c r="H356" s="5" t="str">
        <f>IFERROR(__xludf.DUMMYFUNCTION("GOOGLETRANSLATE(C356, ""en"", ""hi"")"),"ए) राजराजा चोल, बी) राजेंद्र चोल, सी) सुंदरा चोल, डी) कुलोथुंगा चोल")</f>
        <v>ए) राजराजा चोल, बी) राजेंद्र चोल, सी) सुंदरा चोल, डी) कुलोथुंगा चोल</v>
      </c>
      <c r="I356" s="5" t="str">
        <f>IFERROR(__xludf.DUMMYFUNCTION("GOOGLETRANSLATE(D356, ""en"", ""hi"")"),"C) सुंदर चोल")</f>
        <v>C) सुंदर चोल</v>
      </c>
    </row>
    <row r="357" ht="22.5" customHeight="1">
      <c r="A357" s="3">
        <v>356.0</v>
      </c>
      <c r="B357" s="4" t="s">
        <v>10262</v>
      </c>
      <c r="C357" s="4" t="s">
        <v>10263</v>
      </c>
      <c r="D357" s="4" t="s">
        <v>10264</v>
      </c>
      <c r="F357" s="5" t="str">
        <f>IFERROR(__xludf.DUMMYFUNCTION("GOOGLETRANSLATE(A357, ""en"", ""hi"")"),"356")</f>
        <v>356</v>
      </c>
      <c r="G357" s="5" t="str">
        <f>IFERROR(__xludf.DUMMYFUNCTION("GOOGLETRANSLATE(B357, ""en"", ""hi"")"),"सिलंबम परंपरा मुख्य रूप से किस प्रकार की ऐतिहासिक संस्थाओं के माध्यम से संरक्षित की गई थी?")</f>
        <v>सिलंबम परंपरा मुख्य रूप से किस प्रकार की ऐतिहासिक संस्थाओं के माध्यम से संरक्षित की गई थी?</v>
      </c>
      <c r="H357" s="5" t="str">
        <f>IFERROR(__xludf.DUMMYFUNCTION("GOOGLETRANSLATE(C357, ""en"", ""hi"")"),"A) शाही दरबार, B) गुरुकुल प्रणाली, C) मठ केंद्र, D) मंदिर स्कूल")</f>
        <v>A) शाही दरबार, B) गुरुकुल प्रणाली, C) मठ केंद्र, D) मंदिर स्कूल</v>
      </c>
      <c r="I357" s="5" t="str">
        <f>IFERROR(__xludf.DUMMYFUNCTION("GOOGLETRANSLATE(D357, ""en"", ""hi"")"),"बी) गुरुकुल प्रणाली")</f>
        <v>बी) गुरुकुल प्रणाली</v>
      </c>
    </row>
    <row r="358" ht="22.5" customHeight="1">
      <c r="A358" s="3">
        <v>357.0</v>
      </c>
      <c r="B358" s="4" t="s">
        <v>10265</v>
      </c>
      <c r="C358" s="4" t="s">
        <v>10266</v>
      </c>
      <c r="D358" s="4" t="s">
        <v>9997</v>
      </c>
      <c r="F358" s="5" t="str">
        <f>IFERROR(__xludf.DUMMYFUNCTION("GOOGLETRANSLATE(A358, ""en"", ""hi"")"),"357")</f>
        <v>357</v>
      </c>
      <c r="G358" s="5" t="str">
        <f>IFERROR(__xludf.DUMMYFUNCTION("GOOGLETRANSLATE(B358, ""en"", ""hi"")"),"किस तमिल राजा का संरक्षण सिलंबम सहित मार्शल आर्ट के विकास के लिए जाना जाता है?")</f>
        <v>किस तमिल राजा का संरक्षण सिलंबम सहित मार्शल आर्ट के विकास के लिए जाना जाता है?</v>
      </c>
      <c r="H358" s="5" t="str">
        <f>IFERROR(__xludf.DUMMYFUNCTION("GOOGLETRANSLATE(C358, ""en"", ""hi"")"),"ए) राजराजा चोल, बी) राजेंद्र चोल, सी) परांतक चोल, डी) विक्रमा चोल")</f>
        <v>ए) राजराजा चोल, बी) राजेंद्र चोल, सी) परांतक चोल, डी) विक्रमा चोल</v>
      </c>
      <c r="I358" s="5" t="str">
        <f>IFERROR(__xludf.DUMMYFUNCTION("GOOGLETRANSLATE(D358, ""en"", ""hi"")"),"A) राजराजा चोल")</f>
        <v>A) राजराजा चोल</v>
      </c>
    </row>
    <row r="359" ht="22.5" customHeight="1">
      <c r="A359" s="3">
        <v>358.0</v>
      </c>
      <c r="B359" s="4" t="s">
        <v>10267</v>
      </c>
      <c r="C359" s="4" t="s">
        <v>10268</v>
      </c>
      <c r="D359" s="4" t="s">
        <v>10269</v>
      </c>
      <c r="F359" s="5" t="str">
        <f>IFERROR(__xludf.DUMMYFUNCTION("GOOGLETRANSLATE(A359, ""en"", ""hi"")"),"358")</f>
        <v>358</v>
      </c>
      <c r="G359" s="5" t="str">
        <f>IFERROR(__xludf.DUMMYFUNCTION("GOOGLETRANSLATE(B359, ""en"", ""hi"")"),"सिलंबम की तकनीक और सिद्धांतों को पहली बार किस प्राचीन तमिल लिपि में प्रलेखित किया गया था?")</f>
        <v>सिलंबम की तकनीक और सिद्धांतों को पहली बार किस प्राचीन तमिल लिपि में प्रलेखित किया गया था?</v>
      </c>
      <c r="H359" s="5" t="str">
        <f>IFERROR(__xludf.DUMMYFUNCTION("GOOGLETRANSLATE(C359, ""en"", ""hi"")"),"ए) ब्राह्मी, बी) ग्रंथ, सी) वट्टेलुट्टू, डी) तमिल")</f>
        <v>ए) ब्राह्मी, बी) ग्रंथ, सी) वट्टेलुट्टू, डी) तमिल</v>
      </c>
      <c r="I359" s="5" t="str">
        <f>IFERROR(__xludf.DUMMYFUNCTION("GOOGLETRANSLATE(D359, ""en"", ""hi"")"),"D) तमिल")</f>
        <v>D) तमिल</v>
      </c>
    </row>
    <row r="360" ht="22.5" customHeight="1">
      <c r="A360" s="3">
        <v>359.0</v>
      </c>
      <c r="B360" s="4" t="s">
        <v>10270</v>
      </c>
      <c r="C360" s="4" t="s">
        <v>10123</v>
      </c>
      <c r="D360" s="4" t="s">
        <v>9982</v>
      </c>
      <c r="F360" s="5" t="str">
        <f>IFERROR(__xludf.DUMMYFUNCTION("GOOGLETRANSLATE(A360, ""en"", ""hi"")"),"359")</f>
        <v>359</v>
      </c>
      <c r="G360" s="5" t="str">
        <f>IFERROR(__xludf.DUMMYFUNCTION("GOOGLETRANSLATE(B360, ""en"", ""hi"")"),"तमिल मार्शल परंपराओं में सिलंबम की भूमिका का ऐतिहासिक विवरण प्रदान करने के लिए कौन सा ग्रंथ जाना जाता है?")</f>
        <v>तमिल मार्शल परंपराओं में सिलंबम की भूमिका का ऐतिहासिक विवरण प्रदान करने के लिए कौन सा ग्रंथ जाना जाता है?</v>
      </c>
      <c r="H360" s="5" t="str">
        <f>IFERROR(__xludf.DUMMYFUNCTION("GOOGLETRANSLATE(C360, ""en"", ""hi"")"),"ए) टोलकाप्पियम, बी) सिलप्पातिकारम, सी) अगस्त्य संहिता, डी) कुरल")</f>
        <v>ए) टोलकाप्पियम, बी) सिलप्पातिकारम, सी) अगस्त्य संहिता, डी) कुरल</v>
      </c>
      <c r="I360" s="5" t="str">
        <f>IFERROR(__xludf.DUMMYFUNCTION("GOOGLETRANSLATE(D360, ""en"", ""hi"")"),"C) अगस्त्य संहिता")</f>
        <v>C) अगस्त्य संहिता</v>
      </c>
    </row>
    <row r="361" ht="22.5" customHeight="1">
      <c r="A361" s="3">
        <v>360.0</v>
      </c>
      <c r="B361" s="4" t="s">
        <v>10271</v>
      </c>
      <c r="C361" s="4" t="s">
        <v>10055</v>
      </c>
      <c r="D361" s="4" t="s">
        <v>9159</v>
      </c>
      <c r="F361" s="5" t="str">
        <f>IFERROR(__xludf.DUMMYFUNCTION("GOOGLETRANSLATE(A361, ""en"", ""hi"")"),"360")</f>
        <v>360</v>
      </c>
      <c r="G361" s="5" t="str">
        <f>IFERROR(__xludf.DUMMYFUNCTION("GOOGLETRANSLATE(B361, ""en"", ""hi"")"),"किस तमिल राजवंश के दौरान सिलंबम सैन्य प्रशिक्षण और अनुशासन का एक प्रमुख तत्व बन गया?")</f>
        <v>किस तमिल राजवंश के दौरान सिलंबम सैन्य प्रशिक्षण और अनुशासन का एक प्रमुख तत्व बन गया?</v>
      </c>
      <c r="H361" s="5" t="str">
        <f>IFERROR(__xludf.DUMMYFUNCTION("GOOGLETRANSLATE(C361, ""en"", ""hi"")"),"A) चोल वंश, B) पांड्य वंश, C) चेर वंश, D) विजयनगर वंश")</f>
        <v>A) चोल वंश, B) पांड्य वंश, C) चेर वंश, D) विजयनगर वंश</v>
      </c>
      <c r="I361" s="5" t="str">
        <f>IFERROR(__xludf.DUMMYFUNCTION("GOOGLETRANSLATE(D361, ""en"", ""hi"")"),"A) चोल राजवंश")</f>
        <v>A) चोल राजवंश</v>
      </c>
    </row>
    <row r="362" ht="22.5" customHeight="1">
      <c r="A362" s="3">
        <v>361.0</v>
      </c>
      <c r="B362" s="4" t="s">
        <v>10272</v>
      </c>
      <c r="C362" s="4" t="s">
        <v>10179</v>
      </c>
      <c r="D362" s="4" t="s">
        <v>10180</v>
      </c>
      <c r="F362" s="5" t="str">
        <f>IFERROR(__xludf.DUMMYFUNCTION("GOOGLETRANSLATE(A362, ""en"", ""hi"")"),"361")</f>
        <v>361</v>
      </c>
      <c r="G362" s="5" t="str">
        <f>IFERROR(__xludf.DUMMYFUNCTION("GOOGLETRANSLATE(B362, ""en"", ""hi"")"),"सिलंबम का ऐतिहासिक विकास किस प्राचीन तमिल मार्शल आर्ट से प्रभावित था?")</f>
        <v>सिलंबम का ऐतिहासिक विकास किस प्राचीन तमिल मार्शल आर्ट से प्रभावित था?</v>
      </c>
      <c r="H362" s="5" t="str">
        <f>IFERROR(__xludf.DUMMYFUNCTION("GOOGLETRANSLATE(C362, ""en"", ""hi"")"),"ए) आदिमुराई, बी) कलारीपयट्टु, सी) वर्मा कलाई, डी) माल्युथम")</f>
        <v>ए) आदिमुराई, बी) कलारीपयट्टु, सी) वर्मा कलाई, डी) माल्युथम</v>
      </c>
      <c r="I362" s="5" t="str">
        <f>IFERROR(__xludf.DUMMYFUNCTION("GOOGLETRANSLATE(D362, ""en"", ""hi"")"),"A) आदिमुराई")</f>
        <v>A) आदिमुराई</v>
      </c>
    </row>
    <row r="363" ht="22.5" customHeight="1">
      <c r="A363" s="3">
        <v>362.0</v>
      </c>
      <c r="B363" s="4" t="s">
        <v>10273</v>
      </c>
      <c r="C363" s="4" t="s">
        <v>10081</v>
      </c>
      <c r="D363" s="4" t="s">
        <v>10082</v>
      </c>
      <c r="F363" s="5" t="str">
        <f>IFERROR(__xludf.DUMMYFUNCTION("GOOGLETRANSLATE(A363, ""en"", ""hi"")"),"362")</f>
        <v>362</v>
      </c>
      <c r="G363" s="5" t="str">
        <f>IFERROR(__xludf.DUMMYFUNCTION("GOOGLETRANSLATE(B363, ""en"", ""hi"")"),"किस तमिल राजा के शासनकाल में सिलंबम तकनीकों का औपचारिकीकरण और दस्तावेजीकरण हुआ?")</f>
        <v>किस तमिल राजा के शासनकाल में सिलंबम तकनीकों का औपचारिकीकरण और दस्तावेजीकरण हुआ?</v>
      </c>
      <c r="H363" s="5" t="str">
        <f>IFERROR(__xludf.DUMMYFUNCTION("GOOGLETRANSLATE(C363, ""en"", ""hi"")"),"ए) राजराजा चोल, बी) राजेंद्र चोल, सी) सुंदरा चोल, डी) कुलोथुंगा चोल")</f>
        <v>ए) राजराजा चोल, बी) राजेंद्र चोल, सी) सुंदरा चोल, डी) कुलोथुंगा चोल</v>
      </c>
      <c r="I363" s="5" t="str">
        <f>IFERROR(__xludf.DUMMYFUNCTION("GOOGLETRANSLATE(D363, ""en"", ""hi"")"),"B) राजेंद्र चोल")</f>
        <v>B) राजेंद्र चोल</v>
      </c>
    </row>
    <row r="364" ht="22.5" customHeight="1">
      <c r="A364" s="3">
        <v>363.0</v>
      </c>
      <c r="B364" s="4" t="s">
        <v>10274</v>
      </c>
      <c r="C364" s="4" t="s">
        <v>10275</v>
      </c>
      <c r="D364" s="4" t="s">
        <v>9539</v>
      </c>
      <c r="F364" s="5" t="str">
        <f>IFERROR(__xludf.DUMMYFUNCTION("GOOGLETRANSLATE(A364, ""en"", ""hi"")"),"363")</f>
        <v>363</v>
      </c>
      <c r="G364" s="5" t="str">
        <f>IFERROR(__xludf.DUMMYFUNCTION("GOOGLETRANSLATE(B364, ""en"", ""hi"")"),"सिलंबम के ऐतिहासिक महत्व पर किस प्राचीन तमिल साहित्यिक कृति में प्रकाश डाला गया था?")</f>
        <v>सिलंबम के ऐतिहासिक महत्व पर किस प्राचीन तमिल साहित्यिक कृति में प्रकाश डाला गया था?</v>
      </c>
      <c r="H364" s="5" t="str">
        <f>IFERROR(__xludf.DUMMYFUNCTION("GOOGLETRANSLATE(C364, ""en"", ""hi"")"),"ए) तोलकाप्पियम, बी) सिलप्पातिकारम, सी) मणिमेकलाई, डी) कुरल")</f>
        <v>ए) तोलकाप्पियम, बी) सिलप्पातिकारम, सी) मणिमेकलाई, डी) कुरल</v>
      </c>
      <c r="I364" s="5" t="str">
        <f>IFERROR(__xludf.DUMMYFUNCTION("GOOGLETRANSLATE(D364, ""en"", ""hi"")"),"बी) सिलप्पाटिकरम")</f>
        <v>बी) सिलप्पाटिकरम</v>
      </c>
    </row>
    <row r="365" ht="22.5" customHeight="1">
      <c r="A365" s="3">
        <v>364.0</v>
      </c>
      <c r="B365" s="4" t="s">
        <v>10276</v>
      </c>
      <c r="C365" s="4" t="s">
        <v>10081</v>
      </c>
      <c r="D365" s="4" t="s">
        <v>10261</v>
      </c>
      <c r="F365" s="5" t="str">
        <f>IFERROR(__xludf.DUMMYFUNCTION("GOOGLETRANSLATE(A365, ""en"", ""hi"")"),"364")</f>
        <v>364</v>
      </c>
      <c r="G365" s="5" t="str">
        <f>IFERROR(__xludf.DUMMYFUNCTION("GOOGLETRANSLATE(B365, ""en"", ""hi"")"),"किस तमिल राजा का काल पारंपरिक कला के रूप में सिलंबम के पुनरुत्थान से जुड़ा हुआ है?")</f>
        <v>किस तमिल राजा का काल पारंपरिक कला के रूप में सिलंबम के पुनरुत्थान से जुड़ा हुआ है?</v>
      </c>
      <c r="H365" s="5" t="str">
        <f>IFERROR(__xludf.DUMMYFUNCTION("GOOGLETRANSLATE(C365, ""en"", ""hi"")"),"ए) राजराजा चोल, बी) राजेंद्र चोल, सी) सुंदरा चोल, डी) कुलोथुंगा चोल")</f>
        <v>ए) राजराजा चोल, बी) राजेंद्र चोल, सी) सुंदरा चोल, डी) कुलोथुंगा चोल</v>
      </c>
      <c r="I365" s="5" t="str">
        <f>IFERROR(__xludf.DUMMYFUNCTION("GOOGLETRANSLATE(D365, ""en"", ""hi"")"),"C) सुंदर चोल")</f>
        <v>C) सुंदर चोल</v>
      </c>
    </row>
    <row r="366" ht="22.5" customHeight="1">
      <c r="A366" s="3">
        <v>365.0</v>
      </c>
      <c r="B366" s="4" t="s">
        <v>10277</v>
      </c>
      <c r="C366" s="4" t="s">
        <v>10278</v>
      </c>
      <c r="D366" s="4" t="s">
        <v>10171</v>
      </c>
      <c r="F366" s="5" t="str">
        <f>IFERROR(__xludf.DUMMYFUNCTION("GOOGLETRANSLATE(A366, ""en"", ""hi"")"),"365")</f>
        <v>365</v>
      </c>
      <c r="G366" s="5" t="str">
        <f>IFERROR(__xludf.DUMMYFUNCTION("GOOGLETRANSLATE(B366, ""en"", ""hi"")"),"सिलंबम की तकनीकें मुख्य रूप से किस प्रकार की पारंपरिक शिक्षा के माध्यम से प्रसारित की गईं?")</f>
        <v>सिलंबम की तकनीकें मुख्य रूप से किस प्रकार की पारंपरिक शिक्षा के माध्यम से प्रसारित की गईं?</v>
      </c>
      <c r="H366" s="5" t="str">
        <f>IFERROR(__xludf.DUMMYFUNCTION("GOOGLETRANSLATE(C366, ""en"", ""hi"")"),"A) गुरुकुल प्रणाली, B) मंदिर विद्यालय, C) शाही दरबार, D) मठ केंद्र")</f>
        <v>A) गुरुकुल प्रणाली, B) मंदिर विद्यालय, C) शाही दरबार, D) मठ केंद्र</v>
      </c>
      <c r="I366" s="5" t="str">
        <f>IFERROR(__xludf.DUMMYFUNCTION("GOOGLETRANSLATE(D366, ""en"", ""hi"")"),"A) गुरुकुल प्रणाली")</f>
        <v>A) गुरुकुल प्रणाली</v>
      </c>
    </row>
    <row r="367" ht="22.5" customHeight="1">
      <c r="A367" s="3">
        <v>366.0</v>
      </c>
      <c r="B367" s="4" t="s">
        <v>10279</v>
      </c>
      <c r="C367" s="4" t="s">
        <v>10132</v>
      </c>
      <c r="D367" s="4" t="s">
        <v>10089</v>
      </c>
      <c r="F367" s="5" t="str">
        <f>IFERROR(__xludf.DUMMYFUNCTION("GOOGLETRANSLATE(A367, ""en"", ""hi"")"),"366")</f>
        <v>366</v>
      </c>
      <c r="G367" s="5" t="str">
        <f>IFERROR(__xludf.DUMMYFUNCTION("GOOGLETRANSLATE(B367, ""en"", ""hi"")"),"कौन सा तमिल ऐतिहासिक व्यक्ति सिलंबम के संरक्षण में अपने योगदान के लिए जाना जाता है?")</f>
        <v>कौन सा तमिल ऐतिहासिक व्यक्ति सिलंबम के संरक्षण में अपने योगदान के लिए जाना जाता है?</v>
      </c>
      <c r="H367" s="5" t="str">
        <f>IFERROR(__xludf.DUMMYFUNCTION("GOOGLETRANSLATE(C367,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67" s="5" t="str">
        <f>IFERROR(__xludf.DUMMYFUNCTION("GOOGLETRANSLATE(D367, ""en"", ""hi"")"),"A) वी. कृष्णमाचारी")</f>
        <v>A) वी. कृष्णमाचारी</v>
      </c>
    </row>
    <row r="368" ht="22.5" customHeight="1">
      <c r="A368" s="3">
        <v>367.0</v>
      </c>
      <c r="B368" s="4" t="s">
        <v>10280</v>
      </c>
      <c r="C368" s="4" t="s">
        <v>10123</v>
      </c>
      <c r="D368" s="4" t="s">
        <v>9982</v>
      </c>
      <c r="F368" s="5" t="str">
        <f>IFERROR(__xludf.DUMMYFUNCTION("GOOGLETRANSLATE(A368, ""en"", ""hi"")"),"367")</f>
        <v>367</v>
      </c>
      <c r="G368" s="5" t="str">
        <f>IFERROR(__xludf.DUMMYFUNCTION("GOOGLETRANSLATE(B368, ""en"", ""hi"")"),"तमिलनाडु के सैन्य इतिहास में सिलंबम की भूमिका का विस्तृत वर्णन किस प्राचीन ग्रंथ में किया गया है?")</f>
        <v>तमिलनाडु के सैन्य इतिहास में सिलंबम की भूमिका का विस्तृत वर्णन किस प्राचीन ग्रंथ में किया गया है?</v>
      </c>
      <c r="H368" s="5" t="str">
        <f>IFERROR(__xludf.DUMMYFUNCTION("GOOGLETRANSLATE(C368, ""en"", ""hi"")"),"ए) टोलकाप्पियम, बी) सिलप्पातिकारम, सी) अगस्त्य संहिता, डी) कुरल")</f>
        <v>ए) टोलकाप्पियम, बी) सिलप्पातिकारम, सी) अगस्त्य संहिता, डी) कुरल</v>
      </c>
      <c r="I368" s="5" t="str">
        <f>IFERROR(__xludf.DUMMYFUNCTION("GOOGLETRANSLATE(D368, ""en"", ""hi"")"),"C) अगस्त्य संहिता")</f>
        <v>C) अगस्त्य संहिता</v>
      </c>
    </row>
    <row r="369" ht="22.5" customHeight="1">
      <c r="A369" s="3">
        <v>368.0</v>
      </c>
      <c r="B369" s="4" t="s">
        <v>10281</v>
      </c>
      <c r="C369" s="4" t="s">
        <v>10081</v>
      </c>
      <c r="D369" s="4" t="s">
        <v>9997</v>
      </c>
      <c r="F369" s="5" t="str">
        <f>IFERROR(__xludf.DUMMYFUNCTION("GOOGLETRANSLATE(A369, ""en"", ""hi"")"),"368")</f>
        <v>368</v>
      </c>
      <c r="G369" s="5" t="str">
        <f>IFERROR(__xludf.DUMMYFUNCTION("GOOGLETRANSLATE(B369, ""en"", ""hi"")"),"किस तमिल राजा का शासनकाल सिलंबम तकनीकों की उन्नति और औपचारिकता के लिए मनाया जाता है?")</f>
        <v>किस तमिल राजा का शासनकाल सिलंबम तकनीकों की उन्नति और औपचारिकता के लिए मनाया जाता है?</v>
      </c>
      <c r="H369" s="5" t="str">
        <f>IFERROR(__xludf.DUMMYFUNCTION("GOOGLETRANSLATE(C369, ""en"", ""hi"")"),"ए) राजराजा चोल, बी) राजेंद्र चोल, सी) सुंदरा चोल, डी) कुलोथुंगा चोल")</f>
        <v>ए) राजराजा चोल, बी) राजेंद्र चोल, सी) सुंदरा चोल, डी) कुलोथुंगा चोल</v>
      </c>
      <c r="I369" s="5" t="str">
        <f>IFERROR(__xludf.DUMMYFUNCTION("GOOGLETRANSLATE(D369, ""en"", ""hi"")"),"A) राजराजा चोल")</f>
        <v>A) राजराजा चोल</v>
      </c>
    </row>
    <row r="370" ht="22.5" customHeight="1">
      <c r="A370" s="3">
        <v>369.0</v>
      </c>
      <c r="B370" s="4" t="s">
        <v>10282</v>
      </c>
      <c r="C370" s="4" t="s">
        <v>10132</v>
      </c>
      <c r="D370" s="4" t="s">
        <v>10089</v>
      </c>
      <c r="F370" s="5" t="str">
        <f>IFERROR(__xludf.DUMMYFUNCTION("GOOGLETRANSLATE(A370, ""en"", ""hi"")"),"369")</f>
        <v>369</v>
      </c>
      <c r="G370" s="5" t="str">
        <f>IFERROR(__xludf.DUMMYFUNCTION("GOOGLETRANSLATE(B370, ""en"", ""hi"")"),"औपनिवेशिक काल के दौरान सिलंबम का पुनरुत्थान किस तमिल पुनरुत्थानवादी व्यक्ति से जुड़ा हुआ है?")</f>
        <v>औपनिवेशिक काल के दौरान सिलंबम का पुनरुत्थान किस तमिल पुनरुत्थानवादी व्यक्ति से जुड़ा हुआ है?</v>
      </c>
      <c r="H370" s="5" t="str">
        <f>IFERROR(__xludf.DUMMYFUNCTION("GOOGLETRANSLATE(C370,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70" s="5" t="str">
        <f>IFERROR(__xludf.DUMMYFUNCTION("GOOGLETRANSLATE(D370, ""en"", ""hi"")"),"A) वी. कृष्णमाचारी")</f>
        <v>A) वी. कृष्णमाचारी</v>
      </c>
    </row>
    <row r="371" ht="22.5" customHeight="1">
      <c r="A371" s="3">
        <v>370.0</v>
      </c>
      <c r="B371" s="4" t="s">
        <v>10283</v>
      </c>
      <c r="C371" s="4" t="s">
        <v>10170</v>
      </c>
      <c r="D371" s="4" t="s">
        <v>10171</v>
      </c>
      <c r="F371" s="5" t="str">
        <f>IFERROR(__xludf.DUMMYFUNCTION("GOOGLETRANSLATE(A371, ""en"", ""hi"")"),"370")</f>
        <v>370</v>
      </c>
      <c r="G371" s="5" t="str">
        <f>IFERROR(__xludf.DUMMYFUNCTION("GOOGLETRANSLATE(B371, ""en"", ""hi"")"),"सिलंबम की ऐतिहासिक तकनीकें पारंपरिक रूप से किस शिक्षण प्रणाली के माध्यम से आगे बढ़ाई गईं?")</f>
        <v>सिलंबम की ऐतिहासिक तकनीकें पारंपरिक रूप से किस शिक्षण प्रणाली के माध्यम से आगे बढ़ाई गईं?</v>
      </c>
      <c r="H371" s="5" t="str">
        <f>IFERROR(__xludf.DUMMYFUNCTION("GOOGLETRANSLATE(C371, ""en"", ""hi"")"),"A) गुरुकुल प्रणाली, B) शाही दरबार, C) मंदिर विद्यालय, D) मठ केंद्र")</f>
        <v>A) गुरुकुल प्रणाली, B) शाही दरबार, C) मंदिर विद्यालय, D) मठ केंद्र</v>
      </c>
      <c r="I371" s="5" t="str">
        <f>IFERROR(__xludf.DUMMYFUNCTION("GOOGLETRANSLATE(D371, ""en"", ""hi"")"),"A) गुरुकुल प्रणाली")</f>
        <v>A) गुरुकुल प्रणाली</v>
      </c>
    </row>
    <row r="372" ht="22.5" customHeight="1">
      <c r="A372" s="3">
        <v>371.0</v>
      </c>
      <c r="B372" s="4" t="s">
        <v>10284</v>
      </c>
      <c r="C372" s="4" t="s">
        <v>10081</v>
      </c>
      <c r="D372" s="4" t="s">
        <v>9997</v>
      </c>
      <c r="F372" s="5" t="str">
        <f>IFERROR(__xludf.DUMMYFUNCTION("GOOGLETRANSLATE(A372, ""en"", ""hi"")"),"371")</f>
        <v>371</v>
      </c>
      <c r="G372" s="5" t="str">
        <f>IFERROR(__xludf.DUMMYFUNCTION("GOOGLETRANSLATE(B372, ""en"", ""hi"")"),"कौन सा तमिल राजा सिलंबम को एक प्रमुख मार्शल आर्ट के रूप में संरक्षण और बढ़ावा देने के लिए जाना जाता है?")</f>
        <v>कौन सा तमिल राजा सिलंबम को एक प्रमुख मार्शल आर्ट के रूप में संरक्षण और बढ़ावा देने के लिए जाना जाता है?</v>
      </c>
      <c r="H372" s="5" t="str">
        <f>IFERROR(__xludf.DUMMYFUNCTION("GOOGLETRANSLATE(C372, ""en"", ""hi"")"),"ए) राजराजा चोल, बी) राजेंद्र चोल, सी) सुंदरा चोल, डी) कुलोथुंगा चोल")</f>
        <v>ए) राजराजा चोल, बी) राजेंद्र चोल, सी) सुंदरा चोल, डी) कुलोथुंगा चोल</v>
      </c>
      <c r="I372" s="5" t="str">
        <f>IFERROR(__xludf.DUMMYFUNCTION("GOOGLETRANSLATE(D372, ""en"", ""hi"")"),"A) राजराजा चोल")</f>
        <v>A) राजराजा चोल</v>
      </c>
    </row>
    <row r="373" ht="22.5" customHeight="1">
      <c r="A373" s="3">
        <v>372.0</v>
      </c>
      <c r="B373" s="4" t="s">
        <v>10285</v>
      </c>
      <c r="C373" s="4" t="s">
        <v>10123</v>
      </c>
      <c r="D373" s="4" t="s">
        <v>9539</v>
      </c>
      <c r="F373" s="5" t="str">
        <f>IFERROR(__xludf.DUMMYFUNCTION("GOOGLETRANSLATE(A373, ""en"", ""hi"")"),"372")</f>
        <v>372</v>
      </c>
      <c r="G373" s="5" t="str">
        <f>IFERROR(__xludf.DUMMYFUNCTION("GOOGLETRANSLATE(B373, ""en"", ""hi"")"),"तमिलनाडु के सैन्य इतिहास में सिलंबम की भूमिका किस तमिल ग्रंथ में वर्णित है?")</f>
        <v>तमिलनाडु के सैन्य इतिहास में सिलंबम की भूमिका किस तमिल ग्रंथ में वर्णित है?</v>
      </c>
      <c r="H373" s="5" t="str">
        <f>IFERROR(__xludf.DUMMYFUNCTION("GOOGLETRANSLATE(C373, ""en"", ""hi"")"),"ए) टोलकाप्पियम, बी) सिलप्पातिकारम, सी) अगस्त्य संहिता, डी) कुरल")</f>
        <v>ए) टोलकाप्पियम, बी) सिलप्पातिकारम, सी) अगस्त्य संहिता, डी) कुरल</v>
      </c>
      <c r="I373" s="5" t="str">
        <f>IFERROR(__xludf.DUMMYFUNCTION("GOOGLETRANSLATE(D373, ""en"", ""hi"")"),"बी) सिलप्पाटिकरम")</f>
        <v>बी) सिलप्पाटिकरम</v>
      </c>
    </row>
    <row r="374" ht="22.5" customHeight="1">
      <c r="A374" s="3">
        <v>373.0</v>
      </c>
      <c r="B374" s="4" t="s">
        <v>10286</v>
      </c>
      <c r="C374" s="4" t="s">
        <v>10081</v>
      </c>
      <c r="D374" s="4" t="s">
        <v>10082</v>
      </c>
      <c r="F374" s="5" t="str">
        <f>IFERROR(__xludf.DUMMYFUNCTION("GOOGLETRANSLATE(A374, ""en"", ""hi"")"),"373")</f>
        <v>373</v>
      </c>
      <c r="G374" s="5" t="str">
        <f>IFERROR(__xludf.DUMMYFUNCTION("GOOGLETRANSLATE(B374, ""en"", ""hi"")"),"किस तमिल राजा के शासनकाल में सिलंबम में महत्वपूर्ण विकास और मानकीकरण हुआ?")</f>
        <v>किस तमिल राजा के शासनकाल में सिलंबम में महत्वपूर्ण विकास और मानकीकरण हुआ?</v>
      </c>
      <c r="H374" s="5" t="str">
        <f>IFERROR(__xludf.DUMMYFUNCTION("GOOGLETRANSLATE(C374, ""en"", ""hi"")"),"ए) राजराजा चोल, बी) राजेंद्र चोल, सी) सुंदरा चोल, डी) कुलोथुंगा चोल")</f>
        <v>ए) राजराजा चोल, बी) राजेंद्र चोल, सी) सुंदरा चोल, डी) कुलोथुंगा चोल</v>
      </c>
      <c r="I374" s="5" t="str">
        <f>IFERROR(__xludf.DUMMYFUNCTION("GOOGLETRANSLATE(D374, ""en"", ""hi"")"),"B) राजेंद्र चोल")</f>
        <v>B) राजेंद्र चोल</v>
      </c>
    </row>
    <row r="375" ht="22.5" customHeight="1">
      <c r="A375" s="3">
        <v>374.0</v>
      </c>
      <c r="B375" s="4" t="s">
        <v>10287</v>
      </c>
      <c r="C375" s="4" t="s">
        <v>10170</v>
      </c>
      <c r="D375" s="4" t="s">
        <v>10171</v>
      </c>
      <c r="F375" s="5" t="str">
        <f>IFERROR(__xludf.DUMMYFUNCTION("GOOGLETRANSLATE(A375, ""en"", ""hi"")"),"374")</f>
        <v>374</v>
      </c>
      <c r="G375" s="5" t="str">
        <f>IFERROR(__xludf.DUMMYFUNCTION("GOOGLETRANSLATE(B375, ""en"", ""hi"")"),"सिलंबम की पारंपरिक प्रथा किस प्राचीन शिक्षा प्रणाली के माध्यम से सिखाई और संरक्षित की गई थी?")</f>
        <v>सिलंबम की पारंपरिक प्रथा किस प्राचीन शिक्षा प्रणाली के माध्यम से सिखाई और संरक्षित की गई थी?</v>
      </c>
      <c r="H375" s="5" t="str">
        <f>IFERROR(__xludf.DUMMYFUNCTION("GOOGLETRANSLATE(C375, ""en"", ""hi"")"),"A) गुरुकुल प्रणाली, B) शाही दरबार, C) मंदिर विद्यालय, D) मठ केंद्र")</f>
        <v>A) गुरुकुल प्रणाली, B) शाही दरबार, C) मंदिर विद्यालय, D) मठ केंद्र</v>
      </c>
      <c r="I375" s="5" t="str">
        <f>IFERROR(__xludf.DUMMYFUNCTION("GOOGLETRANSLATE(D375, ""en"", ""hi"")"),"A) गुरुकुल प्रणाली")</f>
        <v>A) गुरुकुल प्रणाली</v>
      </c>
    </row>
    <row r="376" ht="22.5" customHeight="1">
      <c r="A376" s="3">
        <v>375.0</v>
      </c>
      <c r="B376" s="4" t="s">
        <v>10288</v>
      </c>
      <c r="C376" s="4" t="s">
        <v>10081</v>
      </c>
      <c r="D376" s="4" t="s">
        <v>9997</v>
      </c>
      <c r="F376" s="5" t="str">
        <f>IFERROR(__xludf.DUMMYFUNCTION("GOOGLETRANSLATE(A376, ""en"", ""hi"")"),"375")</f>
        <v>375</v>
      </c>
      <c r="G376" s="5" t="str">
        <f>IFERROR(__xludf.DUMMYFUNCTION("GOOGLETRANSLATE(B376, ""en"", ""hi"")"),"सिलंबम के ऐतिहासिक विकास के लिए किस तमिल राजा का संरक्षण महत्वपूर्ण है?")</f>
        <v>सिलंबम के ऐतिहासिक विकास के लिए किस तमिल राजा का संरक्षण महत्वपूर्ण है?</v>
      </c>
      <c r="H376" s="5" t="str">
        <f>IFERROR(__xludf.DUMMYFUNCTION("GOOGLETRANSLATE(C376, ""en"", ""hi"")"),"ए) राजराजा चोल, बी) राजेंद्र चोल, सी) सुंदरा चोल, डी) कुलोथुंगा चोल")</f>
        <v>ए) राजराजा चोल, बी) राजेंद्र चोल, सी) सुंदरा चोल, डी) कुलोथुंगा चोल</v>
      </c>
      <c r="I376" s="5" t="str">
        <f>IFERROR(__xludf.DUMMYFUNCTION("GOOGLETRANSLATE(D376, ""en"", ""hi"")"),"A) राजराजा चोल")</f>
        <v>A) राजराजा चोल</v>
      </c>
    </row>
    <row r="377" ht="22.5" customHeight="1">
      <c r="A377" s="3">
        <v>376.0</v>
      </c>
      <c r="B377" s="4" t="s">
        <v>10289</v>
      </c>
      <c r="C377" s="4" t="s">
        <v>10132</v>
      </c>
      <c r="D377" s="4" t="s">
        <v>10089</v>
      </c>
      <c r="F377" s="5" t="str">
        <f>IFERROR(__xludf.DUMMYFUNCTION("GOOGLETRANSLATE(A377, ""en"", ""hi"")"),"376")</f>
        <v>376</v>
      </c>
      <c r="G377" s="5" t="str">
        <f>IFERROR(__xludf.DUMMYFUNCTION("GOOGLETRANSLATE(B377, ""en"", ""hi"")"),"आधुनिक तमिलनाडु में सिलंबम का पुनरुत्थान किस सांस्कृतिक हस्ती से जुड़ा है?")</f>
        <v>आधुनिक तमिलनाडु में सिलंबम का पुनरुत्थान किस सांस्कृतिक हस्ती से जुड़ा है?</v>
      </c>
      <c r="H377" s="5" t="str">
        <f>IFERROR(__xludf.DUMMYFUNCTION("GOOGLETRANSLATE(C377,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77" s="5" t="str">
        <f>IFERROR(__xludf.DUMMYFUNCTION("GOOGLETRANSLATE(D377, ""en"", ""hi"")"),"A) वी. कृष्णमाचारी")</f>
        <v>A) वी. कृष्णमाचारी</v>
      </c>
    </row>
    <row r="378" ht="22.5" customHeight="1">
      <c r="A378" s="3">
        <v>377.0</v>
      </c>
      <c r="B378" s="4" t="s">
        <v>10290</v>
      </c>
      <c r="C378" s="4" t="s">
        <v>10123</v>
      </c>
      <c r="D378" s="4" t="s">
        <v>9539</v>
      </c>
      <c r="F378" s="5" t="str">
        <f>IFERROR(__xludf.DUMMYFUNCTION("GOOGLETRANSLATE(A378, ""en"", ""hi"")"),"377")</f>
        <v>377</v>
      </c>
      <c r="G378" s="5" t="str">
        <f>IFERROR(__xludf.DUMMYFUNCTION("GOOGLETRANSLATE(B378, ""en"", ""hi"")"),"तमिलनाडु में सिलंबम का ऐतिहासिक महत्व किस प्राचीन साहित्यिक कृति में उजागर किया गया है?")</f>
        <v>तमिलनाडु में सिलंबम का ऐतिहासिक महत्व किस प्राचीन साहित्यिक कृति में उजागर किया गया है?</v>
      </c>
      <c r="H378" s="5" t="str">
        <f>IFERROR(__xludf.DUMMYFUNCTION("GOOGLETRANSLATE(C378, ""en"", ""hi"")"),"ए) टोलकाप्पियम, बी) सिलप्पातिकारम, सी) अगस्त्य संहिता, डी) कुरल")</f>
        <v>ए) टोलकाप्पियम, बी) सिलप्पातिकारम, सी) अगस्त्य संहिता, डी) कुरल</v>
      </c>
      <c r="I378" s="5" t="str">
        <f>IFERROR(__xludf.DUMMYFUNCTION("GOOGLETRANSLATE(D378, ""en"", ""hi"")"),"बी) सिलप्पाटिकरम")</f>
        <v>बी) सिलप्पाटिकरम</v>
      </c>
    </row>
    <row r="379" ht="22.5" customHeight="1">
      <c r="A379" s="3">
        <v>378.0</v>
      </c>
      <c r="B379" s="4" t="s">
        <v>10291</v>
      </c>
      <c r="C379" s="4" t="s">
        <v>10081</v>
      </c>
      <c r="D379" s="4" t="s">
        <v>10082</v>
      </c>
      <c r="F379" s="5" t="str">
        <f>IFERROR(__xludf.DUMMYFUNCTION("GOOGLETRANSLATE(A379, ""en"", ""hi"")"),"378")</f>
        <v>378</v>
      </c>
      <c r="G379" s="5" t="str">
        <f>IFERROR(__xludf.DUMMYFUNCTION("GOOGLETRANSLATE(B379, ""en"", ""hi"")"),"किस तमिल राजा के काल में सिलंबम तकनीकों में महत्वपूर्ण प्रगति और संहिताकरण हुआ?")</f>
        <v>किस तमिल राजा के काल में सिलंबम तकनीकों में महत्वपूर्ण प्रगति और संहिताकरण हुआ?</v>
      </c>
      <c r="H379" s="5" t="str">
        <f>IFERROR(__xludf.DUMMYFUNCTION("GOOGLETRANSLATE(C379, ""en"", ""hi"")"),"ए) राजराजा चोल, बी) राजेंद्र चोल, सी) सुंदरा चोल, डी) कुलोथुंगा चोल")</f>
        <v>ए) राजराजा चोल, बी) राजेंद्र चोल, सी) सुंदरा चोल, डी) कुलोथुंगा चोल</v>
      </c>
      <c r="I379" s="5" t="str">
        <f>IFERROR(__xludf.DUMMYFUNCTION("GOOGLETRANSLATE(D379, ""en"", ""hi"")"),"B) राजेंद्र चोल")</f>
        <v>B) राजेंद्र चोल</v>
      </c>
    </row>
    <row r="380" ht="22.5" customHeight="1">
      <c r="A380" s="3">
        <v>379.0</v>
      </c>
      <c r="B380" s="4" t="s">
        <v>10292</v>
      </c>
      <c r="C380" s="4" t="s">
        <v>10170</v>
      </c>
      <c r="D380" s="4" t="s">
        <v>10171</v>
      </c>
      <c r="F380" s="5" t="str">
        <f>IFERROR(__xludf.DUMMYFUNCTION("GOOGLETRANSLATE(A380, ""en"", ""hi"")"),"379")</f>
        <v>379</v>
      </c>
      <c r="G380" s="5" t="str">
        <f>IFERROR(__xludf.DUMMYFUNCTION("GOOGLETRANSLATE(B380, ""en"", ""hi"")"),"पारंपरिक सिलंबम तकनीक किस प्राचीन तमिल शिक्षण संस्थानों के माध्यम से प्रसारित की गई थी?")</f>
        <v>पारंपरिक सिलंबम तकनीक किस प्राचीन तमिल शिक्षण संस्थानों के माध्यम से प्रसारित की गई थी?</v>
      </c>
      <c r="H380" s="5" t="str">
        <f>IFERROR(__xludf.DUMMYFUNCTION("GOOGLETRANSLATE(C380, ""en"", ""hi"")"),"A) गुरुकुल प्रणाली, B) शाही दरबार, C) मंदिर विद्यालय, D) मठ केंद्र")</f>
        <v>A) गुरुकुल प्रणाली, B) शाही दरबार, C) मंदिर विद्यालय, D) मठ केंद्र</v>
      </c>
      <c r="I380" s="5" t="str">
        <f>IFERROR(__xludf.DUMMYFUNCTION("GOOGLETRANSLATE(D380, ""en"", ""hi"")"),"A) गुरुकुल प्रणाली")</f>
        <v>A) गुरुकुल प्रणाली</v>
      </c>
    </row>
    <row r="381" ht="22.5" customHeight="1">
      <c r="A381" s="3">
        <v>380.0</v>
      </c>
      <c r="B381" s="4" t="s">
        <v>10293</v>
      </c>
      <c r="C381" s="4" t="s">
        <v>10081</v>
      </c>
      <c r="D381" s="4" t="s">
        <v>9997</v>
      </c>
      <c r="F381" s="5" t="str">
        <f>IFERROR(__xludf.DUMMYFUNCTION("GOOGLETRANSLATE(A381, ""en"", ""hi"")"),"380")</f>
        <v>380</v>
      </c>
      <c r="G381" s="5" t="str">
        <f>IFERROR(__xludf.DUMMYFUNCTION("GOOGLETRANSLATE(B381, ""en"", ""hi"")"),"किस तमिल राजा का शासनकाल सिलंबम तकनीकों के दस्तावेजीकरण और औपचारिकीकरण के लिए महत्वपूर्ण था?")</f>
        <v>किस तमिल राजा का शासनकाल सिलंबम तकनीकों के दस्तावेजीकरण और औपचारिकीकरण के लिए महत्वपूर्ण था?</v>
      </c>
      <c r="H381" s="5" t="str">
        <f>IFERROR(__xludf.DUMMYFUNCTION("GOOGLETRANSLATE(C381, ""en"", ""hi"")"),"ए) राजराजा चोल, बी) राजेंद्र चोल, सी) सुंदरा चोल, डी) कुलोथुंगा चोल")</f>
        <v>ए) राजराजा चोल, बी) राजेंद्र चोल, सी) सुंदरा चोल, डी) कुलोथुंगा चोल</v>
      </c>
      <c r="I381" s="5" t="str">
        <f>IFERROR(__xludf.DUMMYFUNCTION("GOOGLETRANSLATE(D381, ""en"", ""hi"")"),"A) राजराजा चोल")</f>
        <v>A) राजराजा चोल</v>
      </c>
    </row>
    <row r="382" ht="22.5" customHeight="1">
      <c r="A382" s="3">
        <v>381.0</v>
      </c>
      <c r="B382" s="4" t="s">
        <v>10294</v>
      </c>
      <c r="C382" s="4" t="s">
        <v>10132</v>
      </c>
      <c r="D382" s="4" t="s">
        <v>10089</v>
      </c>
      <c r="F382" s="5" t="str">
        <f>IFERROR(__xludf.DUMMYFUNCTION("GOOGLETRANSLATE(A382, ""en"", ""hi"")"),"381")</f>
        <v>381</v>
      </c>
      <c r="G382" s="5" t="str">
        <f>IFERROR(__xludf.DUMMYFUNCTION("GOOGLETRANSLATE(B382, ""en"", ""hi"")"),"सिलंबम का ऐतिहासिक पुनरुत्थान औपनिवेशिक काल के दौरान किस तमिल व्यक्ति के प्रयासों से जुड़ा हुआ है?")</f>
        <v>सिलंबम का ऐतिहासिक पुनरुत्थान औपनिवेशिक काल के दौरान किस तमिल व्यक्ति के प्रयासों से जुड़ा हुआ है?</v>
      </c>
      <c r="H382" s="5" t="str">
        <f>IFERROR(__xludf.DUMMYFUNCTION("GOOGLETRANSLATE(C382,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82" s="5" t="str">
        <f>IFERROR(__xludf.DUMMYFUNCTION("GOOGLETRANSLATE(D382, ""en"", ""hi"")"),"A) वी. कृष्णमाचारी")</f>
        <v>A) वी. कृष्णमाचारी</v>
      </c>
    </row>
    <row r="383" ht="22.5" customHeight="1">
      <c r="A383" s="3">
        <v>382.0</v>
      </c>
      <c r="B383" s="4" t="s">
        <v>10295</v>
      </c>
      <c r="C383" s="4" t="s">
        <v>10123</v>
      </c>
      <c r="D383" s="4" t="s">
        <v>9982</v>
      </c>
      <c r="F383" s="5" t="str">
        <f>IFERROR(__xludf.DUMMYFUNCTION("GOOGLETRANSLATE(A383, ""en"", ""hi"")"),"382")</f>
        <v>382</v>
      </c>
      <c r="G383" s="5" t="str">
        <f>IFERROR(__xludf.DUMMYFUNCTION("GOOGLETRANSLATE(B383, ""en"", ""hi"")"),"तमिल मार्शल इतिहास में सिलंबम के महत्व का विस्तार से वर्णन किस प्राचीन ग्रंथ में किया गया है?")</f>
        <v>तमिल मार्शल इतिहास में सिलंबम के महत्व का विस्तार से वर्णन किस प्राचीन ग्रंथ में किया गया है?</v>
      </c>
      <c r="H383" s="5" t="str">
        <f>IFERROR(__xludf.DUMMYFUNCTION("GOOGLETRANSLATE(C383, ""en"", ""hi"")"),"ए) टोलकाप्पियम, बी) सिलप्पातिकारम, सी) अगस्त्य संहिता, डी) कुरल")</f>
        <v>ए) टोलकाप्पियम, बी) सिलप्पातिकारम, सी) अगस्त्य संहिता, डी) कुरल</v>
      </c>
      <c r="I383" s="5" t="str">
        <f>IFERROR(__xludf.DUMMYFUNCTION("GOOGLETRANSLATE(D383, ""en"", ""hi"")"),"C) अगस्त्य संहिता")</f>
        <v>C) अगस्त्य संहिता</v>
      </c>
    </row>
    <row r="384" ht="22.5" customHeight="1">
      <c r="A384" s="3">
        <v>383.0</v>
      </c>
      <c r="B384" s="4" t="s">
        <v>10296</v>
      </c>
      <c r="C384" s="4" t="s">
        <v>10081</v>
      </c>
      <c r="D384" s="4" t="s">
        <v>9997</v>
      </c>
      <c r="F384" s="5" t="str">
        <f>IFERROR(__xludf.DUMMYFUNCTION("GOOGLETRANSLATE(A384, ""en"", ""hi"")"),"383")</f>
        <v>383</v>
      </c>
      <c r="G384" s="5" t="str">
        <f>IFERROR(__xludf.DUMMYFUNCTION("GOOGLETRANSLATE(B384, ""en"", ""hi"")"),"किस तमिल राजा के शासनकाल ने सिलंबम के औपचारिकीकरण और प्रचार में योगदान दिया?")</f>
        <v>किस तमिल राजा के शासनकाल ने सिलंबम के औपचारिकीकरण और प्रचार में योगदान दिया?</v>
      </c>
      <c r="H384" s="5" t="str">
        <f>IFERROR(__xludf.DUMMYFUNCTION("GOOGLETRANSLATE(C384, ""en"", ""hi"")"),"ए) राजराजा चोल, बी) राजेंद्र चोल, सी) सुंदरा चोल, डी) कुलोथुंगा चोल")</f>
        <v>ए) राजराजा चोल, बी) राजेंद्र चोल, सी) सुंदरा चोल, डी) कुलोथुंगा चोल</v>
      </c>
      <c r="I384" s="5" t="str">
        <f>IFERROR(__xludf.DUMMYFUNCTION("GOOGLETRANSLATE(D384, ""en"", ""hi"")"),"A) राजराजा चोल")</f>
        <v>A) राजराजा चोल</v>
      </c>
    </row>
    <row r="385" ht="22.5" customHeight="1">
      <c r="A385" s="3">
        <v>384.0</v>
      </c>
      <c r="B385" s="4" t="s">
        <v>10297</v>
      </c>
      <c r="C385" s="4" t="s">
        <v>10132</v>
      </c>
      <c r="D385" s="4" t="s">
        <v>10089</v>
      </c>
      <c r="F385" s="5" t="str">
        <f>IFERROR(__xludf.DUMMYFUNCTION("GOOGLETRANSLATE(A385, ""en"", ""hi"")"),"384")</f>
        <v>384</v>
      </c>
      <c r="G385" s="5" t="str">
        <f>IFERROR(__xludf.DUMMYFUNCTION("GOOGLETRANSLATE(B385, ""en"", ""hi"")"),"औपनिवेशिक काल के दौरान सिलंबम की प्रथा और संरक्षण किस व्यक्ति से अत्यधिक प्रभावित था?")</f>
        <v>औपनिवेशिक काल के दौरान सिलंबम की प्रथा और संरक्षण किस व्यक्ति से अत्यधिक प्रभावित था?</v>
      </c>
      <c r="H385" s="5" t="str">
        <f>IFERROR(__xludf.DUMMYFUNCTION("GOOGLETRANSLATE(C385,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85" s="5" t="str">
        <f>IFERROR(__xludf.DUMMYFUNCTION("GOOGLETRANSLATE(D385, ""en"", ""hi"")"),"A) वी. कृष्णमाचारी")</f>
        <v>A) वी. कृष्णमाचारी</v>
      </c>
    </row>
    <row r="386" ht="22.5" customHeight="1">
      <c r="A386" s="3">
        <v>385.0</v>
      </c>
      <c r="B386" s="4" t="s">
        <v>10298</v>
      </c>
      <c r="C386" s="4" t="s">
        <v>10268</v>
      </c>
      <c r="D386" s="4" t="s">
        <v>10269</v>
      </c>
      <c r="F386" s="5" t="str">
        <f>IFERROR(__xludf.DUMMYFUNCTION("GOOGLETRANSLATE(A386, ""en"", ""hi"")"),"385")</f>
        <v>385</v>
      </c>
      <c r="G386" s="5" t="str">
        <f>IFERROR(__xludf.DUMMYFUNCTION("GOOGLETRANSLATE(B386, ""en"", ""hi"")"),"सिलंबम की ऐतिहासिक तकनीकों को किस प्राचीन तमिल लिपि में दर्ज किया गया था?")</f>
        <v>सिलंबम की ऐतिहासिक तकनीकों को किस प्राचीन तमिल लिपि में दर्ज किया गया था?</v>
      </c>
      <c r="H386" s="5" t="str">
        <f>IFERROR(__xludf.DUMMYFUNCTION("GOOGLETRANSLATE(C386, ""en"", ""hi"")"),"ए) ब्राह्मी, बी) ग्रंथ, सी) वट्टेलुट्टू, डी) तमिल")</f>
        <v>ए) ब्राह्मी, बी) ग्रंथ, सी) वट्टेलुट्टू, डी) तमिल</v>
      </c>
      <c r="I386" s="5" t="str">
        <f>IFERROR(__xludf.DUMMYFUNCTION("GOOGLETRANSLATE(D386, ""en"", ""hi"")"),"D) तमिल")</f>
        <v>D) तमिल</v>
      </c>
    </row>
    <row r="387" ht="22.5" customHeight="1">
      <c r="A387" s="3">
        <v>386.0</v>
      </c>
      <c r="B387" s="4" t="s">
        <v>10299</v>
      </c>
      <c r="C387" s="4" t="s">
        <v>10050</v>
      </c>
      <c r="D387" s="4" t="s">
        <v>9542</v>
      </c>
      <c r="F387" s="5" t="str">
        <f>IFERROR(__xludf.DUMMYFUNCTION("GOOGLETRANSLATE(A387, ""en"", ""hi"")"),"386")</f>
        <v>386</v>
      </c>
      <c r="G387" s="5" t="str">
        <f>IFERROR(__xludf.DUMMYFUNCTION("GOOGLETRANSLATE(B387, ""en"", ""hi"")"),"आधुनिक तमिलनाडु में सिलंबम के पुनरुत्थान का श्रेय किस सांस्कृतिक पुनरुत्थान आंदोलन को दिया जाता है?")</f>
        <v>आधुनिक तमिलनाडु में सिलंबम के पुनरुत्थान का श्रेय किस सांस्कृतिक पुनरुत्थान आंदोलन को दिया जाता है?</v>
      </c>
      <c r="H387" s="5" t="str">
        <f>IFERROR(__xludf.DUMMYFUNCTION("GOOGLETRANSLATE(C387, ""en"", ""hi"")"),"A) तमिल पुनर्जागरण, B) भक्ति आंदोलन, C) सुधार आंदोलन, D) राष्ट्रवादी आंदोलन")</f>
        <v>A) तमिल पुनर्जागरण, B) भक्ति आंदोलन, C) सुधार आंदोलन, D) राष्ट्रवादी आंदोलन</v>
      </c>
      <c r="I387" s="5" t="str">
        <f>IFERROR(__xludf.DUMMYFUNCTION("GOOGLETRANSLATE(D387, ""en"", ""hi"")"),"A) तमिल पुनर्जागरण")</f>
        <v>A) तमिल पुनर्जागरण</v>
      </c>
    </row>
    <row r="388" ht="22.5" customHeight="1">
      <c r="A388" s="3">
        <v>387.0</v>
      </c>
      <c r="B388" s="4" t="s">
        <v>10300</v>
      </c>
      <c r="C388" s="4" t="s">
        <v>10081</v>
      </c>
      <c r="D388" s="4" t="s">
        <v>10082</v>
      </c>
      <c r="F388" s="5" t="str">
        <f>IFERROR(__xludf.DUMMYFUNCTION("GOOGLETRANSLATE(A388, ""en"", ""hi"")"),"387")</f>
        <v>387</v>
      </c>
      <c r="G388" s="5" t="str">
        <f>IFERROR(__xludf.DUMMYFUNCTION("GOOGLETRANSLATE(B388, ""en"", ""hi"")"),"किस तमिल राजा का काल सिलंबम तकनीकों के विकास और मानकीकरण से सबसे अधिक जुड़ा हुआ है?")</f>
        <v>किस तमिल राजा का काल सिलंबम तकनीकों के विकास और मानकीकरण से सबसे अधिक जुड़ा हुआ है?</v>
      </c>
      <c r="H388" s="5" t="str">
        <f>IFERROR(__xludf.DUMMYFUNCTION("GOOGLETRANSLATE(C388, ""en"", ""hi"")"),"ए) राजराजा चोल, बी) राजेंद्र चोल, सी) सुंदरा चोल, डी) कुलोथुंगा चोल")</f>
        <v>ए) राजराजा चोल, बी) राजेंद्र चोल, सी) सुंदरा चोल, डी) कुलोथुंगा चोल</v>
      </c>
      <c r="I388" s="5" t="str">
        <f>IFERROR(__xludf.DUMMYFUNCTION("GOOGLETRANSLATE(D388, ""en"", ""hi"")"),"B) राजेंद्र चोल")</f>
        <v>B) राजेंद्र चोल</v>
      </c>
    </row>
    <row r="389" ht="22.5" customHeight="1">
      <c r="A389" s="3">
        <v>388.0</v>
      </c>
      <c r="B389" s="4" t="s">
        <v>10301</v>
      </c>
      <c r="C389" s="4" t="s">
        <v>10123</v>
      </c>
      <c r="D389" s="4" t="s">
        <v>9982</v>
      </c>
      <c r="F389" s="5" t="str">
        <f>IFERROR(__xludf.DUMMYFUNCTION("GOOGLETRANSLATE(A389, ""en"", ""hi"")"),"388")</f>
        <v>388</v>
      </c>
      <c r="G389" s="5" t="str">
        <f>IFERROR(__xludf.DUMMYFUNCTION("GOOGLETRANSLATE(B389, ""en"", ""hi"")"),"तमिलनाडु की सैन्य रणनीतियों में सिलंबम की भूमिका का वर्णन किस प्राचीन तमिल साहित्यिक कृति में किया गया है?")</f>
        <v>तमिलनाडु की सैन्य रणनीतियों में सिलंबम की भूमिका का वर्णन किस प्राचीन तमिल साहित्यिक कृति में किया गया है?</v>
      </c>
      <c r="H389" s="5" t="str">
        <f>IFERROR(__xludf.DUMMYFUNCTION("GOOGLETRANSLATE(C389, ""en"", ""hi"")"),"ए) टोलकाप्पियम, बी) सिलप्पातिकारम, सी) अगस्त्य संहिता, डी) कुरल")</f>
        <v>ए) टोलकाप्पियम, बी) सिलप्पातिकारम, सी) अगस्त्य संहिता, डी) कुरल</v>
      </c>
      <c r="I389" s="5" t="str">
        <f>IFERROR(__xludf.DUMMYFUNCTION("GOOGLETRANSLATE(D389, ""en"", ""hi"")"),"C) अगस्त्य संहिता")</f>
        <v>C) अगस्त्य संहिता</v>
      </c>
    </row>
    <row r="390" ht="22.5" customHeight="1">
      <c r="A390" s="3">
        <v>389.0</v>
      </c>
      <c r="B390" s="4" t="s">
        <v>10302</v>
      </c>
      <c r="C390" s="4" t="s">
        <v>10170</v>
      </c>
      <c r="D390" s="4" t="s">
        <v>10171</v>
      </c>
      <c r="F390" s="5" t="str">
        <f>IFERROR(__xludf.DUMMYFUNCTION("GOOGLETRANSLATE(A390, ""en"", ""hi"")"),"389")</f>
        <v>389</v>
      </c>
      <c r="G390" s="5" t="str">
        <f>IFERROR(__xludf.DUMMYFUNCTION("GOOGLETRANSLATE(B390, ""en"", ""hi"")"),"प्राचीन तमिलनाडु में सिलंबम की तकनीकें पारंपरिक रूप से किस शिक्षा प्रणाली के माध्यम से पारित की जाती थीं?")</f>
        <v>प्राचीन तमिलनाडु में सिलंबम की तकनीकें पारंपरिक रूप से किस शिक्षा प्रणाली के माध्यम से पारित की जाती थीं?</v>
      </c>
      <c r="H390" s="5" t="str">
        <f>IFERROR(__xludf.DUMMYFUNCTION("GOOGLETRANSLATE(C390, ""en"", ""hi"")"),"A) गुरुकुल प्रणाली, B) शाही दरबार, C) मंदिर विद्यालय, D) मठ केंद्र")</f>
        <v>A) गुरुकुल प्रणाली, B) शाही दरबार, C) मंदिर विद्यालय, D) मठ केंद्र</v>
      </c>
      <c r="I390" s="5" t="str">
        <f>IFERROR(__xludf.DUMMYFUNCTION("GOOGLETRANSLATE(D390, ""en"", ""hi"")"),"A) गुरुकुल प्रणाली")</f>
        <v>A) गुरुकुल प्रणाली</v>
      </c>
    </row>
    <row r="391" ht="22.5" customHeight="1">
      <c r="A391" s="3">
        <v>390.0</v>
      </c>
      <c r="B391" s="4" t="s">
        <v>10303</v>
      </c>
      <c r="C391" s="4" t="s">
        <v>10081</v>
      </c>
      <c r="D391" s="4" t="s">
        <v>9997</v>
      </c>
      <c r="F391" s="5" t="str">
        <f>IFERROR(__xludf.DUMMYFUNCTION("GOOGLETRANSLATE(A391, ""en"", ""hi"")"),"390")</f>
        <v>390</v>
      </c>
      <c r="G391" s="5" t="str">
        <f>IFERROR(__xludf.DUMMYFUNCTION("GOOGLETRANSLATE(B391, ""en"", ""hi"")"),"सिलंबम के संरक्षण और विकास में किस तमिल राजा का संरक्षण महत्वपूर्ण था?")</f>
        <v>सिलंबम के संरक्षण और विकास में किस तमिल राजा का संरक्षण महत्वपूर्ण था?</v>
      </c>
      <c r="H391" s="5" t="str">
        <f>IFERROR(__xludf.DUMMYFUNCTION("GOOGLETRANSLATE(C391, ""en"", ""hi"")"),"ए) राजराजा चोल, बी) राजेंद्र चोल, सी) सुंदरा चोल, डी) कुलोथुंगा चोल")</f>
        <v>ए) राजराजा चोल, बी) राजेंद्र चोल, सी) सुंदरा चोल, डी) कुलोथुंगा चोल</v>
      </c>
      <c r="I391" s="5" t="str">
        <f>IFERROR(__xludf.DUMMYFUNCTION("GOOGLETRANSLATE(D391, ""en"", ""hi"")"),"A) राजराजा चोल")</f>
        <v>A) राजराजा चोल</v>
      </c>
    </row>
    <row r="392" ht="22.5" customHeight="1">
      <c r="A392" s="3">
        <v>391.0</v>
      </c>
      <c r="B392" s="4" t="s">
        <v>10304</v>
      </c>
      <c r="C392" s="4" t="s">
        <v>10132</v>
      </c>
      <c r="D392" s="4" t="s">
        <v>10089</v>
      </c>
      <c r="F392" s="5" t="str">
        <f>IFERROR(__xludf.DUMMYFUNCTION("GOOGLETRANSLATE(A392, ""en"", ""hi"")"),"391")</f>
        <v>391</v>
      </c>
      <c r="G392" s="5" t="str">
        <f>IFERROR(__xludf.DUMMYFUNCTION("GOOGLETRANSLATE(B392, ""en"", ""hi"")"),"आधुनिक तमिलनाडु में सिलंबम का पुनरुत्थान अक्सर किस पुनरुत्थानवादी व्यक्ति से जुड़ा हुआ है?")</f>
        <v>आधुनिक तमिलनाडु में सिलंबम का पुनरुत्थान अक्सर किस पुनरुत्थानवादी व्यक्ति से जुड़ा हुआ है?</v>
      </c>
      <c r="H392" s="5" t="str">
        <f>IFERROR(__xludf.DUMMYFUNCTION("GOOGLETRANSLATE(C392,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392" s="5" t="str">
        <f>IFERROR(__xludf.DUMMYFUNCTION("GOOGLETRANSLATE(D392, ""en"", ""hi"")"),"A) वी. कृष्णमाचारी")</f>
        <v>A) वी. कृष्णमाचारी</v>
      </c>
    </row>
    <row r="393" ht="22.5" customHeight="1">
      <c r="A393" s="3">
        <v>392.0</v>
      </c>
      <c r="B393" s="4" t="s">
        <v>10305</v>
      </c>
      <c r="C393" s="4" t="s">
        <v>10123</v>
      </c>
      <c r="D393" s="4" t="s">
        <v>9982</v>
      </c>
      <c r="F393" s="5" t="str">
        <f>IFERROR(__xludf.DUMMYFUNCTION("GOOGLETRANSLATE(A393, ""en"", ""hi"")"),"392")</f>
        <v>392</v>
      </c>
      <c r="G393" s="5" t="str">
        <f>IFERROR(__xludf.DUMMYFUNCTION("GOOGLETRANSLATE(B393, ""en"", ""hi"")"),"कौन सा प्राचीन तमिल ग्रंथ सिलंबम तकनीकों और उनके अनुप्रयोग के विस्तृत विवरण के लिए जाना जाता है?")</f>
        <v>कौन सा प्राचीन तमिल ग्रंथ सिलंबम तकनीकों और उनके अनुप्रयोग के विस्तृत विवरण के लिए जाना जाता है?</v>
      </c>
      <c r="H393" s="5" t="str">
        <f>IFERROR(__xludf.DUMMYFUNCTION("GOOGLETRANSLATE(C393, ""en"", ""hi"")"),"ए) टोलकाप्पियम, बी) सिलप्पातिकारम, सी) अगस्त्य संहिता, डी) कुरल")</f>
        <v>ए) टोलकाप्पियम, बी) सिलप्पातिकारम, सी) अगस्त्य संहिता, डी) कुरल</v>
      </c>
      <c r="I393" s="5" t="str">
        <f>IFERROR(__xludf.DUMMYFUNCTION("GOOGLETRANSLATE(D393, ""en"", ""hi"")"),"C) अगस्त्य संहिता")</f>
        <v>C) अगस्त्य संहिता</v>
      </c>
    </row>
    <row r="394" ht="22.5" customHeight="1">
      <c r="A394" s="3">
        <v>393.0</v>
      </c>
      <c r="B394" s="4" t="s">
        <v>10306</v>
      </c>
      <c r="C394" s="4" t="s">
        <v>10081</v>
      </c>
      <c r="D394" s="4" t="s">
        <v>10082</v>
      </c>
      <c r="F394" s="5" t="str">
        <f>IFERROR(__xludf.DUMMYFUNCTION("GOOGLETRANSLATE(A394, ""en"", ""hi"")"),"393")</f>
        <v>393</v>
      </c>
      <c r="G394" s="5" t="str">
        <f>IFERROR(__xludf.DUMMYFUNCTION("GOOGLETRANSLATE(B394, ""en"", ""hi"")"),"किस तमिल राजा के शासनकाल के दौरान सिलंबम का महत्वपूर्ण दस्तावेजीकरण और औपचारिकता हुई?")</f>
        <v>किस तमिल राजा के शासनकाल के दौरान सिलंबम का महत्वपूर्ण दस्तावेजीकरण और औपचारिकता हुई?</v>
      </c>
      <c r="H394" s="5" t="str">
        <f>IFERROR(__xludf.DUMMYFUNCTION("GOOGLETRANSLATE(C394, ""en"", ""hi"")"),"ए) राजराजा चोल, बी) राजेंद्र चोल, सी) सुंदरा चोल, डी) कुलोथुंगा चोल")</f>
        <v>ए) राजराजा चोल, बी) राजेंद्र चोल, सी) सुंदरा चोल, डी) कुलोथुंगा चोल</v>
      </c>
      <c r="I394" s="5" t="str">
        <f>IFERROR(__xludf.DUMMYFUNCTION("GOOGLETRANSLATE(D394, ""en"", ""hi"")"),"B) राजेंद्र चोल")</f>
        <v>B) राजेंद्र चोल</v>
      </c>
    </row>
    <row r="395" ht="22.5" customHeight="1">
      <c r="A395" s="3">
        <v>394.0</v>
      </c>
      <c r="B395" s="4" t="s">
        <v>10307</v>
      </c>
      <c r="C395" s="4" t="s">
        <v>10170</v>
      </c>
      <c r="D395" s="4" t="s">
        <v>10171</v>
      </c>
      <c r="F395" s="5" t="str">
        <f>IFERROR(__xludf.DUMMYFUNCTION("GOOGLETRANSLATE(A395, ""en"", ""hi"")"),"394")</f>
        <v>394</v>
      </c>
      <c r="G395" s="5" t="str">
        <f>IFERROR(__xludf.DUMMYFUNCTION("GOOGLETRANSLATE(B395, ""en"", ""hi"")"),"सिलंबम की प्रथा पारंपरिक रूप से तमिल शिक्षा के किस रूप के माध्यम से संरक्षित थी?")</f>
        <v>सिलंबम की प्रथा पारंपरिक रूप से तमिल शिक्षा के किस रूप के माध्यम से संरक्षित थी?</v>
      </c>
      <c r="H395" s="5" t="str">
        <f>IFERROR(__xludf.DUMMYFUNCTION("GOOGLETRANSLATE(C395, ""en"", ""hi"")"),"A) गुरुकुल प्रणाली, B) शाही दरबार, C) मंदिर विद्यालय, D) मठ केंद्र")</f>
        <v>A) गुरुकुल प्रणाली, B) शाही दरबार, C) मंदिर विद्यालय, D) मठ केंद्र</v>
      </c>
      <c r="I395" s="5" t="str">
        <f>IFERROR(__xludf.DUMMYFUNCTION("GOOGLETRANSLATE(D395, ""en"", ""hi"")"),"A) गुरुकुल प्रणाली")</f>
        <v>A) गुरुकुल प्रणाली</v>
      </c>
    </row>
    <row r="396" ht="22.5" customHeight="1">
      <c r="A396" s="3">
        <v>395.0</v>
      </c>
      <c r="B396" s="4" t="s">
        <v>10308</v>
      </c>
      <c r="C396" s="4" t="s">
        <v>10081</v>
      </c>
      <c r="D396" s="4" t="s">
        <v>9997</v>
      </c>
      <c r="F396" s="5" t="str">
        <f>IFERROR(__xludf.DUMMYFUNCTION("GOOGLETRANSLATE(A396, ""en"", ""hi"")"),"395")</f>
        <v>395</v>
      </c>
      <c r="G396" s="5" t="str">
        <f>IFERROR(__xludf.DUMMYFUNCTION("GOOGLETRANSLATE(B396, ""en"", ""hi"")"),"किस तमिल राजा का काल मार्शल आर्ट के रूप में सिलंबम की उन्नति के लिए सबसे अधिक प्रसिद्ध है?")</f>
        <v>किस तमिल राजा का काल मार्शल आर्ट के रूप में सिलंबम की उन्नति के लिए सबसे अधिक प्रसिद्ध है?</v>
      </c>
      <c r="H396" s="5" t="str">
        <f>IFERROR(__xludf.DUMMYFUNCTION("GOOGLETRANSLATE(C396, ""en"", ""hi"")"),"ए) राजराजा चोल, बी) राजेंद्र चोल, सी) सुंदरा चोल, डी) कुलोथुंगा चोल")</f>
        <v>ए) राजराजा चोल, बी) राजेंद्र चोल, सी) सुंदरा चोल, डी) कुलोथुंगा चोल</v>
      </c>
      <c r="I396" s="5" t="str">
        <f>IFERROR(__xludf.DUMMYFUNCTION("GOOGLETRANSLATE(D396, ""en"", ""hi"")"),"A) राजराजा चोल")</f>
        <v>A) राजराजा चोल</v>
      </c>
    </row>
    <row r="397" ht="22.5" customHeight="1">
      <c r="A397" s="3">
        <v>396.0</v>
      </c>
      <c r="B397" s="4" t="s">
        <v>10309</v>
      </c>
      <c r="C397" s="4" t="s">
        <v>10268</v>
      </c>
      <c r="D397" s="4" t="s">
        <v>10269</v>
      </c>
      <c r="F397" s="5" t="str">
        <f>IFERROR(__xludf.DUMMYFUNCTION("GOOGLETRANSLATE(A397, ""en"", ""hi"")"),"396")</f>
        <v>396</v>
      </c>
      <c r="G397" s="5" t="str">
        <f>IFERROR(__xludf.DUMMYFUNCTION("GOOGLETRANSLATE(B397, ""en"", ""hi"")"),"सिलंबम का ऐतिहासिक महत्व और तकनीक किस तमिल लिपि में दर्ज है?")</f>
        <v>सिलंबम का ऐतिहासिक महत्व और तकनीक किस तमिल लिपि में दर्ज है?</v>
      </c>
      <c r="H397" s="5" t="str">
        <f>IFERROR(__xludf.DUMMYFUNCTION("GOOGLETRANSLATE(C397, ""en"", ""hi"")"),"ए) ब्राह्मी, बी) ग्रंथ, सी) वट्टेलुट्टू, डी) तमिल")</f>
        <v>ए) ब्राह्मी, बी) ग्रंथ, सी) वट्टेलुट्टू, डी) तमिल</v>
      </c>
      <c r="I397" s="5" t="str">
        <f>IFERROR(__xludf.DUMMYFUNCTION("GOOGLETRANSLATE(D397, ""en"", ""hi"")"),"D) तमिल")</f>
        <v>D) तमिल</v>
      </c>
    </row>
    <row r="398" ht="22.5" customHeight="1">
      <c r="A398" s="3">
        <v>397.0</v>
      </c>
      <c r="B398" s="4" t="s">
        <v>10310</v>
      </c>
      <c r="C398" s="4" t="s">
        <v>10050</v>
      </c>
      <c r="D398" s="4" t="s">
        <v>9542</v>
      </c>
      <c r="F398" s="5" t="str">
        <f>IFERROR(__xludf.DUMMYFUNCTION("GOOGLETRANSLATE(A398, ""en"", ""hi"")"),"397")</f>
        <v>397</v>
      </c>
      <c r="G398" s="5" t="str">
        <f>IFERROR(__xludf.DUMMYFUNCTION("GOOGLETRANSLATE(B398, ""en"", ""hi"")"),"आधुनिक समय में सिलंबम का पुनरुत्थान किस तमिल सांस्कृतिक पुनरुत्थान से जुड़ा है?")</f>
        <v>आधुनिक समय में सिलंबम का पुनरुत्थान किस तमिल सांस्कृतिक पुनरुत्थान से जुड़ा है?</v>
      </c>
      <c r="H398" s="5" t="str">
        <f>IFERROR(__xludf.DUMMYFUNCTION("GOOGLETRANSLATE(C398, ""en"", ""hi"")"),"A) तमिल पुनर्जागरण, B) भक्ति आंदोलन, C) सुधार आंदोलन, D) राष्ट्रवादी आंदोलन")</f>
        <v>A) तमिल पुनर्जागरण, B) भक्ति आंदोलन, C) सुधार आंदोलन, D) राष्ट्रवादी आंदोलन</v>
      </c>
      <c r="I398" s="5" t="str">
        <f>IFERROR(__xludf.DUMMYFUNCTION("GOOGLETRANSLATE(D398, ""en"", ""hi"")"),"A) तमिल पुनर्जागरण")</f>
        <v>A) तमिल पुनर्जागरण</v>
      </c>
    </row>
    <row r="399" ht="22.5" customHeight="1">
      <c r="A399" s="3">
        <v>398.0</v>
      </c>
      <c r="B399" s="4" t="s">
        <v>10311</v>
      </c>
      <c r="C399" s="4" t="s">
        <v>10081</v>
      </c>
      <c r="D399" s="4" t="s">
        <v>10082</v>
      </c>
      <c r="F399" s="5" t="str">
        <f>IFERROR(__xludf.DUMMYFUNCTION("GOOGLETRANSLATE(A399, ""en"", ""hi"")"),"398")</f>
        <v>398</v>
      </c>
      <c r="G399" s="5" t="str">
        <f>IFERROR(__xludf.DUMMYFUNCTION("GOOGLETRANSLATE(B399, ""en"", ""hi"")"),"किस तमिल राजा का शासनकाल सिलंबम तकनीकों के औपचारिकीकरण और संहिताकरण से जुड़ा है?")</f>
        <v>किस तमिल राजा का शासनकाल सिलंबम तकनीकों के औपचारिकीकरण और संहिताकरण से जुड़ा है?</v>
      </c>
      <c r="H399" s="5" t="str">
        <f>IFERROR(__xludf.DUMMYFUNCTION("GOOGLETRANSLATE(C399, ""en"", ""hi"")"),"ए) राजराजा चोल, बी) राजेंद्र चोल, सी) सुंदरा चोल, डी) कुलोथुंगा चोल")</f>
        <v>ए) राजराजा चोल, बी) राजेंद्र चोल, सी) सुंदरा चोल, डी) कुलोथुंगा चोल</v>
      </c>
      <c r="I399" s="5" t="str">
        <f>IFERROR(__xludf.DUMMYFUNCTION("GOOGLETRANSLATE(D399, ""en"", ""hi"")"),"B) राजेंद्र चोल")</f>
        <v>B) राजेंद्र चोल</v>
      </c>
    </row>
    <row r="400" ht="22.5" customHeight="1">
      <c r="A400" s="3">
        <v>399.0</v>
      </c>
      <c r="B400" s="4" t="s">
        <v>10312</v>
      </c>
      <c r="C400" s="4" t="s">
        <v>10170</v>
      </c>
      <c r="D400" s="4" t="s">
        <v>10171</v>
      </c>
      <c r="F400" s="5" t="str">
        <f>IFERROR(__xludf.DUMMYFUNCTION("GOOGLETRANSLATE(A400, ""en"", ""hi"")"),"399")</f>
        <v>399</v>
      </c>
      <c r="G400" s="5" t="str">
        <f>IFERROR(__xludf.DUMMYFUNCTION("GOOGLETRANSLATE(B400, ""en"", ""hi"")"),"सिलंबम का ऐतिहासिक संरक्षण मुख्यतः किस शैक्षिक प्रणाली के माध्यम से प्राप्त किया गया था?")</f>
        <v>सिलंबम का ऐतिहासिक संरक्षण मुख्यतः किस शैक्षिक प्रणाली के माध्यम से प्राप्त किया गया था?</v>
      </c>
      <c r="H400" s="5" t="str">
        <f>IFERROR(__xludf.DUMMYFUNCTION("GOOGLETRANSLATE(C400, ""en"", ""hi"")"),"A) गुरुकुल प्रणाली, B) शाही दरबार, C) मंदिर विद्यालय, D) मठ केंद्र")</f>
        <v>A) गुरुकुल प्रणाली, B) शाही दरबार, C) मंदिर विद्यालय, D) मठ केंद्र</v>
      </c>
      <c r="I400" s="5" t="str">
        <f>IFERROR(__xludf.DUMMYFUNCTION("GOOGLETRANSLATE(D400, ""en"", ""hi"")"),"A) गुरुकुल प्रणाली")</f>
        <v>A) गुरुकुल प्रणाली</v>
      </c>
    </row>
    <row r="401" ht="22.5" customHeight="1">
      <c r="A401" s="3">
        <v>400.0</v>
      </c>
      <c r="B401" s="4" t="s">
        <v>10313</v>
      </c>
      <c r="C401" s="4" t="s">
        <v>10081</v>
      </c>
      <c r="D401" s="4" t="s">
        <v>9997</v>
      </c>
      <c r="F401" s="5" t="str">
        <f>IFERROR(__xludf.DUMMYFUNCTION("GOOGLETRANSLATE(A401, ""en"", ""hi"")"),"400")</f>
        <v>400</v>
      </c>
      <c r="G401" s="5" t="str">
        <f>IFERROR(__xludf.DUMMYFUNCTION("GOOGLETRANSLATE(B401, ""en"", ""hi"")"),"किस तमिल राजा के संरक्षण ने सिलंबम के विकास में महत्वपूर्ण योगदान दिया?")</f>
        <v>किस तमिल राजा के संरक्षण ने सिलंबम के विकास में महत्वपूर्ण योगदान दिया?</v>
      </c>
      <c r="H401" s="5" t="str">
        <f>IFERROR(__xludf.DUMMYFUNCTION("GOOGLETRANSLATE(C401, ""en"", ""hi"")"),"ए) राजराजा चोल, बी) राजेंद्र चोल, सी) सुंदरा चोल, डी) कुलोथुंगा चोल")</f>
        <v>ए) राजराजा चोल, बी) राजेंद्र चोल, सी) सुंदरा चोल, डी) कुलोथुंगा चोल</v>
      </c>
      <c r="I401" s="5" t="str">
        <f>IFERROR(__xludf.DUMMYFUNCTION("GOOGLETRANSLATE(D401, ""en"", ""hi"")"),"A) राजराजा चोल")</f>
        <v>A) राजराजा चोल</v>
      </c>
    </row>
    <row r="402" ht="22.5" customHeight="1">
      <c r="A402" s="3">
        <v>401.0</v>
      </c>
      <c r="B402" s="4" t="s">
        <v>10314</v>
      </c>
      <c r="C402" s="4" t="s">
        <v>10132</v>
      </c>
      <c r="D402" s="4" t="s">
        <v>10089</v>
      </c>
      <c r="F402" s="5" t="str">
        <f>IFERROR(__xludf.DUMMYFUNCTION("GOOGLETRANSLATE(A402, ""en"", ""hi"")"),"401")</f>
        <v>401</v>
      </c>
      <c r="G402" s="5" t="str">
        <f>IFERROR(__xludf.DUMMYFUNCTION("GOOGLETRANSLATE(B402, ""en"", ""hi"")"),"हाल के दिनों में तमिलनाडु में सिलंबम के पुनरुत्थान का श्रेय किस व्यक्ति को दिया जाता है?")</f>
        <v>हाल के दिनों में तमिलनाडु में सिलंबम के पुनरुत्थान का श्रेय किस व्यक्ति को दिया जाता है?</v>
      </c>
      <c r="H402" s="5" t="str">
        <f>IFERROR(__xludf.DUMMYFUNCTION("GOOGLETRANSLATE(C402,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02" s="5" t="str">
        <f>IFERROR(__xludf.DUMMYFUNCTION("GOOGLETRANSLATE(D402, ""en"", ""hi"")"),"A) वी. कृष्णमाचारी")</f>
        <v>A) वी. कृष्णमाचारी</v>
      </c>
    </row>
    <row r="403" ht="22.5" customHeight="1">
      <c r="A403" s="3">
        <v>402.0</v>
      </c>
      <c r="B403" s="4" t="s">
        <v>10315</v>
      </c>
      <c r="C403" s="4" t="s">
        <v>10123</v>
      </c>
      <c r="D403" s="4" t="s">
        <v>9982</v>
      </c>
      <c r="F403" s="5" t="str">
        <f>IFERROR(__xludf.DUMMYFUNCTION("GOOGLETRANSLATE(A403, ""en"", ""hi"")"),"402")</f>
        <v>402</v>
      </c>
      <c r="G403" s="5" t="str">
        <f>IFERROR(__xludf.DUMMYFUNCTION("GOOGLETRANSLATE(B403, ""en"", ""hi"")"),"सिलंबम का ऐतिहासिक महत्व किस तमिल ग्रंथ में वर्णित है?")</f>
        <v>सिलंबम का ऐतिहासिक महत्व किस तमिल ग्रंथ में वर्णित है?</v>
      </c>
      <c r="H403" s="5" t="str">
        <f>IFERROR(__xludf.DUMMYFUNCTION("GOOGLETRANSLATE(C403, ""en"", ""hi"")"),"ए) टोलकाप्पियम, बी) सिलप्पातिकारम, सी) अगस्त्य संहिता, डी) कुरल")</f>
        <v>ए) टोलकाप्पियम, बी) सिलप्पातिकारम, सी) अगस्त्य संहिता, डी) कुरल</v>
      </c>
      <c r="I403" s="5" t="str">
        <f>IFERROR(__xludf.DUMMYFUNCTION("GOOGLETRANSLATE(D403, ""en"", ""hi"")"),"C) अगस्त्य संहिता")</f>
        <v>C) अगस्त्य संहिता</v>
      </c>
    </row>
    <row r="404" ht="22.5" customHeight="1">
      <c r="A404" s="3">
        <v>403.0</v>
      </c>
      <c r="B404" s="4" t="s">
        <v>10316</v>
      </c>
      <c r="C404" s="4" t="s">
        <v>10081</v>
      </c>
      <c r="D404" s="4" t="s">
        <v>10082</v>
      </c>
      <c r="F404" s="5" t="str">
        <f>IFERROR(__xludf.DUMMYFUNCTION("GOOGLETRANSLATE(A404, ""en"", ""hi"")"),"403")</f>
        <v>403</v>
      </c>
      <c r="G404" s="5" t="str">
        <f>IFERROR(__xludf.DUMMYFUNCTION("GOOGLETRANSLATE(B404, ""en"", ""hi"")"),"किस तमिल राजा के शासनकाल के दौरान सिलंबम तकनीकों को उल्लेखनीय संहिताकरण प्राप्त हुआ?")</f>
        <v>किस तमिल राजा के शासनकाल के दौरान सिलंबम तकनीकों को उल्लेखनीय संहिताकरण प्राप्त हुआ?</v>
      </c>
      <c r="H404" s="5" t="str">
        <f>IFERROR(__xludf.DUMMYFUNCTION("GOOGLETRANSLATE(C404, ""en"", ""hi"")"),"ए) राजराजा चोल, बी) राजेंद्र चोल, सी) सुंदरा चोल, डी) कुलोथुंगा चोल")</f>
        <v>ए) राजराजा चोल, बी) राजेंद्र चोल, सी) सुंदरा चोल, डी) कुलोथुंगा चोल</v>
      </c>
      <c r="I404" s="5" t="str">
        <f>IFERROR(__xludf.DUMMYFUNCTION("GOOGLETRANSLATE(D404, ""en"", ""hi"")"),"B) राजेंद्र चोल")</f>
        <v>B) राजेंद्र चोल</v>
      </c>
    </row>
    <row r="405" ht="22.5" customHeight="1">
      <c r="A405" s="3">
        <v>404.0</v>
      </c>
      <c r="B405" s="4" t="s">
        <v>10317</v>
      </c>
      <c r="C405" s="4" t="s">
        <v>10170</v>
      </c>
      <c r="D405" s="4" t="s">
        <v>10171</v>
      </c>
      <c r="F405" s="5" t="str">
        <f>IFERROR(__xludf.DUMMYFUNCTION("GOOGLETRANSLATE(A405, ""en"", ""hi"")"),"404")</f>
        <v>404</v>
      </c>
      <c r="G405" s="5" t="str">
        <f>IFERROR(__xludf.DUMMYFUNCTION("GOOGLETRANSLATE(B405, ""en"", ""hi"")"),"सिलंबम की ऐतिहासिक तकनीकों को मुख्य रूप से किस पारंपरिक शिक्षा प्रणाली के माध्यम से संरक्षित किया गया था?")</f>
        <v>सिलंबम की ऐतिहासिक तकनीकों को मुख्य रूप से किस पारंपरिक शिक्षा प्रणाली के माध्यम से संरक्षित किया गया था?</v>
      </c>
      <c r="H405" s="5" t="str">
        <f>IFERROR(__xludf.DUMMYFUNCTION("GOOGLETRANSLATE(C405, ""en"", ""hi"")"),"A) गुरुकुल प्रणाली, B) शाही दरबार, C) मंदिर विद्यालय, D) मठ केंद्र")</f>
        <v>A) गुरुकुल प्रणाली, B) शाही दरबार, C) मंदिर विद्यालय, D) मठ केंद्र</v>
      </c>
      <c r="I405" s="5" t="str">
        <f>IFERROR(__xludf.DUMMYFUNCTION("GOOGLETRANSLATE(D405, ""en"", ""hi"")"),"A) गुरुकुल प्रणाली")</f>
        <v>A) गुरुकुल प्रणाली</v>
      </c>
    </row>
    <row r="406" ht="22.5" customHeight="1">
      <c r="A406" s="3">
        <v>405.0</v>
      </c>
      <c r="B406" s="4" t="s">
        <v>10318</v>
      </c>
      <c r="C406" s="4" t="s">
        <v>10081</v>
      </c>
      <c r="D406" s="4" t="s">
        <v>9997</v>
      </c>
      <c r="F406" s="5" t="str">
        <f>IFERROR(__xludf.DUMMYFUNCTION("GOOGLETRANSLATE(A406, ""en"", ""hi"")"),"405")</f>
        <v>405</v>
      </c>
      <c r="G406" s="5" t="str">
        <f>IFERROR(__xludf.DUMMYFUNCTION("GOOGLETRANSLATE(B406, ""en"", ""hi"")"),"सिलंबम की उन्नति और संरक्षण में किस तमिल राजा का संरक्षण महत्वपूर्ण था?")</f>
        <v>सिलंबम की उन्नति और संरक्षण में किस तमिल राजा का संरक्षण महत्वपूर्ण था?</v>
      </c>
      <c r="H406" s="5" t="str">
        <f>IFERROR(__xludf.DUMMYFUNCTION("GOOGLETRANSLATE(C406, ""en"", ""hi"")"),"ए) राजराजा चोल, बी) राजेंद्र चोल, सी) सुंदरा चोल, डी) कुलोथुंगा चोल")</f>
        <v>ए) राजराजा चोल, बी) राजेंद्र चोल, सी) सुंदरा चोल, डी) कुलोथुंगा चोल</v>
      </c>
      <c r="I406" s="5" t="str">
        <f>IFERROR(__xludf.DUMMYFUNCTION("GOOGLETRANSLATE(D406, ""en"", ""hi"")"),"A) राजराजा चोल")</f>
        <v>A) राजराजा चोल</v>
      </c>
    </row>
    <row r="407" ht="22.5" customHeight="1">
      <c r="A407" s="3">
        <v>406.0</v>
      </c>
      <c r="B407" s="4" t="s">
        <v>10319</v>
      </c>
      <c r="C407" s="4" t="s">
        <v>10050</v>
      </c>
      <c r="D407" s="4" t="s">
        <v>9542</v>
      </c>
      <c r="F407" s="5" t="str">
        <f>IFERROR(__xludf.DUMMYFUNCTION("GOOGLETRANSLATE(A407, ""en"", ""hi"")"),"406")</f>
        <v>406</v>
      </c>
      <c r="G407" s="5" t="str">
        <f>IFERROR(__xludf.DUMMYFUNCTION("GOOGLETRANSLATE(B407, ""en"", ""hi"")"),"तमिलनाडु में सिलंबम का पुनरुत्थान किस तमिल पुनरुत्थानवादी आंदोलन से जुड़ा है?")</f>
        <v>तमिलनाडु में सिलंबम का पुनरुत्थान किस तमिल पुनरुत्थानवादी आंदोलन से जुड़ा है?</v>
      </c>
      <c r="H407" s="5" t="str">
        <f>IFERROR(__xludf.DUMMYFUNCTION("GOOGLETRANSLATE(C407, ""en"", ""hi"")"),"A) तमिल पुनर्जागरण, B) भक्ति आंदोलन, C) सुधार आंदोलन, D) राष्ट्रवादी आंदोलन")</f>
        <v>A) तमिल पुनर्जागरण, B) भक्ति आंदोलन, C) सुधार आंदोलन, D) राष्ट्रवादी आंदोलन</v>
      </c>
      <c r="I407" s="5" t="str">
        <f>IFERROR(__xludf.DUMMYFUNCTION("GOOGLETRANSLATE(D407, ""en"", ""hi"")"),"A) तमिल पुनर्जागरण")</f>
        <v>A) तमिल पुनर्जागरण</v>
      </c>
    </row>
    <row r="408" ht="22.5" customHeight="1">
      <c r="A408" s="3">
        <v>407.0</v>
      </c>
      <c r="B408" s="4" t="s">
        <v>10320</v>
      </c>
      <c r="C408" s="4" t="s">
        <v>10081</v>
      </c>
      <c r="D408" s="4" t="s">
        <v>10082</v>
      </c>
      <c r="F408" s="5" t="str">
        <f>IFERROR(__xludf.DUMMYFUNCTION("GOOGLETRANSLATE(A408, ""en"", ""hi"")"),"407")</f>
        <v>407</v>
      </c>
      <c r="G408" s="5" t="str">
        <f>IFERROR(__xludf.DUMMYFUNCTION("GOOGLETRANSLATE(B408, ""en"", ""hi"")"),"किस तमिल राजा के शासनकाल में सिलंबम तकनीक का विकास और मानकीकरण हुआ?")</f>
        <v>किस तमिल राजा के शासनकाल में सिलंबम तकनीक का विकास और मानकीकरण हुआ?</v>
      </c>
      <c r="H408" s="5" t="str">
        <f>IFERROR(__xludf.DUMMYFUNCTION("GOOGLETRANSLATE(C408, ""en"", ""hi"")"),"ए) राजराजा चोल, बी) राजेंद्र चोल, सी) सुंदरा चोल, डी) कुलोथुंगा चोल")</f>
        <v>ए) राजराजा चोल, बी) राजेंद्र चोल, सी) सुंदरा चोल, डी) कुलोथुंगा चोल</v>
      </c>
      <c r="I408" s="5" t="str">
        <f>IFERROR(__xludf.DUMMYFUNCTION("GOOGLETRANSLATE(D408, ""en"", ""hi"")"),"B) राजेंद्र चोल")</f>
        <v>B) राजेंद्र चोल</v>
      </c>
    </row>
    <row r="409" ht="22.5" customHeight="1">
      <c r="A409" s="3">
        <v>408.0</v>
      </c>
      <c r="B409" s="4" t="s">
        <v>10321</v>
      </c>
      <c r="C409" s="4" t="s">
        <v>10268</v>
      </c>
      <c r="D409" s="4" t="s">
        <v>10269</v>
      </c>
      <c r="F409" s="5" t="str">
        <f>IFERROR(__xludf.DUMMYFUNCTION("GOOGLETRANSLATE(A409, ""en"", ""hi"")"),"408")</f>
        <v>408</v>
      </c>
      <c r="G409" s="5" t="str">
        <f>IFERROR(__xludf.DUMMYFUNCTION("GOOGLETRANSLATE(B409, ""en"", ""hi"")"),"सिलंबम की ऐतिहासिक तकनीक और महत्व किस प्राचीन तमिल लिपि में दर्ज हैं?")</f>
        <v>सिलंबम की ऐतिहासिक तकनीक और महत्व किस प्राचीन तमिल लिपि में दर्ज हैं?</v>
      </c>
      <c r="H409" s="5" t="str">
        <f>IFERROR(__xludf.DUMMYFUNCTION("GOOGLETRANSLATE(C409, ""en"", ""hi"")"),"ए) ब्राह्मी, बी) ग्रंथ, सी) वट्टेलुट्टू, डी) तमिल")</f>
        <v>ए) ब्राह्मी, बी) ग्रंथ, सी) वट्टेलुट्टू, डी) तमिल</v>
      </c>
      <c r="I409" s="5" t="str">
        <f>IFERROR(__xludf.DUMMYFUNCTION("GOOGLETRANSLATE(D409, ""en"", ""hi"")"),"D) तमिल")</f>
        <v>D) तमिल</v>
      </c>
    </row>
    <row r="410" ht="22.5" customHeight="1">
      <c r="A410" s="3">
        <v>409.0</v>
      </c>
      <c r="B410" s="4" t="s">
        <v>10322</v>
      </c>
      <c r="C410" s="4" t="s">
        <v>10170</v>
      </c>
      <c r="D410" s="4" t="s">
        <v>10171</v>
      </c>
      <c r="F410" s="5" t="str">
        <f>IFERROR(__xludf.DUMMYFUNCTION("GOOGLETRANSLATE(A410, ""en"", ""hi"")"),"409")</f>
        <v>409</v>
      </c>
      <c r="G410" s="5" t="str">
        <f>IFERROR(__xludf.DUMMYFUNCTION("GOOGLETRANSLATE(B410, ""en"", ""hi"")"),"सिलंबम का संरक्षण और औपचारिकीकरण मुख्यतः किस शैक्षणिक प्रणाली के माध्यम से प्राप्त किया गया?")</f>
        <v>सिलंबम का संरक्षण और औपचारिकीकरण मुख्यतः किस शैक्षणिक प्रणाली के माध्यम से प्राप्त किया गया?</v>
      </c>
      <c r="H410" s="5" t="str">
        <f>IFERROR(__xludf.DUMMYFUNCTION("GOOGLETRANSLATE(C410, ""en"", ""hi"")"),"A) गुरुकुल प्रणाली, B) शाही दरबार, C) मंदिर विद्यालय, D) मठ केंद्र")</f>
        <v>A) गुरुकुल प्रणाली, B) शाही दरबार, C) मंदिर विद्यालय, D) मठ केंद्र</v>
      </c>
      <c r="I410" s="5" t="str">
        <f>IFERROR(__xludf.DUMMYFUNCTION("GOOGLETRANSLATE(D410, ""en"", ""hi"")"),"A) गुरुकुल प्रणाली")</f>
        <v>A) गुरुकुल प्रणाली</v>
      </c>
    </row>
    <row r="411" ht="22.5" customHeight="1">
      <c r="A411" s="3">
        <v>410.0</v>
      </c>
      <c r="B411" s="4" t="s">
        <v>10323</v>
      </c>
      <c r="C411" s="4" t="s">
        <v>10081</v>
      </c>
      <c r="D411" s="4" t="s">
        <v>9997</v>
      </c>
      <c r="F411" s="5" t="str">
        <f>IFERROR(__xludf.DUMMYFUNCTION("GOOGLETRANSLATE(A411, ""en"", ""hi"")"),"410")</f>
        <v>410</v>
      </c>
      <c r="G411" s="5" t="str">
        <f>IFERROR(__xludf.DUMMYFUNCTION("GOOGLETRANSLATE(B411, ""en"", ""hi"")"),"किस तमिल राजा का काल मार्शल आर्ट के रूप में सिलंबम की उन्नति के लिए सबसे अधिक प्रसिद्ध है?")</f>
        <v>किस तमिल राजा का काल मार्शल आर्ट के रूप में सिलंबम की उन्नति के लिए सबसे अधिक प्रसिद्ध है?</v>
      </c>
      <c r="H411" s="5" t="str">
        <f>IFERROR(__xludf.DUMMYFUNCTION("GOOGLETRANSLATE(C411, ""en"", ""hi"")"),"ए) राजराजा चोल, बी) राजेंद्र चोल, सी) सुंदरा चोल, डी) कुलोथुंगा चोल")</f>
        <v>ए) राजराजा चोल, बी) राजेंद्र चोल, सी) सुंदरा चोल, डी) कुलोथुंगा चोल</v>
      </c>
      <c r="I411" s="5" t="str">
        <f>IFERROR(__xludf.DUMMYFUNCTION("GOOGLETRANSLATE(D411, ""en"", ""hi"")"),"A) राजराजा चोल")</f>
        <v>A) राजराजा चोल</v>
      </c>
    </row>
    <row r="412" ht="22.5" customHeight="1">
      <c r="A412" s="3">
        <v>411.0</v>
      </c>
      <c r="B412" s="4" t="s">
        <v>10324</v>
      </c>
      <c r="C412" s="4" t="s">
        <v>10123</v>
      </c>
      <c r="D412" s="4" t="s">
        <v>9982</v>
      </c>
      <c r="F412" s="5" t="str">
        <f>IFERROR(__xludf.DUMMYFUNCTION("GOOGLETRANSLATE(A412, ""en"", ""hi"")"),"411")</f>
        <v>411</v>
      </c>
      <c r="G412" s="5" t="str">
        <f>IFERROR(__xludf.DUMMYFUNCTION("GOOGLETRANSLATE(B412, ""en"", ""hi"")"),"तमिलनाडु के सैन्य इतिहास में सिलंबम की भूमिका का वर्णन किस प्राचीन ग्रंथ में किया गया है?")</f>
        <v>तमिलनाडु के सैन्य इतिहास में सिलंबम की भूमिका का वर्णन किस प्राचीन ग्रंथ में किया गया है?</v>
      </c>
      <c r="H412" s="5" t="str">
        <f>IFERROR(__xludf.DUMMYFUNCTION("GOOGLETRANSLATE(C412, ""en"", ""hi"")"),"ए) टोलकाप्पियम, बी) सिलप्पातिकारम, सी) अगस्त्य संहिता, डी) कुरल")</f>
        <v>ए) टोलकाप्पियम, बी) सिलप्पातिकारम, सी) अगस्त्य संहिता, डी) कुरल</v>
      </c>
      <c r="I412" s="5" t="str">
        <f>IFERROR(__xludf.DUMMYFUNCTION("GOOGLETRANSLATE(D412, ""en"", ""hi"")"),"C) अगस्त्य संहिता")</f>
        <v>C) अगस्त्य संहिता</v>
      </c>
    </row>
    <row r="413" ht="22.5" customHeight="1">
      <c r="A413" s="3">
        <v>412.0</v>
      </c>
      <c r="B413" s="4" t="s">
        <v>10325</v>
      </c>
      <c r="C413" s="4" t="s">
        <v>10081</v>
      </c>
      <c r="D413" s="4" t="s">
        <v>9997</v>
      </c>
      <c r="F413" s="5" t="str">
        <f>IFERROR(__xludf.DUMMYFUNCTION("GOOGLETRANSLATE(A413, ""en"", ""hi"")"),"412")</f>
        <v>412</v>
      </c>
      <c r="G413" s="5" t="str">
        <f>IFERROR(__xludf.DUMMYFUNCTION("GOOGLETRANSLATE(B413, ""en"", ""hi"")"),"सिलंबम तकनीकों के संहिताकरण और विकास के लिए किस तमिल राजा का संरक्षण महत्वपूर्ण था?")</f>
        <v>सिलंबम तकनीकों के संहिताकरण और विकास के लिए किस तमिल राजा का संरक्षण महत्वपूर्ण था?</v>
      </c>
      <c r="H413" s="5" t="str">
        <f>IFERROR(__xludf.DUMMYFUNCTION("GOOGLETRANSLATE(C413, ""en"", ""hi"")"),"ए) राजराजा चोल, बी) राजेंद्र चोल, सी) सुंदरा चोल, डी) कुलोथुंगा चोल")</f>
        <v>ए) राजराजा चोल, बी) राजेंद्र चोल, सी) सुंदरा चोल, डी) कुलोथुंगा चोल</v>
      </c>
      <c r="I413" s="5" t="str">
        <f>IFERROR(__xludf.DUMMYFUNCTION("GOOGLETRANSLATE(D413, ""en"", ""hi"")"),"A) राजराजा चोल")</f>
        <v>A) राजराजा चोल</v>
      </c>
    </row>
    <row r="414" ht="22.5" customHeight="1">
      <c r="A414" s="3">
        <v>413.0</v>
      </c>
      <c r="B414" s="4" t="s">
        <v>10326</v>
      </c>
      <c r="C414" s="4" t="s">
        <v>10132</v>
      </c>
      <c r="D414" s="4" t="s">
        <v>10089</v>
      </c>
      <c r="F414" s="5" t="str">
        <f>IFERROR(__xludf.DUMMYFUNCTION("GOOGLETRANSLATE(A414, ""en"", ""hi"")"),"413")</f>
        <v>413</v>
      </c>
      <c r="G414" s="5" t="str">
        <f>IFERROR(__xludf.DUMMYFUNCTION("GOOGLETRANSLATE(B414, ""en"", ""hi"")"),"आधुनिक तमिलनाडु में सिलंबम के पुनरुत्थान का श्रेय किस सांस्कृतिक पुनरुत्थानकर्ता को दिया जाता है?")</f>
        <v>आधुनिक तमिलनाडु में सिलंबम के पुनरुत्थान का श्रेय किस सांस्कृतिक पुनरुत्थानकर्ता को दिया जाता है?</v>
      </c>
      <c r="H414" s="5" t="str">
        <f>IFERROR(__xludf.DUMMYFUNCTION("GOOGLETRANSLATE(C414,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14" s="5" t="str">
        <f>IFERROR(__xludf.DUMMYFUNCTION("GOOGLETRANSLATE(D414, ""en"", ""hi"")"),"A) वी. कृष्णमाचारी")</f>
        <v>A) वी. कृष्णमाचारी</v>
      </c>
    </row>
    <row r="415" ht="22.5" customHeight="1">
      <c r="A415" s="3">
        <v>414.0</v>
      </c>
      <c r="B415" s="4" t="s">
        <v>10327</v>
      </c>
      <c r="C415" s="4" t="s">
        <v>10123</v>
      </c>
      <c r="D415" s="4" t="s">
        <v>9982</v>
      </c>
      <c r="F415" s="5" t="str">
        <f>IFERROR(__xludf.DUMMYFUNCTION("GOOGLETRANSLATE(A415, ""en"", ""hi"")"),"414")</f>
        <v>414</v>
      </c>
      <c r="G415" s="5" t="str">
        <f>IFERROR(__xludf.DUMMYFUNCTION("GOOGLETRANSLATE(B415, ""en"", ""hi"")"),"सिलंबम का ऐतिहासिक महत्व किस तमिल ग्रंथ में विस्तृत रूप से वर्णित है?")</f>
        <v>सिलंबम का ऐतिहासिक महत्व किस तमिल ग्रंथ में विस्तृत रूप से वर्णित है?</v>
      </c>
      <c r="H415" s="5" t="str">
        <f>IFERROR(__xludf.DUMMYFUNCTION("GOOGLETRANSLATE(C415, ""en"", ""hi"")"),"ए) टोलकाप्पियम, बी) सिलप्पातिकारम, सी) अगस्त्य संहिता, डी) कुरल")</f>
        <v>ए) टोलकाप्पियम, बी) सिलप्पातिकारम, सी) अगस्त्य संहिता, डी) कुरल</v>
      </c>
      <c r="I415" s="5" t="str">
        <f>IFERROR(__xludf.DUMMYFUNCTION("GOOGLETRANSLATE(D415, ""en"", ""hi"")"),"C) अगस्त्य संहिता")</f>
        <v>C) अगस्त्य संहिता</v>
      </c>
    </row>
    <row r="416" ht="22.5" customHeight="1">
      <c r="A416" s="3">
        <v>415.0</v>
      </c>
      <c r="B416" s="4" t="s">
        <v>10328</v>
      </c>
      <c r="C416" s="4" t="s">
        <v>10081</v>
      </c>
      <c r="D416" s="4" t="s">
        <v>10082</v>
      </c>
      <c r="F416" s="5" t="str">
        <f>IFERROR(__xludf.DUMMYFUNCTION("GOOGLETRANSLATE(A416, ""en"", ""hi"")"),"415")</f>
        <v>415</v>
      </c>
      <c r="G416" s="5" t="str">
        <f>IFERROR(__xludf.DUMMYFUNCTION("GOOGLETRANSLATE(B416, ""en"", ""hi"")"),"किस तमिल राजा के शासनकाल के दौरान सिलंबम तकनीकों को महत्वपूर्ण औपचारिकता और दस्तावेजीकरण प्राप्त हुआ?")</f>
        <v>किस तमिल राजा के शासनकाल के दौरान सिलंबम तकनीकों को महत्वपूर्ण औपचारिकता और दस्तावेजीकरण प्राप्त हुआ?</v>
      </c>
      <c r="H416" s="5" t="str">
        <f>IFERROR(__xludf.DUMMYFUNCTION("GOOGLETRANSLATE(C416, ""en"", ""hi"")"),"ए) राजराजा चोल, बी) राजेंद्र चोल, सी) सुंदरा चोल, डी) कुलोथुंगा चोल")</f>
        <v>ए) राजराजा चोल, बी) राजेंद्र चोल, सी) सुंदरा चोल, डी) कुलोथुंगा चोल</v>
      </c>
      <c r="I416" s="5" t="str">
        <f>IFERROR(__xludf.DUMMYFUNCTION("GOOGLETRANSLATE(D416, ""en"", ""hi"")"),"B) राजेंद्र चोल")</f>
        <v>B) राजेंद्र चोल</v>
      </c>
    </row>
    <row r="417" ht="22.5" customHeight="1">
      <c r="A417" s="3">
        <v>416.0</v>
      </c>
      <c r="B417" s="4" t="s">
        <v>10329</v>
      </c>
      <c r="C417" s="4" t="s">
        <v>10170</v>
      </c>
      <c r="D417" s="4" t="s">
        <v>10171</v>
      </c>
      <c r="F417" s="5" t="str">
        <f>IFERROR(__xludf.DUMMYFUNCTION("GOOGLETRANSLATE(A417, ""en"", ""hi"")"),"416")</f>
        <v>416</v>
      </c>
      <c r="G417" s="5" t="str">
        <f>IFERROR(__xludf.DUMMYFUNCTION("GOOGLETRANSLATE(B417, ""en"", ""hi"")"),"सिलंबम की ऐतिहासिक तकनीक और महत्व को किस शैक्षिक परंपरा के माध्यम से संरक्षित किया गया था?")</f>
        <v>सिलंबम की ऐतिहासिक तकनीक और महत्व को किस शैक्षिक परंपरा के माध्यम से संरक्षित किया गया था?</v>
      </c>
      <c r="H417" s="5" t="str">
        <f>IFERROR(__xludf.DUMMYFUNCTION("GOOGLETRANSLATE(C417, ""en"", ""hi"")"),"A) गुरुकुल प्रणाली, B) शाही दरबार, C) मंदिर विद्यालय, D) मठ केंद्र")</f>
        <v>A) गुरुकुल प्रणाली, B) शाही दरबार, C) मंदिर विद्यालय, D) मठ केंद्र</v>
      </c>
      <c r="I417" s="5" t="str">
        <f>IFERROR(__xludf.DUMMYFUNCTION("GOOGLETRANSLATE(D417, ""en"", ""hi"")"),"A) गुरुकुल प्रणाली")</f>
        <v>A) गुरुकुल प्रणाली</v>
      </c>
    </row>
    <row r="418" ht="22.5" customHeight="1">
      <c r="A418" s="3">
        <v>417.0</v>
      </c>
      <c r="B418" s="4" t="s">
        <v>10330</v>
      </c>
      <c r="C418" s="4" t="s">
        <v>10081</v>
      </c>
      <c r="D418" s="4" t="s">
        <v>9997</v>
      </c>
      <c r="F418" s="5" t="str">
        <f>IFERROR(__xludf.DUMMYFUNCTION("GOOGLETRANSLATE(A418, ""en"", ""hi"")"),"417")</f>
        <v>417</v>
      </c>
      <c r="G418" s="5" t="str">
        <f>IFERROR(__xludf.DUMMYFUNCTION("GOOGLETRANSLATE(B418, ""en"", ""hi"")"),"सिलंबम के संरक्षण और उन्नति के लिए किस तमिल राजा का संरक्षण महत्वपूर्ण था?")</f>
        <v>सिलंबम के संरक्षण और उन्नति के लिए किस तमिल राजा का संरक्षण महत्वपूर्ण था?</v>
      </c>
      <c r="H418" s="5" t="str">
        <f>IFERROR(__xludf.DUMMYFUNCTION("GOOGLETRANSLATE(C418, ""en"", ""hi"")"),"ए) राजराजा चोल, बी) राजेंद्र चोल, सी) सुंदरा चोल, डी) कुलोथुंगा चोल")</f>
        <v>ए) राजराजा चोल, बी) राजेंद्र चोल, सी) सुंदरा चोल, डी) कुलोथुंगा चोल</v>
      </c>
      <c r="I418" s="5" t="str">
        <f>IFERROR(__xludf.DUMMYFUNCTION("GOOGLETRANSLATE(D418, ""en"", ""hi"")"),"A) राजराजा चोल")</f>
        <v>A) राजराजा चोल</v>
      </c>
    </row>
    <row r="419" ht="22.5" customHeight="1">
      <c r="A419" s="3">
        <v>418.0</v>
      </c>
      <c r="B419" s="4" t="s">
        <v>10331</v>
      </c>
      <c r="C419" s="4" t="s">
        <v>10132</v>
      </c>
      <c r="D419" s="4" t="s">
        <v>10089</v>
      </c>
      <c r="F419" s="5" t="str">
        <f>IFERROR(__xludf.DUMMYFUNCTION("GOOGLETRANSLATE(A419, ""en"", ""hi"")"),"418")</f>
        <v>418</v>
      </c>
      <c r="G419" s="5" t="str">
        <f>IFERROR(__xludf.DUMMYFUNCTION("GOOGLETRANSLATE(B419, ""en"", ""hi"")"),"तमिलनाडु में सिलंबम का पुनरुत्थान अक्सर किस सांस्कृतिक पुनरुत्थानवादी से जुड़ा हुआ है?")</f>
        <v>तमिलनाडु में सिलंबम का पुनरुत्थान अक्सर किस सांस्कृतिक पुनरुत्थानवादी से जुड़ा हुआ है?</v>
      </c>
      <c r="H419" s="5" t="str">
        <f>IFERROR(__xludf.DUMMYFUNCTION("GOOGLETRANSLATE(C419,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19" s="5" t="str">
        <f>IFERROR(__xludf.DUMMYFUNCTION("GOOGLETRANSLATE(D419, ""en"", ""hi"")"),"A) वी. कृष्णमाचारी")</f>
        <v>A) वी. कृष्णमाचारी</v>
      </c>
    </row>
    <row r="420" ht="22.5" customHeight="1">
      <c r="A420" s="3">
        <v>419.0</v>
      </c>
      <c r="B420" s="4" t="s">
        <v>10332</v>
      </c>
      <c r="C420" s="4" t="s">
        <v>10123</v>
      </c>
      <c r="D420" s="4" t="s">
        <v>9982</v>
      </c>
      <c r="F420" s="5" t="str">
        <f>IFERROR(__xludf.DUMMYFUNCTION("GOOGLETRANSLATE(A420, ""en"", ""hi"")"),"419")</f>
        <v>419</v>
      </c>
      <c r="G420" s="5" t="str">
        <f>IFERROR(__xludf.DUMMYFUNCTION("GOOGLETRANSLATE(B420, ""en"", ""hi"")"),"सिलंबम की तकनीक और ऐतिहासिक महत्व का वर्णन किस प्राचीन तमिल साहित्यिक कृति में किया गया है?")</f>
        <v>सिलंबम की तकनीक और ऐतिहासिक महत्व का वर्णन किस प्राचीन तमिल साहित्यिक कृति में किया गया है?</v>
      </c>
      <c r="H420" s="5" t="str">
        <f>IFERROR(__xludf.DUMMYFUNCTION("GOOGLETRANSLATE(C420, ""en"", ""hi"")"),"ए) टोलकाप्पियम, बी) सिलप्पातिकारम, सी) अगस्त्य संहिता, डी) कुरल")</f>
        <v>ए) टोलकाप्पियम, बी) सिलप्पातिकारम, सी) अगस्त्य संहिता, डी) कुरल</v>
      </c>
      <c r="I420" s="5" t="str">
        <f>IFERROR(__xludf.DUMMYFUNCTION("GOOGLETRANSLATE(D420, ""en"", ""hi"")"),"C) अगस्त्य संहिता")</f>
        <v>C) अगस्त्य संहिता</v>
      </c>
    </row>
    <row r="421" ht="22.5" customHeight="1">
      <c r="A421" s="3">
        <v>420.0</v>
      </c>
      <c r="B421" s="4" t="s">
        <v>10333</v>
      </c>
      <c r="C421" s="4" t="s">
        <v>10081</v>
      </c>
      <c r="D421" s="4" t="s">
        <v>10082</v>
      </c>
      <c r="F421" s="5" t="str">
        <f>IFERROR(__xludf.DUMMYFUNCTION("GOOGLETRANSLATE(A421, ""en"", ""hi"")"),"420")</f>
        <v>420</v>
      </c>
      <c r="G421" s="5" t="str">
        <f>IFERROR(__xludf.DUMMYFUNCTION("GOOGLETRANSLATE(B421, ""en"", ""hi"")"),"किस तमिल राजा के शासनकाल में सिलंबम तकनीक का औपचारिकीकरण और उन्नति देखी गई?")</f>
        <v>किस तमिल राजा के शासनकाल में सिलंबम तकनीक का औपचारिकीकरण और उन्नति देखी गई?</v>
      </c>
      <c r="H421" s="5" t="str">
        <f>IFERROR(__xludf.DUMMYFUNCTION("GOOGLETRANSLATE(C421, ""en"", ""hi"")"),"ए) राजराजा चोल, बी) राजेंद्र चोल, सी) सुंदरा चोल, डी) कुलोथुंगा चोल")</f>
        <v>ए) राजराजा चोल, बी) राजेंद्र चोल, सी) सुंदरा चोल, डी) कुलोथुंगा चोल</v>
      </c>
      <c r="I421" s="5" t="str">
        <f>IFERROR(__xludf.DUMMYFUNCTION("GOOGLETRANSLATE(D421, ""en"", ""hi"")"),"B) राजेंद्र चोल")</f>
        <v>B) राजेंद्र चोल</v>
      </c>
    </row>
    <row r="422" ht="22.5" customHeight="1">
      <c r="A422" s="3">
        <v>421.0</v>
      </c>
      <c r="B422" s="4" t="s">
        <v>10334</v>
      </c>
      <c r="C422" s="4" t="s">
        <v>10170</v>
      </c>
      <c r="D422" s="4" t="s">
        <v>10171</v>
      </c>
      <c r="F422" s="5" t="str">
        <f>IFERROR(__xludf.DUMMYFUNCTION("GOOGLETRANSLATE(A422, ""en"", ""hi"")"),"421")</f>
        <v>421</v>
      </c>
      <c r="G422" s="5" t="str">
        <f>IFERROR(__xludf.DUMMYFUNCTION("GOOGLETRANSLATE(B422, ""en"", ""hi"")"),"सिलंबम तकनीक का संरक्षण मुख्यतः किस शैक्षणिक संस्थान के माध्यम से प्राप्त किया गया?")</f>
        <v>सिलंबम तकनीक का संरक्षण मुख्यतः किस शैक्षणिक संस्थान के माध्यम से प्राप्त किया गया?</v>
      </c>
      <c r="H422" s="5" t="str">
        <f>IFERROR(__xludf.DUMMYFUNCTION("GOOGLETRANSLATE(C422, ""en"", ""hi"")"),"A) गुरुकुल प्रणाली, B) शाही दरबार, C) मंदिर विद्यालय, D) मठ केंद्र")</f>
        <v>A) गुरुकुल प्रणाली, B) शाही दरबार, C) मंदिर विद्यालय, D) मठ केंद्र</v>
      </c>
      <c r="I422" s="5" t="str">
        <f>IFERROR(__xludf.DUMMYFUNCTION("GOOGLETRANSLATE(D422, ""en"", ""hi"")"),"A) गुरुकुल प्रणाली")</f>
        <v>A) गुरुकुल प्रणाली</v>
      </c>
    </row>
    <row r="423" ht="22.5" customHeight="1">
      <c r="A423" s="3">
        <v>422.0</v>
      </c>
      <c r="B423" s="4" t="s">
        <v>10335</v>
      </c>
      <c r="C423" s="4" t="s">
        <v>10081</v>
      </c>
      <c r="D423" s="4" t="s">
        <v>9997</v>
      </c>
      <c r="F423" s="5" t="str">
        <f>IFERROR(__xludf.DUMMYFUNCTION("GOOGLETRANSLATE(A423, ""en"", ""hi"")"),"422")</f>
        <v>422</v>
      </c>
      <c r="G423" s="5" t="str">
        <f>IFERROR(__xludf.DUMMYFUNCTION("GOOGLETRANSLATE(B423, ""en"", ""hi"")"),"सिलंबम के विकास को समझने के लिए किस तमिल राजा का संरक्षण महत्वपूर्ण है?")</f>
        <v>सिलंबम के विकास को समझने के लिए किस तमिल राजा का संरक्षण महत्वपूर्ण है?</v>
      </c>
      <c r="H423" s="5" t="str">
        <f>IFERROR(__xludf.DUMMYFUNCTION("GOOGLETRANSLATE(C423, ""en"", ""hi"")"),"ए) राजराजा चोल, बी) राजेंद्र चोल, सी) सुंदरा चोल, डी) कुलोथुंगा चोल")</f>
        <v>ए) राजराजा चोल, बी) राजेंद्र चोल, सी) सुंदरा चोल, डी) कुलोथुंगा चोल</v>
      </c>
      <c r="I423" s="5" t="str">
        <f>IFERROR(__xludf.DUMMYFUNCTION("GOOGLETRANSLATE(D423, ""en"", ""hi"")"),"A) राजराजा चोल")</f>
        <v>A) राजराजा चोल</v>
      </c>
    </row>
    <row r="424" ht="22.5" customHeight="1">
      <c r="A424" s="3">
        <v>423.0</v>
      </c>
      <c r="B424" s="4" t="s">
        <v>10336</v>
      </c>
      <c r="C424" s="4" t="s">
        <v>10132</v>
      </c>
      <c r="D424" s="4" t="s">
        <v>10089</v>
      </c>
      <c r="F424" s="5" t="str">
        <f>IFERROR(__xludf.DUMMYFUNCTION("GOOGLETRANSLATE(A424, ""en"", ""hi"")"),"423")</f>
        <v>423</v>
      </c>
      <c r="G424" s="5" t="str">
        <f>IFERROR(__xludf.DUMMYFUNCTION("GOOGLETRANSLATE(B424, ""en"", ""hi"")"),"आधुनिक तमिलनाडु में सिलंबम के पुनरुद्धार का श्रेय किस सांस्कृतिक हस्ती को दिया जाता है?")</f>
        <v>आधुनिक तमिलनाडु में सिलंबम के पुनरुद्धार का श्रेय किस सांस्कृतिक हस्ती को दिया जाता है?</v>
      </c>
      <c r="H424" s="5" t="str">
        <f>IFERROR(__xludf.DUMMYFUNCTION("GOOGLETRANSLATE(C424,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24" s="5" t="str">
        <f>IFERROR(__xludf.DUMMYFUNCTION("GOOGLETRANSLATE(D424, ""en"", ""hi"")"),"A) वी. कृष्णमाचारी")</f>
        <v>A) वी. कृष्णमाचारी</v>
      </c>
    </row>
    <row r="425" ht="22.5" customHeight="1">
      <c r="A425" s="3">
        <v>424.0</v>
      </c>
      <c r="B425" s="4" t="s">
        <v>10337</v>
      </c>
      <c r="C425" s="4" t="s">
        <v>10123</v>
      </c>
      <c r="D425" s="4" t="s">
        <v>9982</v>
      </c>
      <c r="F425" s="5" t="str">
        <f>IFERROR(__xludf.DUMMYFUNCTION("GOOGLETRANSLATE(A425, ""en"", ""hi"")"),"424")</f>
        <v>424</v>
      </c>
      <c r="G425" s="5" t="str">
        <f>IFERROR(__xludf.DUMMYFUNCTION("GOOGLETRANSLATE(B425, ""en"", ""hi"")"),"सिलंबम की ऐतिहासिक तकनीकों और योगदानों का विवरण किस तमिल साहित्यिक कृति में दिया गया है?")</f>
        <v>सिलंबम की ऐतिहासिक तकनीकों और योगदानों का विवरण किस तमिल साहित्यिक कृति में दिया गया है?</v>
      </c>
      <c r="H425" s="5" t="str">
        <f>IFERROR(__xludf.DUMMYFUNCTION("GOOGLETRANSLATE(C425, ""en"", ""hi"")"),"ए) टोलकाप्पियम, बी) सिलप्पातिकारम, सी) अगस्त्य संहिता, डी) कुरल")</f>
        <v>ए) टोलकाप्पियम, बी) सिलप्पातिकारम, सी) अगस्त्य संहिता, डी) कुरल</v>
      </c>
      <c r="I425" s="5" t="str">
        <f>IFERROR(__xludf.DUMMYFUNCTION("GOOGLETRANSLATE(D425, ""en"", ""hi"")"),"C) अगस्त्य संहिता")</f>
        <v>C) अगस्त्य संहिता</v>
      </c>
    </row>
    <row r="426" ht="22.5" customHeight="1">
      <c r="A426" s="3">
        <v>425.0</v>
      </c>
      <c r="B426" s="4" t="s">
        <v>10338</v>
      </c>
      <c r="C426" s="4" t="s">
        <v>10081</v>
      </c>
      <c r="D426" s="4" t="s">
        <v>10082</v>
      </c>
      <c r="F426" s="5" t="str">
        <f>IFERROR(__xludf.DUMMYFUNCTION("GOOGLETRANSLATE(A426, ""en"", ""hi"")"),"425")</f>
        <v>425</v>
      </c>
      <c r="G426" s="5" t="str">
        <f>IFERROR(__xludf.DUMMYFUNCTION("GOOGLETRANSLATE(B426, ""en"", ""hi"")"),"किस तमिल राजा के शासनकाल के दौरान सिलंबम ने महत्वपूर्ण औपचारिकता और दस्तावेजीकरण हासिल किया?")</f>
        <v>किस तमिल राजा के शासनकाल के दौरान सिलंबम ने महत्वपूर्ण औपचारिकता और दस्तावेजीकरण हासिल किया?</v>
      </c>
      <c r="H426" s="5" t="str">
        <f>IFERROR(__xludf.DUMMYFUNCTION("GOOGLETRANSLATE(C426, ""en"", ""hi"")"),"ए) राजराजा चोल, बी) राजेंद्र चोल, सी) सुंदरा चोल, डी) कुलोथुंगा चोल")</f>
        <v>ए) राजराजा चोल, बी) राजेंद्र चोल, सी) सुंदरा चोल, डी) कुलोथुंगा चोल</v>
      </c>
      <c r="I426" s="5" t="str">
        <f>IFERROR(__xludf.DUMMYFUNCTION("GOOGLETRANSLATE(D426, ""en"", ""hi"")"),"B) राजेंद्र चोल")</f>
        <v>B) राजेंद्र चोल</v>
      </c>
    </row>
    <row r="427" ht="22.5" customHeight="1">
      <c r="A427" s="3">
        <v>426.0</v>
      </c>
      <c r="B427" s="4" t="s">
        <v>10339</v>
      </c>
      <c r="C427" s="4" t="s">
        <v>10170</v>
      </c>
      <c r="D427" s="4" t="s">
        <v>10171</v>
      </c>
      <c r="F427" s="5" t="str">
        <f>IFERROR(__xludf.DUMMYFUNCTION("GOOGLETRANSLATE(A427, ""en"", ""hi"")"),"426")</f>
        <v>426</v>
      </c>
      <c r="G427" s="5" t="str">
        <f>IFERROR(__xludf.DUMMYFUNCTION("GOOGLETRANSLATE(B427, ""en"", ""hi"")"),"सिलंबम की तकनीकों को किस पारंपरिक तमिल शिक्षा प्रणाली के माध्यम से संरक्षित किया गया था?")</f>
        <v>सिलंबम की तकनीकों को किस पारंपरिक तमिल शिक्षा प्रणाली के माध्यम से संरक्षित किया गया था?</v>
      </c>
      <c r="H427" s="5" t="str">
        <f>IFERROR(__xludf.DUMMYFUNCTION("GOOGLETRANSLATE(C427, ""en"", ""hi"")"),"A) गुरुकुल प्रणाली, B) शाही दरबार, C) मंदिर विद्यालय, D) मठ केंद्र")</f>
        <v>A) गुरुकुल प्रणाली, B) शाही दरबार, C) मंदिर विद्यालय, D) मठ केंद्र</v>
      </c>
      <c r="I427" s="5" t="str">
        <f>IFERROR(__xludf.DUMMYFUNCTION("GOOGLETRANSLATE(D427, ""en"", ""hi"")"),"A) गुरुकुल प्रणाली")</f>
        <v>A) गुरुकुल प्रणाली</v>
      </c>
    </row>
    <row r="428" ht="22.5" customHeight="1">
      <c r="A428" s="3">
        <v>427.0</v>
      </c>
      <c r="B428" s="4" t="s">
        <v>10340</v>
      </c>
      <c r="C428" s="4" t="s">
        <v>10081</v>
      </c>
      <c r="D428" s="4" t="s">
        <v>9997</v>
      </c>
      <c r="F428" s="5" t="str">
        <f>IFERROR(__xludf.DUMMYFUNCTION("GOOGLETRANSLATE(A428, ""en"", ""hi"")"),"427")</f>
        <v>427</v>
      </c>
      <c r="G428" s="5" t="str">
        <f>IFERROR(__xludf.DUMMYFUNCTION("GOOGLETRANSLATE(B428, ""en"", ""hi"")"),"सिलंबम के विकास में किस तमिल राजा के संरक्षण ने महत्वपूर्ण भूमिका निभाई?")</f>
        <v>सिलंबम के विकास में किस तमिल राजा के संरक्षण ने महत्वपूर्ण भूमिका निभाई?</v>
      </c>
      <c r="H428" s="5" t="str">
        <f>IFERROR(__xludf.DUMMYFUNCTION("GOOGLETRANSLATE(C428, ""en"", ""hi"")"),"ए) राजराजा चोल, बी) राजेंद्र चोल, सी) सुंदरा चोल, डी) कुलोथुंगा चोल")</f>
        <v>ए) राजराजा चोल, बी) राजेंद्र चोल, सी) सुंदरा चोल, डी) कुलोथुंगा चोल</v>
      </c>
      <c r="I428" s="5" t="str">
        <f>IFERROR(__xludf.DUMMYFUNCTION("GOOGLETRANSLATE(D428, ""en"", ""hi"")"),"A) राजराजा चोल")</f>
        <v>A) राजराजा चोल</v>
      </c>
    </row>
    <row r="429" ht="22.5" customHeight="1">
      <c r="A429" s="3">
        <v>428.0</v>
      </c>
      <c r="B429" s="4" t="s">
        <v>10341</v>
      </c>
      <c r="C429" s="4" t="s">
        <v>10132</v>
      </c>
      <c r="D429" s="4" t="s">
        <v>10089</v>
      </c>
      <c r="F429" s="5" t="str">
        <f>IFERROR(__xludf.DUMMYFUNCTION("GOOGLETRANSLATE(A429, ""en"", ""hi"")"),"428")</f>
        <v>428</v>
      </c>
      <c r="G429" s="5" t="str">
        <f>IFERROR(__xludf.DUMMYFUNCTION("GOOGLETRANSLATE(B429, ""en"", ""hi"")"),"तमिलनाडु में सिलंबम के आधुनिक पुनरुत्थान का श्रेय किस पुनरुत्थानवादी को दिया जाता है?")</f>
        <v>तमिलनाडु में सिलंबम के आधुनिक पुनरुत्थान का श्रेय किस पुनरुत्थानवादी को दिया जाता है?</v>
      </c>
      <c r="H429" s="5" t="str">
        <f>IFERROR(__xludf.DUMMYFUNCTION("GOOGLETRANSLATE(C429,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29" s="5" t="str">
        <f>IFERROR(__xludf.DUMMYFUNCTION("GOOGLETRANSLATE(D429, ""en"", ""hi"")"),"A) वी. कृष्णमाचारी")</f>
        <v>A) वी. कृष्णमाचारी</v>
      </c>
    </row>
    <row r="430" ht="22.5" customHeight="1">
      <c r="A430" s="3">
        <v>429.0</v>
      </c>
      <c r="B430" s="4" t="s">
        <v>10342</v>
      </c>
      <c r="C430" s="4" t="s">
        <v>10123</v>
      </c>
      <c r="D430" s="4" t="s">
        <v>9982</v>
      </c>
      <c r="F430" s="5" t="str">
        <f>IFERROR(__xludf.DUMMYFUNCTION("GOOGLETRANSLATE(A430, ""en"", ""hi"")"),"429")</f>
        <v>429</v>
      </c>
      <c r="G430" s="5" t="str">
        <f>IFERROR(__xludf.DUMMYFUNCTION("GOOGLETRANSLATE(B430, ""en"", ""hi"")"),"सिलंबम का ऐतिहासिक महत्व और तकनीक किस प्राचीन तमिल ग्रंथ में दर्ज हैं?")</f>
        <v>सिलंबम का ऐतिहासिक महत्व और तकनीक किस प्राचीन तमिल ग्रंथ में दर्ज हैं?</v>
      </c>
      <c r="H430" s="5" t="str">
        <f>IFERROR(__xludf.DUMMYFUNCTION("GOOGLETRANSLATE(C430, ""en"", ""hi"")"),"ए) टोलकाप्पियम, बी) सिलप्पातिकारम, सी) अगस्त्य संहिता, डी) कुरल")</f>
        <v>ए) टोलकाप्पियम, बी) सिलप्पातिकारम, सी) अगस्त्य संहिता, डी) कुरल</v>
      </c>
      <c r="I430" s="5" t="str">
        <f>IFERROR(__xludf.DUMMYFUNCTION("GOOGLETRANSLATE(D430, ""en"", ""hi"")"),"C) अगस्त्य संहिता")</f>
        <v>C) अगस्त्य संहिता</v>
      </c>
    </row>
    <row r="431" ht="22.5" customHeight="1">
      <c r="A431" s="3">
        <v>430.0</v>
      </c>
      <c r="B431" s="4" t="s">
        <v>10343</v>
      </c>
      <c r="C431" s="4" t="s">
        <v>10081</v>
      </c>
      <c r="D431" s="4" t="s">
        <v>10082</v>
      </c>
      <c r="F431" s="5" t="str">
        <f>IFERROR(__xludf.DUMMYFUNCTION("GOOGLETRANSLATE(A431, ""en"", ""hi"")"),"430")</f>
        <v>430</v>
      </c>
      <c r="G431" s="5" t="str">
        <f>IFERROR(__xludf.DUMMYFUNCTION("GOOGLETRANSLATE(B431, ""en"", ""hi"")"),"किस तमिल राजा का काल सिलंबम तकनीकों के मानकीकरण और उन्नति के लिए सबसे अधिक प्रसिद्ध है?")</f>
        <v>किस तमिल राजा का काल सिलंबम तकनीकों के मानकीकरण और उन्नति के लिए सबसे अधिक प्रसिद्ध है?</v>
      </c>
      <c r="H431" s="5" t="str">
        <f>IFERROR(__xludf.DUMMYFUNCTION("GOOGLETRANSLATE(C431, ""en"", ""hi"")"),"ए) राजराजा चोल, बी) राजेंद्र चोल, सी) सुंदरा चोल, डी) कुलोथुंगा चोल")</f>
        <v>ए) राजराजा चोल, बी) राजेंद्र चोल, सी) सुंदरा चोल, डी) कुलोथुंगा चोल</v>
      </c>
      <c r="I431" s="5" t="str">
        <f>IFERROR(__xludf.DUMMYFUNCTION("GOOGLETRANSLATE(D431, ""en"", ""hi"")"),"B) राजेंद्र चोल")</f>
        <v>B) राजेंद्र चोल</v>
      </c>
    </row>
    <row r="432" ht="22.5" customHeight="1">
      <c r="A432" s="3">
        <v>431.0</v>
      </c>
      <c r="B432" s="4" t="s">
        <v>10344</v>
      </c>
      <c r="C432" s="4" t="s">
        <v>10170</v>
      </c>
      <c r="D432" s="4" t="s">
        <v>10171</v>
      </c>
      <c r="F432" s="5" t="str">
        <f>IFERROR(__xludf.DUMMYFUNCTION("GOOGLETRANSLATE(A432, ""en"", ""hi"")"),"431")</f>
        <v>431</v>
      </c>
      <c r="G432" s="5" t="str">
        <f>IFERROR(__xludf.DUMMYFUNCTION("GOOGLETRANSLATE(B432, ""en"", ""hi"")"),"सिलंबम का ऐतिहासिक संरक्षण और औपचारिकीकरण मुख्यतः किस शैक्षिक परंपरा के माध्यम से प्राप्त किया गया?")</f>
        <v>सिलंबम का ऐतिहासिक संरक्षण और औपचारिकीकरण मुख्यतः किस शैक्षिक परंपरा के माध्यम से प्राप्त किया गया?</v>
      </c>
      <c r="H432" s="5" t="str">
        <f>IFERROR(__xludf.DUMMYFUNCTION("GOOGLETRANSLATE(C432, ""en"", ""hi"")"),"A) गुरुकुल प्रणाली, B) शाही दरबार, C) मंदिर विद्यालय, D) मठ केंद्र")</f>
        <v>A) गुरुकुल प्रणाली, B) शाही दरबार, C) मंदिर विद्यालय, D) मठ केंद्र</v>
      </c>
      <c r="I432" s="5" t="str">
        <f>IFERROR(__xludf.DUMMYFUNCTION("GOOGLETRANSLATE(D432, ""en"", ""hi"")"),"A) गुरुकुल प्रणाली")</f>
        <v>A) गुरुकुल प्रणाली</v>
      </c>
    </row>
    <row r="433" ht="22.5" customHeight="1">
      <c r="A433" s="3">
        <v>432.0</v>
      </c>
      <c r="B433" s="4" t="s">
        <v>10345</v>
      </c>
      <c r="C433" s="4" t="s">
        <v>10081</v>
      </c>
      <c r="D433" s="4" t="s">
        <v>9997</v>
      </c>
      <c r="F433" s="5" t="str">
        <f>IFERROR(__xludf.DUMMYFUNCTION("GOOGLETRANSLATE(A433, ""en"", ""hi"")"),"432")</f>
        <v>432</v>
      </c>
      <c r="G433" s="5" t="str">
        <f>IFERROR(__xludf.DUMMYFUNCTION("GOOGLETRANSLATE(B433, ""en"", ""hi"")"),"सिलंबम के विकास और संरक्षण के लिए किस तमिल राजा का संरक्षण महत्वपूर्ण था?")</f>
        <v>सिलंबम के विकास और संरक्षण के लिए किस तमिल राजा का संरक्षण महत्वपूर्ण था?</v>
      </c>
      <c r="H433" s="5" t="str">
        <f>IFERROR(__xludf.DUMMYFUNCTION("GOOGLETRANSLATE(C433, ""en"", ""hi"")"),"ए) राजराजा चोल, बी) राजेंद्र चोल, सी) सुंदरा चोल, डी) कुलोथुंगा चोल")</f>
        <v>ए) राजराजा चोल, बी) राजेंद्र चोल, सी) सुंदरा चोल, डी) कुलोथुंगा चोल</v>
      </c>
      <c r="I433" s="5" t="str">
        <f>IFERROR(__xludf.DUMMYFUNCTION("GOOGLETRANSLATE(D433, ""en"", ""hi"")"),"A) राजराजा चोल")</f>
        <v>A) राजराजा चोल</v>
      </c>
    </row>
    <row r="434" ht="22.5" customHeight="1">
      <c r="A434" s="3">
        <v>433.0</v>
      </c>
      <c r="B434" s="4" t="s">
        <v>10346</v>
      </c>
      <c r="C434" s="4" t="s">
        <v>10132</v>
      </c>
      <c r="D434" s="4" t="s">
        <v>10089</v>
      </c>
      <c r="F434" s="5" t="str">
        <f>IFERROR(__xludf.DUMMYFUNCTION("GOOGLETRANSLATE(A434, ""en"", ""hi"")"),"433")</f>
        <v>433</v>
      </c>
      <c r="G434" s="5" t="str">
        <f>IFERROR(__xludf.DUMMYFUNCTION("GOOGLETRANSLATE(B434, ""en"", ""hi"")"),"आधुनिक तमिलनाडु में सिलंबम का पुनरुत्थान अक्सर किस सांस्कृतिक पुनरुत्थानवादी व्यक्ति से जुड़ा हुआ है?")</f>
        <v>आधुनिक तमिलनाडु में सिलंबम का पुनरुत्थान अक्सर किस सांस्कृतिक पुनरुत्थानवादी व्यक्ति से जुड़ा हुआ है?</v>
      </c>
      <c r="H434" s="5" t="str">
        <f>IFERROR(__xludf.DUMMYFUNCTION("GOOGLETRANSLATE(C434,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34" s="5" t="str">
        <f>IFERROR(__xludf.DUMMYFUNCTION("GOOGLETRANSLATE(D434, ""en"", ""hi"")"),"A) वी. कृष्णमाचारी")</f>
        <v>A) वी. कृष्णमाचारी</v>
      </c>
    </row>
    <row r="435" ht="22.5" customHeight="1">
      <c r="A435" s="3">
        <v>434.0</v>
      </c>
      <c r="B435" s="4" t="s">
        <v>10347</v>
      </c>
      <c r="C435" s="4" t="s">
        <v>10348</v>
      </c>
      <c r="D435" s="4" t="s">
        <v>10082</v>
      </c>
      <c r="F435" s="5" t="str">
        <f>IFERROR(__xludf.DUMMYFUNCTION("GOOGLETRANSLATE(A435, ""en"", ""hi"")"),"434")</f>
        <v>434</v>
      </c>
      <c r="G435" s="5" t="str">
        <f>IFERROR(__xludf.DUMMYFUNCTION("GOOGLETRANSLATE(B435, ""en"", ""hi"")"),"कौन सा प्राचीन तमिल राजा सिलंबम पर एक व्यापक मैनुअल बनाने के लिए जाना जाता है?")</f>
        <v>कौन सा प्राचीन तमिल राजा सिलंबम पर एक व्यापक मैनुअल बनाने के लिए जाना जाता है?</v>
      </c>
      <c r="H435" s="5" t="str">
        <f>IFERROR(__xludf.DUMMYFUNCTION("GOOGLETRANSLATE(C435, ""en"", ""hi"")"),"ए) राजराजा चोल, बी) राजेंद्र चोल, सी) आदित्य चोल, डी) परांतक चोल")</f>
        <v>ए) राजराजा चोल, बी) राजेंद्र चोल, सी) आदित्य चोल, डी) परांतक चोल</v>
      </c>
      <c r="I435" s="5" t="str">
        <f>IFERROR(__xludf.DUMMYFUNCTION("GOOGLETRANSLATE(D435, ""en"", ""hi"")"),"B) राजेंद्र चोल")</f>
        <v>B) राजेंद्र चोल</v>
      </c>
    </row>
    <row r="436" ht="22.5" customHeight="1">
      <c r="A436" s="3">
        <v>435.0</v>
      </c>
      <c r="B436" s="4" t="s">
        <v>10349</v>
      </c>
      <c r="C436" s="4" t="s">
        <v>10350</v>
      </c>
      <c r="D436" s="4" t="s">
        <v>10351</v>
      </c>
      <c r="F436" s="5" t="str">
        <f>IFERROR(__xludf.DUMMYFUNCTION("GOOGLETRANSLATE(A436, ""en"", ""hi"")"),"435")</f>
        <v>435</v>
      </c>
      <c r="G436" s="5" t="str">
        <f>IFERROR(__xludf.DUMMYFUNCTION("GOOGLETRANSLATE(B436, ""en"", ""hi"")"),"दक्षिण भारत के विभिन्न क्षेत्रों में सिलंबम का प्रसार किस ऐतिहासिक काल से प्रभावित था?")</f>
        <v>दक्षिण भारत के विभिन्न क्षेत्रों में सिलंबम का प्रसार किस ऐतिहासिक काल से प्रभावित था?</v>
      </c>
      <c r="H436" s="5" t="str">
        <f>IFERROR(__xludf.DUMMYFUNCTION("GOOGLETRANSLATE(C436, ""en"", ""hi"")"),"A) संगम काल, B) मध्यकालीन चोल काल, C) विजयनगर साम्राज्य, D) औपनिवेशिक युग")</f>
        <v>A) संगम काल, B) मध्यकालीन चोल काल, C) विजयनगर साम्राज्य, D) औपनिवेशिक युग</v>
      </c>
      <c r="I436" s="5" t="str">
        <f>IFERROR(__xludf.DUMMYFUNCTION("GOOGLETRANSLATE(D436, ""en"", ""hi"")"),"बी) मध्यकालीन चोल काल")</f>
        <v>बी) मध्यकालीन चोल काल</v>
      </c>
    </row>
    <row r="437" ht="22.5" customHeight="1">
      <c r="A437" s="3">
        <v>436.0</v>
      </c>
      <c r="B437" s="4" t="s">
        <v>10352</v>
      </c>
      <c r="C437" s="4" t="s">
        <v>10353</v>
      </c>
      <c r="D437" s="4" t="s">
        <v>9539</v>
      </c>
      <c r="F437" s="5" t="str">
        <f>IFERROR(__xludf.DUMMYFUNCTION("GOOGLETRANSLATE(A437, ""en"", ""hi"")"),"436")</f>
        <v>436</v>
      </c>
      <c r="G437" s="5" t="str">
        <f>IFERROR(__xludf.DUMMYFUNCTION("GOOGLETRANSLATE(B437, ""en"", ""hi"")"),"कौन सी तमिल साहित्यिक कृति सिलंबम तकनीकों का उल्लेख करने वाली सबसे पहली कृतियों में से एक है?")</f>
        <v>कौन सी तमिल साहित्यिक कृति सिलंबम तकनीकों का उल्लेख करने वाली सबसे पहली कृतियों में से एक है?</v>
      </c>
      <c r="H437" s="5" t="str">
        <f>IFERROR(__xludf.DUMMYFUNCTION("GOOGLETRANSLATE(C437, ""en"", ""hi"")"),"ए) तोलकाप्पियम, बी) सिलप्पातिकारम, सी) कुरल, डी) मणिमेकलाई")</f>
        <v>ए) तोलकाप्पियम, बी) सिलप्पातिकारम, सी) कुरल, डी) मणिमेकलाई</v>
      </c>
      <c r="I437" s="5" t="str">
        <f>IFERROR(__xludf.DUMMYFUNCTION("GOOGLETRANSLATE(D437, ""en"", ""hi"")"),"बी) सिलप्पाटिकरम")</f>
        <v>बी) सिलप्पाटिकरम</v>
      </c>
    </row>
    <row r="438" ht="22.5" customHeight="1">
      <c r="A438" s="3">
        <v>437.0</v>
      </c>
      <c r="B438" s="4" t="s">
        <v>10354</v>
      </c>
      <c r="C438" s="4" t="s">
        <v>10355</v>
      </c>
      <c r="D438" s="4" t="s">
        <v>10356</v>
      </c>
      <c r="F438" s="5" t="str">
        <f>IFERROR(__xludf.DUMMYFUNCTION("GOOGLETRANSLATE(A438, ""en"", ""hi"")"),"437")</f>
        <v>437</v>
      </c>
      <c r="G438" s="5" t="str">
        <f>IFERROR(__xludf.DUMMYFUNCTION("GOOGLETRANSLATE(B438, ""en"", ""hi"")"),"किस तमिल राजवंश के दौरान सिलंबम का महत्वपूर्ण औपचारिकरण और दस्तावेजीकरण हुआ?")</f>
        <v>किस तमिल राजवंश के दौरान सिलंबम का महत्वपूर्ण औपचारिकरण और दस्तावेजीकरण हुआ?</v>
      </c>
      <c r="H438" s="5" t="str">
        <f>IFERROR(__xludf.DUMMYFUNCTION("GOOGLETRANSLATE(C438, ""en"", ""hi"")"),"A) पल्लव वंश, B) चोल वंश, C) पांड्य वंश, D) चेर वंश")</f>
        <v>A) पल्लव वंश, B) चोल वंश, C) पांड्य वंश, D) चेर वंश</v>
      </c>
      <c r="I438" s="5" t="str">
        <f>IFERROR(__xludf.DUMMYFUNCTION("GOOGLETRANSLATE(D438, ""en"", ""hi"")"),"बी) चोल राजवंश")</f>
        <v>बी) चोल राजवंश</v>
      </c>
    </row>
    <row r="439" ht="22.5" customHeight="1">
      <c r="A439" s="3">
        <v>438.0</v>
      </c>
      <c r="B439" s="4" t="s">
        <v>10357</v>
      </c>
      <c r="C439" s="4" t="s">
        <v>10081</v>
      </c>
      <c r="D439" s="4" t="s">
        <v>9997</v>
      </c>
      <c r="F439" s="5" t="str">
        <f>IFERROR(__xludf.DUMMYFUNCTION("GOOGLETRANSLATE(A439, ""en"", ""hi"")"),"438")</f>
        <v>438</v>
      </c>
      <c r="G439" s="5" t="str">
        <f>IFERROR(__xludf.DUMMYFUNCTION("GOOGLETRANSLATE(B439, ""en"", ""hi"")"),"किस तमिल राजा का काल मार्शल आर्ट के रूप में सिलंबम के विकास में महत्वपूर्ण योगदान के लिए जाना जाता है?")</f>
        <v>किस तमिल राजा का काल मार्शल आर्ट के रूप में सिलंबम के विकास में महत्वपूर्ण योगदान के लिए जाना जाता है?</v>
      </c>
      <c r="H439" s="5" t="str">
        <f>IFERROR(__xludf.DUMMYFUNCTION("GOOGLETRANSLATE(C439, ""en"", ""hi"")"),"ए) राजराजा चोल, बी) राजेंद्र चोल, सी) सुंदरा चोल, डी) कुलोथुंगा चोल")</f>
        <v>ए) राजराजा चोल, बी) राजेंद्र चोल, सी) सुंदरा चोल, डी) कुलोथुंगा चोल</v>
      </c>
      <c r="I439" s="5" t="str">
        <f>IFERROR(__xludf.DUMMYFUNCTION("GOOGLETRANSLATE(D439, ""en"", ""hi"")"),"A) राजराजा चोल")</f>
        <v>A) राजराजा चोल</v>
      </c>
    </row>
    <row r="440" ht="22.5" customHeight="1">
      <c r="A440" s="3">
        <v>439.0</v>
      </c>
      <c r="B440" s="4" t="s">
        <v>10358</v>
      </c>
      <c r="C440" s="4" t="s">
        <v>10132</v>
      </c>
      <c r="D440" s="4" t="s">
        <v>10089</v>
      </c>
      <c r="F440" s="5" t="str">
        <f>IFERROR(__xludf.DUMMYFUNCTION("GOOGLETRANSLATE(A440, ""en"", ""hi"")"),"439")</f>
        <v>439</v>
      </c>
      <c r="G440" s="5" t="str">
        <f>IFERROR(__xludf.DUMMYFUNCTION("GOOGLETRANSLATE(B440, ""en"", ""hi"")"),"20वीं सदी में सिलंबम का पुनरुद्धार मुख्यतः किस प्रमुख व्यक्ति के प्रयासों के कारण हुआ?")</f>
        <v>20वीं सदी में सिलंबम का पुनरुद्धार मुख्यतः किस प्रमुख व्यक्ति के प्रयासों के कारण हुआ?</v>
      </c>
      <c r="H440" s="5" t="str">
        <f>IFERROR(__xludf.DUMMYFUNCTION("GOOGLETRANSLATE(C440,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40" s="5" t="str">
        <f>IFERROR(__xludf.DUMMYFUNCTION("GOOGLETRANSLATE(D440, ""en"", ""hi"")"),"A) वी. कृष्णमाचारी")</f>
        <v>A) वी. कृष्णमाचारी</v>
      </c>
    </row>
    <row r="441" ht="22.5" customHeight="1">
      <c r="A441" s="3">
        <v>440.0</v>
      </c>
      <c r="B441" s="4" t="s">
        <v>10359</v>
      </c>
      <c r="C441" s="4" t="s">
        <v>10081</v>
      </c>
      <c r="D441" s="4" t="s">
        <v>10082</v>
      </c>
      <c r="F441" s="5" t="str">
        <f>IFERROR(__xludf.DUMMYFUNCTION("GOOGLETRANSLATE(A441, ""en"", ""hi"")"),"440")</f>
        <v>440</v>
      </c>
      <c r="G441" s="5" t="str">
        <f>IFERROR(__xludf.DUMMYFUNCTION("GOOGLETRANSLATE(B441, ""en"", ""hi"")"),"किस तमिल राजा के शासन में सैन्य प्रशिक्षण और रणनीति में सिलंबम का एकीकरण देखा गया?")</f>
        <v>किस तमिल राजा के शासन में सैन्य प्रशिक्षण और रणनीति में सिलंबम का एकीकरण देखा गया?</v>
      </c>
      <c r="H441" s="5" t="str">
        <f>IFERROR(__xludf.DUMMYFUNCTION("GOOGLETRANSLATE(C441, ""en"", ""hi"")"),"ए) राजराजा चोल, बी) राजेंद्र चोल, सी) सुंदरा चोल, डी) कुलोथुंगा चोल")</f>
        <v>ए) राजराजा चोल, बी) राजेंद्र चोल, सी) सुंदरा चोल, डी) कुलोथुंगा चोल</v>
      </c>
      <c r="I441" s="5" t="str">
        <f>IFERROR(__xludf.DUMMYFUNCTION("GOOGLETRANSLATE(D441, ""en"", ""hi"")"),"B) राजेंद्र चोल")</f>
        <v>B) राजेंद्र चोल</v>
      </c>
    </row>
    <row r="442" ht="22.5" customHeight="1">
      <c r="A442" s="3">
        <v>441.0</v>
      </c>
      <c r="B442" s="4" t="s">
        <v>10360</v>
      </c>
      <c r="C442" s="4" t="s">
        <v>10361</v>
      </c>
      <c r="D442" s="4" t="s">
        <v>10362</v>
      </c>
      <c r="F442" s="5" t="str">
        <f>IFERROR(__xludf.DUMMYFUNCTION("GOOGLETRANSLATE(A442, ""en"", ""hi"")"),"441")</f>
        <v>441</v>
      </c>
      <c r="G442" s="5" t="str">
        <f>IFERROR(__xludf.DUMMYFUNCTION("GOOGLETRANSLATE(B442, ""en"", ""hi"")"),"सिलंबम प्रथा को किस प्राचीन तमिल ग्रंथ में संहिताबद्ध किया गया था?")</f>
        <v>सिलंबम प्रथा को किस प्राचीन तमिल ग्रंथ में संहिताबद्ध किया गया था?</v>
      </c>
      <c r="H442" s="5" t="str">
        <f>IFERROR(__xludf.DUMMYFUNCTION("GOOGLETRANSLATE(C442, ""en"", ""hi"")"),"ए) अगस्त्य संहिता, बी) कुरल, सी) सिलप्पातिकरम, डी) तोल्कप्पियम")</f>
        <v>ए) अगस्त्य संहिता, बी) कुरल, सी) सिलप्पातिकरम, डी) तोल्कप्पियम</v>
      </c>
      <c r="I442" s="5" t="str">
        <f>IFERROR(__xludf.DUMMYFUNCTION("GOOGLETRANSLATE(D442, ""en"", ""hi"")"),"A) अगस्त्य संहिता")</f>
        <v>A) अगस्त्य संहिता</v>
      </c>
    </row>
    <row r="443" ht="22.5" customHeight="1">
      <c r="A443" s="3">
        <v>442.0</v>
      </c>
      <c r="B443" s="4" t="s">
        <v>10363</v>
      </c>
      <c r="C443" s="4" t="s">
        <v>10081</v>
      </c>
      <c r="D443" s="4" t="s">
        <v>9997</v>
      </c>
      <c r="F443" s="5" t="str">
        <f>IFERROR(__xludf.DUMMYFUNCTION("GOOGLETRANSLATE(A443, ""en"", ""hi"")"),"442")</f>
        <v>442</v>
      </c>
      <c r="G443" s="5" t="str">
        <f>IFERROR(__xludf.DUMMYFUNCTION("GOOGLETRANSLATE(B443, ""en"", ""hi"")"),"किस तमिल राजा का काल सिलंबम तकनीकों के संरक्षण और संवर्धन के लिए मनाया जाता है?")</f>
        <v>किस तमिल राजा का काल सिलंबम तकनीकों के संरक्षण और संवर्धन के लिए मनाया जाता है?</v>
      </c>
      <c r="H443" s="5" t="str">
        <f>IFERROR(__xludf.DUMMYFUNCTION("GOOGLETRANSLATE(C443, ""en"", ""hi"")"),"ए) राजराजा चोल, बी) राजेंद्र चोल, सी) सुंदरा चोल, डी) कुलोथुंगा चोल")</f>
        <v>ए) राजराजा चोल, बी) राजेंद्र चोल, सी) सुंदरा चोल, डी) कुलोथुंगा चोल</v>
      </c>
      <c r="I443" s="5" t="str">
        <f>IFERROR(__xludf.DUMMYFUNCTION("GOOGLETRANSLATE(D443, ""en"", ""hi"")"),"A) राजराजा चोल")</f>
        <v>A) राजराजा चोल</v>
      </c>
    </row>
    <row r="444" ht="22.5" customHeight="1">
      <c r="A444" s="3">
        <v>443.0</v>
      </c>
      <c r="B444" s="4" t="s">
        <v>10364</v>
      </c>
      <c r="C444" s="4" t="s">
        <v>10365</v>
      </c>
      <c r="D444" s="4" t="s">
        <v>10366</v>
      </c>
      <c r="F444" s="5" t="str">
        <f>IFERROR(__xludf.DUMMYFUNCTION("GOOGLETRANSLATE(A444, ""en"", ""hi"")"),"443")</f>
        <v>443</v>
      </c>
      <c r="G444" s="5" t="str">
        <f>IFERROR(__xludf.DUMMYFUNCTION("GOOGLETRANSLATE(B444, ""en"", ""hi"")"),"मध्यकाल के दौरान सिलंबम तकनीकों का दस्तावेजीकरण किस ऐतिहासिक घटना से महत्वपूर्ण रूप से प्रभावित था?")</f>
        <v>मध्यकाल के दौरान सिलंबम तकनीकों का दस्तावेजीकरण किस ऐतिहासिक घटना से महत्वपूर्ण रूप से प्रभावित था?</v>
      </c>
      <c r="H444" s="5" t="str">
        <f>IFERROR(__xludf.DUMMYFUNCTION("GOOGLETRANSLATE(C444, ""en"", ""hi"")"),"A) चोल विस्तार, B) पांड्य युद्ध, C) विजयनगर साम्राज्य का उदय, D) ब्रिटिश औपनिवेशिक शासन")</f>
        <v>A) चोल विस्तार, B) पांड्य युद्ध, C) विजयनगर साम्राज्य का उदय, D) ब्रिटिश औपनिवेशिक शासन</v>
      </c>
      <c r="I444" s="5" t="str">
        <f>IFERROR(__xludf.DUMMYFUNCTION("GOOGLETRANSLATE(D444, ""en"", ""hi"")"),"A) चोल विस्तार")</f>
        <v>A) चोल विस्तार</v>
      </c>
    </row>
    <row r="445" ht="22.5" customHeight="1">
      <c r="A445" s="3">
        <v>444.0</v>
      </c>
      <c r="B445" s="4" t="s">
        <v>10367</v>
      </c>
      <c r="C445" s="4" t="s">
        <v>10132</v>
      </c>
      <c r="D445" s="4" t="s">
        <v>10089</v>
      </c>
      <c r="F445" s="5" t="str">
        <f>IFERROR(__xludf.DUMMYFUNCTION("GOOGLETRANSLATE(A445, ""en"", ""hi"")"),"444")</f>
        <v>444</v>
      </c>
      <c r="G445" s="5" t="str">
        <f>IFERROR(__xludf.DUMMYFUNCTION("GOOGLETRANSLATE(B445, ""en"", ""hi"")"),"20वीं सदी में सिलंबम के पुनरुत्थान का श्रेय किस सांस्कृतिक पुनरुत्थानवादी के प्रयासों को दिया जाता है?")</f>
        <v>20वीं सदी में सिलंबम के पुनरुत्थान का श्रेय किस सांस्कृतिक पुनरुत्थानवादी के प्रयासों को दिया जाता है?</v>
      </c>
      <c r="H445" s="5" t="str">
        <f>IFERROR(__xludf.DUMMYFUNCTION("GOOGLETRANSLATE(C445,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45" s="5" t="str">
        <f>IFERROR(__xludf.DUMMYFUNCTION("GOOGLETRANSLATE(D445, ""en"", ""hi"")"),"A) वी. कृष्णमाचारी")</f>
        <v>A) वी. कृष्णमाचारी</v>
      </c>
    </row>
    <row r="446" ht="22.5" customHeight="1">
      <c r="A446" s="3">
        <v>445.0</v>
      </c>
      <c r="B446" s="4" t="s">
        <v>10368</v>
      </c>
      <c r="C446" s="4" t="s">
        <v>10081</v>
      </c>
      <c r="D446" s="4" t="s">
        <v>10082</v>
      </c>
      <c r="F446" s="5" t="str">
        <f>IFERROR(__xludf.DUMMYFUNCTION("GOOGLETRANSLATE(A446, ""en"", ""hi"")"),"445")</f>
        <v>445</v>
      </c>
      <c r="G446" s="5" t="str">
        <f>IFERROR(__xludf.DUMMYFUNCTION("GOOGLETRANSLATE(B446, ""en"", ""hi"")"),"कौन सा तमिल राजा सिलंबम के संरक्षण और सैन्य पाठ्यक्रम में इसके एकीकरण के लिए जाना जाता है?")</f>
        <v>कौन सा तमिल राजा सिलंबम के संरक्षण और सैन्य पाठ्यक्रम में इसके एकीकरण के लिए जाना जाता है?</v>
      </c>
      <c r="H446" s="5" t="str">
        <f>IFERROR(__xludf.DUMMYFUNCTION("GOOGLETRANSLATE(C446, ""en"", ""hi"")"),"ए) राजराजा चोल, बी) राजेंद्र चोल, सी) सुंदरा चोल, डी) कुलोथुंगा चोल")</f>
        <v>ए) राजराजा चोल, बी) राजेंद्र चोल, सी) सुंदरा चोल, डी) कुलोथुंगा चोल</v>
      </c>
      <c r="I446" s="5" t="str">
        <f>IFERROR(__xludf.DUMMYFUNCTION("GOOGLETRANSLATE(D446, ""en"", ""hi"")"),"B) राजेंद्र चोल")</f>
        <v>B) राजेंद्र चोल</v>
      </c>
    </row>
    <row r="447" ht="22.5" customHeight="1">
      <c r="A447" s="3">
        <v>446.0</v>
      </c>
      <c r="B447" s="4" t="s">
        <v>10369</v>
      </c>
      <c r="C447" s="4" t="s">
        <v>10361</v>
      </c>
      <c r="D447" s="4" t="s">
        <v>10362</v>
      </c>
      <c r="F447" s="5" t="str">
        <f>IFERROR(__xludf.DUMMYFUNCTION("GOOGLETRANSLATE(A447, ""en"", ""hi"")"),"446")</f>
        <v>446</v>
      </c>
      <c r="G447" s="5" t="str">
        <f>IFERROR(__xludf.DUMMYFUNCTION("GOOGLETRANSLATE(B447, ""en"", ""hi"")"),"तमिलनाडु में सिलंबम का ऐतिहासिक महत्व किस तमिल पांडुलिपि में विस्तृत रूप से वर्णित है?")</f>
        <v>तमिलनाडु में सिलंबम का ऐतिहासिक महत्व किस तमिल पांडुलिपि में विस्तृत रूप से वर्णित है?</v>
      </c>
      <c r="H447" s="5" t="str">
        <f>IFERROR(__xludf.DUMMYFUNCTION("GOOGLETRANSLATE(C447, ""en"", ""hi"")"),"ए) अगस्त्य संहिता, बी) कुरल, सी) सिलप्पातिकरम, डी) तोल्कप्पियम")</f>
        <v>ए) अगस्त्य संहिता, बी) कुरल, सी) सिलप्पातिकरम, डी) तोल्कप्पियम</v>
      </c>
      <c r="I447" s="5" t="str">
        <f>IFERROR(__xludf.DUMMYFUNCTION("GOOGLETRANSLATE(D447, ""en"", ""hi"")"),"A) अगस्त्य संहिता")</f>
        <v>A) अगस्त्य संहिता</v>
      </c>
    </row>
    <row r="448" ht="22.5" customHeight="1">
      <c r="A448" s="3">
        <v>447.0</v>
      </c>
      <c r="B448" s="4" t="s">
        <v>10370</v>
      </c>
      <c r="C448" s="4" t="s">
        <v>10081</v>
      </c>
      <c r="D448" s="4" t="s">
        <v>10082</v>
      </c>
      <c r="F448" s="5" t="str">
        <f>IFERROR(__xludf.DUMMYFUNCTION("GOOGLETRANSLATE(A448, ""en"", ""hi"")"),"447")</f>
        <v>447</v>
      </c>
      <c r="G448" s="5" t="str">
        <f>IFERROR(__xludf.DUMMYFUNCTION("GOOGLETRANSLATE(B448, ""en"", ""hi"")"),"किस तमिल राजा का शासनकाल सिलंबम के प्रमुख विकास और मानकीकरण से जुड़ा है?")</f>
        <v>किस तमिल राजा का शासनकाल सिलंबम के प्रमुख विकास और मानकीकरण से जुड़ा है?</v>
      </c>
      <c r="H448" s="5" t="str">
        <f>IFERROR(__xludf.DUMMYFUNCTION("GOOGLETRANSLATE(C448, ""en"", ""hi"")"),"ए) राजराजा चोल, बी) राजेंद्र चोल, सी) सुंदरा चोल, डी) कुलोथुंगा चोल")</f>
        <v>ए) राजराजा चोल, बी) राजेंद्र चोल, सी) सुंदरा चोल, डी) कुलोथुंगा चोल</v>
      </c>
      <c r="I448" s="5" t="str">
        <f>IFERROR(__xludf.DUMMYFUNCTION("GOOGLETRANSLATE(D448, ""en"", ""hi"")"),"B) राजेंद्र चोल")</f>
        <v>B) राजेंद्र चोल</v>
      </c>
    </row>
    <row r="449" ht="22.5" customHeight="1">
      <c r="A449" s="3">
        <v>448.0</v>
      </c>
      <c r="B449" s="4" t="s">
        <v>10371</v>
      </c>
      <c r="C449" s="4" t="s">
        <v>10170</v>
      </c>
      <c r="D449" s="4" t="s">
        <v>10171</v>
      </c>
      <c r="F449" s="5" t="str">
        <f>IFERROR(__xludf.DUMMYFUNCTION("GOOGLETRANSLATE(A449, ""en"", ""hi"")"),"448")</f>
        <v>448</v>
      </c>
      <c r="G449" s="5" t="str">
        <f>IFERROR(__xludf.DUMMYFUNCTION("GOOGLETRANSLATE(B449, ""en"", ""hi"")"),"सिलंबम तकनीकों का ऐतिहासिक प्रसारण मुख्यतः किस शैक्षणिक प्रणाली के माध्यम से प्राप्त किया गया था?")</f>
        <v>सिलंबम तकनीकों का ऐतिहासिक प्रसारण मुख्यतः किस शैक्षणिक प्रणाली के माध्यम से प्राप्त किया गया था?</v>
      </c>
      <c r="H449" s="5" t="str">
        <f>IFERROR(__xludf.DUMMYFUNCTION("GOOGLETRANSLATE(C449, ""en"", ""hi"")"),"A) गुरुकुल प्रणाली, B) शाही दरबार, C) मंदिर विद्यालय, D) मठ केंद्र")</f>
        <v>A) गुरुकुल प्रणाली, B) शाही दरबार, C) मंदिर विद्यालय, D) मठ केंद्र</v>
      </c>
      <c r="I449" s="5" t="str">
        <f>IFERROR(__xludf.DUMMYFUNCTION("GOOGLETRANSLATE(D449, ""en"", ""hi"")"),"A) गुरुकुल प्रणाली")</f>
        <v>A) गुरुकुल प्रणाली</v>
      </c>
    </row>
    <row r="450" ht="22.5" customHeight="1">
      <c r="A450" s="3">
        <v>449.0</v>
      </c>
      <c r="B450" s="4" t="s">
        <v>10372</v>
      </c>
      <c r="C450" s="4" t="s">
        <v>10081</v>
      </c>
      <c r="D450" s="4" t="s">
        <v>9997</v>
      </c>
      <c r="F450" s="5" t="str">
        <f>IFERROR(__xludf.DUMMYFUNCTION("GOOGLETRANSLATE(A450, ""en"", ""hi"")"),"449")</f>
        <v>449</v>
      </c>
      <c r="G450" s="5" t="str">
        <f>IFERROR(__xludf.DUMMYFUNCTION("GOOGLETRANSLATE(B450, ""en"", ""hi"")"),"किस तमिल राजा के संरक्षण ने सिलंबम के संरक्षण और विकास में महत्वपूर्ण भूमिका निभाई?")</f>
        <v>किस तमिल राजा के संरक्षण ने सिलंबम के संरक्षण और विकास में महत्वपूर्ण भूमिका निभाई?</v>
      </c>
      <c r="H450" s="5" t="str">
        <f>IFERROR(__xludf.DUMMYFUNCTION("GOOGLETRANSLATE(C450, ""en"", ""hi"")"),"ए) राजराजा चोल, बी) राजेंद्र चोल, सी) सुंदरा चोल, डी) कुलोथुंगा चोल")</f>
        <v>ए) राजराजा चोल, बी) राजेंद्र चोल, सी) सुंदरा चोल, डी) कुलोथुंगा चोल</v>
      </c>
      <c r="I450" s="5" t="str">
        <f>IFERROR(__xludf.DUMMYFUNCTION("GOOGLETRANSLATE(D450, ""en"", ""hi"")"),"A) राजराजा चोल")</f>
        <v>A) राजराजा चोल</v>
      </c>
    </row>
    <row r="451" ht="22.5" customHeight="1">
      <c r="A451" s="3">
        <v>450.0</v>
      </c>
      <c r="B451" s="4" t="s">
        <v>10373</v>
      </c>
      <c r="C451" s="4" t="s">
        <v>10132</v>
      </c>
      <c r="D451" s="4" t="s">
        <v>10089</v>
      </c>
      <c r="F451" s="5" t="str">
        <f>IFERROR(__xludf.DUMMYFUNCTION("GOOGLETRANSLATE(A451, ""en"", ""hi"")"),"450")</f>
        <v>450</v>
      </c>
      <c r="G451" s="5" t="str">
        <f>IFERROR(__xludf.DUMMYFUNCTION("GOOGLETRANSLATE(B451, ""en"", ""hi"")"),"औपनिवेशिक युग के दौरान सिलंबम का पुनरुद्धार किस प्रमुख व्यक्ति से जुड़ा हुआ है?")</f>
        <v>औपनिवेशिक युग के दौरान सिलंबम का पुनरुद्धार किस प्रमुख व्यक्ति से जुड़ा हुआ है?</v>
      </c>
      <c r="H451" s="5" t="str">
        <f>IFERROR(__xludf.DUMMYFUNCTION("GOOGLETRANSLATE(C451,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51" s="5" t="str">
        <f>IFERROR(__xludf.DUMMYFUNCTION("GOOGLETRANSLATE(D451, ""en"", ""hi"")"),"A) वी. कृष्णमाचारी")</f>
        <v>A) वी. कृष्णमाचारी</v>
      </c>
    </row>
    <row r="452" ht="22.5" customHeight="1">
      <c r="A452" s="3">
        <v>451.0</v>
      </c>
      <c r="B452" s="4" t="s">
        <v>10374</v>
      </c>
      <c r="C452" s="4" t="s">
        <v>10123</v>
      </c>
      <c r="D452" s="4" t="s">
        <v>9982</v>
      </c>
      <c r="F452" s="5" t="str">
        <f>IFERROR(__xludf.DUMMYFUNCTION("GOOGLETRANSLATE(A452, ""en"", ""hi"")"),"451")</f>
        <v>451</v>
      </c>
      <c r="G452" s="5" t="str">
        <f>IFERROR(__xludf.DUMMYFUNCTION("GOOGLETRANSLATE(B452, ""en"", ""hi"")"),"कौन सा प्राचीन तमिल ग्रंथ सिलंबम तकनीकों और उनके अनुप्रयोगों का व्यापक विवरण प्रदान करता है?")</f>
        <v>कौन सा प्राचीन तमिल ग्रंथ सिलंबम तकनीकों और उनके अनुप्रयोगों का व्यापक विवरण प्रदान करता है?</v>
      </c>
      <c r="H452" s="5" t="str">
        <f>IFERROR(__xludf.DUMMYFUNCTION("GOOGLETRANSLATE(C452, ""en"", ""hi"")"),"ए) टोलकाप्पियम, बी) सिलप्पातिकारम, सी) अगस्त्य संहिता, डी) कुरल")</f>
        <v>ए) टोलकाप्पियम, बी) सिलप्पातिकारम, सी) अगस्त्य संहिता, डी) कुरल</v>
      </c>
      <c r="I452" s="5" t="str">
        <f>IFERROR(__xludf.DUMMYFUNCTION("GOOGLETRANSLATE(D452, ""en"", ""hi"")"),"C) अगस्त्य संहिता")</f>
        <v>C) अगस्त्य संहिता</v>
      </c>
    </row>
    <row r="453" ht="22.5" customHeight="1">
      <c r="A453" s="3">
        <v>452.0</v>
      </c>
      <c r="B453" s="4" t="s">
        <v>10375</v>
      </c>
      <c r="C453" s="4" t="s">
        <v>10355</v>
      </c>
      <c r="D453" s="4" t="s">
        <v>10356</v>
      </c>
      <c r="F453" s="5" t="str">
        <f>IFERROR(__xludf.DUMMYFUNCTION("GOOGLETRANSLATE(A453, ""en"", ""hi"")"),"452")</f>
        <v>452</v>
      </c>
      <c r="G453" s="5" t="str">
        <f>IFERROR(__xludf.DUMMYFUNCTION("GOOGLETRANSLATE(B453, ""en"", ""hi"")"),"किस तमिल राजवंश के दौरान सिलंबम ने महत्वपूर्ण औपचारिकता और वृद्धि का अनुभव किया?")</f>
        <v>किस तमिल राजवंश के दौरान सिलंबम ने महत्वपूर्ण औपचारिकता और वृद्धि का अनुभव किया?</v>
      </c>
      <c r="H453" s="5" t="str">
        <f>IFERROR(__xludf.DUMMYFUNCTION("GOOGLETRANSLATE(C453, ""en"", ""hi"")"),"A) पल्लव वंश, B) चोल वंश, C) पांड्य वंश, D) चेर वंश")</f>
        <v>A) पल्लव वंश, B) चोल वंश, C) पांड्य वंश, D) चेर वंश</v>
      </c>
      <c r="I453" s="5" t="str">
        <f>IFERROR(__xludf.DUMMYFUNCTION("GOOGLETRANSLATE(D453, ""en"", ""hi"")"),"बी) चोल राजवंश")</f>
        <v>बी) चोल राजवंश</v>
      </c>
    </row>
    <row r="454" ht="22.5" customHeight="1">
      <c r="A454" s="3">
        <v>453.0</v>
      </c>
      <c r="B454" s="4" t="s">
        <v>10376</v>
      </c>
      <c r="C454" s="4" t="s">
        <v>10081</v>
      </c>
      <c r="D454" s="4" t="s">
        <v>10082</v>
      </c>
      <c r="F454" s="5" t="str">
        <f>IFERROR(__xludf.DUMMYFUNCTION("GOOGLETRANSLATE(A454, ""en"", ""hi"")"),"453")</f>
        <v>453</v>
      </c>
      <c r="G454" s="5" t="str">
        <f>IFERROR(__xludf.DUMMYFUNCTION("GOOGLETRANSLATE(B454, ""en"", ""hi"")"),"किस तमिल राजा का काल सैन्य प्रशिक्षण और रणनीति में सिलंबम को एकीकृत करने के लिए सबसे अधिक प्रसिद्ध है?")</f>
        <v>किस तमिल राजा का काल सैन्य प्रशिक्षण और रणनीति में सिलंबम को एकीकृत करने के लिए सबसे अधिक प्रसिद्ध है?</v>
      </c>
      <c r="H454" s="5" t="str">
        <f>IFERROR(__xludf.DUMMYFUNCTION("GOOGLETRANSLATE(C454, ""en"", ""hi"")"),"ए) राजराजा चोल, बी) राजेंद्र चोल, सी) सुंदरा चोल, डी) कुलोथुंगा चोल")</f>
        <v>ए) राजराजा चोल, बी) राजेंद्र चोल, सी) सुंदरा चोल, डी) कुलोथुंगा चोल</v>
      </c>
      <c r="I454" s="5" t="str">
        <f>IFERROR(__xludf.DUMMYFUNCTION("GOOGLETRANSLATE(D454, ""en"", ""hi"")"),"B) राजेंद्र चोल")</f>
        <v>B) राजेंद्र चोल</v>
      </c>
    </row>
    <row r="455" ht="22.5" customHeight="1">
      <c r="A455" s="3">
        <v>454.0</v>
      </c>
      <c r="B455" s="4" t="s">
        <v>10377</v>
      </c>
      <c r="C455" s="4" t="s">
        <v>10170</v>
      </c>
      <c r="D455" s="4" t="s">
        <v>10171</v>
      </c>
      <c r="F455" s="5" t="str">
        <f>IFERROR(__xludf.DUMMYFUNCTION("GOOGLETRANSLATE(A455, ""en"", ""hi"")"),"454")</f>
        <v>454</v>
      </c>
      <c r="G455" s="5" t="str">
        <f>IFERROR(__xludf.DUMMYFUNCTION("GOOGLETRANSLATE(B455, ""en"", ""hi"")"),"सिलंबम का ऐतिहासिक संरक्षण मुख्य रूप से किस तमिल शिक्षा प्रणाली के माध्यम से प्राप्त किया गया था?")</f>
        <v>सिलंबम का ऐतिहासिक संरक्षण मुख्य रूप से किस तमिल शिक्षा प्रणाली के माध्यम से प्राप्त किया गया था?</v>
      </c>
      <c r="H455" s="5" t="str">
        <f>IFERROR(__xludf.DUMMYFUNCTION("GOOGLETRANSLATE(C455, ""en"", ""hi"")"),"A) गुरुकुल प्रणाली, B) शाही दरबार, C) मंदिर विद्यालय, D) मठ केंद्र")</f>
        <v>A) गुरुकुल प्रणाली, B) शाही दरबार, C) मंदिर विद्यालय, D) मठ केंद्र</v>
      </c>
      <c r="I455" s="5" t="str">
        <f>IFERROR(__xludf.DUMMYFUNCTION("GOOGLETRANSLATE(D455, ""en"", ""hi"")"),"A) गुरुकुल प्रणाली")</f>
        <v>A) गुरुकुल प्रणाली</v>
      </c>
    </row>
    <row r="456" ht="22.5" customHeight="1">
      <c r="A456" s="3">
        <v>455.0</v>
      </c>
      <c r="B456" s="4" t="s">
        <v>10378</v>
      </c>
      <c r="C456" s="4" t="s">
        <v>10081</v>
      </c>
      <c r="D456" s="4" t="s">
        <v>9997</v>
      </c>
      <c r="F456" s="5" t="str">
        <f>IFERROR(__xludf.DUMMYFUNCTION("GOOGLETRANSLATE(A456, ""en"", ""hi"")"),"455")</f>
        <v>455</v>
      </c>
      <c r="G456" s="5" t="str">
        <f>IFERROR(__xludf.DUMMYFUNCTION("GOOGLETRANSLATE(B456, ""en"", ""hi"")"),"सिलंबम के ऐतिहासिक विकास को समझने के लिए किस तमिल राजा का संरक्षण महत्वपूर्ण है?")</f>
        <v>सिलंबम के ऐतिहासिक विकास को समझने के लिए किस तमिल राजा का संरक्षण महत्वपूर्ण है?</v>
      </c>
      <c r="H456" s="5" t="str">
        <f>IFERROR(__xludf.DUMMYFUNCTION("GOOGLETRANSLATE(C456, ""en"", ""hi"")"),"ए) राजराजा चोल, बी) राजेंद्र चोल, सी) सुंदरा चोल, डी) कुलोथुंगा चोल")</f>
        <v>ए) राजराजा चोल, बी) राजेंद्र चोल, सी) सुंदरा चोल, डी) कुलोथुंगा चोल</v>
      </c>
      <c r="I456" s="5" t="str">
        <f>IFERROR(__xludf.DUMMYFUNCTION("GOOGLETRANSLATE(D456, ""en"", ""hi"")"),"A) राजराजा चोल")</f>
        <v>A) राजराजा चोल</v>
      </c>
    </row>
    <row r="457" ht="22.5" customHeight="1">
      <c r="A457" s="3">
        <v>456.0</v>
      </c>
      <c r="B457" s="4" t="s">
        <v>10379</v>
      </c>
      <c r="C457" s="4" t="s">
        <v>10132</v>
      </c>
      <c r="D457" s="4" t="s">
        <v>10089</v>
      </c>
      <c r="F457" s="5" t="str">
        <f>IFERROR(__xludf.DUMMYFUNCTION("GOOGLETRANSLATE(A457, ""en"", ""hi"")"),"456")</f>
        <v>456</v>
      </c>
      <c r="G457" s="5" t="str">
        <f>IFERROR(__xludf.DUMMYFUNCTION("GOOGLETRANSLATE(B457, ""en"", ""hi"")"),"20वीं शताब्दी में तमिलनाडु में सिलंबम के पुनरुत्थान का श्रेय किस पुनरुत्थानवादी व्यक्ति को दिया जाता है?")</f>
        <v>20वीं शताब्दी में तमिलनाडु में सिलंबम के पुनरुत्थान का श्रेय किस पुनरुत्थानवादी व्यक्ति को दिया जाता है?</v>
      </c>
      <c r="H457" s="5" t="str">
        <f>IFERROR(__xludf.DUMMYFUNCTION("GOOGLETRANSLATE(C457,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57" s="5" t="str">
        <f>IFERROR(__xludf.DUMMYFUNCTION("GOOGLETRANSLATE(D457, ""en"", ""hi"")"),"A) वी. कृष्णमाचारी")</f>
        <v>A) वी. कृष्णमाचारी</v>
      </c>
    </row>
    <row r="458" ht="22.5" customHeight="1">
      <c r="A458" s="3">
        <v>457.0</v>
      </c>
      <c r="B458" s="4" t="s">
        <v>10380</v>
      </c>
      <c r="C458" s="4" t="s">
        <v>10123</v>
      </c>
      <c r="D458" s="4" t="s">
        <v>9982</v>
      </c>
      <c r="F458" s="5" t="str">
        <f>IFERROR(__xludf.DUMMYFUNCTION("GOOGLETRANSLATE(A458, ""en"", ""hi"")"),"457")</f>
        <v>457</v>
      </c>
      <c r="G458" s="5" t="str">
        <f>IFERROR(__xludf.DUMMYFUNCTION("GOOGLETRANSLATE(B458, ""en"", ""hi"")"),"कौन सा तमिल ग्रंथ सिलंबम के ऐतिहासिक महत्व और तकनीकों के बारे में जानकारी प्रदान करता है?")</f>
        <v>कौन सा तमिल ग्रंथ सिलंबम के ऐतिहासिक महत्व और तकनीकों के बारे में जानकारी प्रदान करता है?</v>
      </c>
      <c r="H458" s="5" t="str">
        <f>IFERROR(__xludf.DUMMYFUNCTION("GOOGLETRANSLATE(C458, ""en"", ""hi"")"),"ए) टोलकाप्पियम, बी) सिलप्पातिकारम, सी) अगस्त्य संहिता, डी) कुरल")</f>
        <v>ए) टोलकाप्पियम, बी) सिलप्पातिकारम, सी) अगस्त्य संहिता, डी) कुरल</v>
      </c>
      <c r="I458" s="5" t="str">
        <f>IFERROR(__xludf.DUMMYFUNCTION("GOOGLETRANSLATE(D458, ""en"", ""hi"")"),"C) अगस्त्य संहिता")</f>
        <v>C) अगस्त्य संहिता</v>
      </c>
    </row>
    <row r="459" ht="22.5" customHeight="1">
      <c r="A459" s="3">
        <v>458.0</v>
      </c>
      <c r="B459" s="4" t="s">
        <v>10381</v>
      </c>
      <c r="C459" s="4" t="s">
        <v>10081</v>
      </c>
      <c r="D459" s="4" t="s">
        <v>10082</v>
      </c>
      <c r="F459" s="5" t="str">
        <f>IFERROR(__xludf.DUMMYFUNCTION("GOOGLETRANSLATE(A459, ""en"", ""hi"")"),"458")</f>
        <v>458</v>
      </c>
      <c r="G459" s="5" t="str">
        <f>IFERROR(__xludf.DUMMYFUNCTION("GOOGLETRANSLATE(B459, ""en"", ""hi"")"),"किस तमिल राजा के शासन में सिलंबम तकनीकों का औपचारिक दस्तावेजीकरण और मानकीकरण हुआ?")</f>
        <v>किस तमिल राजा के शासन में सिलंबम तकनीकों का औपचारिक दस्तावेजीकरण और मानकीकरण हुआ?</v>
      </c>
      <c r="H459" s="5" t="str">
        <f>IFERROR(__xludf.DUMMYFUNCTION("GOOGLETRANSLATE(C459, ""en"", ""hi"")"),"ए) राजराजा चोल, बी) राजेंद्र चोल, सी) सुंदरा चोल, डी) कुलोथुंगा चोल")</f>
        <v>ए) राजराजा चोल, बी) राजेंद्र चोल, सी) सुंदरा चोल, डी) कुलोथुंगा चोल</v>
      </c>
      <c r="I459" s="5" t="str">
        <f>IFERROR(__xludf.DUMMYFUNCTION("GOOGLETRANSLATE(D459, ""en"", ""hi"")"),"B) राजेंद्र चोल")</f>
        <v>B) राजेंद्र चोल</v>
      </c>
    </row>
    <row r="460" ht="22.5" customHeight="1">
      <c r="A460" s="3">
        <v>459.0</v>
      </c>
      <c r="B460" s="4" t="s">
        <v>10382</v>
      </c>
      <c r="C460" s="4" t="s">
        <v>10170</v>
      </c>
      <c r="D460" s="4" t="s">
        <v>10171</v>
      </c>
      <c r="F460" s="5" t="str">
        <f>IFERROR(__xludf.DUMMYFUNCTION("GOOGLETRANSLATE(A460, ""en"", ""hi"")"),"459")</f>
        <v>459</v>
      </c>
      <c r="G460" s="5" t="str">
        <f>IFERROR(__xludf.DUMMYFUNCTION("GOOGLETRANSLATE(B460, ""en"", ""hi"")"),"सिलंबम की ऐतिहासिक तकनीकों को किस पारंपरिक तमिल शैक्षणिक संस्थान के माध्यम से संरक्षित किया गया था?")</f>
        <v>सिलंबम की ऐतिहासिक तकनीकों को किस पारंपरिक तमिल शैक्षणिक संस्थान के माध्यम से संरक्षित किया गया था?</v>
      </c>
      <c r="H460" s="5" t="str">
        <f>IFERROR(__xludf.DUMMYFUNCTION("GOOGLETRANSLATE(C460, ""en"", ""hi"")"),"A) गुरुकुल प्रणाली, B) शाही दरबार, C) मंदिर विद्यालय, D) मठ केंद्र")</f>
        <v>A) गुरुकुल प्रणाली, B) शाही दरबार, C) मंदिर विद्यालय, D) मठ केंद्र</v>
      </c>
      <c r="I460" s="5" t="str">
        <f>IFERROR(__xludf.DUMMYFUNCTION("GOOGLETRANSLATE(D460, ""en"", ""hi"")"),"A) गुरुकुल प्रणाली")</f>
        <v>A) गुरुकुल प्रणाली</v>
      </c>
    </row>
    <row r="461" ht="22.5" customHeight="1">
      <c r="A461" s="3">
        <v>460.0</v>
      </c>
      <c r="B461" s="4" t="s">
        <v>10383</v>
      </c>
      <c r="C461" s="4" t="s">
        <v>10081</v>
      </c>
      <c r="D461" s="4" t="s">
        <v>9997</v>
      </c>
      <c r="F461" s="5" t="str">
        <f>IFERROR(__xludf.DUMMYFUNCTION("GOOGLETRANSLATE(A461, ""en"", ""hi"")"),"460")</f>
        <v>460</v>
      </c>
      <c r="G461" s="5" t="str">
        <f>IFERROR(__xludf.DUMMYFUNCTION("GOOGLETRANSLATE(B461, ""en"", ""hi"")"),"सिलंबम के विकास और उन्नति के लिए किस तमिल राजा का संरक्षण महत्वपूर्ण था?")</f>
        <v>सिलंबम के विकास और उन्नति के लिए किस तमिल राजा का संरक्षण महत्वपूर्ण था?</v>
      </c>
      <c r="H461" s="5" t="str">
        <f>IFERROR(__xludf.DUMMYFUNCTION("GOOGLETRANSLATE(C461, ""en"", ""hi"")"),"ए) राजराजा चोल, बी) राजेंद्र चोल, सी) सुंदरा चोल, डी) कुलोथुंगा चोल")</f>
        <v>ए) राजराजा चोल, बी) राजेंद्र चोल, सी) सुंदरा चोल, डी) कुलोथुंगा चोल</v>
      </c>
      <c r="I461" s="5" t="str">
        <f>IFERROR(__xludf.DUMMYFUNCTION("GOOGLETRANSLATE(D461, ""en"", ""hi"")"),"A) राजराजा चोल")</f>
        <v>A) राजराजा चोल</v>
      </c>
    </row>
    <row r="462" ht="22.5" customHeight="1">
      <c r="A462" s="3">
        <v>461.0</v>
      </c>
      <c r="B462" s="4" t="s">
        <v>10384</v>
      </c>
      <c r="C462" s="4" t="s">
        <v>10132</v>
      </c>
      <c r="D462" s="4" t="s">
        <v>10089</v>
      </c>
      <c r="F462" s="5" t="str">
        <f>IFERROR(__xludf.DUMMYFUNCTION("GOOGLETRANSLATE(A462, ""en"", ""hi"")"),"461")</f>
        <v>461</v>
      </c>
      <c r="G462" s="5" t="str">
        <f>IFERROR(__xludf.DUMMYFUNCTION("GOOGLETRANSLATE(B462, ""en"", ""hi"")"),"तमिलनाडु में सिलंबम का आधुनिक पुनरुद्धार किस प्रमुख सांस्कृतिक हस्ती से जुड़ा है?")</f>
        <v>तमिलनाडु में सिलंबम का आधुनिक पुनरुद्धार किस प्रमुख सांस्कृतिक हस्ती से जुड़ा है?</v>
      </c>
      <c r="H462" s="5" t="str">
        <f>IFERROR(__xludf.DUMMYFUNCTION("GOOGLETRANSLATE(C462,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62" s="5" t="str">
        <f>IFERROR(__xludf.DUMMYFUNCTION("GOOGLETRANSLATE(D462, ""en"", ""hi"")"),"A) वी. कृष्णमाचारी")</f>
        <v>A) वी. कृष्णमाचारी</v>
      </c>
    </row>
    <row r="463" ht="22.5" customHeight="1">
      <c r="A463" s="3">
        <v>462.0</v>
      </c>
      <c r="B463" s="4" t="s">
        <v>10385</v>
      </c>
      <c r="C463" s="4" t="s">
        <v>10123</v>
      </c>
      <c r="D463" s="4" t="s">
        <v>9982</v>
      </c>
      <c r="F463" s="5" t="str">
        <f>IFERROR(__xludf.DUMMYFUNCTION("GOOGLETRANSLATE(A463, ""en"", ""hi"")"),"462")</f>
        <v>462</v>
      </c>
      <c r="G463" s="5" t="str">
        <f>IFERROR(__xludf.DUMMYFUNCTION("GOOGLETRANSLATE(B463, ""en"", ""hi"")"),"सिलंबम का ऐतिहासिक महत्व और तकनीक किस प्राचीन तमिल ग्रंथ में वर्णित है?")</f>
        <v>सिलंबम का ऐतिहासिक महत्व और तकनीक किस प्राचीन तमिल ग्रंथ में वर्णित है?</v>
      </c>
      <c r="H463" s="5" t="str">
        <f>IFERROR(__xludf.DUMMYFUNCTION("GOOGLETRANSLATE(C463, ""en"", ""hi"")"),"ए) टोलकाप्पियम, बी) सिलप्पातिकारम, सी) अगस्त्य संहिता, डी) कुरल")</f>
        <v>ए) टोलकाप्पियम, बी) सिलप्पातिकारम, सी) अगस्त्य संहिता, डी) कुरल</v>
      </c>
      <c r="I463" s="5" t="str">
        <f>IFERROR(__xludf.DUMMYFUNCTION("GOOGLETRANSLATE(D463, ""en"", ""hi"")"),"C) अगस्त्य संहिता")</f>
        <v>C) अगस्त्य संहिता</v>
      </c>
    </row>
    <row r="464" ht="22.5" customHeight="1">
      <c r="A464" s="3">
        <v>463.0</v>
      </c>
      <c r="B464" s="4" t="s">
        <v>10386</v>
      </c>
      <c r="C464" s="4" t="s">
        <v>10081</v>
      </c>
      <c r="D464" s="4" t="s">
        <v>10082</v>
      </c>
      <c r="F464" s="5" t="str">
        <f>IFERROR(__xludf.DUMMYFUNCTION("GOOGLETRANSLATE(A464, ""en"", ""hi"")"),"463")</f>
        <v>463</v>
      </c>
      <c r="G464" s="5" t="str">
        <f>IFERROR(__xludf.DUMMYFUNCTION("GOOGLETRANSLATE(B464, ""en"", ""hi"")"),"किस तमिल राजा का शासनकाल सिलंबम तकनीकों की उन्नति और संहिताकरण के लिए मनाया जाता है?")</f>
        <v>किस तमिल राजा का शासनकाल सिलंबम तकनीकों की उन्नति और संहिताकरण के लिए मनाया जाता है?</v>
      </c>
      <c r="H464" s="5" t="str">
        <f>IFERROR(__xludf.DUMMYFUNCTION("GOOGLETRANSLATE(C464, ""en"", ""hi"")"),"ए) राजराजा चोल, बी) राजेंद्र चोल, सी) सुंदरा चोल, डी) कुलोथुंगा चोल")</f>
        <v>ए) राजराजा चोल, बी) राजेंद्र चोल, सी) सुंदरा चोल, डी) कुलोथुंगा चोल</v>
      </c>
      <c r="I464" s="5" t="str">
        <f>IFERROR(__xludf.DUMMYFUNCTION("GOOGLETRANSLATE(D464, ""en"", ""hi"")"),"B) राजेंद्र चोल")</f>
        <v>B) राजेंद्र चोल</v>
      </c>
    </row>
    <row r="465" ht="22.5" customHeight="1">
      <c r="A465" s="3">
        <v>464.0</v>
      </c>
      <c r="B465" s="4" t="s">
        <v>10387</v>
      </c>
      <c r="C465" s="4" t="s">
        <v>10170</v>
      </c>
      <c r="D465" s="4" t="s">
        <v>10171</v>
      </c>
      <c r="F465" s="5" t="str">
        <f>IFERROR(__xludf.DUMMYFUNCTION("GOOGLETRANSLATE(A465, ""en"", ""hi"")"),"464")</f>
        <v>464</v>
      </c>
      <c r="G465" s="5" t="str">
        <f>IFERROR(__xludf.DUMMYFUNCTION("GOOGLETRANSLATE(B465, ""en"", ""hi"")"),"सिलंबम तकनीकों का संरक्षण मुख्यतः किस पारंपरिक तमिल शैक्षिक परंपरा के माध्यम से प्राप्त किया गया था?")</f>
        <v>सिलंबम तकनीकों का संरक्षण मुख्यतः किस पारंपरिक तमिल शैक्षिक परंपरा के माध्यम से प्राप्त किया गया था?</v>
      </c>
      <c r="H465" s="5" t="str">
        <f>IFERROR(__xludf.DUMMYFUNCTION("GOOGLETRANSLATE(C465, ""en"", ""hi"")"),"A) गुरुकुल प्रणाली, B) शाही दरबार, C) मंदिर विद्यालय, D) मठ केंद्र")</f>
        <v>A) गुरुकुल प्रणाली, B) शाही दरबार, C) मंदिर विद्यालय, D) मठ केंद्र</v>
      </c>
      <c r="I465" s="5" t="str">
        <f>IFERROR(__xludf.DUMMYFUNCTION("GOOGLETRANSLATE(D465, ""en"", ""hi"")"),"A) गुरुकुल प्रणाली")</f>
        <v>A) गुरुकुल प्रणाली</v>
      </c>
    </row>
    <row r="466" ht="22.5" customHeight="1">
      <c r="A466" s="3">
        <v>465.0</v>
      </c>
      <c r="B466" s="4" t="s">
        <v>10388</v>
      </c>
      <c r="C466" s="4" t="s">
        <v>10081</v>
      </c>
      <c r="D466" s="4" t="s">
        <v>9997</v>
      </c>
      <c r="F466" s="5" t="str">
        <f>IFERROR(__xludf.DUMMYFUNCTION("GOOGLETRANSLATE(A466, ""en"", ""hi"")"),"465")</f>
        <v>465</v>
      </c>
      <c r="G466" s="5" t="str">
        <f>IFERROR(__xludf.DUMMYFUNCTION("GOOGLETRANSLATE(B466, ""en"", ""hi"")"),"सिलंबम के ऐतिहासिक विकास में किस तमिल राजा के संरक्षण ने महत्वपूर्ण भूमिका निभाई?")</f>
        <v>सिलंबम के ऐतिहासिक विकास में किस तमिल राजा के संरक्षण ने महत्वपूर्ण भूमिका निभाई?</v>
      </c>
      <c r="H466" s="5" t="str">
        <f>IFERROR(__xludf.DUMMYFUNCTION("GOOGLETRANSLATE(C466, ""en"", ""hi"")"),"ए) राजराजा चोल, बी) राजेंद्र चोल, सी) सुंदरा चोल, डी) कुलोथुंगा चोल")</f>
        <v>ए) राजराजा चोल, बी) राजेंद्र चोल, सी) सुंदरा चोल, डी) कुलोथुंगा चोल</v>
      </c>
      <c r="I466" s="5" t="str">
        <f>IFERROR(__xludf.DUMMYFUNCTION("GOOGLETRANSLATE(D466, ""en"", ""hi"")"),"A) राजराजा चोल")</f>
        <v>A) राजराजा चोल</v>
      </c>
    </row>
    <row r="467" ht="22.5" customHeight="1">
      <c r="A467" s="3">
        <v>466.0</v>
      </c>
      <c r="B467" s="4" t="s">
        <v>10389</v>
      </c>
      <c r="C467" s="4" t="s">
        <v>10132</v>
      </c>
      <c r="D467" s="4" t="s">
        <v>10089</v>
      </c>
      <c r="F467" s="5" t="str">
        <f>IFERROR(__xludf.DUMMYFUNCTION("GOOGLETRANSLATE(A467, ""en"", ""hi"")"),"466")</f>
        <v>466</v>
      </c>
      <c r="G467" s="5" t="str">
        <f>IFERROR(__xludf.DUMMYFUNCTION("GOOGLETRANSLATE(B467, ""en"", ""hi"")"),"तमिलनाडु में सिलंबम के आधुनिक पुनरुत्थान का श्रेय किस सांस्कृतिक पुनरुत्थानवादी को दिया जाता है?")</f>
        <v>तमिलनाडु में सिलंबम के आधुनिक पुनरुत्थान का श्रेय किस सांस्कृतिक पुनरुत्थानवादी को दिया जाता है?</v>
      </c>
      <c r="H467" s="5" t="str">
        <f>IFERROR(__xludf.DUMMYFUNCTION("GOOGLETRANSLATE(C467,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67" s="5" t="str">
        <f>IFERROR(__xludf.DUMMYFUNCTION("GOOGLETRANSLATE(D467, ""en"", ""hi"")"),"A) वी. कृष्णमाचारी")</f>
        <v>A) वी. कृष्णमाचारी</v>
      </c>
    </row>
    <row r="468" ht="22.5" customHeight="1">
      <c r="A468" s="3">
        <v>467.0</v>
      </c>
      <c r="B468" s="4" t="s">
        <v>10390</v>
      </c>
      <c r="C468" s="4" t="s">
        <v>10123</v>
      </c>
      <c r="D468" s="4" t="s">
        <v>9982</v>
      </c>
      <c r="F468" s="5" t="str">
        <f>IFERROR(__xludf.DUMMYFUNCTION("GOOGLETRANSLATE(A468, ""en"", ""hi"")"),"467")</f>
        <v>467</v>
      </c>
      <c r="G468" s="5" t="str">
        <f>IFERROR(__xludf.DUMMYFUNCTION("GOOGLETRANSLATE(B468, ""en"", ""hi"")"),"सिलंबम की ऐतिहासिक तकनीकों और महत्व का वर्णन किस तमिल पांडुलिपि में किया गया है?")</f>
        <v>सिलंबम की ऐतिहासिक तकनीकों और महत्व का वर्णन किस तमिल पांडुलिपि में किया गया है?</v>
      </c>
      <c r="H468" s="5" t="str">
        <f>IFERROR(__xludf.DUMMYFUNCTION("GOOGLETRANSLATE(C468, ""en"", ""hi"")"),"ए) टोलकाप्पियम, बी) सिलप्पातिकारम, सी) अगस्त्य संहिता, डी) कुरल")</f>
        <v>ए) टोलकाप्पियम, बी) सिलप्पातिकारम, सी) अगस्त्य संहिता, डी) कुरल</v>
      </c>
      <c r="I468" s="5" t="str">
        <f>IFERROR(__xludf.DUMMYFUNCTION("GOOGLETRANSLATE(D468, ""en"", ""hi"")"),"C) अगस्त्य संहिता")</f>
        <v>C) अगस्त्य संहिता</v>
      </c>
    </row>
    <row r="469" ht="22.5" customHeight="1">
      <c r="A469" s="3">
        <v>468.0</v>
      </c>
      <c r="B469" s="4" t="s">
        <v>10391</v>
      </c>
      <c r="C469" s="4" t="s">
        <v>10081</v>
      </c>
      <c r="D469" s="4" t="s">
        <v>10082</v>
      </c>
      <c r="F469" s="5" t="str">
        <f>IFERROR(__xludf.DUMMYFUNCTION("GOOGLETRANSLATE(A469, ""en"", ""hi"")"),"468")</f>
        <v>468</v>
      </c>
      <c r="G469" s="5" t="str">
        <f>IFERROR(__xludf.DUMMYFUNCTION("GOOGLETRANSLATE(B469, ""en"", ""hi"")"),"सिलंबम तकनीकों के औपचारिकीकरण और संवर्धन के लिए किस तमिल राजा का शासनकाल सबसे उल्लेखनीय है?")</f>
        <v>सिलंबम तकनीकों के औपचारिकीकरण और संवर्धन के लिए किस तमिल राजा का शासनकाल सबसे उल्लेखनीय है?</v>
      </c>
      <c r="H469" s="5" t="str">
        <f>IFERROR(__xludf.DUMMYFUNCTION("GOOGLETRANSLATE(C469, ""en"", ""hi"")"),"ए) राजराजा चोल, बी) राजेंद्र चोल, सी) सुंदरा चोल, डी) कुलोथुंगा चोल")</f>
        <v>ए) राजराजा चोल, बी) राजेंद्र चोल, सी) सुंदरा चोल, डी) कुलोथुंगा चोल</v>
      </c>
      <c r="I469" s="5" t="str">
        <f>IFERROR(__xludf.DUMMYFUNCTION("GOOGLETRANSLATE(D469, ""en"", ""hi"")"),"B) राजेंद्र चोल")</f>
        <v>B) राजेंद्र चोल</v>
      </c>
    </row>
    <row r="470" ht="22.5" customHeight="1">
      <c r="A470" s="3">
        <v>469.0</v>
      </c>
      <c r="B470" s="4" t="s">
        <v>10392</v>
      </c>
      <c r="C470" s="4" t="s">
        <v>10170</v>
      </c>
      <c r="D470" s="4" t="s">
        <v>10171</v>
      </c>
      <c r="F470" s="5" t="str">
        <f>IFERROR(__xludf.DUMMYFUNCTION("GOOGLETRANSLATE(A470, ""en"", ""hi"")"),"469")</f>
        <v>469</v>
      </c>
      <c r="G470" s="5" t="str">
        <f>IFERROR(__xludf.DUMMYFUNCTION("GOOGLETRANSLATE(B470, ""en"", ""hi"")"),"सिलंबम का ऐतिहासिक संरक्षण और औपचारिकीकरण किस शैक्षिक प्रणाली से महत्वपूर्ण रूप से प्रभावित था?")</f>
        <v>सिलंबम का ऐतिहासिक संरक्षण और औपचारिकीकरण किस शैक्षिक प्रणाली से महत्वपूर्ण रूप से प्रभावित था?</v>
      </c>
      <c r="H470" s="5" t="str">
        <f>IFERROR(__xludf.DUMMYFUNCTION("GOOGLETRANSLATE(C470, ""en"", ""hi"")"),"A) गुरुकुल प्रणाली, B) शाही दरबार, C) मंदिर विद्यालय, D) मठ केंद्र")</f>
        <v>A) गुरुकुल प्रणाली, B) शाही दरबार, C) मंदिर विद्यालय, D) मठ केंद्र</v>
      </c>
      <c r="I470" s="5" t="str">
        <f>IFERROR(__xludf.DUMMYFUNCTION("GOOGLETRANSLATE(D470, ""en"", ""hi"")"),"A) गुरुकुल प्रणाली")</f>
        <v>A) गुरुकुल प्रणाली</v>
      </c>
    </row>
    <row r="471" ht="22.5" customHeight="1">
      <c r="A471" s="3">
        <v>470.0</v>
      </c>
      <c r="B471" s="4" t="s">
        <v>10393</v>
      </c>
      <c r="C471" s="4" t="s">
        <v>10081</v>
      </c>
      <c r="D471" s="4" t="s">
        <v>9997</v>
      </c>
      <c r="F471" s="5" t="str">
        <f>IFERROR(__xludf.DUMMYFUNCTION("GOOGLETRANSLATE(A471, ""en"", ""hi"")"),"470")</f>
        <v>470</v>
      </c>
      <c r="G471" s="5" t="str">
        <f>IFERROR(__xludf.DUMMYFUNCTION("GOOGLETRANSLATE(B471, ""en"", ""hi"")"),"सिलंबम के ऐतिहासिक विकास को समझने के लिए किस तमिल राजा का संरक्षण महत्वपूर्ण है?")</f>
        <v>सिलंबम के ऐतिहासिक विकास को समझने के लिए किस तमिल राजा का संरक्षण महत्वपूर्ण है?</v>
      </c>
      <c r="H471" s="5" t="str">
        <f>IFERROR(__xludf.DUMMYFUNCTION("GOOGLETRANSLATE(C471, ""en"", ""hi"")"),"ए) राजराजा चोल, बी) राजेंद्र चोल, सी) सुंदरा चोल, डी) कुलोथुंगा चोल")</f>
        <v>ए) राजराजा चोल, बी) राजेंद्र चोल, सी) सुंदरा चोल, डी) कुलोथुंगा चोल</v>
      </c>
      <c r="I471" s="5" t="str">
        <f>IFERROR(__xludf.DUMMYFUNCTION("GOOGLETRANSLATE(D471, ""en"", ""hi"")"),"A) राजराजा चोल")</f>
        <v>A) राजराजा चोल</v>
      </c>
    </row>
    <row r="472" ht="22.5" customHeight="1">
      <c r="A472" s="3">
        <v>471.0</v>
      </c>
      <c r="B472" s="4" t="s">
        <v>10394</v>
      </c>
      <c r="C472" s="4" t="s">
        <v>10132</v>
      </c>
      <c r="D472" s="4" t="s">
        <v>10089</v>
      </c>
      <c r="F472" s="5" t="str">
        <f>IFERROR(__xludf.DUMMYFUNCTION("GOOGLETRANSLATE(A472, ""en"", ""hi"")"),"471")</f>
        <v>471</v>
      </c>
      <c r="G472" s="5" t="str">
        <f>IFERROR(__xludf.DUMMYFUNCTION("GOOGLETRANSLATE(B472, ""en"", ""hi"")"),"आधुनिक तमिलनाडु में सिलंबम का पुनरुत्थान किस सांस्कृतिक पुनरुत्थानवादी व्यक्ति से जुड़ा है?")</f>
        <v>आधुनिक तमिलनाडु में सिलंबम का पुनरुत्थान किस सांस्कृतिक पुनरुत्थानवादी व्यक्ति से जुड़ा है?</v>
      </c>
      <c r="H472" s="5" t="str">
        <f>IFERROR(__xludf.DUMMYFUNCTION("GOOGLETRANSLATE(C472,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72" s="5" t="str">
        <f>IFERROR(__xludf.DUMMYFUNCTION("GOOGLETRANSLATE(D472, ""en"", ""hi"")"),"A) वी. कृष्णमाचारी")</f>
        <v>A) वी. कृष्णमाचारी</v>
      </c>
    </row>
    <row r="473" ht="22.5" customHeight="1">
      <c r="A473" s="3">
        <v>472.0</v>
      </c>
      <c r="B473" s="4" t="s">
        <v>10395</v>
      </c>
      <c r="C473" s="4" t="s">
        <v>10123</v>
      </c>
      <c r="D473" s="4" t="s">
        <v>9982</v>
      </c>
      <c r="F473" s="5" t="str">
        <f>IFERROR(__xludf.DUMMYFUNCTION("GOOGLETRANSLATE(A473, ""en"", ""hi"")"),"472")</f>
        <v>472</v>
      </c>
      <c r="G473" s="5" t="str">
        <f>IFERROR(__xludf.DUMMYFUNCTION("GOOGLETRANSLATE(B473, ""en"", ""hi"")"),"कौन सा तमिल ग्रंथ सिलंबम तकनीकों और उनके अनुप्रयोगों का व्यापक विवरण प्रस्तुत करता है?")</f>
        <v>कौन सा तमिल ग्रंथ सिलंबम तकनीकों और उनके अनुप्रयोगों का व्यापक विवरण प्रस्तुत करता है?</v>
      </c>
      <c r="H473" s="5" t="str">
        <f>IFERROR(__xludf.DUMMYFUNCTION("GOOGLETRANSLATE(C473, ""en"", ""hi"")"),"ए) टोलकाप्पियम, बी) सिलप्पातिकारम, सी) अगस्त्य संहिता, डी) कुरल")</f>
        <v>ए) टोलकाप्पियम, बी) सिलप्पातिकारम, सी) अगस्त्य संहिता, डी) कुरल</v>
      </c>
      <c r="I473" s="5" t="str">
        <f>IFERROR(__xludf.DUMMYFUNCTION("GOOGLETRANSLATE(D473, ""en"", ""hi"")"),"C) अगस्त्य संहिता")</f>
        <v>C) अगस्त्य संहिता</v>
      </c>
    </row>
    <row r="474" ht="22.5" customHeight="1">
      <c r="A474" s="3">
        <v>473.0</v>
      </c>
      <c r="B474" s="4" t="s">
        <v>10396</v>
      </c>
      <c r="C474" s="4" t="s">
        <v>10081</v>
      </c>
      <c r="D474" s="4" t="s">
        <v>10082</v>
      </c>
      <c r="F474" s="5" t="str">
        <f>IFERROR(__xludf.DUMMYFUNCTION("GOOGLETRANSLATE(A474, ""en"", ""hi"")"),"473")</f>
        <v>473</v>
      </c>
      <c r="G474" s="5" t="str">
        <f>IFERROR(__xludf.DUMMYFUNCTION("GOOGLETRANSLATE(B474, ""en"", ""hi"")"),"किस तमिल राजा का काल सिलंबम तकनीकों के महत्वपूर्ण विकास और दस्तावेजीकरण के लिए मनाया जाता है?")</f>
        <v>किस तमिल राजा का काल सिलंबम तकनीकों के महत्वपूर्ण विकास और दस्तावेजीकरण के लिए मनाया जाता है?</v>
      </c>
      <c r="H474" s="5" t="str">
        <f>IFERROR(__xludf.DUMMYFUNCTION("GOOGLETRANSLATE(C474, ""en"", ""hi"")"),"ए) राजराजा चोल, बी) राजेंद्र चोल, सी) सुंदरा चोल, डी) कुलोथुंगा चोल")</f>
        <v>ए) राजराजा चोल, बी) राजेंद्र चोल, सी) सुंदरा चोल, डी) कुलोथुंगा चोल</v>
      </c>
      <c r="I474" s="5" t="str">
        <f>IFERROR(__xludf.DUMMYFUNCTION("GOOGLETRANSLATE(D474, ""en"", ""hi"")"),"B) राजेंद्र चोल")</f>
        <v>B) राजेंद्र चोल</v>
      </c>
    </row>
    <row r="475" ht="22.5" customHeight="1">
      <c r="A475" s="3">
        <v>474.0</v>
      </c>
      <c r="B475" s="4" t="s">
        <v>10397</v>
      </c>
      <c r="C475" s="4" t="s">
        <v>10170</v>
      </c>
      <c r="D475" s="4" t="s">
        <v>10171</v>
      </c>
      <c r="F475" s="5" t="str">
        <f>IFERROR(__xludf.DUMMYFUNCTION("GOOGLETRANSLATE(A475, ""en"", ""hi"")"),"474")</f>
        <v>474</v>
      </c>
      <c r="G475" s="5" t="str">
        <f>IFERROR(__xludf.DUMMYFUNCTION("GOOGLETRANSLATE(B475, ""en"", ""hi"")"),"सिलंबम तकनीकों का ऐतिहासिक संरक्षण मुख्यतः किस पारंपरिक तमिल शिक्षा प्रणाली के माध्यम से प्राप्त किया गया था?")</f>
        <v>सिलंबम तकनीकों का ऐतिहासिक संरक्षण मुख्यतः किस पारंपरिक तमिल शिक्षा प्रणाली के माध्यम से प्राप्त किया गया था?</v>
      </c>
      <c r="H475" s="5" t="str">
        <f>IFERROR(__xludf.DUMMYFUNCTION("GOOGLETRANSLATE(C475, ""en"", ""hi"")"),"A) गुरुकुल प्रणाली, B) शाही दरबार, C) मंदिर विद्यालय, D) मठ केंद्र")</f>
        <v>A) गुरुकुल प्रणाली, B) शाही दरबार, C) मंदिर विद्यालय, D) मठ केंद्र</v>
      </c>
      <c r="I475" s="5" t="str">
        <f>IFERROR(__xludf.DUMMYFUNCTION("GOOGLETRANSLATE(D475, ""en"", ""hi"")"),"A) गुरुकुल प्रणाली")</f>
        <v>A) गुरुकुल प्रणाली</v>
      </c>
    </row>
    <row r="476" ht="22.5" customHeight="1">
      <c r="A476" s="3">
        <v>475.0</v>
      </c>
      <c r="B476" s="4" t="s">
        <v>10388</v>
      </c>
      <c r="C476" s="4" t="s">
        <v>10081</v>
      </c>
      <c r="D476" s="4" t="s">
        <v>9997</v>
      </c>
      <c r="F476" s="5" t="str">
        <f>IFERROR(__xludf.DUMMYFUNCTION("GOOGLETRANSLATE(A476, ""en"", ""hi"")"),"475")</f>
        <v>475</v>
      </c>
      <c r="G476" s="5" t="str">
        <f>IFERROR(__xludf.DUMMYFUNCTION("GOOGLETRANSLATE(B476, ""en"", ""hi"")"),"सिलंबम के ऐतिहासिक विकास में किस तमिल राजा के संरक्षण ने महत्वपूर्ण भूमिका निभाई?")</f>
        <v>सिलंबम के ऐतिहासिक विकास में किस तमिल राजा के संरक्षण ने महत्वपूर्ण भूमिका निभाई?</v>
      </c>
      <c r="H476" s="5" t="str">
        <f>IFERROR(__xludf.DUMMYFUNCTION("GOOGLETRANSLATE(C476, ""en"", ""hi"")"),"ए) राजराजा चोल, बी) राजेंद्र चोल, सी) सुंदरा चोल, डी) कुलोथुंगा चोल")</f>
        <v>ए) राजराजा चोल, बी) राजेंद्र चोल, सी) सुंदरा चोल, डी) कुलोथुंगा चोल</v>
      </c>
      <c r="I476" s="5" t="str">
        <f>IFERROR(__xludf.DUMMYFUNCTION("GOOGLETRANSLATE(D476, ""en"", ""hi"")"),"A) राजराजा चोल")</f>
        <v>A) राजराजा चोल</v>
      </c>
    </row>
    <row r="477" ht="22.5" customHeight="1">
      <c r="A477" s="3">
        <v>476.0</v>
      </c>
      <c r="B477" s="4" t="s">
        <v>10398</v>
      </c>
      <c r="C477" s="4" t="s">
        <v>10132</v>
      </c>
      <c r="D477" s="4" t="s">
        <v>10089</v>
      </c>
      <c r="F477" s="5" t="str">
        <f>IFERROR(__xludf.DUMMYFUNCTION("GOOGLETRANSLATE(A477, ""en"", ""hi"")"),"476")</f>
        <v>476</v>
      </c>
      <c r="G477" s="5" t="str">
        <f>IFERROR(__xludf.DUMMYFUNCTION("GOOGLETRANSLATE(B477, ""en"", ""hi"")"),"औपनिवेशिक काल के दौरान सिलंबम का पुनरुद्धार किस प्रमुख व्यक्ति से जुड़ा हुआ है?")</f>
        <v>औपनिवेशिक काल के दौरान सिलंबम का पुनरुद्धार किस प्रमुख व्यक्ति से जुड़ा हुआ है?</v>
      </c>
      <c r="H477" s="5" t="str">
        <f>IFERROR(__xludf.DUMMYFUNCTION("GOOGLETRANSLATE(C477,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77" s="5" t="str">
        <f>IFERROR(__xludf.DUMMYFUNCTION("GOOGLETRANSLATE(D477, ""en"", ""hi"")"),"A) वी. कृष्णमाचारी")</f>
        <v>A) वी. कृष्णमाचारी</v>
      </c>
    </row>
    <row r="478" ht="22.5" customHeight="1">
      <c r="A478" s="3">
        <v>477.0</v>
      </c>
      <c r="B478" s="4" t="s">
        <v>10399</v>
      </c>
      <c r="C478" s="4" t="s">
        <v>10123</v>
      </c>
      <c r="D478" s="4" t="s">
        <v>9982</v>
      </c>
      <c r="F478" s="5" t="str">
        <f>IFERROR(__xludf.DUMMYFUNCTION("GOOGLETRANSLATE(A478, ""en"", ""hi"")"),"477")</f>
        <v>477</v>
      </c>
      <c r="G478" s="5" t="str">
        <f>IFERROR(__xludf.DUMMYFUNCTION("GOOGLETRANSLATE(B478, ""en"", ""hi"")"),"सिलंबम की ऐतिहासिक तकनीक और महत्व का विवरण किस तमिल पांडुलिपि में दिया गया है?")</f>
        <v>सिलंबम की ऐतिहासिक तकनीक और महत्व का विवरण किस तमिल पांडुलिपि में दिया गया है?</v>
      </c>
      <c r="H478" s="5" t="str">
        <f>IFERROR(__xludf.DUMMYFUNCTION("GOOGLETRANSLATE(C478, ""en"", ""hi"")"),"ए) टोलकाप्पियम, बी) सिलप्पातिकारम, सी) अगस्त्य संहिता, डी) कुरल")</f>
        <v>ए) टोलकाप्पियम, बी) सिलप्पातिकारम, सी) अगस्त्य संहिता, डी) कुरल</v>
      </c>
      <c r="I478" s="5" t="str">
        <f>IFERROR(__xludf.DUMMYFUNCTION("GOOGLETRANSLATE(D478, ""en"", ""hi"")"),"C) अगस्त्य संहिता")</f>
        <v>C) अगस्त्य संहिता</v>
      </c>
    </row>
    <row r="479" ht="22.5" customHeight="1">
      <c r="A479" s="3">
        <v>478.0</v>
      </c>
      <c r="B479" s="4" t="s">
        <v>10400</v>
      </c>
      <c r="C479" s="4" t="s">
        <v>10081</v>
      </c>
      <c r="D479" s="4" t="s">
        <v>10082</v>
      </c>
      <c r="F479" s="5" t="str">
        <f>IFERROR(__xludf.DUMMYFUNCTION("GOOGLETRANSLATE(A479, ""en"", ""hi"")"),"478")</f>
        <v>478</v>
      </c>
      <c r="G479" s="5" t="str">
        <f>IFERROR(__xludf.DUMMYFUNCTION("GOOGLETRANSLATE(B479, ""en"", ""hi"")"),"किस तमिल राजा के शासनकाल के दौरान सिलंबम ने महत्वपूर्ण औपचारिकता और मानकीकरण हासिल किया?")</f>
        <v>किस तमिल राजा के शासनकाल के दौरान सिलंबम ने महत्वपूर्ण औपचारिकता और मानकीकरण हासिल किया?</v>
      </c>
      <c r="H479" s="5" t="str">
        <f>IFERROR(__xludf.DUMMYFUNCTION("GOOGLETRANSLATE(C479, ""en"", ""hi"")"),"ए) राजराजा चोल, बी) राजेंद्र चोल, सी) सुंदरा चोल, डी) कुलोथुंगा चोल")</f>
        <v>ए) राजराजा चोल, बी) राजेंद्र चोल, सी) सुंदरा चोल, डी) कुलोथुंगा चोल</v>
      </c>
      <c r="I479" s="5" t="str">
        <f>IFERROR(__xludf.DUMMYFUNCTION("GOOGLETRANSLATE(D479, ""en"", ""hi"")"),"B) राजेंद्र चोल")</f>
        <v>B) राजेंद्र चोल</v>
      </c>
    </row>
    <row r="480" ht="22.5" customHeight="1">
      <c r="A480" s="3">
        <v>479.0</v>
      </c>
      <c r="B480" s="4" t="s">
        <v>10401</v>
      </c>
      <c r="C480" s="4" t="s">
        <v>10170</v>
      </c>
      <c r="D480" s="4" t="s">
        <v>10171</v>
      </c>
      <c r="F480" s="5" t="str">
        <f>IFERROR(__xludf.DUMMYFUNCTION("GOOGLETRANSLATE(A480, ""en"", ""hi"")"),"479")</f>
        <v>479</v>
      </c>
      <c r="G480" s="5" t="str">
        <f>IFERROR(__xludf.DUMMYFUNCTION("GOOGLETRANSLATE(B480, ""en"", ""hi"")"),"सिलंबम की तकनीकों को किस पारंपरिक तमिल शैक्षणिक संस्थान के माध्यम से संरक्षित किया गया था?")</f>
        <v>सिलंबम की तकनीकों को किस पारंपरिक तमिल शैक्षणिक संस्थान के माध्यम से संरक्षित किया गया था?</v>
      </c>
      <c r="H480" s="5" t="str">
        <f>IFERROR(__xludf.DUMMYFUNCTION("GOOGLETRANSLATE(C480, ""en"", ""hi"")"),"A) गुरुकुल प्रणाली, B) शाही दरबार, C) मंदिर विद्यालय, D) मठ केंद्र")</f>
        <v>A) गुरुकुल प्रणाली, B) शाही दरबार, C) मंदिर विद्यालय, D) मठ केंद्र</v>
      </c>
      <c r="I480" s="5" t="str">
        <f>IFERROR(__xludf.DUMMYFUNCTION("GOOGLETRANSLATE(D480, ""en"", ""hi"")"),"A) गुरुकुल प्रणाली")</f>
        <v>A) गुरुकुल प्रणाली</v>
      </c>
    </row>
    <row r="481" ht="22.5" customHeight="1">
      <c r="A481" s="3">
        <v>480.0</v>
      </c>
      <c r="B481" s="4" t="s">
        <v>10402</v>
      </c>
      <c r="C481" s="4" t="s">
        <v>10081</v>
      </c>
      <c r="D481" s="4" t="s">
        <v>9997</v>
      </c>
      <c r="F481" s="5" t="str">
        <f>IFERROR(__xludf.DUMMYFUNCTION("GOOGLETRANSLATE(A481, ""en"", ""hi"")"),"480")</f>
        <v>480</v>
      </c>
      <c r="G481" s="5" t="str">
        <f>IFERROR(__xludf.DUMMYFUNCTION("GOOGLETRANSLATE(B481, ""en"", ""hi"")"),"सिलंबम के विकास और संरक्षण के लिए किस तमिल राजा का संरक्षण महत्वपूर्ण था?")</f>
        <v>सिलंबम के विकास और संरक्षण के लिए किस तमिल राजा का संरक्षण महत्वपूर्ण था?</v>
      </c>
      <c r="H481" s="5" t="str">
        <f>IFERROR(__xludf.DUMMYFUNCTION("GOOGLETRANSLATE(C481, ""en"", ""hi"")"),"ए) राजराजा चोल, बी) राजेंद्र चोल, सी) सुंदरा चोल, डी) कुलोथुंगा चोल")</f>
        <v>ए) राजराजा चोल, बी) राजेंद्र चोल, सी) सुंदरा चोल, डी) कुलोथुंगा चोल</v>
      </c>
      <c r="I481" s="5" t="str">
        <f>IFERROR(__xludf.DUMMYFUNCTION("GOOGLETRANSLATE(D481, ""en"", ""hi"")"),"A) राजराजा चोल")</f>
        <v>A) राजराजा चोल</v>
      </c>
    </row>
    <row r="482" ht="22.5" customHeight="1">
      <c r="A482" s="3">
        <v>481.0</v>
      </c>
      <c r="B482" s="4" t="s">
        <v>10403</v>
      </c>
      <c r="C482" s="4" t="s">
        <v>10132</v>
      </c>
      <c r="D482" s="4" t="s">
        <v>10089</v>
      </c>
      <c r="F482" s="5" t="str">
        <f>IFERROR(__xludf.DUMMYFUNCTION("GOOGLETRANSLATE(A482, ""en"", ""hi"")"),"481")</f>
        <v>481</v>
      </c>
      <c r="G482" s="5" t="str">
        <f>IFERROR(__xludf.DUMMYFUNCTION("GOOGLETRANSLATE(B482, ""en"", ""hi"")"),"तमिलनाडु में सिलंबम के आधुनिक पुनरुद्धार का श्रेय किस प्रमुख सांस्कृतिक हस्ती को दिया जाता है?")</f>
        <v>तमिलनाडु में सिलंबम के आधुनिक पुनरुद्धार का श्रेय किस प्रमुख सांस्कृतिक हस्ती को दिया जाता है?</v>
      </c>
      <c r="H482" s="5" t="str">
        <f>IFERROR(__xludf.DUMMYFUNCTION("GOOGLETRANSLATE(C482,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82" s="5" t="str">
        <f>IFERROR(__xludf.DUMMYFUNCTION("GOOGLETRANSLATE(D482, ""en"", ""hi"")"),"A) वी. कृष्णमाचारी")</f>
        <v>A) वी. कृष्णमाचारी</v>
      </c>
    </row>
    <row r="483" ht="22.5" customHeight="1">
      <c r="A483" s="3">
        <v>482.0</v>
      </c>
      <c r="B483" s="4" t="s">
        <v>10404</v>
      </c>
      <c r="C483" s="4" t="s">
        <v>10123</v>
      </c>
      <c r="D483" s="4" t="s">
        <v>9982</v>
      </c>
      <c r="F483" s="5" t="str">
        <f>IFERROR(__xludf.DUMMYFUNCTION("GOOGLETRANSLATE(A483, ""en"", ""hi"")"),"482")</f>
        <v>482</v>
      </c>
      <c r="G483" s="5" t="str">
        <f>IFERROR(__xludf.DUMMYFUNCTION("GOOGLETRANSLATE(B483, ""en"", ""hi"")"),"सिलंबम की ऐतिहासिक तकनीकों और योगदानों का वर्णन किस तमिल ग्रंथ में किया गया है?")</f>
        <v>सिलंबम की ऐतिहासिक तकनीकों और योगदानों का वर्णन किस तमिल ग्रंथ में किया गया है?</v>
      </c>
      <c r="H483" s="5" t="str">
        <f>IFERROR(__xludf.DUMMYFUNCTION("GOOGLETRANSLATE(C483, ""en"", ""hi"")"),"ए) टोलकाप्पियम, बी) सिलप्पातिकारम, सी) अगस्त्य संहिता, डी) कुरल")</f>
        <v>ए) टोलकाप्पियम, बी) सिलप्पातिकारम, सी) अगस्त्य संहिता, डी) कुरल</v>
      </c>
      <c r="I483" s="5" t="str">
        <f>IFERROR(__xludf.DUMMYFUNCTION("GOOGLETRANSLATE(D483, ""en"", ""hi"")"),"C) अगस्त्य संहिता")</f>
        <v>C) अगस्त्य संहिता</v>
      </c>
    </row>
    <row r="484" ht="22.5" customHeight="1">
      <c r="A484" s="3">
        <v>483.0</v>
      </c>
      <c r="B484" s="4" t="s">
        <v>10391</v>
      </c>
      <c r="C484" s="4" t="s">
        <v>10081</v>
      </c>
      <c r="D484" s="4" t="s">
        <v>10082</v>
      </c>
      <c r="F484" s="5" t="str">
        <f>IFERROR(__xludf.DUMMYFUNCTION("GOOGLETRANSLATE(A484, ""en"", ""hi"")"),"483")</f>
        <v>483</v>
      </c>
      <c r="G484" s="5" t="str">
        <f>IFERROR(__xludf.DUMMYFUNCTION("GOOGLETRANSLATE(B484, ""en"", ""hi"")"),"सिलंबम तकनीकों के औपचारिकीकरण और संवर्धन के लिए किस तमिल राजा का शासनकाल सबसे उल्लेखनीय है?")</f>
        <v>सिलंबम तकनीकों के औपचारिकीकरण और संवर्धन के लिए किस तमिल राजा का शासनकाल सबसे उल्लेखनीय है?</v>
      </c>
      <c r="H484" s="5" t="str">
        <f>IFERROR(__xludf.DUMMYFUNCTION("GOOGLETRANSLATE(C484, ""en"", ""hi"")"),"ए) राजराजा चोल, बी) राजेंद्र चोल, सी) सुंदरा चोल, डी) कुलोथुंगा चोल")</f>
        <v>ए) राजराजा चोल, बी) राजेंद्र चोल, सी) सुंदरा चोल, डी) कुलोथुंगा चोल</v>
      </c>
      <c r="I484" s="5" t="str">
        <f>IFERROR(__xludf.DUMMYFUNCTION("GOOGLETRANSLATE(D484, ""en"", ""hi"")"),"B) राजेंद्र चोल")</f>
        <v>B) राजेंद्र चोल</v>
      </c>
    </row>
    <row r="485" ht="22.5" customHeight="1">
      <c r="A485" s="3">
        <v>484.0</v>
      </c>
      <c r="B485" s="4" t="s">
        <v>10405</v>
      </c>
      <c r="C485" s="4" t="s">
        <v>10170</v>
      </c>
      <c r="D485" s="4" t="s">
        <v>10171</v>
      </c>
      <c r="F485" s="5" t="str">
        <f>IFERROR(__xludf.DUMMYFUNCTION("GOOGLETRANSLATE(A485, ""en"", ""hi"")"),"484")</f>
        <v>484</v>
      </c>
      <c r="G485" s="5" t="str">
        <f>IFERROR(__xludf.DUMMYFUNCTION("GOOGLETRANSLATE(B485, ""en"", ""hi"")"),"सिलंबम का संरक्षण और औपचारिकीकरण किस पारंपरिक तमिल शैक्षिक परंपरा के माध्यम से प्राप्त किया गया था?")</f>
        <v>सिलंबम का संरक्षण और औपचारिकीकरण किस पारंपरिक तमिल शैक्षिक परंपरा के माध्यम से प्राप्त किया गया था?</v>
      </c>
      <c r="H485" s="5" t="str">
        <f>IFERROR(__xludf.DUMMYFUNCTION("GOOGLETRANSLATE(C485, ""en"", ""hi"")"),"A) गुरुकुल प्रणाली, B) शाही दरबार, C) मंदिर विद्यालय, D) मठ केंद्र")</f>
        <v>A) गुरुकुल प्रणाली, B) शाही दरबार, C) मंदिर विद्यालय, D) मठ केंद्र</v>
      </c>
      <c r="I485" s="5" t="str">
        <f>IFERROR(__xludf.DUMMYFUNCTION("GOOGLETRANSLATE(D485, ""en"", ""hi"")"),"A) गुरुकुल प्रणाली")</f>
        <v>A) गुरुकुल प्रणाली</v>
      </c>
    </row>
    <row r="486" ht="22.5" customHeight="1">
      <c r="A486" s="3">
        <v>485.0</v>
      </c>
      <c r="B486" s="4" t="s">
        <v>10406</v>
      </c>
      <c r="C486" s="4" t="s">
        <v>10081</v>
      </c>
      <c r="D486" s="4" t="s">
        <v>9997</v>
      </c>
      <c r="F486" s="5" t="str">
        <f>IFERROR(__xludf.DUMMYFUNCTION("GOOGLETRANSLATE(A486, ""en"", ""hi"")"),"485")</f>
        <v>485</v>
      </c>
      <c r="G486" s="5" t="str">
        <f>IFERROR(__xludf.DUMMYFUNCTION("GOOGLETRANSLATE(B486, ""en"", ""hi"")"),"सिलंबम के ऐतिहासिक विकास को समझने के लिए किस तमिल राजा का संरक्षण महत्वपूर्ण है?")</f>
        <v>सिलंबम के ऐतिहासिक विकास को समझने के लिए किस तमिल राजा का संरक्षण महत्वपूर्ण है?</v>
      </c>
      <c r="H486" s="5" t="str">
        <f>IFERROR(__xludf.DUMMYFUNCTION("GOOGLETRANSLATE(C486, ""en"", ""hi"")"),"ए) राजराजा चोल, बी) राजेंद्र चोल, सी) सुंदरा चोल, डी) कुलोथुंगा चोल")</f>
        <v>ए) राजराजा चोल, बी) राजेंद्र चोल, सी) सुंदरा चोल, डी) कुलोथुंगा चोल</v>
      </c>
      <c r="I486" s="5" t="str">
        <f>IFERROR(__xludf.DUMMYFUNCTION("GOOGLETRANSLATE(D486, ""en"", ""hi"")"),"A) राजराजा चोल")</f>
        <v>A) राजराजा चोल</v>
      </c>
    </row>
    <row r="487" ht="22.5" customHeight="1">
      <c r="A487" s="3">
        <v>486.0</v>
      </c>
      <c r="B487" s="4" t="s">
        <v>10407</v>
      </c>
      <c r="C487" s="4" t="s">
        <v>10132</v>
      </c>
      <c r="D487" s="4" t="s">
        <v>10089</v>
      </c>
      <c r="F487" s="5" t="str">
        <f>IFERROR(__xludf.DUMMYFUNCTION("GOOGLETRANSLATE(A487, ""en"", ""hi"")"),"486")</f>
        <v>486</v>
      </c>
      <c r="G487" s="5" t="str">
        <f>IFERROR(__xludf.DUMMYFUNCTION("GOOGLETRANSLATE(B487, ""en"", ""hi"")"),"तमिलनाडु में सिलंबम के आधुनिक पुनरुत्थान को अक्सर किस सांस्कृतिक पुनरुत्थानवादी से जोड़ा जाता है?")</f>
        <v>तमिलनाडु में सिलंबम के आधुनिक पुनरुत्थान को अक्सर किस सांस्कृतिक पुनरुत्थानवादी से जोड़ा जाता है?</v>
      </c>
      <c r="H487" s="5" t="str">
        <f>IFERROR(__xludf.DUMMYFUNCTION("GOOGLETRANSLATE(C487,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87" s="5" t="str">
        <f>IFERROR(__xludf.DUMMYFUNCTION("GOOGLETRANSLATE(D487, ""en"", ""hi"")"),"A) वी. कृष्णमाचारी")</f>
        <v>A) वी. कृष्णमाचारी</v>
      </c>
    </row>
    <row r="488" ht="22.5" customHeight="1">
      <c r="A488" s="3">
        <v>487.0</v>
      </c>
      <c r="B488" s="4" t="s">
        <v>10408</v>
      </c>
      <c r="C488" s="4" t="s">
        <v>10123</v>
      </c>
      <c r="D488" s="4" t="s">
        <v>9982</v>
      </c>
      <c r="F488" s="5" t="str">
        <f>IFERROR(__xludf.DUMMYFUNCTION("GOOGLETRANSLATE(A488, ""en"", ""hi"")"),"487")</f>
        <v>487</v>
      </c>
      <c r="G488" s="5" t="str">
        <f>IFERROR(__xludf.DUMMYFUNCTION("GOOGLETRANSLATE(B488, ""en"", ""hi"")"),"सिलंबम की ऐतिहासिक तकनीक और महत्व किस प्राचीन तमिल ग्रंथ में दर्ज हैं?")</f>
        <v>सिलंबम की ऐतिहासिक तकनीक और महत्व किस प्राचीन तमिल ग्रंथ में दर्ज हैं?</v>
      </c>
      <c r="H488" s="5" t="str">
        <f>IFERROR(__xludf.DUMMYFUNCTION("GOOGLETRANSLATE(C488, ""en"", ""hi"")"),"ए) टोलकाप्पियम, बी) सिलप्पातिकारम, सी) अगस्त्य संहिता, डी) कुरल")</f>
        <v>ए) टोलकाप्पियम, बी) सिलप्पातिकारम, सी) अगस्त्य संहिता, डी) कुरल</v>
      </c>
      <c r="I488" s="5" t="str">
        <f>IFERROR(__xludf.DUMMYFUNCTION("GOOGLETRANSLATE(D488, ""en"", ""hi"")"),"C) अगस्त्य संहिता")</f>
        <v>C) अगस्त्य संहिता</v>
      </c>
    </row>
    <row r="489" ht="22.5" customHeight="1">
      <c r="A489" s="3">
        <v>488.0</v>
      </c>
      <c r="B489" s="4" t="s">
        <v>10409</v>
      </c>
      <c r="C489" s="4" t="s">
        <v>10081</v>
      </c>
      <c r="D489" s="4" t="s">
        <v>10082</v>
      </c>
      <c r="F489" s="5" t="str">
        <f>IFERROR(__xludf.DUMMYFUNCTION("GOOGLETRANSLATE(A489, ""en"", ""hi"")"),"488")</f>
        <v>488</v>
      </c>
      <c r="G489" s="5" t="str">
        <f>IFERROR(__xludf.DUMMYFUNCTION("GOOGLETRANSLATE(B489, ""en"", ""hi"")"),"किस तमिल राजा के काल को सिलंबम के महत्वपूर्ण विकास और दस्तावेजीकरण के लिए मनाया जाता है?")</f>
        <v>किस तमिल राजा के काल को सिलंबम के महत्वपूर्ण विकास और दस्तावेजीकरण के लिए मनाया जाता है?</v>
      </c>
      <c r="H489" s="5" t="str">
        <f>IFERROR(__xludf.DUMMYFUNCTION("GOOGLETRANSLATE(C489, ""en"", ""hi"")"),"ए) राजराजा चोल, बी) राजेंद्र चोल, सी) सुंदरा चोल, डी) कुलोथुंगा चोल")</f>
        <v>ए) राजराजा चोल, बी) राजेंद्र चोल, सी) सुंदरा चोल, डी) कुलोथुंगा चोल</v>
      </c>
      <c r="I489" s="5" t="str">
        <f>IFERROR(__xludf.DUMMYFUNCTION("GOOGLETRANSLATE(D489, ""en"", ""hi"")"),"B) राजेंद्र चोल")</f>
        <v>B) राजेंद्र चोल</v>
      </c>
    </row>
    <row r="490" ht="22.5" customHeight="1">
      <c r="A490" s="3">
        <v>489.0</v>
      </c>
      <c r="B490" s="4" t="s">
        <v>10410</v>
      </c>
      <c r="C490" s="4" t="s">
        <v>10170</v>
      </c>
      <c r="D490" s="4" t="s">
        <v>10171</v>
      </c>
      <c r="F490" s="5" t="str">
        <f>IFERROR(__xludf.DUMMYFUNCTION("GOOGLETRANSLATE(A490, ""en"", ""hi"")"),"489")</f>
        <v>489</v>
      </c>
      <c r="G490" s="5" t="str">
        <f>IFERROR(__xludf.DUMMYFUNCTION("GOOGLETRANSLATE(B490, ""en"", ""hi"")"),"सिलंबम तकनीक का संरक्षण किस पारंपरिक तमिल शैक्षणिक संस्थान के माध्यम से प्राप्त किया गया था?")</f>
        <v>सिलंबम तकनीक का संरक्षण किस पारंपरिक तमिल शैक्षणिक संस्थान के माध्यम से प्राप्त किया गया था?</v>
      </c>
      <c r="H490" s="5" t="str">
        <f>IFERROR(__xludf.DUMMYFUNCTION("GOOGLETRANSLATE(C490, ""en"", ""hi"")"),"A) गुरुकुल प्रणाली, B) शाही दरबार, C) मंदिर विद्यालय, D) मठ केंद्र")</f>
        <v>A) गुरुकुल प्रणाली, B) शाही दरबार, C) मंदिर विद्यालय, D) मठ केंद्र</v>
      </c>
      <c r="I490" s="5" t="str">
        <f>IFERROR(__xludf.DUMMYFUNCTION("GOOGLETRANSLATE(D490, ""en"", ""hi"")"),"A) गुरुकुल प्रणाली")</f>
        <v>A) गुरुकुल प्रणाली</v>
      </c>
    </row>
    <row r="491" ht="22.5" customHeight="1">
      <c r="A491" s="3">
        <v>490.0</v>
      </c>
      <c r="B491" s="4" t="s">
        <v>10411</v>
      </c>
      <c r="C491" s="4" t="s">
        <v>10081</v>
      </c>
      <c r="D491" s="4" t="s">
        <v>9997</v>
      </c>
      <c r="F491" s="5" t="str">
        <f>IFERROR(__xludf.DUMMYFUNCTION("GOOGLETRANSLATE(A491, ""en"", ""hi"")"),"490")</f>
        <v>490</v>
      </c>
      <c r="G491" s="5" t="str">
        <f>IFERROR(__xludf.DUMMYFUNCTION("GOOGLETRANSLATE(B491, ""en"", ""hi"")"),"सिलंबम के ऐतिहासिक विकास में किस तमिल राजा के संरक्षण ने महत्वपूर्ण भूमिका निभाई?")</f>
        <v>सिलंबम के ऐतिहासिक विकास में किस तमिल राजा के संरक्षण ने महत्वपूर्ण भूमिका निभाई?</v>
      </c>
      <c r="H491" s="5" t="str">
        <f>IFERROR(__xludf.DUMMYFUNCTION("GOOGLETRANSLATE(C491, ""en"", ""hi"")"),"ए) राजराजा चोल, बी) राजेंद्र चोल, सी) सुंदरा चोल, डी) कुलोथुंगा चोल")</f>
        <v>ए) राजराजा चोल, बी) राजेंद्र चोल, सी) सुंदरा चोल, डी) कुलोथुंगा चोल</v>
      </c>
      <c r="I491" s="5" t="str">
        <f>IFERROR(__xludf.DUMMYFUNCTION("GOOGLETRANSLATE(D491, ""en"", ""hi"")"),"A) राजराजा चोल")</f>
        <v>A) राजराजा चोल</v>
      </c>
    </row>
    <row r="492" ht="22.5" customHeight="1">
      <c r="A492" s="3">
        <v>491.0</v>
      </c>
      <c r="B492" s="4" t="s">
        <v>10412</v>
      </c>
      <c r="C492" s="4" t="s">
        <v>10132</v>
      </c>
      <c r="D492" s="4" t="s">
        <v>10089</v>
      </c>
      <c r="F492" s="5" t="str">
        <f>IFERROR(__xludf.DUMMYFUNCTION("GOOGLETRANSLATE(A492, ""en"", ""hi"")"),"491")</f>
        <v>491</v>
      </c>
      <c r="G492" s="5" t="str">
        <f>IFERROR(__xludf.DUMMYFUNCTION("GOOGLETRANSLATE(B492, ""en"", ""hi"")"),"औपनिवेशिक युग के दौरान सिलंबम के पुनरुद्धार का श्रेय किस प्रमुख व्यक्ति को दिया जाता है?")</f>
        <v>औपनिवेशिक युग के दौरान सिलंबम के पुनरुद्धार का श्रेय किस प्रमुख व्यक्ति को दिया जाता है?</v>
      </c>
      <c r="H492" s="5" t="str">
        <f>IFERROR(__xludf.DUMMYFUNCTION("GOOGLETRANSLATE(C492,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92" s="5" t="str">
        <f>IFERROR(__xludf.DUMMYFUNCTION("GOOGLETRANSLATE(D492, ""en"", ""hi"")"),"A) वी. कृष्णमाचारी")</f>
        <v>A) वी. कृष्णमाचारी</v>
      </c>
    </row>
    <row r="493" ht="22.5" customHeight="1">
      <c r="A493" s="3">
        <v>492.0</v>
      </c>
      <c r="B493" s="4" t="s">
        <v>10413</v>
      </c>
      <c r="C493" s="4" t="s">
        <v>10123</v>
      </c>
      <c r="D493" s="4" t="s">
        <v>9982</v>
      </c>
      <c r="F493" s="5" t="str">
        <f>IFERROR(__xludf.DUMMYFUNCTION("GOOGLETRANSLATE(A493, ""en"", ""hi"")"),"492")</f>
        <v>492</v>
      </c>
      <c r="G493" s="5" t="str">
        <f>IFERROR(__xludf.DUMMYFUNCTION("GOOGLETRANSLATE(B493, ""en"", ""hi"")"),"कौन सी तमिल पांडुलिपि सिलंबम की ऐतिहासिक तकनीकों और योगदान का विवरण देती है?")</f>
        <v>कौन सी तमिल पांडुलिपि सिलंबम की ऐतिहासिक तकनीकों और योगदान का विवरण देती है?</v>
      </c>
      <c r="H493" s="5" t="str">
        <f>IFERROR(__xludf.DUMMYFUNCTION("GOOGLETRANSLATE(C493, ""en"", ""hi"")"),"ए) टोलकाप्पियम, बी) सिलप्पातिकारम, सी) अगस्त्य संहिता, डी) कुरल")</f>
        <v>ए) टोलकाप्पियम, बी) सिलप्पातिकारम, सी) अगस्त्य संहिता, डी) कुरल</v>
      </c>
      <c r="I493" s="5" t="str">
        <f>IFERROR(__xludf.DUMMYFUNCTION("GOOGLETRANSLATE(D493, ""en"", ""hi"")"),"C) अगस्त्य संहिता")</f>
        <v>C) अगस्त्य संहिता</v>
      </c>
    </row>
    <row r="494" ht="22.5" customHeight="1">
      <c r="A494" s="3">
        <v>493.0</v>
      </c>
      <c r="B494" s="4" t="s">
        <v>10414</v>
      </c>
      <c r="C494" s="4" t="s">
        <v>10081</v>
      </c>
      <c r="D494" s="4" t="s">
        <v>10082</v>
      </c>
      <c r="F494" s="5" t="str">
        <f>IFERROR(__xludf.DUMMYFUNCTION("GOOGLETRANSLATE(A494, ""en"", ""hi"")"),"493")</f>
        <v>493</v>
      </c>
      <c r="G494" s="5" t="str">
        <f>IFERROR(__xludf.DUMMYFUNCTION("GOOGLETRANSLATE(B494, ""en"", ""hi"")"),"किस तमिल राजा के शासनकाल के दौरान सिलंबम ने औपचारिकता और वृद्धि हासिल की?")</f>
        <v>किस तमिल राजा के शासनकाल के दौरान सिलंबम ने औपचारिकता और वृद्धि हासिल की?</v>
      </c>
      <c r="H494" s="5" t="str">
        <f>IFERROR(__xludf.DUMMYFUNCTION("GOOGLETRANSLATE(C494, ""en"", ""hi"")"),"ए) राजराजा चोल, बी) राजेंद्र चोल, सी) सुंदरा चोल, डी) कुलोथुंगा चोल")</f>
        <v>ए) राजराजा चोल, बी) राजेंद्र चोल, सी) सुंदरा चोल, डी) कुलोथुंगा चोल</v>
      </c>
      <c r="I494" s="5" t="str">
        <f>IFERROR(__xludf.DUMMYFUNCTION("GOOGLETRANSLATE(D494, ""en"", ""hi"")"),"B) राजेंद्र चोल")</f>
        <v>B) राजेंद्र चोल</v>
      </c>
    </row>
    <row r="495" ht="22.5" customHeight="1">
      <c r="A495" s="3">
        <v>494.0</v>
      </c>
      <c r="B495" s="4" t="s">
        <v>10415</v>
      </c>
      <c r="C495" s="4" t="s">
        <v>10170</v>
      </c>
      <c r="D495" s="4" t="s">
        <v>10171</v>
      </c>
      <c r="F495" s="5" t="str">
        <f>IFERROR(__xludf.DUMMYFUNCTION("GOOGLETRANSLATE(A495, ""en"", ""hi"")"),"494")</f>
        <v>494</v>
      </c>
      <c r="G495" s="5" t="str">
        <f>IFERROR(__xludf.DUMMYFUNCTION("GOOGLETRANSLATE(B495, ""en"", ""hi"")"),"सिलंबम का ऐतिहासिक संरक्षण और औपचारिकीकरण किस तमिल शिक्षा प्रणाली के माध्यम से प्राप्त किया गया था?")</f>
        <v>सिलंबम का ऐतिहासिक संरक्षण और औपचारिकीकरण किस तमिल शिक्षा प्रणाली के माध्यम से प्राप्त किया गया था?</v>
      </c>
      <c r="H495" s="5" t="str">
        <f>IFERROR(__xludf.DUMMYFUNCTION("GOOGLETRANSLATE(C495, ""en"", ""hi"")"),"A) गुरुकुल प्रणाली, B) शाही दरबार, C) मंदिर विद्यालय, D) मठ केंद्र")</f>
        <v>A) गुरुकुल प्रणाली, B) शाही दरबार, C) मंदिर विद्यालय, D) मठ केंद्र</v>
      </c>
      <c r="I495" s="5" t="str">
        <f>IFERROR(__xludf.DUMMYFUNCTION("GOOGLETRANSLATE(D495, ""en"", ""hi"")"),"A) गुरुकुल प्रणाली")</f>
        <v>A) गुरुकुल प्रणाली</v>
      </c>
    </row>
    <row r="496" ht="22.5" customHeight="1">
      <c r="A496" s="3">
        <v>495.0</v>
      </c>
      <c r="B496" s="4" t="s">
        <v>10416</v>
      </c>
      <c r="C496" s="4" t="s">
        <v>10081</v>
      </c>
      <c r="D496" s="4" t="s">
        <v>9997</v>
      </c>
      <c r="F496" s="5" t="str">
        <f>IFERROR(__xludf.DUMMYFUNCTION("GOOGLETRANSLATE(A496, ""en"", ""hi"")"),"495")</f>
        <v>495</v>
      </c>
      <c r="G496" s="5" t="str">
        <f>IFERROR(__xludf.DUMMYFUNCTION("GOOGLETRANSLATE(B496, ""en"", ""hi"")"),"सिलंबम के विकास और संरक्षण के लिए किस तमिल राजा का संरक्षण आवश्यक था?")</f>
        <v>सिलंबम के विकास और संरक्षण के लिए किस तमिल राजा का संरक्षण आवश्यक था?</v>
      </c>
      <c r="H496" s="5" t="str">
        <f>IFERROR(__xludf.DUMMYFUNCTION("GOOGLETRANSLATE(C496, ""en"", ""hi"")"),"ए) राजराजा चोल, बी) राजेंद्र चोल, सी) सुंदरा चोल, डी) कुलोथुंगा चोल")</f>
        <v>ए) राजराजा चोल, बी) राजेंद्र चोल, सी) सुंदरा चोल, डी) कुलोथुंगा चोल</v>
      </c>
      <c r="I496" s="5" t="str">
        <f>IFERROR(__xludf.DUMMYFUNCTION("GOOGLETRANSLATE(D496, ""en"", ""hi"")"),"A) राजराजा चोल")</f>
        <v>A) राजराजा चोल</v>
      </c>
    </row>
    <row r="497" ht="22.5" customHeight="1">
      <c r="A497" s="3">
        <v>496.0</v>
      </c>
      <c r="B497" s="4" t="s">
        <v>10417</v>
      </c>
      <c r="C497" s="4" t="s">
        <v>10132</v>
      </c>
      <c r="D497" s="4" t="s">
        <v>10089</v>
      </c>
      <c r="F497" s="5" t="str">
        <f>IFERROR(__xludf.DUMMYFUNCTION("GOOGLETRANSLATE(A497, ""en"", ""hi"")"),"496")</f>
        <v>496</v>
      </c>
      <c r="G497" s="5" t="str">
        <f>IFERROR(__xludf.DUMMYFUNCTION("GOOGLETRANSLATE(B497, ""en"", ""hi"")"),"तमिलनाडु में सिलंबम के आधुनिक पुनरुद्धार का श्रेय अक्सर किस पुनरुत्थानवादी व्यक्ति को दिया जाता है?")</f>
        <v>तमिलनाडु में सिलंबम के आधुनिक पुनरुद्धार का श्रेय अक्सर किस पुनरुत्थानवादी व्यक्ति को दिया जाता है?</v>
      </c>
      <c r="H497" s="5" t="str">
        <f>IFERROR(__xludf.DUMMYFUNCTION("GOOGLETRANSLATE(C497,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497" s="5" t="str">
        <f>IFERROR(__xludf.DUMMYFUNCTION("GOOGLETRANSLATE(D497, ""en"", ""hi"")"),"A) वी. कृष्णमाचारी")</f>
        <v>A) वी. कृष्णमाचारी</v>
      </c>
    </row>
    <row r="498" ht="22.5" customHeight="1">
      <c r="A498" s="3">
        <v>497.0</v>
      </c>
      <c r="B498" s="4" t="s">
        <v>10418</v>
      </c>
      <c r="C498" s="4" t="s">
        <v>10123</v>
      </c>
      <c r="D498" s="4" t="s">
        <v>9982</v>
      </c>
      <c r="F498" s="5" t="str">
        <f>IFERROR(__xludf.DUMMYFUNCTION("GOOGLETRANSLATE(A498, ""en"", ""hi"")"),"497")</f>
        <v>497</v>
      </c>
      <c r="G498" s="5" t="str">
        <f>IFERROR(__xludf.DUMMYFUNCTION("GOOGLETRANSLATE(B498, ""en"", ""hi"")"),"कौन सा तमिल ग्रंथ सिलंबम की ऐतिहासिक तकनीकों और महत्व का विवरण प्रदान करता है?")</f>
        <v>कौन सा तमिल ग्रंथ सिलंबम की ऐतिहासिक तकनीकों और महत्व का विवरण प्रदान करता है?</v>
      </c>
      <c r="H498" s="5" t="str">
        <f>IFERROR(__xludf.DUMMYFUNCTION("GOOGLETRANSLATE(C498, ""en"", ""hi"")"),"ए) टोलकाप्पियम, बी) सिलप्पातिकारम, सी) अगस्त्य संहिता, डी) कुरल")</f>
        <v>ए) टोलकाप्पियम, बी) सिलप्पातिकारम, सी) अगस्त्य संहिता, डी) कुरल</v>
      </c>
      <c r="I498" s="5" t="str">
        <f>IFERROR(__xludf.DUMMYFUNCTION("GOOGLETRANSLATE(D498, ""en"", ""hi"")"),"C) अगस्त्य संहिता")</f>
        <v>C) अगस्त्य संहिता</v>
      </c>
    </row>
    <row r="499" ht="22.5" customHeight="1">
      <c r="A499" s="3">
        <v>498.0</v>
      </c>
      <c r="B499" s="4" t="s">
        <v>10419</v>
      </c>
      <c r="C499" s="4" t="s">
        <v>10081</v>
      </c>
      <c r="D499" s="4" t="s">
        <v>10082</v>
      </c>
      <c r="F499" s="5" t="str">
        <f>IFERROR(__xludf.DUMMYFUNCTION("GOOGLETRANSLATE(A499, ""en"", ""hi"")"),"498")</f>
        <v>498</v>
      </c>
      <c r="G499" s="5" t="str">
        <f>IFERROR(__xludf.DUMMYFUNCTION("GOOGLETRANSLATE(B499, ""en"", ""hi"")"),"किस तमिल राजा का काल सिलंबम तकनीकों के महत्वपूर्ण दस्तावेजीकरण और मानकीकरण के लिए जाना जाता है?")</f>
        <v>किस तमिल राजा का काल सिलंबम तकनीकों के महत्वपूर्ण दस्तावेजीकरण और मानकीकरण के लिए जाना जाता है?</v>
      </c>
      <c r="H499" s="5" t="str">
        <f>IFERROR(__xludf.DUMMYFUNCTION("GOOGLETRANSLATE(C499, ""en"", ""hi"")"),"ए) राजराजा चोल, बी) राजेंद्र चोल, सी) सुंदरा चोल, डी) कुलोथुंगा चोल")</f>
        <v>ए) राजराजा चोल, बी) राजेंद्र चोल, सी) सुंदरा चोल, डी) कुलोथुंगा चोल</v>
      </c>
      <c r="I499" s="5" t="str">
        <f>IFERROR(__xludf.DUMMYFUNCTION("GOOGLETRANSLATE(D499, ""en"", ""hi"")"),"B) राजेंद्र चोल")</f>
        <v>B) राजेंद्र चोल</v>
      </c>
    </row>
    <row r="500" ht="22.5" customHeight="1">
      <c r="A500" s="3">
        <v>499.0</v>
      </c>
      <c r="B500" s="4" t="s">
        <v>10420</v>
      </c>
      <c r="C500" s="4" t="s">
        <v>10170</v>
      </c>
      <c r="D500" s="4" t="s">
        <v>10171</v>
      </c>
      <c r="F500" s="5" t="str">
        <f>IFERROR(__xludf.DUMMYFUNCTION("GOOGLETRANSLATE(A500, ""en"", ""hi"")"),"499")</f>
        <v>499</v>
      </c>
      <c r="G500" s="5" t="str">
        <f>IFERROR(__xludf.DUMMYFUNCTION("GOOGLETRANSLATE(B500, ""en"", ""hi"")"),"सिलंबम तकनीकों का ऐतिहासिक संरक्षण किस तमिल शैक्षिक परंपरा के माध्यम से प्राप्त किया गया था?")</f>
        <v>सिलंबम तकनीकों का ऐतिहासिक संरक्षण किस तमिल शैक्षिक परंपरा के माध्यम से प्राप्त किया गया था?</v>
      </c>
      <c r="H500" s="5" t="str">
        <f>IFERROR(__xludf.DUMMYFUNCTION("GOOGLETRANSLATE(C500, ""en"", ""hi"")"),"A) गुरुकुल प्रणाली, B) शाही दरबार, C) मंदिर विद्यालय, D) मठ केंद्र")</f>
        <v>A) गुरुकुल प्रणाली, B) शाही दरबार, C) मंदिर विद्यालय, D) मठ केंद्र</v>
      </c>
      <c r="I500" s="5" t="str">
        <f>IFERROR(__xludf.DUMMYFUNCTION("GOOGLETRANSLATE(D500, ""en"", ""hi"")"),"A) गुरुकुल प्रणाली")</f>
        <v>A) गुरुकुल प्रणाली</v>
      </c>
    </row>
    <row r="501" ht="22.5" customHeight="1">
      <c r="A501" s="3">
        <v>500.0</v>
      </c>
      <c r="B501" s="4" t="s">
        <v>10421</v>
      </c>
      <c r="C501" s="4" t="s">
        <v>10081</v>
      </c>
      <c r="D501" s="4" t="s">
        <v>9997</v>
      </c>
      <c r="F501" s="5" t="str">
        <f>IFERROR(__xludf.DUMMYFUNCTION("GOOGLETRANSLATE(A501, ""en"", ""hi"")"),"500")</f>
        <v>500</v>
      </c>
      <c r="G501" s="5" t="str">
        <f>IFERROR(__xludf.DUMMYFUNCTION("GOOGLETRANSLATE(B501, ""en"", ""hi"")"),"सिलंबम के ऐतिहासिक विकास में किस तमिल राजा के संरक्षण ने महत्वपूर्ण भूमिका निभाई?")</f>
        <v>सिलंबम के ऐतिहासिक विकास में किस तमिल राजा के संरक्षण ने महत्वपूर्ण भूमिका निभाई?</v>
      </c>
      <c r="H501" s="5" t="str">
        <f>IFERROR(__xludf.DUMMYFUNCTION("GOOGLETRANSLATE(C501, ""en"", ""hi"")"),"ए) राजराजा चोल, बी) राजेंद्र चोल, सी) सुंदरा चोल, डी) कुलोथुंगा चोल")</f>
        <v>ए) राजराजा चोल, बी) राजेंद्र चोल, सी) सुंदरा चोल, डी) कुलोथुंगा चोल</v>
      </c>
      <c r="I501" s="5" t="str">
        <f>IFERROR(__xludf.DUMMYFUNCTION("GOOGLETRANSLATE(D501, ""en"", ""hi"")"),"A) राजराजा चोल")</f>
        <v>A) राजराजा चोल</v>
      </c>
    </row>
    <row r="502" ht="22.5" customHeight="1">
      <c r="A502" s="3">
        <v>501.0</v>
      </c>
      <c r="B502" s="4" t="s">
        <v>10422</v>
      </c>
      <c r="C502" s="4" t="s">
        <v>10132</v>
      </c>
      <c r="D502" s="4" t="s">
        <v>10089</v>
      </c>
      <c r="F502" s="5" t="str">
        <f>IFERROR(__xludf.DUMMYFUNCTION("GOOGLETRANSLATE(A502, ""en"", ""hi"")"),"501")</f>
        <v>501</v>
      </c>
      <c r="G502" s="5" t="str">
        <f>IFERROR(__xludf.DUMMYFUNCTION("GOOGLETRANSLATE(B502, ""en"", ""hi"")"),"औपनिवेशिक काल के दौरान सिलंबम का पुनरुद्धार किस सांस्कृतिक व्यक्तित्व से निकटता से जुड़ा हुआ है?")</f>
        <v>औपनिवेशिक काल के दौरान सिलंबम का पुनरुद्धार किस सांस्कृतिक व्यक्तित्व से निकटता से जुड़ा हुआ है?</v>
      </c>
      <c r="H502" s="5" t="str">
        <f>IFERROR(__xludf.DUMMYFUNCTION("GOOGLETRANSLATE(C502,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502" s="5" t="str">
        <f>IFERROR(__xludf.DUMMYFUNCTION("GOOGLETRANSLATE(D502, ""en"", ""hi"")"),"A) वी. कृष्णमाचारी")</f>
        <v>A) वी. कृष्णमाचारी</v>
      </c>
    </row>
    <row r="503" ht="22.5" customHeight="1">
      <c r="A503" s="3">
        <v>502.0</v>
      </c>
      <c r="B503" s="4" t="s">
        <v>10423</v>
      </c>
      <c r="C503" s="4" t="s">
        <v>10123</v>
      </c>
      <c r="D503" s="4" t="s">
        <v>9982</v>
      </c>
      <c r="F503" s="5" t="str">
        <f>IFERROR(__xludf.DUMMYFUNCTION("GOOGLETRANSLATE(A503, ""en"", ""hi"")"),"502")</f>
        <v>502</v>
      </c>
      <c r="G503" s="5" t="str">
        <f>IFERROR(__xludf.DUMMYFUNCTION("GOOGLETRANSLATE(B503, ""en"", ""hi"")"),"सिलंबम का ऐतिहासिक महत्व और तकनीक किस प्राचीन तमिल ग्रंथ में वर्णित है?")</f>
        <v>सिलंबम का ऐतिहासिक महत्व और तकनीक किस प्राचीन तमिल ग्रंथ में वर्णित है?</v>
      </c>
      <c r="H503" s="5" t="str">
        <f>IFERROR(__xludf.DUMMYFUNCTION("GOOGLETRANSLATE(C503, ""en"", ""hi"")"),"ए) टोलकाप्पियम, बी) सिलप्पातिकारम, सी) अगस्त्य संहिता, डी) कुरल")</f>
        <v>ए) टोलकाप्पियम, बी) सिलप्पातिकारम, सी) अगस्त्य संहिता, डी) कुरल</v>
      </c>
      <c r="I503" s="5" t="str">
        <f>IFERROR(__xludf.DUMMYFUNCTION("GOOGLETRANSLATE(D503, ""en"", ""hi"")"),"C) अगस्त्य संहिता")</f>
        <v>C) अगस्त्य संहिता</v>
      </c>
    </row>
    <row r="504" ht="22.5" customHeight="1">
      <c r="A504" s="3">
        <v>503.0</v>
      </c>
      <c r="B504" s="4" t="s">
        <v>10424</v>
      </c>
      <c r="C504" s="4" t="s">
        <v>10081</v>
      </c>
      <c r="D504" s="4" t="s">
        <v>10082</v>
      </c>
      <c r="F504" s="5" t="str">
        <f>IFERROR(__xludf.DUMMYFUNCTION("GOOGLETRANSLATE(A504, ""en"", ""hi"")"),"503")</f>
        <v>503</v>
      </c>
      <c r="G504" s="5" t="str">
        <f>IFERROR(__xludf.DUMMYFUNCTION("GOOGLETRANSLATE(B504, ""en"", ""hi"")"),"किस तमिल राजा का शासनकाल सिलंबम तकनीकों के औपचारिकीकरण और संवर्धन के लिए सबसे अधिक प्रसिद्ध है?")</f>
        <v>किस तमिल राजा का शासनकाल सिलंबम तकनीकों के औपचारिकीकरण और संवर्धन के लिए सबसे अधिक प्रसिद्ध है?</v>
      </c>
      <c r="H504" s="5" t="str">
        <f>IFERROR(__xludf.DUMMYFUNCTION("GOOGLETRANSLATE(C504, ""en"", ""hi"")"),"ए) राजराजा चोल, बी) राजेंद्र चोल, सी) सुंदरा चोल, डी) कुलोथुंगा चोल")</f>
        <v>ए) राजराजा चोल, बी) राजेंद्र चोल, सी) सुंदरा चोल, डी) कुलोथुंगा चोल</v>
      </c>
      <c r="I504" s="5" t="str">
        <f>IFERROR(__xludf.DUMMYFUNCTION("GOOGLETRANSLATE(D504, ""en"", ""hi"")"),"B) राजेंद्र चोल")</f>
        <v>B) राजेंद्र चोल</v>
      </c>
    </row>
    <row r="505" ht="22.5" customHeight="1">
      <c r="A505" s="3">
        <v>504.0</v>
      </c>
      <c r="B505" s="4" t="s">
        <v>10425</v>
      </c>
      <c r="C505" s="4" t="s">
        <v>10170</v>
      </c>
      <c r="D505" s="4" t="s">
        <v>10171</v>
      </c>
      <c r="F505" s="5" t="str">
        <f>IFERROR(__xludf.DUMMYFUNCTION("GOOGLETRANSLATE(A505, ""en"", ""hi"")"),"504")</f>
        <v>504</v>
      </c>
      <c r="G505" s="5" t="str">
        <f>IFERROR(__xludf.DUMMYFUNCTION("GOOGLETRANSLATE(B505, ""en"", ""hi"")"),"सिलंबम का ऐतिहासिक संरक्षण और औपचारिकीकरण किस तमिल शैक्षणिक संस्थान के माध्यम से प्राप्त किया गया?")</f>
        <v>सिलंबम का ऐतिहासिक संरक्षण और औपचारिकीकरण किस तमिल शैक्षणिक संस्थान के माध्यम से प्राप्त किया गया?</v>
      </c>
      <c r="H505" s="5" t="str">
        <f>IFERROR(__xludf.DUMMYFUNCTION("GOOGLETRANSLATE(C505, ""en"", ""hi"")"),"A) गुरुकुल प्रणाली, B) शाही दरबार, C) मंदिर विद्यालय, D) मठ केंद्र")</f>
        <v>A) गुरुकुल प्रणाली, B) शाही दरबार, C) मंदिर विद्यालय, D) मठ केंद्र</v>
      </c>
      <c r="I505" s="5" t="str">
        <f>IFERROR(__xludf.DUMMYFUNCTION("GOOGLETRANSLATE(D505, ""en"", ""hi"")"),"A) गुरुकुल प्रणाली")</f>
        <v>A) गुरुकुल प्रणाली</v>
      </c>
    </row>
    <row r="506" ht="22.5" customHeight="1">
      <c r="A506" s="3">
        <v>505.0</v>
      </c>
      <c r="B506" s="4" t="s">
        <v>10406</v>
      </c>
      <c r="C506" s="4" t="s">
        <v>10081</v>
      </c>
      <c r="D506" s="4" t="s">
        <v>9997</v>
      </c>
      <c r="F506" s="5" t="str">
        <f>IFERROR(__xludf.DUMMYFUNCTION("GOOGLETRANSLATE(A506, ""en"", ""hi"")"),"505")</f>
        <v>505</v>
      </c>
      <c r="G506" s="5" t="str">
        <f>IFERROR(__xludf.DUMMYFUNCTION("GOOGLETRANSLATE(B506, ""en"", ""hi"")"),"सिलंबम के ऐतिहासिक विकास को समझने के लिए किस तमिल राजा का संरक्षण महत्वपूर्ण है?")</f>
        <v>सिलंबम के ऐतिहासिक विकास को समझने के लिए किस तमिल राजा का संरक्षण महत्वपूर्ण है?</v>
      </c>
      <c r="H506" s="5" t="str">
        <f>IFERROR(__xludf.DUMMYFUNCTION("GOOGLETRANSLATE(C506, ""en"", ""hi"")"),"ए) राजराजा चोल, बी) राजेंद्र चोल, सी) सुंदरा चोल, डी) कुलोथुंगा चोल")</f>
        <v>ए) राजराजा चोल, बी) राजेंद्र चोल, सी) सुंदरा चोल, डी) कुलोथुंगा चोल</v>
      </c>
      <c r="I506" s="5" t="str">
        <f>IFERROR(__xludf.DUMMYFUNCTION("GOOGLETRANSLATE(D506, ""en"", ""hi"")"),"A) राजराजा चोल")</f>
        <v>A) राजराजा चोल</v>
      </c>
    </row>
    <row r="507" ht="22.5" customHeight="1">
      <c r="A507" s="3">
        <v>506.0</v>
      </c>
      <c r="B507" s="4" t="s">
        <v>10426</v>
      </c>
      <c r="C507" s="4" t="s">
        <v>10132</v>
      </c>
      <c r="D507" s="4" t="s">
        <v>10089</v>
      </c>
      <c r="F507" s="5" t="str">
        <f>IFERROR(__xludf.DUMMYFUNCTION("GOOGLETRANSLATE(A507, ""en"", ""hi"")"),"506")</f>
        <v>506</v>
      </c>
      <c r="G507" s="5" t="str">
        <f>IFERROR(__xludf.DUMMYFUNCTION("GOOGLETRANSLATE(B507, ""en"", ""hi"")"),"तमिलनाडु में सिलंबम के आधुनिक पुनरुत्थान को अक्सर किस पुनरुत्थानवादी व्यक्ति से जोड़ा जाता है?")</f>
        <v>तमिलनाडु में सिलंबम के आधुनिक पुनरुत्थान को अक्सर किस पुनरुत्थानवादी व्यक्ति से जोड़ा जाता है?</v>
      </c>
      <c r="H507" s="5" t="str">
        <f>IFERROR(__xludf.DUMMYFUNCTION("GOOGLETRANSLATE(C507,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507" s="5" t="str">
        <f>IFERROR(__xludf.DUMMYFUNCTION("GOOGLETRANSLATE(D507, ""en"", ""hi"")"),"A) वी. कृष्णमाचारी")</f>
        <v>A) वी. कृष्णमाचारी</v>
      </c>
    </row>
    <row r="508" ht="22.5" customHeight="1">
      <c r="A508" s="3">
        <v>507.0</v>
      </c>
      <c r="B508" s="4" t="s">
        <v>10390</v>
      </c>
      <c r="C508" s="4" t="s">
        <v>10123</v>
      </c>
      <c r="D508" s="4" t="s">
        <v>9982</v>
      </c>
      <c r="F508" s="5" t="str">
        <f>IFERROR(__xludf.DUMMYFUNCTION("GOOGLETRANSLATE(A508, ""en"", ""hi"")"),"507")</f>
        <v>507</v>
      </c>
      <c r="G508" s="5" t="str">
        <f>IFERROR(__xludf.DUMMYFUNCTION("GOOGLETRANSLATE(B508, ""en"", ""hi"")"),"सिलंबम की ऐतिहासिक तकनीकों और महत्व का वर्णन किस तमिल पांडुलिपि में किया गया है?")</f>
        <v>सिलंबम की ऐतिहासिक तकनीकों और महत्व का वर्णन किस तमिल पांडुलिपि में किया गया है?</v>
      </c>
      <c r="H508" s="5" t="str">
        <f>IFERROR(__xludf.DUMMYFUNCTION("GOOGLETRANSLATE(C508, ""en"", ""hi"")"),"ए) टोलकाप्पियम, बी) सिलप्पातिकारम, सी) अगस्त्य संहिता, डी) कुरल")</f>
        <v>ए) टोलकाप्पियम, बी) सिलप्पातिकारम, सी) अगस्त्य संहिता, डी) कुरल</v>
      </c>
      <c r="I508" s="5" t="str">
        <f>IFERROR(__xludf.DUMMYFUNCTION("GOOGLETRANSLATE(D508, ""en"", ""hi"")"),"C) अगस्त्य संहिता")</f>
        <v>C) अगस्त्य संहिता</v>
      </c>
    </row>
    <row r="509" ht="22.5" customHeight="1">
      <c r="A509" s="3">
        <v>508.0</v>
      </c>
      <c r="B509" s="4" t="s">
        <v>10409</v>
      </c>
      <c r="C509" s="4" t="s">
        <v>10081</v>
      </c>
      <c r="D509" s="4" t="s">
        <v>10082</v>
      </c>
      <c r="F509" s="5" t="str">
        <f>IFERROR(__xludf.DUMMYFUNCTION("GOOGLETRANSLATE(A509, ""en"", ""hi"")"),"508")</f>
        <v>508</v>
      </c>
      <c r="G509" s="5" t="str">
        <f>IFERROR(__xludf.DUMMYFUNCTION("GOOGLETRANSLATE(B509, ""en"", ""hi"")"),"किस तमिल राजा के काल को सिलंबम के महत्वपूर्ण विकास और दस्तावेजीकरण के लिए मनाया जाता है?")</f>
        <v>किस तमिल राजा के काल को सिलंबम के महत्वपूर्ण विकास और दस्तावेजीकरण के लिए मनाया जाता है?</v>
      </c>
      <c r="H509" s="5" t="str">
        <f>IFERROR(__xludf.DUMMYFUNCTION("GOOGLETRANSLATE(C509, ""en"", ""hi"")"),"ए) राजराजा चोल, बी) राजेंद्र चोल, सी) सुंदरा चोल, डी) कुलोथुंगा चोल")</f>
        <v>ए) राजराजा चोल, बी) राजेंद्र चोल, सी) सुंदरा चोल, डी) कुलोथुंगा चोल</v>
      </c>
      <c r="I509" s="5" t="str">
        <f>IFERROR(__xludf.DUMMYFUNCTION("GOOGLETRANSLATE(D509, ""en"", ""hi"")"),"B) राजेंद्र चोल")</f>
        <v>B) राजेंद्र चोल</v>
      </c>
    </row>
    <row r="510" ht="22.5" customHeight="1">
      <c r="A510" s="3">
        <v>509.0</v>
      </c>
      <c r="B510" s="4" t="s">
        <v>10427</v>
      </c>
      <c r="C510" s="4" t="s">
        <v>10170</v>
      </c>
      <c r="D510" s="4" t="s">
        <v>10171</v>
      </c>
      <c r="F510" s="5" t="str">
        <f>IFERROR(__xludf.DUMMYFUNCTION("GOOGLETRANSLATE(A510, ""en"", ""hi"")"),"509")</f>
        <v>509</v>
      </c>
      <c r="G510" s="5" t="str">
        <f>IFERROR(__xludf.DUMMYFUNCTION("GOOGLETRANSLATE(B510, ""en"", ""hi"")"),"सिलंबम तकनीकों का संरक्षण किस पारंपरिक तमिल शिक्षा प्रणाली के माध्यम से प्राप्त किया गया था?")</f>
        <v>सिलंबम तकनीकों का संरक्षण किस पारंपरिक तमिल शिक्षा प्रणाली के माध्यम से प्राप्त किया गया था?</v>
      </c>
      <c r="H510" s="5" t="str">
        <f>IFERROR(__xludf.DUMMYFUNCTION("GOOGLETRANSLATE(C510, ""en"", ""hi"")"),"A) गुरुकुल प्रणाली, B) शाही दरबार, C) मंदिर विद्यालय, D) मठ केंद्र")</f>
        <v>A) गुरुकुल प्रणाली, B) शाही दरबार, C) मंदिर विद्यालय, D) मठ केंद्र</v>
      </c>
      <c r="I510" s="5" t="str">
        <f>IFERROR(__xludf.DUMMYFUNCTION("GOOGLETRANSLATE(D510, ""en"", ""hi"")"),"A) गुरुकुल प्रणाली")</f>
        <v>A) गुरुकुल प्रणाली</v>
      </c>
    </row>
    <row r="511" ht="22.5" customHeight="1">
      <c r="A511" s="3">
        <v>510.0</v>
      </c>
      <c r="B511" s="4" t="s">
        <v>10388</v>
      </c>
      <c r="C511" s="4" t="s">
        <v>10081</v>
      </c>
      <c r="D511" s="4" t="s">
        <v>9997</v>
      </c>
      <c r="F511" s="5" t="str">
        <f>IFERROR(__xludf.DUMMYFUNCTION("GOOGLETRANSLATE(A511, ""en"", ""hi"")"),"510")</f>
        <v>510</v>
      </c>
      <c r="G511" s="5" t="str">
        <f>IFERROR(__xludf.DUMMYFUNCTION("GOOGLETRANSLATE(B511, ""en"", ""hi"")"),"सिलंबम के ऐतिहासिक विकास में किस तमिल राजा के संरक्षण ने महत्वपूर्ण भूमिका निभाई?")</f>
        <v>सिलंबम के ऐतिहासिक विकास में किस तमिल राजा के संरक्षण ने महत्वपूर्ण भूमिका निभाई?</v>
      </c>
      <c r="H511" s="5" t="str">
        <f>IFERROR(__xludf.DUMMYFUNCTION("GOOGLETRANSLATE(C511, ""en"", ""hi"")"),"ए) राजराजा चोल, बी) राजेंद्र चोल, सी) सुंदरा चोल, डी) कुलोथुंगा चोल")</f>
        <v>ए) राजराजा चोल, बी) राजेंद्र चोल, सी) सुंदरा चोल, डी) कुलोथुंगा चोल</v>
      </c>
      <c r="I511" s="5" t="str">
        <f>IFERROR(__xludf.DUMMYFUNCTION("GOOGLETRANSLATE(D511, ""en"", ""hi"")"),"A) राजराजा चोल")</f>
        <v>A) राजराजा चोल</v>
      </c>
    </row>
    <row r="512" ht="22.5" customHeight="1">
      <c r="A512" s="3">
        <v>511.0</v>
      </c>
      <c r="B512" s="4" t="s">
        <v>10373</v>
      </c>
      <c r="C512" s="4" t="s">
        <v>10132</v>
      </c>
      <c r="D512" s="4" t="s">
        <v>10089</v>
      </c>
      <c r="F512" s="5" t="str">
        <f>IFERROR(__xludf.DUMMYFUNCTION("GOOGLETRANSLATE(A512, ""en"", ""hi"")"),"511")</f>
        <v>511</v>
      </c>
      <c r="G512" s="5" t="str">
        <f>IFERROR(__xludf.DUMMYFUNCTION("GOOGLETRANSLATE(B512, ""en"", ""hi"")"),"औपनिवेशिक युग के दौरान सिलंबम का पुनरुद्धार किस प्रमुख व्यक्ति से जुड़ा हुआ है?")</f>
        <v>औपनिवेशिक युग के दौरान सिलंबम का पुनरुद्धार किस प्रमुख व्यक्ति से जुड़ा हुआ है?</v>
      </c>
      <c r="H512" s="5" t="str">
        <f>IFERROR(__xludf.DUMMYFUNCTION("GOOGLETRANSLATE(C512, ""en"", ""hi"")"),"ए) वी. कृष्णमाचारी, बी) सुब्रमण्यम भारती, सी) एम. आर. वासुदेवन, डी) पी. सुब्रमण्यम अय्यर")</f>
        <v>ए) वी. कृष्णमाचारी, बी) सुब्रमण्यम भारती, सी) एम. आर. वासुदेवन, डी) पी. सुब्रमण्यम अय्यर</v>
      </c>
      <c r="I512" s="5" t="str">
        <f>IFERROR(__xludf.DUMMYFUNCTION("GOOGLETRANSLATE(D512, ""en"", ""hi"")"),"A) वी. कृष्णमाचारी")</f>
        <v>A) वी. कृष्णमाचारी</v>
      </c>
    </row>
    <row r="513" ht="22.5" customHeight="1">
      <c r="A513" s="3">
        <v>512.0</v>
      </c>
      <c r="B513" s="4" t="s">
        <v>10428</v>
      </c>
      <c r="C513" s="4" t="s">
        <v>10123</v>
      </c>
      <c r="D513" s="4" t="s">
        <v>9982</v>
      </c>
      <c r="F513" s="5" t="str">
        <f>IFERROR(__xludf.DUMMYFUNCTION("GOOGLETRANSLATE(A513, ""en"", ""hi"")"),"512")</f>
        <v>512</v>
      </c>
      <c r="G513" s="5" t="str">
        <f>IFERROR(__xludf.DUMMYFUNCTION("GOOGLETRANSLATE(B513, ""en"", ""hi"")"),"सिलंबम की ऐतिहासिक तकनीकों और योगदान का विस्तृत विवरण किस तमिल ग्रंथ में दिया गया है?")</f>
        <v>सिलंबम की ऐतिहासिक तकनीकों और योगदान का विस्तृत विवरण किस तमिल ग्रंथ में दिया गया है?</v>
      </c>
      <c r="H513" s="5" t="str">
        <f>IFERROR(__xludf.DUMMYFUNCTION("GOOGLETRANSLATE(C513, ""en"", ""hi"")"),"ए) टोलकाप्पियम, बी) सिलप्पातिकारम, सी) अगस्त्य संहिता, डी) कुरल")</f>
        <v>ए) टोलकाप्पियम, बी) सिलप्पातिकारम, सी) अगस्त्य संहिता, डी) कुरल</v>
      </c>
      <c r="I513" s="5" t="str">
        <f>IFERROR(__xludf.DUMMYFUNCTION("GOOGLETRANSLATE(D513, ""en"", ""hi"")"),"C) अगस्त्य संहिता")</f>
        <v>C) अगस्त्य संहिता</v>
      </c>
    </row>
    <row r="514" ht="22.5" customHeight="1">
      <c r="A514" s="3">
        <v>513.0</v>
      </c>
      <c r="B514" s="4" t="s">
        <v>10424</v>
      </c>
      <c r="C514" s="4" t="s">
        <v>10081</v>
      </c>
      <c r="D514" s="4" t="s">
        <v>10082</v>
      </c>
      <c r="F514" s="5" t="str">
        <f>IFERROR(__xludf.DUMMYFUNCTION("GOOGLETRANSLATE(A514, ""en"", ""hi"")"),"513")</f>
        <v>513</v>
      </c>
      <c r="G514" s="5" t="str">
        <f>IFERROR(__xludf.DUMMYFUNCTION("GOOGLETRANSLATE(B514, ""en"", ""hi"")"),"किस तमिल राजा का शासनकाल सिलंबम तकनीकों के औपचारिकीकरण और संवर्धन के लिए सबसे अधिक प्रसिद्ध है?")</f>
        <v>किस तमिल राजा का शासनकाल सिलंबम तकनीकों के औपचारिकीकरण और संवर्धन के लिए सबसे अधिक प्रसिद्ध है?</v>
      </c>
      <c r="H514" s="5" t="str">
        <f>IFERROR(__xludf.DUMMYFUNCTION("GOOGLETRANSLATE(C514, ""en"", ""hi"")"),"ए) राजराजा चोल, बी) राजेंद्र चोल, सी) सुंदरा चोल, डी) कुलोथुंगा चोल")</f>
        <v>ए) राजराजा चोल, बी) राजेंद्र चोल, सी) सुंदरा चोल, डी) कुलोथुंगा चोल</v>
      </c>
      <c r="I514" s="5" t="str">
        <f>IFERROR(__xludf.DUMMYFUNCTION("GOOGLETRANSLATE(D514, ""en"", ""hi"")"),"B) राजेंद्र चोल")</f>
        <v>B) राजेंद्र चोल</v>
      </c>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21.38"/>
    <col customWidth="1" min="7" max="8" width="37.63"/>
    <col customWidth="1" min="9" max="9" width="19.0"/>
  </cols>
  <sheetData>
    <row r="1" ht="22.5" customHeight="1">
      <c r="A1" s="6" t="s">
        <v>0</v>
      </c>
      <c r="B1" s="6" t="s">
        <v>1</v>
      </c>
      <c r="C1" s="6" t="s">
        <v>2</v>
      </c>
      <c r="D1" s="6" t="s">
        <v>3</v>
      </c>
      <c r="F1" s="2" t="s">
        <v>4</v>
      </c>
      <c r="G1" s="2" t="s">
        <v>5</v>
      </c>
      <c r="H1" s="2" t="s">
        <v>6</v>
      </c>
      <c r="I1" s="2" t="s">
        <v>7</v>
      </c>
    </row>
    <row r="2" ht="22.5" customHeight="1">
      <c r="A2" s="10">
        <v>1.0</v>
      </c>
      <c r="B2" s="8" t="s">
        <v>10429</v>
      </c>
      <c r="C2" s="8" t="s">
        <v>10430</v>
      </c>
      <c r="D2" s="8" t="s">
        <v>10431</v>
      </c>
      <c r="F2" s="5" t="str">
        <f>IFERROR(__xludf.DUMMYFUNCTION("GOOGLETRANSLATE(A2, ""en"", ""hi"")"),"1")</f>
        <v>1</v>
      </c>
      <c r="G2" s="5" t="str">
        <f>IFERROR(__xludf.DUMMYFUNCTION("GOOGLETRANSLATE(B2, ""en"", ""hi"")"),"किस प्राचीन भारतीय ग्रंथ में पहली बार मलखंभ प्रथा का उल्लेख किया गया है?")</f>
        <v>किस प्राचीन भारतीय ग्रंथ में पहली बार मलखंभ प्रथा का उल्लेख किया गया है?</v>
      </c>
      <c r="H2" s="5" t="str">
        <f>IFERROR(__xludf.DUMMYFUNCTION("GOOGLETRANSLATE(C2, ""en"", ""hi"")"),"ए) महाभारत, बी) रामायण, सी) वेद, डी) मनुस्मृति")</f>
        <v>ए) महाभारत, बी) रामायण, सी) वेद, डी) मनुस्मृति</v>
      </c>
      <c r="I2" s="5" t="str">
        <f>IFERROR(__xludf.DUMMYFUNCTION("GOOGLETRANSLATE(D2, ""en"", ""hi"")"),"C) वेद")</f>
        <v>C) वेद</v>
      </c>
    </row>
    <row r="3" ht="22.5" customHeight="1">
      <c r="A3" s="10">
        <v>2.0</v>
      </c>
      <c r="B3" s="8" t="s">
        <v>10432</v>
      </c>
      <c r="C3" s="8" t="s">
        <v>10433</v>
      </c>
      <c r="D3" s="8" t="s">
        <v>4164</v>
      </c>
      <c r="F3" s="5" t="str">
        <f>IFERROR(__xludf.DUMMYFUNCTION("GOOGLETRANSLATE(A3, ""en"", ""hi"")"),"2")</f>
        <v>2</v>
      </c>
      <c r="G3" s="5" t="str">
        <f>IFERROR(__xludf.DUMMYFUNCTION("GOOGLETRANSLATE(B3, ""en"", ""hi"")"),"17वीं शताब्दी के किस मराठा राजा को सैन्य प्रशिक्षण के एक भाग के रूप में मलखम्ब को औपचारिक रूप देने का श्रेय दिया जाता है?")</f>
        <v>17वीं शताब्दी के किस मराठा राजा को सैन्य प्रशिक्षण के एक भाग के रूप में मलखम्ब को औपचारिक रूप देने का श्रेय दिया जाता है?</v>
      </c>
      <c r="H3" s="5" t="str">
        <f>IFERROR(__xludf.DUMMYFUNCTION("GOOGLETRANSLATE(C3, ""en"", ""hi"")"),"ए) शिवाजी महाराज, बी) छत्रपति शाहू, सी) बालाजी विश्वनाथ, डी) महादजी शिंदे")</f>
        <v>ए) शिवाजी महाराज, बी) छत्रपति शाहू, सी) बालाजी विश्वनाथ, डी) महादजी शिंदे</v>
      </c>
      <c r="I3" s="5" t="str">
        <f>IFERROR(__xludf.DUMMYFUNCTION("GOOGLETRANSLATE(D3, ""en"", ""hi"")"),"A) शिवाजी महाराज")</f>
        <v>A) शिवाजी महाराज</v>
      </c>
    </row>
    <row r="4" ht="22.5" customHeight="1">
      <c r="A4" s="10">
        <v>3.0</v>
      </c>
      <c r="B4" s="8" t="s">
        <v>10434</v>
      </c>
      <c r="C4" s="8" t="s">
        <v>10435</v>
      </c>
      <c r="D4" s="8" t="s">
        <v>10436</v>
      </c>
      <c r="F4" s="5" t="str">
        <f>IFERROR(__xludf.DUMMYFUNCTION("GOOGLETRANSLATE(A4, ""en"", ""hi"")"),"3")</f>
        <v>3</v>
      </c>
      <c r="G4" s="5" t="str">
        <f>IFERROR(__xludf.DUMMYFUNCTION("GOOGLETRANSLATE(B4, ""en"", ""hi"")"),"मलखम्ब को मूलतः भारत के किस क्षेत्र में प्रसिद्धि मिली?")</f>
        <v>मलखम्ब को मूलतः भारत के किस क्षेत्र में प्रसिद्धि मिली?</v>
      </c>
      <c r="H4" s="5" t="str">
        <f>IFERROR(__xludf.DUMMYFUNCTION("GOOGLETRANSLATE(C4, ""en"", ""hi"")"),"A) उत्तर भारत, B) दक्षिण भारत, C) पश्चिम भारत, D) पूर्वी भारत")</f>
        <v>A) उत्तर भारत, B) दक्षिण भारत, C) पश्चिम भारत, D) पूर्वी भारत</v>
      </c>
      <c r="I4" s="5" t="str">
        <f>IFERROR(__xludf.DUMMYFUNCTION("GOOGLETRANSLATE(D4, ""en"", ""hi"")"),"C) पश्चिम भारत")</f>
        <v>C) पश्चिम भारत</v>
      </c>
    </row>
    <row r="5" ht="22.5" customHeight="1">
      <c r="A5" s="10">
        <v>4.0</v>
      </c>
      <c r="B5" s="8" t="s">
        <v>10437</v>
      </c>
      <c r="C5" s="8" t="s">
        <v>10438</v>
      </c>
      <c r="D5" s="8" t="s">
        <v>10439</v>
      </c>
      <c r="F5" s="5" t="str">
        <f>IFERROR(__xludf.DUMMYFUNCTION("GOOGLETRANSLATE(A5, ""en"", ""hi"")"),"4")</f>
        <v>4</v>
      </c>
      <c r="G5" s="5" t="str">
        <f>IFERROR(__xludf.DUMMYFUNCTION("GOOGLETRANSLATE(B5, ""en"", ""hi"")"),"18वीं शताब्दी के दौरान मलखम्ब को बढ़ावा देने में किस महाराजा का महत्वपूर्ण योगदान था?")</f>
        <v>18वीं शताब्दी के दौरान मलखम्ब को बढ़ावा देने में किस महाराजा का महत्वपूर्ण योगदान था?</v>
      </c>
      <c r="H5" s="5" t="str">
        <f>IFERROR(__xludf.DUMMYFUNCTION("GOOGLETRANSLATE(C5, ""en"", ""hi"")"),"ए) महादजी शिंदे, बी) रणजीत सिंह, सी) जय सिंह, डी) शिवाजी महाराज")</f>
        <v>ए) महादजी शिंदे, बी) रणजीत सिंह, सी) जय सिंह, डी) शिवाजी महाराज</v>
      </c>
      <c r="I5" s="5" t="str">
        <f>IFERROR(__xludf.DUMMYFUNCTION("GOOGLETRANSLATE(D5, ""en"", ""hi"")"),"A) महादजी शिंदे")</f>
        <v>A) महादजी शिंदे</v>
      </c>
    </row>
    <row r="6" ht="22.5" customHeight="1">
      <c r="A6" s="10">
        <v>5.0</v>
      </c>
      <c r="B6" s="8" t="s">
        <v>10440</v>
      </c>
      <c r="C6" s="8" t="s">
        <v>10441</v>
      </c>
      <c r="D6" s="8" t="s">
        <v>10442</v>
      </c>
      <c r="F6" s="5" t="str">
        <f>IFERROR(__xludf.DUMMYFUNCTION("GOOGLETRANSLATE(A6, ""en"", ""hi"")"),"5")</f>
        <v>5</v>
      </c>
      <c r="G6" s="5" t="str">
        <f>IFERROR(__xludf.DUMMYFUNCTION("GOOGLETRANSLATE(B6, ""en"", ""hi"")"),"कौन सा भारतीय त्यौहार पारंपरिक रूप से मलखम्ब प्रदर्शन को अपने उत्सव के हिस्से के रूप में प्रस्तुत करता है?")</f>
        <v>कौन सा भारतीय त्यौहार पारंपरिक रूप से मलखम्ब प्रदर्शन को अपने उत्सव के हिस्से के रूप में प्रस्तुत करता है?</v>
      </c>
      <c r="H6" s="5" t="str">
        <f>IFERROR(__xludf.DUMMYFUNCTION("GOOGLETRANSLATE(C6, ""en"", ""hi"")"),"ए) दिवाली, बी) होली, सी) गणेश चतुर्थी, डी) पोंगल")</f>
        <v>ए) दिवाली, बी) होली, सी) गणेश चतुर्थी, डी) पोंगल</v>
      </c>
      <c r="I6" s="5" t="str">
        <f>IFERROR(__xludf.DUMMYFUNCTION("GOOGLETRANSLATE(D6, ""en"", ""hi"")"),"C) गणेश चतुर्थी")</f>
        <v>C) गणेश चतुर्थी</v>
      </c>
    </row>
    <row r="7" ht="22.5" customHeight="1">
      <c r="A7" s="10">
        <v>6.0</v>
      </c>
      <c r="B7" s="8" t="s">
        <v>10443</v>
      </c>
      <c r="C7" s="8" t="s">
        <v>10444</v>
      </c>
      <c r="D7" s="8" t="s">
        <v>10445</v>
      </c>
      <c r="F7" s="5" t="str">
        <f>IFERROR(__xludf.DUMMYFUNCTION("GOOGLETRANSLATE(A7, ""en"", ""hi"")"),"6")</f>
        <v>6</v>
      </c>
      <c r="G7" s="5" t="str">
        <f>IFERROR(__xludf.DUMMYFUNCTION("GOOGLETRANSLATE(B7, ""en"", ""hi"")"),"मलखम्ब के खंभे बनाने के लिए आमतौर पर किस प्रकार की लकड़ी का उपयोग किया जाता है?")</f>
        <v>मलखम्ब के खंभे बनाने के लिए आमतौर पर किस प्रकार की लकड़ी का उपयोग किया जाता है?</v>
      </c>
      <c r="H7" s="5" t="str">
        <f>IFERROR(__xludf.DUMMYFUNCTION("GOOGLETRANSLATE(C7, ""en"", ""hi"")"),"A) सागौन, B) महोगनी, C) बांस, D) ओक")</f>
        <v>A) सागौन, B) महोगनी, C) बांस, D) ओक</v>
      </c>
      <c r="I7" s="5" t="str">
        <f>IFERROR(__xludf.DUMMYFUNCTION("GOOGLETRANSLATE(D7, ""en"", ""hi"")"),"A) सागौन")</f>
        <v>A) सागौन</v>
      </c>
    </row>
    <row r="8" ht="22.5" customHeight="1">
      <c r="A8" s="10">
        <v>7.0</v>
      </c>
      <c r="B8" s="8" t="s">
        <v>10446</v>
      </c>
      <c r="C8" s="8" t="s">
        <v>10447</v>
      </c>
      <c r="D8" s="8" t="s">
        <v>3272</v>
      </c>
      <c r="F8" s="5" t="str">
        <f>IFERROR(__xludf.DUMMYFUNCTION("GOOGLETRANSLATE(A8, ""en"", ""hi"")"),"7")</f>
        <v>7</v>
      </c>
      <c r="G8" s="5" t="str">
        <f>IFERROR(__xludf.DUMMYFUNCTION("GOOGLETRANSLATE(B8, ""en"", ""hi"")"),"कौन सा ऐतिहासिक ग्रंथ मलखम्ब अभ्यास के समान तकनीकों का वर्णन करता है?")</f>
        <v>कौन सा ऐतिहासिक ग्रंथ मलखम्ब अभ्यास के समान तकनीकों का वर्णन करता है?</v>
      </c>
      <c r="H8" s="5" t="str">
        <f>IFERROR(__xludf.DUMMYFUNCTION("GOOGLETRANSLATE(C8, ""en"", ""hi"")"),"ए) योग सूत्र, बी) अर्थशास्त्र, सी) मनुस्मृति, डी) रामायण")</f>
        <v>ए) योग सूत्र, बी) अर्थशास्त्र, सी) मनुस्मृति, डी) रामायण</v>
      </c>
      <c r="I8" s="5" t="str">
        <f>IFERROR(__xludf.DUMMYFUNCTION("GOOGLETRANSLATE(D8, ""en"", ""hi"")"),"बी) अर्थशास्त्र")</f>
        <v>बी) अर्थशास्त्र</v>
      </c>
    </row>
    <row r="9" ht="22.5" customHeight="1">
      <c r="A9" s="10">
        <v>8.0</v>
      </c>
      <c r="B9" s="8" t="s">
        <v>10448</v>
      </c>
      <c r="C9" s="8" t="s">
        <v>10449</v>
      </c>
      <c r="D9" s="8" t="s">
        <v>10450</v>
      </c>
      <c r="F9" s="5" t="str">
        <f>IFERROR(__xludf.DUMMYFUNCTION("GOOGLETRANSLATE(A9, ""en"", ""hi"")"),"8")</f>
        <v>8</v>
      </c>
      <c r="G9" s="5" t="str">
        <f>IFERROR(__xludf.DUMMYFUNCTION("GOOGLETRANSLATE(B9, ""en"", ""hi"")"),"किस युग में मलखम्ब को एक प्रतिस्पर्धी खेल के रूप में पुनर्जीवित और औपचारिक रूप दिया गया?")</f>
        <v>किस युग में मलखम्ब को एक प्रतिस्पर्धी खेल के रूप में पुनर्जीवित और औपचारिक रूप दिया गया?</v>
      </c>
      <c r="H9" s="5" t="str">
        <f>IFERROR(__xludf.DUMMYFUNCTION("GOOGLETRANSLATE(C9, ""en"", ""hi"")"),"A) मुगल काल, B) ब्रिटिश औपनिवेशिक काल, C) स्वतंत्रता के बाद का काल, D) मध्यकालीन काल")</f>
        <v>A) मुगल काल, B) ब्रिटिश औपनिवेशिक काल, C) स्वतंत्रता के बाद का काल, D) मध्यकालीन काल</v>
      </c>
      <c r="I9" s="5" t="str">
        <f>IFERROR(__xludf.DUMMYFUNCTION("GOOGLETRANSLATE(D9, ""en"", ""hi"")"),"C) स्वतंत्रता के बाद का युग")</f>
        <v>C) स्वतंत्रता के बाद का युग</v>
      </c>
    </row>
    <row r="10" ht="22.5" customHeight="1">
      <c r="A10" s="10">
        <v>9.0</v>
      </c>
      <c r="B10" s="8" t="s">
        <v>10451</v>
      </c>
      <c r="C10" s="8" t="s">
        <v>10452</v>
      </c>
      <c r="D10" s="8" t="s">
        <v>3208</v>
      </c>
      <c r="F10" s="5" t="str">
        <f>IFERROR(__xludf.DUMMYFUNCTION("GOOGLETRANSLATE(A10, ""en"", ""hi"")"),"9")</f>
        <v>9</v>
      </c>
      <c r="G10" s="5" t="str">
        <f>IFERROR(__xludf.DUMMYFUNCTION("GOOGLETRANSLATE(B10, ""en"", ""hi"")"),"मलखम्ब को शारीरिक शिक्षा पाठ्यक्रम में शामिल करने का श्रेय किस शासक को दिया जाता है?")</f>
        <v>मलखम्ब को शारीरिक शिक्षा पाठ्यक्रम में शामिल करने का श्रेय किस शासक को दिया जाता है?</v>
      </c>
      <c r="H10" s="5" t="str">
        <f>IFERROR(__xludf.DUMMYFUNCTION("GOOGLETRANSLATE(C10, ""en"", ""hi"")"),"ए) महाराजा रणजीत सिंह, बी) शिवाजी महाराज, सी) अकबर, डी) चंद्रगुप्त मौर्य")</f>
        <v>ए) महाराजा रणजीत सिंह, बी) शिवाजी महाराज, सी) अकबर, डी) चंद्रगुप्त मौर्य</v>
      </c>
      <c r="I10" s="5" t="str">
        <f>IFERROR(__xludf.DUMMYFUNCTION("GOOGLETRANSLATE(D10, ""en"", ""hi"")"),"B) शिवाजी महाराज")</f>
        <v>B) शिवाजी महाराज</v>
      </c>
    </row>
    <row r="11" ht="22.5" customHeight="1">
      <c r="A11" s="10">
        <v>10.0</v>
      </c>
      <c r="B11" s="8" t="s">
        <v>10453</v>
      </c>
      <c r="C11" s="8" t="s">
        <v>10454</v>
      </c>
      <c r="D11" s="8" t="s">
        <v>158</v>
      </c>
      <c r="F11" s="5" t="str">
        <f>IFERROR(__xludf.DUMMYFUNCTION("GOOGLETRANSLATE(A11, ""en"", ""hi"")"),"10")</f>
        <v>10</v>
      </c>
      <c r="G11" s="5" t="str">
        <f>IFERROR(__xludf.DUMMYFUNCTION("GOOGLETRANSLATE(B11, ""en"", ""hi"")"),"किस भारतीय राज्य को मलखम्ब का जन्मस्थान माना जाता है?")</f>
        <v>किस भारतीय राज्य को मलखम्ब का जन्मस्थान माना जाता है?</v>
      </c>
      <c r="H11" s="5" t="str">
        <f>IFERROR(__xludf.DUMMYFUNCTION("GOOGLETRANSLATE(C11, ""en"", ""hi"")"),"ए) महाराष्ट्र, बी) गुजरात, सी) पंजाब, डी) राजस्थान")</f>
        <v>ए) महाराष्ट्र, बी) गुजरात, सी) पंजाब, डी) राजस्थान</v>
      </c>
      <c r="I11" s="5" t="str">
        <f>IFERROR(__xludf.DUMMYFUNCTION("GOOGLETRANSLATE(D11, ""en"", ""hi"")"),"A) महाराष्ट्र")</f>
        <v>A) महाराष्ट्र</v>
      </c>
    </row>
    <row r="12" ht="22.5" customHeight="1">
      <c r="A12" s="10">
        <v>11.0</v>
      </c>
      <c r="B12" s="8" t="s">
        <v>10455</v>
      </c>
      <c r="C12" s="8" t="s">
        <v>10456</v>
      </c>
      <c r="D12" s="8" t="s">
        <v>10457</v>
      </c>
      <c r="F12" s="5" t="str">
        <f>IFERROR(__xludf.DUMMYFUNCTION("GOOGLETRANSLATE(A12, ""en"", ""hi"")"),"11")</f>
        <v>11</v>
      </c>
      <c r="G12" s="5" t="str">
        <f>IFERROR(__xludf.DUMMYFUNCTION("GOOGLETRANSLATE(B12, ""en"", ""hi"")"),"प्रदर्शन में प्रयुक्त पारंपरिक मलखंभ पोल की सामान्य ऊंचाई कितनी होती है?")</f>
        <v>प्रदर्शन में प्रयुक्त पारंपरिक मलखंभ पोल की सामान्य ऊंचाई कितनी होती है?</v>
      </c>
      <c r="H12" s="5" t="str">
        <f>IFERROR(__xludf.DUMMYFUNCTION("GOOGLETRANSLATE(C12, ""en"", ""hi"")"),"A) 10 फीट, B) 12 फीट, C) 15 फीट, D) 20 फीट")</f>
        <v>A) 10 फीट, B) 12 फीट, C) 15 फीट, D) 20 फीट</v>
      </c>
      <c r="I12" s="5" t="str">
        <f>IFERROR(__xludf.DUMMYFUNCTION("GOOGLETRANSLATE(D12, ""en"", ""hi"")"),"सी) 15 फीट")</f>
        <v>सी) 15 फीट</v>
      </c>
    </row>
    <row r="13" ht="22.5" customHeight="1">
      <c r="A13" s="10">
        <v>12.0</v>
      </c>
      <c r="B13" s="8" t="s">
        <v>10458</v>
      </c>
      <c r="C13" s="8" t="s">
        <v>10459</v>
      </c>
      <c r="D13" s="8" t="s">
        <v>10460</v>
      </c>
      <c r="F13" s="5" t="str">
        <f>IFERROR(__xludf.DUMMYFUNCTION("GOOGLETRANSLATE(A13, ""en"", ""hi"")"),"12")</f>
        <v>12</v>
      </c>
      <c r="G13" s="5" t="str">
        <f>IFERROR(__xludf.DUMMYFUNCTION("GOOGLETRANSLATE(B13, ""en"", ""hi"")"),"कौन सा क्लासिक ग्रंथ मलखम्ब के समान प्रारंभिक कलाबाजी प्रथाओं का प्रमाण प्रदान करता है?")</f>
        <v>कौन सा क्लासिक ग्रंथ मलखम्ब के समान प्रारंभिक कलाबाजी प्रथाओं का प्रमाण प्रदान करता है?</v>
      </c>
      <c r="H13" s="5" t="str">
        <f>IFERROR(__xludf.DUMMYFUNCTION("GOOGLETRANSLATE(C13, ""en"", ""hi"")"),"ए) भगवद गीता, बी) पतंजलि के योग सूत्र, सी) अर्थशास्त्र, डी) वेद")</f>
        <v>ए) भगवद गीता, बी) पतंजलि के योग सूत्र, सी) अर्थशास्त्र, डी) वेद</v>
      </c>
      <c r="I13" s="5" t="str">
        <f>IFERROR(__xludf.DUMMYFUNCTION("GOOGLETRANSLATE(D13, ""en"", ""hi"")"),"D) वेद")</f>
        <v>D) वेद</v>
      </c>
    </row>
    <row r="14" ht="22.5" customHeight="1">
      <c r="A14" s="10">
        <v>13.0</v>
      </c>
      <c r="B14" s="8" t="s">
        <v>10461</v>
      </c>
      <c r="C14" s="8" t="s">
        <v>10462</v>
      </c>
      <c r="D14" s="8" t="s">
        <v>3611</v>
      </c>
      <c r="F14" s="5" t="str">
        <f>IFERROR(__xludf.DUMMYFUNCTION("GOOGLETRANSLATE(A14, ""en"", ""hi"")"),"13")</f>
        <v>13</v>
      </c>
      <c r="G14" s="5" t="str">
        <f>IFERROR(__xludf.DUMMYFUNCTION("GOOGLETRANSLATE(B14, ""en"", ""hi"")"),"किस ऐतिहासिक काल में मलखम्ब का प्रयोग मुख्यतः सैन्य प्रशिक्षण के लिए किया जाता था?")</f>
        <v>किस ऐतिहासिक काल में मलखम्ब का प्रयोग मुख्यतः सैन्य प्रशिक्षण के लिए किया जाता था?</v>
      </c>
      <c r="H14" s="5" t="str">
        <f>IFERROR(__xludf.DUMMYFUNCTION("GOOGLETRANSLATE(C14, ""en"", ""hi"")"),"A) गुप्त काल, B) मराठा साम्राज्य, C) मुगल साम्राज्य, D) ब्रिटिश राज")</f>
        <v>A) गुप्त काल, B) मराठा साम्राज्य, C) मुगल साम्राज्य, D) ब्रिटिश राज</v>
      </c>
      <c r="I14" s="5" t="str">
        <f>IFERROR(__xludf.DUMMYFUNCTION("GOOGLETRANSLATE(D14, ""en"", ""hi"")"),"बी) मराठा साम्राज्य")</f>
        <v>बी) मराठा साम्राज्य</v>
      </c>
    </row>
    <row r="15" ht="22.5" customHeight="1">
      <c r="A15" s="10">
        <v>14.0</v>
      </c>
      <c r="B15" s="8" t="s">
        <v>10463</v>
      </c>
      <c r="C15" s="8" t="s">
        <v>10464</v>
      </c>
      <c r="D15" s="8" t="s">
        <v>4164</v>
      </c>
      <c r="F15" s="5" t="str">
        <f>IFERROR(__xludf.DUMMYFUNCTION("GOOGLETRANSLATE(A15, ""en"", ""hi"")"),"14")</f>
        <v>14</v>
      </c>
      <c r="G15" s="5" t="str">
        <f>IFERROR(__xludf.DUMMYFUNCTION("GOOGLETRANSLATE(B15, ""en"", ""hi"")"),"17वीं शताब्दी में मलखम्ब को लोकप्रिय बनाने का श्रेय किस भारतीय राजा को जाता है?")</f>
        <v>17वीं शताब्दी में मलखम्ब को लोकप्रिय बनाने का श्रेय किस भारतीय राजा को जाता है?</v>
      </c>
      <c r="H15" s="5" t="str">
        <f>IFERROR(__xludf.DUMMYFUNCTION("GOOGLETRANSLATE(C15, ""en"", ""hi"")"),"ए) शिवाजी महाराज, बी) अकबर, सी) औरंगजेब, डी) रणजीत सिंह")</f>
        <v>ए) शिवाजी महाराज, बी) अकबर, सी) औरंगजेब, डी) रणजीत सिंह</v>
      </c>
      <c r="I15" s="5" t="str">
        <f>IFERROR(__xludf.DUMMYFUNCTION("GOOGLETRANSLATE(D15, ""en"", ""hi"")"),"A) शिवाजी महाराज")</f>
        <v>A) शिवाजी महाराज</v>
      </c>
    </row>
    <row r="16" ht="22.5" customHeight="1">
      <c r="A16" s="10">
        <v>15.0</v>
      </c>
      <c r="B16" s="8" t="s">
        <v>10465</v>
      </c>
      <c r="C16" s="8" t="s">
        <v>10466</v>
      </c>
      <c r="D16" s="8" t="s">
        <v>3208</v>
      </c>
      <c r="F16" s="5" t="str">
        <f>IFERROR(__xludf.DUMMYFUNCTION("GOOGLETRANSLATE(A16, ""en"", ""hi"")"),"15")</f>
        <v>15</v>
      </c>
      <c r="G16" s="5" t="str">
        <f>IFERROR(__xludf.DUMMYFUNCTION("GOOGLETRANSLATE(B16, ""en"", ""hi"")"),"कौन सा ऐतिहासिक व्यक्ति अपनी सेना के प्रशिक्षण में मलखम्ब को शामिल करने के लिए जाना जाता है?")</f>
        <v>कौन सा ऐतिहासिक व्यक्ति अपनी सेना के प्रशिक्षण में मलखम्ब को शामिल करने के लिए जाना जाता है?</v>
      </c>
      <c r="H16" s="5" t="str">
        <f>IFERROR(__xludf.DUMMYFUNCTION("GOOGLETRANSLATE(C16, ""en"", ""hi"")"),"ए) महाराजा रणजीत सिंह, बी) शिवाजी महाराज, सी) चंद्रगुप्त मौर्य, डी) अशोक")</f>
        <v>ए) महाराजा रणजीत सिंह, बी) शिवाजी महाराज, सी) चंद्रगुप्त मौर्य, डी) अशोक</v>
      </c>
      <c r="I16" s="5" t="str">
        <f>IFERROR(__xludf.DUMMYFUNCTION("GOOGLETRANSLATE(D16, ""en"", ""hi"")"),"B) शिवाजी महाराज")</f>
        <v>B) शिवाजी महाराज</v>
      </c>
    </row>
    <row r="17" ht="22.5" customHeight="1">
      <c r="A17" s="10">
        <v>16.0</v>
      </c>
      <c r="B17" s="8" t="s">
        <v>10467</v>
      </c>
      <c r="C17" s="8" t="s">
        <v>221</v>
      </c>
      <c r="D17" s="8" t="s">
        <v>222</v>
      </c>
      <c r="F17" s="5" t="str">
        <f>IFERROR(__xludf.DUMMYFUNCTION("GOOGLETRANSLATE(A17, ""en"", ""hi"")"),"16")</f>
        <v>16</v>
      </c>
      <c r="G17" s="5" t="str">
        <f>IFERROR(__xludf.DUMMYFUNCTION("GOOGLETRANSLATE(B17, ""en"", ""hi"")"),"किस प्राचीन भारतीय महाकाव्य में मलखंभ के समान कलाबाजी का उल्लेख है?")</f>
        <v>किस प्राचीन भारतीय महाकाव्य में मलखंभ के समान कलाबाजी का उल्लेख है?</v>
      </c>
      <c r="H17" s="5" t="str">
        <f>IFERROR(__xludf.DUMMYFUNCTION("GOOGLETRANSLATE(C17, ""en"", ""hi"")"),"ए) महाभारत, बी) रामायण, सी) वेद, डी) पुराण")</f>
        <v>ए) महाभारत, बी) रामायण, सी) वेद, डी) पुराण</v>
      </c>
      <c r="I17" s="5" t="str">
        <f>IFERROR(__xludf.DUMMYFUNCTION("GOOGLETRANSLATE(D17, ""en"", ""hi"")"),"A) महाभारत")</f>
        <v>A) महाभारत</v>
      </c>
    </row>
    <row r="18" ht="22.5" customHeight="1">
      <c r="A18" s="10">
        <v>17.0</v>
      </c>
      <c r="B18" s="8" t="s">
        <v>10468</v>
      </c>
      <c r="C18" s="8" t="s">
        <v>10469</v>
      </c>
      <c r="D18" s="8" t="s">
        <v>2811</v>
      </c>
      <c r="F18" s="5" t="str">
        <f>IFERROR(__xludf.DUMMYFUNCTION("GOOGLETRANSLATE(A18, ""en"", ""hi"")"),"17")</f>
        <v>17</v>
      </c>
      <c r="G18" s="5" t="str">
        <f>IFERROR(__xludf.DUMMYFUNCTION("GOOGLETRANSLATE(B18, ""en"", ""hi"")"),"प्राचीन भारत में मलखम्ब का मूल उद्देश्य क्या था?")</f>
        <v>प्राचीन भारत में मलखम्ब का मूल उद्देश्य क्या था?</v>
      </c>
      <c r="H18" s="5" t="str">
        <f>IFERROR(__xludf.DUMMYFUNCTION("GOOGLETRANSLATE(C18, ""en"", ""hi"")"),"A) आध्यात्मिक प्रशिक्षण, B) सैन्य प्रशिक्षण, C) मनोरंजन, D) अनुष्ठानिक प्रथाएँ")</f>
        <v>A) आध्यात्मिक प्रशिक्षण, B) सैन्य प्रशिक्षण, C) मनोरंजन, D) अनुष्ठानिक प्रथाएँ</v>
      </c>
      <c r="I18" s="5" t="str">
        <f>IFERROR(__xludf.DUMMYFUNCTION("GOOGLETRANSLATE(D18, ""en"", ""hi"")"),"बी) सैन्य प्रशिक्षण")</f>
        <v>बी) सैन्य प्रशिक्षण</v>
      </c>
    </row>
    <row r="19" ht="22.5" customHeight="1">
      <c r="A19" s="10">
        <v>18.0</v>
      </c>
      <c r="B19" s="8" t="s">
        <v>10470</v>
      </c>
      <c r="C19" s="8" t="s">
        <v>10471</v>
      </c>
      <c r="D19" s="8" t="s">
        <v>10472</v>
      </c>
      <c r="F19" s="5" t="str">
        <f>IFERROR(__xludf.DUMMYFUNCTION("GOOGLETRANSLATE(A19, ""en"", ""hi"")"),"18")</f>
        <v>18</v>
      </c>
      <c r="G19" s="5" t="str">
        <f>IFERROR(__xludf.DUMMYFUNCTION("GOOGLETRANSLATE(B19, ""en"", ""hi"")"),"19वीं शताब्दी के अंत में किस महाराजा ने मलखम्ब को एक खेल के रूप में विकसित करने का समर्थन किया था?")</f>
        <v>19वीं शताब्दी के अंत में किस महाराजा ने मलखम्ब को एक खेल के रूप में विकसित करने का समर्थन किया था?</v>
      </c>
      <c r="H19" s="5" t="str">
        <f>IFERROR(__xludf.DUMMYFUNCTION("GOOGLETRANSLATE(C19, ""en"", ""hi"")"),"ए) शिवाजी महाराज, बी) जय सिंह, सी) रणजीत सिंह, डी) महादजी शिंदे")</f>
        <v>ए) शिवाजी महाराज, बी) जय सिंह, सी) रणजीत सिंह, डी) महादजी शिंदे</v>
      </c>
      <c r="I19" s="5" t="str">
        <f>IFERROR(__xludf.DUMMYFUNCTION("GOOGLETRANSLATE(D19, ""en"", ""hi"")"),"D) महादजी शिंदे")</f>
        <v>D) महादजी शिंदे</v>
      </c>
    </row>
    <row r="20" ht="22.5" customHeight="1">
      <c r="A20" s="10">
        <v>19.0</v>
      </c>
      <c r="B20" s="8" t="s">
        <v>10473</v>
      </c>
      <c r="C20" s="8" t="s">
        <v>8072</v>
      </c>
      <c r="D20" s="8" t="s">
        <v>485</v>
      </c>
      <c r="F20" s="5" t="str">
        <f>IFERROR(__xludf.DUMMYFUNCTION("GOOGLETRANSLATE(A20, ""en"", ""hi"")"),"19")</f>
        <v>19</v>
      </c>
      <c r="G20" s="5" t="str">
        <f>IFERROR(__xludf.DUMMYFUNCTION("GOOGLETRANSLATE(B20, ""en"", ""hi"")"),"अखिल भारतीय मलखम्ब महासंघ की स्थापना किस वर्ष हुई थी?")</f>
        <v>अखिल भारतीय मलखम्ब महासंघ की स्थापना किस वर्ष हुई थी?</v>
      </c>
      <c r="H20" s="5" t="str">
        <f>IFERROR(__xludf.DUMMYFUNCTION("GOOGLETRANSLATE(C20, ""en"", ""hi"")"),"ए) 1952, बी) 1960, सी) 1972, डी) 1980")</f>
        <v>ए) 1952, बी) 1960, सी) 1972, डी) 1980</v>
      </c>
      <c r="I20" s="5" t="str">
        <f>IFERROR(__xludf.DUMMYFUNCTION("GOOGLETRANSLATE(D20, ""en"", ""hi"")"),"सी) 1972")</f>
        <v>सी) 1972</v>
      </c>
    </row>
    <row r="21" ht="22.5" customHeight="1">
      <c r="A21" s="10">
        <v>20.0</v>
      </c>
      <c r="B21" s="8" t="s">
        <v>10474</v>
      </c>
      <c r="C21" s="8" t="s">
        <v>10475</v>
      </c>
      <c r="D21" s="8" t="s">
        <v>10476</v>
      </c>
      <c r="F21" s="5" t="str">
        <f>IFERROR(__xludf.DUMMYFUNCTION("GOOGLETRANSLATE(A21, ""en"", ""hi"")"),"20")</f>
        <v>20</v>
      </c>
      <c r="G21" s="5" t="str">
        <f>IFERROR(__xludf.DUMMYFUNCTION("GOOGLETRANSLATE(B21, ""en"", ""hi"")"),"कौन सा भारतीय त्यौहार अपने उत्सव के एक भाग के रूप में मलखम्ब प्रदर्शन के लिए जाना जाता है?")</f>
        <v>कौन सा भारतीय त्यौहार अपने उत्सव के एक भाग के रूप में मलखम्ब प्रदर्शन के लिए जाना जाता है?</v>
      </c>
      <c r="H21" s="5" t="str">
        <f>IFERROR(__xludf.DUMMYFUNCTION("GOOGLETRANSLATE(C21, ""en"", ""hi"")"),"ए) गणेश चतुर्थी, बी) दिवाली, सी) होली, डी) पोंगल")</f>
        <v>ए) गणेश चतुर्थी, बी) दिवाली, सी) होली, डी) पोंगल</v>
      </c>
      <c r="I21" s="5" t="str">
        <f>IFERROR(__xludf.DUMMYFUNCTION("GOOGLETRANSLATE(D21, ""en"", ""hi"")"),"A) गणेश चतुर्थी")</f>
        <v>A) गणेश चतुर्थी</v>
      </c>
    </row>
    <row r="22" ht="22.5" customHeight="1">
      <c r="A22" s="10">
        <v>21.0</v>
      </c>
      <c r="B22" s="8" t="s">
        <v>10477</v>
      </c>
      <c r="C22" s="8" t="s">
        <v>10478</v>
      </c>
      <c r="D22" s="8" t="s">
        <v>10479</v>
      </c>
      <c r="F22" s="5" t="str">
        <f>IFERROR(__xludf.DUMMYFUNCTION("GOOGLETRANSLATE(A22, ""en"", ""hi"")"),"21")</f>
        <v>21</v>
      </c>
      <c r="G22" s="5" t="str">
        <f>IFERROR(__xludf.DUMMYFUNCTION("GOOGLETRANSLATE(B22, ""en"", ""hi"")"),"मलखम्ब अभ्यास के लिए पारंपरिक रूप से किस प्रकार के डंडे का उपयोग किया जाता है?")</f>
        <v>मलखम्ब अभ्यास के लिए पारंपरिक रूप से किस प्रकार के डंडे का उपयोग किया जाता है?</v>
      </c>
      <c r="H22" s="5" t="str">
        <f>IFERROR(__xludf.DUMMYFUNCTION("GOOGLETRANSLATE(C22, ""en"", ""hi"")"),"A) धातु, B) प्लास्टिक, C) लकड़ी, D) बांस")</f>
        <v>A) धातु, B) प्लास्टिक, C) लकड़ी, D) बांस</v>
      </c>
      <c r="I22" s="5" t="str">
        <f>IFERROR(__xludf.DUMMYFUNCTION("GOOGLETRANSLATE(D22, ""en"", ""hi"")"),"C) लकड़ी")</f>
        <v>C) लकड़ी</v>
      </c>
    </row>
    <row r="23" ht="22.5" customHeight="1">
      <c r="A23" s="10">
        <v>22.0</v>
      </c>
      <c r="B23" s="8" t="s">
        <v>10480</v>
      </c>
      <c r="C23" s="8" t="s">
        <v>4075</v>
      </c>
      <c r="D23" s="8" t="s">
        <v>158</v>
      </c>
      <c r="F23" s="5" t="str">
        <f>IFERROR(__xludf.DUMMYFUNCTION("GOOGLETRANSLATE(A23, ""en"", ""hi"")"),"22")</f>
        <v>22</v>
      </c>
      <c r="G23" s="5" t="str">
        <f>IFERROR(__xludf.DUMMYFUNCTION("GOOGLETRANSLATE(B23, ""en"", ""hi"")"),"मलखम्ब के विकास के साथ किस भारतीय राज्य का महत्वपूर्ण ऐतिहासिक संबंध है?")</f>
        <v>मलखम्ब के विकास के साथ किस भारतीय राज्य का महत्वपूर्ण ऐतिहासिक संबंध है?</v>
      </c>
      <c r="H23" s="5" t="str">
        <f>IFERROR(__xludf.DUMMYFUNCTION("GOOGLETRANSLATE(C23, ""en"", ""hi"")"),"ए) महाराष्ट्र, बी) कर्नाटक, सी) तमिलनाडु, डी) आंध्र प्रदेश")</f>
        <v>ए) महाराष्ट्र, बी) कर्नाटक, सी) तमिलनाडु, डी) आंध्र प्रदेश</v>
      </c>
      <c r="I23" s="5" t="str">
        <f>IFERROR(__xludf.DUMMYFUNCTION("GOOGLETRANSLATE(D23, ""en"", ""hi"")"),"A) महाराष्ट्र")</f>
        <v>A) महाराष्ट्र</v>
      </c>
    </row>
    <row r="24" ht="22.5" customHeight="1">
      <c r="A24" s="10">
        <v>23.0</v>
      </c>
      <c r="B24" s="8" t="s">
        <v>10481</v>
      </c>
      <c r="C24" s="8" t="s">
        <v>10464</v>
      </c>
      <c r="D24" s="8" t="s">
        <v>4164</v>
      </c>
      <c r="F24" s="5" t="str">
        <f>IFERROR(__xludf.DUMMYFUNCTION("GOOGLETRANSLATE(A24, ""en"", ""hi"")"),"23")</f>
        <v>23</v>
      </c>
      <c r="G24" s="5" t="str">
        <f>IFERROR(__xludf.DUMMYFUNCTION("GOOGLETRANSLATE(B24, ""en"", ""hi"")"),"किस भारतीय राजा का नाम मलखंभ को शारीरिक प्रशिक्षण के रूप में औपचारिक रूप देने से जुड़ा है?")</f>
        <v>किस भारतीय राजा का नाम मलखंभ को शारीरिक प्रशिक्षण के रूप में औपचारिक रूप देने से जुड़ा है?</v>
      </c>
      <c r="H24" s="5" t="str">
        <f>IFERROR(__xludf.DUMMYFUNCTION("GOOGLETRANSLATE(C24, ""en"", ""hi"")"),"ए) शिवाजी महाराज, बी) अकबर, सी) औरंगजेब, डी) रणजीत सिंह")</f>
        <v>ए) शिवाजी महाराज, बी) अकबर, सी) औरंगजेब, डी) रणजीत सिंह</v>
      </c>
      <c r="I24" s="5" t="str">
        <f>IFERROR(__xludf.DUMMYFUNCTION("GOOGLETRANSLATE(D24, ""en"", ""hi"")"),"A) शिवाजी महाराज")</f>
        <v>A) शिवाजी महाराज</v>
      </c>
    </row>
    <row r="25" ht="22.5" customHeight="1">
      <c r="A25" s="10">
        <v>24.0</v>
      </c>
      <c r="B25" s="8" t="s">
        <v>10482</v>
      </c>
      <c r="C25" s="8" t="s">
        <v>10478</v>
      </c>
      <c r="D25" s="8" t="s">
        <v>10479</v>
      </c>
      <c r="F25" s="5" t="str">
        <f>IFERROR(__xludf.DUMMYFUNCTION("GOOGLETRANSLATE(A25, ""en"", ""hi"")"),"24")</f>
        <v>24</v>
      </c>
      <c r="G25" s="5" t="str">
        <f>IFERROR(__xludf.DUMMYFUNCTION("GOOGLETRANSLATE(B25, ""en"", ""hi"")"),"मलखम्ब स्तंभ बनाने के लिए प्रयुक्त प्राथमिक सामग्री क्या है?")</f>
        <v>मलखम्ब स्तंभ बनाने के लिए प्रयुक्त प्राथमिक सामग्री क्या है?</v>
      </c>
      <c r="H25" s="5" t="str">
        <f>IFERROR(__xludf.DUMMYFUNCTION("GOOGLETRANSLATE(C25, ""en"", ""hi"")"),"A) धातु, B) प्लास्टिक, C) लकड़ी, D) बांस")</f>
        <v>A) धातु, B) प्लास्टिक, C) लकड़ी, D) बांस</v>
      </c>
      <c r="I25" s="5" t="str">
        <f>IFERROR(__xludf.DUMMYFUNCTION("GOOGLETRANSLATE(D25, ""en"", ""hi"")"),"C) लकड़ी")</f>
        <v>C) लकड़ी</v>
      </c>
    </row>
    <row r="26" ht="22.5" customHeight="1">
      <c r="A26" s="10">
        <v>25.0</v>
      </c>
      <c r="B26" s="8" t="s">
        <v>10483</v>
      </c>
      <c r="C26" s="8" t="s">
        <v>10484</v>
      </c>
      <c r="D26" s="8" t="s">
        <v>10485</v>
      </c>
      <c r="F26" s="5" t="str">
        <f>IFERROR(__xludf.DUMMYFUNCTION("GOOGLETRANSLATE(A26, ""en"", ""hi"")"),"25")</f>
        <v>25</v>
      </c>
      <c r="G26" s="5" t="str">
        <f>IFERROR(__xludf.DUMMYFUNCTION("GOOGLETRANSLATE(B26, ""en"", ""hi"")"),"प्राचीन भारत के किस ग्रंथ में मलखंभ जैसे शारीरिक प्रशिक्षण का वर्णन है?")</f>
        <v>प्राचीन भारत के किस ग्रंथ में मलखंभ जैसे शारीरिक प्रशिक्षण का वर्णन है?</v>
      </c>
      <c r="H26" s="5" t="str">
        <f>IFERROR(__xludf.DUMMYFUNCTION("GOOGLETRANSLATE(C26, ""en"", ""hi"")"),"ए) योग सूत्र, बी) वेद, सी) मनुस्मृति, डी) भगवद गीता")</f>
        <v>ए) योग सूत्र, बी) वेद, सी) मनुस्मृति, डी) भगवद गीता</v>
      </c>
      <c r="I26" s="5" t="str">
        <f>IFERROR(__xludf.DUMMYFUNCTION("GOOGLETRANSLATE(D26, ""en"", ""hi"")"),"बी) वेद")</f>
        <v>बी) वेद</v>
      </c>
    </row>
    <row r="27" ht="22.5" customHeight="1">
      <c r="A27" s="10">
        <v>26.0</v>
      </c>
      <c r="B27" s="8" t="s">
        <v>10486</v>
      </c>
      <c r="C27" s="8" t="s">
        <v>10487</v>
      </c>
      <c r="D27" s="8" t="s">
        <v>10488</v>
      </c>
      <c r="F27" s="5" t="str">
        <f>IFERROR(__xludf.DUMMYFUNCTION("GOOGLETRANSLATE(A27, ""en"", ""hi"")"),"26")</f>
        <v>26</v>
      </c>
      <c r="G27" s="5" t="str">
        <f>IFERROR(__xludf.DUMMYFUNCTION("GOOGLETRANSLATE(B27, ""en"", ""hi"")"),"पारंपरिक प्रथा में मलखंभ स्तंभ की ऊंचाई का क्या महत्व है?")</f>
        <v>पारंपरिक प्रथा में मलखंभ स्तंभ की ऊंचाई का क्या महत्व है?</v>
      </c>
      <c r="H27" s="5" t="str">
        <f>IFERROR(__xludf.DUMMYFUNCTION("GOOGLETRANSLATE(C27, ""en"", ""hi"")"),"A) यह कठिनाई स्तर निर्धारित करता है, B) यह एक मानक माप है, C) यह आध्यात्मिक उपलब्धि का प्रतीक है, D) यह शक्ति का प्रतीक है")</f>
        <v>A) यह कठिनाई स्तर निर्धारित करता है, B) यह एक मानक माप है, C) यह आध्यात्मिक उपलब्धि का प्रतीक है, D) यह शक्ति का प्रतीक है</v>
      </c>
      <c r="I27" s="5" t="str">
        <f>IFERROR(__xludf.DUMMYFUNCTION("GOOGLETRANSLATE(D27, ""en"", ""hi"")"),"A) यह कठिनाई स्तर निर्धारित करता है")</f>
        <v>A) यह कठिनाई स्तर निर्धारित करता है</v>
      </c>
    </row>
    <row r="28" ht="22.5" customHeight="1">
      <c r="A28" s="10">
        <v>27.0</v>
      </c>
      <c r="B28" s="8" t="s">
        <v>10489</v>
      </c>
      <c r="C28" s="8" t="s">
        <v>10490</v>
      </c>
      <c r="D28" s="8" t="s">
        <v>3611</v>
      </c>
      <c r="F28" s="5" t="str">
        <f>IFERROR(__xludf.DUMMYFUNCTION("GOOGLETRANSLATE(A28, ""en"", ""hi"")"),"27")</f>
        <v>27</v>
      </c>
      <c r="G28" s="5" t="str">
        <f>IFERROR(__xludf.DUMMYFUNCTION("GOOGLETRANSLATE(B28, ""en"", ""hi"")"),"किस ऐतिहासिक काल में सैन्य प्रशिक्षण के लिए मलखम्ब सर्वाधिक लोकप्रिय था?")</f>
        <v>किस ऐतिहासिक काल में सैन्य प्रशिक्षण के लिए मलखम्ब सर्वाधिक लोकप्रिय था?</v>
      </c>
      <c r="H28" s="5" t="str">
        <f>IFERROR(__xludf.DUMMYFUNCTION("GOOGLETRANSLATE(C28, ""en"", ""hi"")"),"A) गुप्त साम्राज्य, B) मराठा साम्राज्य, C) मुगल साम्राज्य, D) ब्रिटिश राज")</f>
        <v>A) गुप्त साम्राज्य, B) मराठा साम्राज्य, C) मुगल साम्राज्य, D) ब्रिटिश राज</v>
      </c>
      <c r="I28" s="5" t="str">
        <f>IFERROR(__xludf.DUMMYFUNCTION("GOOGLETRANSLATE(D28, ""en"", ""hi"")"),"बी) मराठा साम्राज्य")</f>
        <v>बी) मराठा साम्राज्य</v>
      </c>
    </row>
    <row r="29" ht="22.5" customHeight="1">
      <c r="A29" s="10">
        <v>28.0</v>
      </c>
      <c r="B29" s="8" t="s">
        <v>10491</v>
      </c>
      <c r="C29" s="8" t="s">
        <v>10492</v>
      </c>
      <c r="D29" s="8" t="s">
        <v>2544</v>
      </c>
      <c r="F29" s="5" t="str">
        <f>IFERROR(__xludf.DUMMYFUNCTION("GOOGLETRANSLATE(A29, ""en"", ""hi"")"),"28")</f>
        <v>28</v>
      </c>
      <c r="G29" s="5" t="str">
        <f>IFERROR(__xludf.DUMMYFUNCTION("GOOGLETRANSLATE(B29, ""en"", ""hi"")"),"किस भारतीय महाकाव्य में मलखंभ जैसी कलाबाजी का उल्लेख मिलता है?")</f>
        <v>किस भारतीय महाकाव्य में मलखंभ जैसी कलाबाजी का उल्लेख मिलता है?</v>
      </c>
      <c r="H29" s="5" t="str">
        <f>IFERROR(__xludf.DUMMYFUNCTION("GOOGLETRANSLATE(C29, ""en"", ""hi"")"),"ए) रामायण, बी) महाभारत, सी) पुराण, डी) वेद")</f>
        <v>ए) रामायण, बी) महाभारत, सी) पुराण, डी) वेद</v>
      </c>
      <c r="I29" s="5" t="str">
        <f>IFERROR(__xludf.DUMMYFUNCTION("GOOGLETRANSLATE(D29, ""en"", ""hi"")"),"बी) महाभारत")</f>
        <v>बी) महाभारत</v>
      </c>
    </row>
    <row r="30" ht="22.5" customHeight="1">
      <c r="A30" s="10">
        <v>29.0</v>
      </c>
      <c r="B30" s="8" t="s">
        <v>10493</v>
      </c>
      <c r="C30" s="8" t="s">
        <v>10494</v>
      </c>
      <c r="D30" s="8" t="s">
        <v>10472</v>
      </c>
      <c r="F30" s="5" t="str">
        <f>IFERROR(__xludf.DUMMYFUNCTION("GOOGLETRANSLATE(A30, ""en"", ""hi"")"),"29")</f>
        <v>29</v>
      </c>
      <c r="G30" s="5" t="str">
        <f>IFERROR(__xludf.DUMMYFUNCTION("GOOGLETRANSLATE(B30, ""en"", ""hi"")"),"18वीं शताब्दी में किस महाराजा ने मलखम्ब को पारंपरिक शारीरिक शिक्षा के एक भाग के रूप में बढ़ावा दिया?")</f>
        <v>18वीं शताब्दी में किस महाराजा ने मलखम्ब को पारंपरिक शारीरिक शिक्षा के एक भाग के रूप में बढ़ावा दिया?</v>
      </c>
      <c r="H30" s="5" t="str">
        <f>IFERROR(__xludf.DUMMYFUNCTION("GOOGLETRANSLATE(C30, ""en"", ""hi"")"),"ए) शिवाजी महाराज, बी) रणजीत सिंह, सी) जय सिंह, डी) महादजी शिंदे")</f>
        <v>ए) शिवाजी महाराज, बी) रणजीत सिंह, सी) जय सिंह, डी) महादजी शिंदे</v>
      </c>
      <c r="I30" s="5" t="str">
        <f>IFERROR(__xludf.DUMMYFUNCTION("GOOGLETRANSLATE(D30, ""en"", ""hi"")"),"D) महादजी शिंदे")</f>
        <v>D) महादजी शिंदे</v>
      </c>
    </row>
    <row r="31" ht="22.5" customHeight="1">
      <c r="A31" s="10">
        <v>30.0</v>
      </c>
      <c r="B31" s="8" t="s">
        <v>10495</v>
      </c>
      <c r="C31" s="8" t="s">
        <v>3995</v>
      </c>
      <c r="D31" s="8" t="s">
        <v>2616</v>
      </c>
      <c r="F31" s="5" t="str">
        <f>IFERROR(__xludf.DUMMYFUNCTION("GOOGLETRANSLATE(A31, ""en"", ""hi"")"),"30")</f>
        <v>30</v>
      </c>
      <c r="G31" s="5" t="str">
        <f>IFERROR(__xludf.DUMMYFUNCTION("GOOGLETRANSLATE(B31, ""en"", ""hi"")"),"प्राचीन भारत का कौन सा ग्रंथ मलखंभ के समान प्रारंभिक कलाबाजी प्रशिक्षण का प्रमाण प्रदान करता है?")</f>
        <v>प्राचीन भारत का कौन सा ग्रंथ मलखंभ के समान प्रारंभिक कलाबाजी प्रशिक्षण का प्रमाण प्रदान करता है?</v>
      </c>
      <c r="H31" s="5" t="str">
        <f>IFERROR(__xludf.DUMMYFUNCTION("GOOGLETRANSLATE(C31, ""en"", ""hi"")"),"ए) अर्थशास्त्र, बी) मनुस्मृति, सी) रामायण, डी) महाभारत")</f>
        <v>ए) अर्थशास्त्र, बी) मनुस्मृति, सी) रामायण, डी) महाभारत</v>
      </c>
      <c r="I31" s="5" t="str">
        <f>IFERROR(__xludf.DUMMYFUNCTION("GOOGLETRANSLATE(D31, ""en"", ""hi"")"),"A) अर्थशास्त्र")</f>
        <v>A) अर्थशास्त्र</v>
      </c>
    </row>
    <row r="32" ht="22.5" customHeight="1">
      <c r="A32" s="10">
        <v>31.0</v>
      </c>
      <c r="B32" s="8" t="s">
        <v>10496</v>
      </c>
      <c r="C32" s="8" t="s">
        <v>10456</v>
      </c>
      <c r="D32" s="8" t="s">
        <v>10457</v>
      </c>
      <c r="F32" s="5" t="str">
        <f>IFERROR(__xludf.DUMMYFUNCTION("GOOGLETRANSLATE(A32, ""en"", ""hi"")"),"31")</f>
        <v>31</v>
      </c>
      <c r="G32" s="5" t="str">
        <f>IFERROR(__xludf.DUMMYFUNCTION("GOOGLETRANSLATE(B32, ""en"", ""hi"")"),"समकालीन अभ्यास में प्रयुक्त मलखम्ब पोल की सामान्य ऊंचाई कितनी है?")</f>
        <v>समकालीन अभ्यास में प्रयुक्त मलखम्ब पोल की सामान्य ऊंचाई कितनी है?</v>
      </c>
      <c r="H32" s="5" t="str">
        <f>IFERROR(__xludf.DUMMYFUNCTION("GOOGLETRANSLATE(C32, ""en"", ""hi"")"),"A) 10 फीट, B) 12 फीट, C) 15 फीट, D) 20 फीट")</f>
        <v>A) 10 फीट, B) 12 फीट, C) 15 फीट, D) 20 फीट</v>
      </c>
      <c r="I32" s="5" t="str">
        <f>IFERROR(__xludf.DUMMYFUNCTION("GOOGLETRANSLATE(D32, ""en"", ""hi"")"),"सी) 15 फीट")</f>
        <v>सी) 15 फीट</v>
      </c>
    </row>
    <row r="33" ht="22.5" customHeight="1">
      <c r="A33" s="10">
        <v>32.0</v>
      </c>
      <c r="B33" s="8" t="s">
        <v>10497</v>
      </c>
      <c r="C33" s="8" t="s">
        <v>10498</v>
      </c>
      <c r="D33" s="8" t="s">
        <v>4164</v>
      </c>
      <c r="F33" s="5" t="str">
        <f>IFERROR(__xludf.DUMMYFUNCTION("GOOGLETRANSLATE(A33, ""en"", ""hi"")"),"32")</f>
        <v>32</v>
      </c>
      <c r="G33" s="5" t="str">
        <f>IFERROR(__xludf.DUMMYFUNCTION("GOOGLETRANSLATE(B33, ""en"", ""hi"")"),"किस भारतीय राजा का नाम अपनी सेना के सैन्य प्रशिक्षण में मलखम्ब को शामिल करने से जुड़ा है?")</f>
        <v>किस भारतीय राजा का नाम अपनी सेना के सैन्य प्रशिक्षण में मलखम्ब को शामिल करने से जुड़ा है?</v>
      </c>
      <c r="H33" s="5" t="str">
        <f>IFERROR(__xludf.DUMMYFUNCTION("GOOGLETRANSLATE(C33, ""en"", ""hi"")"),"ए) शिवाजी महाराज, बी) अकबर, सी) चंद्रगुप्त मौर्य, डी) अशोक")</f>
        <v>ए) शिवाजी महाराज, बी) अकबर, सी) चंद्रगुप्त मौर्य, डी) अशोक</v>
      </c>
      <c r="I33" s="5" t="str">
        <f>IFERROR(__xludf.DUMMYFUNCTION("GOOGLETRANSLATE(D33, ""en"", ""hi"")"),"A) शिवाजी महाराज")</f>
        <v>A) शिवाजी महाराज</v>
      </c>
    </row>
    <row r="34" ht="22.5" customHeight="1">
      <c r="A34" s="10">
        <v>33.0</v>
      </c>
      <c r="B34" s="8" t="s">
        <v>10499</v>
      </c>
      <c r="C34" s="8" t="s">
        <v>10500</v>
      </c>
      <c r="D34" s="8" t="s">
        <v>10501</v>
      </c>
      <c r="F34" s="5" t="str">
        <f>IFERROR(__xludf.DUMMYFUNCTION("GOOGLETRANSLATE(A34, ""en"", ""hi"")"),"33")</f>
        <v>33</v>
      </c>
      <c r="G34" s="5" t="str">
        <f>IFERROR(__xludf.DUMMYFUNCTION("GOOGLETRANSLATE(B34, ""en"", ""hi"")"),"कौन सा आधुनिक भारतीय खेल पारंपरिक मलखम्ब प्रथाओं से विकसित हुआ है?")</f>
        <v>कौन सा आधुनिक भारतीय खेल पारंपरिक मलखम्ब प्रथाओं से विकसित हुआ है?</v>
      </c>
      <c r="H34" s="5" t="str">
        <f>IFERROR(__xludf.DUMMYFUNCTION("GOOGLETRANSLATE(C34, ""en"", ""hi"")"),"ए) जिम्नास्टिक, बी) कलारीपयट्टू, सी) योग, डी) कुश्ती")</f>
        <v>ए) जिम्नास्टिक, बी) कलारीपयट्टू, सी) योग, डी) कुश्ती</v>
      </c>
      <c r="I34" s="5" t="str">
        <f>IFERROR(__xludf.DUMMYFUNCTION("GOOGLETRANSLATE(D34, ""en"", ""hi"")"),"ए) जिम्नास्टिक")</f>
        <v>ए) जिम्नास्टिक</v>
      </c>
    </row>
    <row r="35" ht="22.5" customHeight="1">
      <c r="A35" s="10">
        <v>34.0</v>
      </c>
      <c r="B35" s="8" t="s">
        <v>10502</v>
      </c>
      <c r="C35" s="8" t="s">
        <v>10503</v>
      </c>
      <c r="D35" s="8" t="s">
        <v>4164</v>
      </c>
      <c r="F35" s="5" t="str">
        <f>IFERROR(__xludf.DUMMYFUNCTION("GOOGLETRANSLATE(A35, ""en"", ""hi"")"),"34")</f>
        <v>34</v>
      </c>
      <c r="G35" s="5" t="str">
        <f>IFERROR(__xludf.DUMMYFUNCTION("GOOGLETRANSLATE(B35, ""en"", ""hi"")"),"किस भारतीय राजा को मलखम्ब को एक प्रतिस्पर्धी खेल के रूप में औपचारिक रूप देने में उनके योगदान के लिए जाना जाता था?")</f>
        <v>किस भारतीय राजा को मलखम्ब को एक प्रतिस्पर्धी खेल के रूप में औपचारिक रूप देने में उनके योगदान के लिए जाना जाता था?</v>
      </c>
      <c r="H35" s="5" t="str">
        <f>IFERROR(__xludf.DUMMYFUNCTION("GOOGLETRANSLATE(C35, ""en"", ""hi"")"),"ए) शिवाजी महाराज, बी) अकबर, सी) औरंगजेब, डी) चंद्रगुप्त मौर्य")</f>
        <v>ए) शिवाजी महाराज, बी) अकबर, सी) औरंगजेब, डी) चंद्रगुप्त मौर्य</v>
      </c>
      <c r="I35" s="5" t="str">
        <f>IFERROR(__xludf.DUMMYFUNCTION("GOOGLETRANSLATE(D35, ""en"", ""hi"")"),"A) शिवाजी महाराज")</f>
        <v>A) शिवाजी महाराज</v>
      </c>
    </row>
    <row r="36" ht="22.5" customHeight="1">
      <c r="A36" s="10">
        <v>35.0</v>
      </c>
      <c r="B36" s="8" t="s">
        <v>10504</v>
      </c>
      <c r="C36" s="8" t="s">
        <v>10505</v>
      </c>
      <c r="D36" s="8" t="s">
        <v>158</v>
      </c>
      <c r="F36" s="5" t="str">
        <f>IFERROR(__xludf.DUMMYFUNCTION("GOOGLETRANSLATE(A36, ""en"", ""hi"")"),"35")</f>
        <v>35</v>
      </c>
      <c r="G36" s="5" t="str">
        <f>IFERROR(__xludf.DUMMYFUNCTION("GOOGLETRANSLATE(B36, ""en"", ""hi"")"),"अखिल भारतीय मलखम्ब महासंघ की स्थापना भारत के किस राज्य में की गई थी?")</f>
        <v>अखिल भारतीय मलखम्ब महासंघ की स्थापना भारत के किस राज्य में की गई थी?</v>
      </c>
      <c r="H36" s="5" t="str">
        <f>IFERROR(__xludf.DUMMYFUNCTION("GOOGLETRANSLATE(C36, ""en"", ""hi"")"),"ए) महाराष्ट्र, बी) गुजरात, सी) कर्नाटक, डी) राजस्थान")</f>
        <v>ए) महाराष्ट्र, बी) गुजरात, सी) कर्नाटक, डी) राजस्थान</v>
      </c>
      <c r="I36" s="5" t="str">
        <f>IFERROR(__xludf.DUMMYFUNCTION("GOOGLETRANSLATE(D36, ""en"", ""hi"")"),"A) महाराष्ट्र")</f>
        <v>A) महाराष्ट्र</v>
      </c>
    </row>
    <row r="37" ht="22.5" customHeight="1">
      <c r="A37" s="10">
        <v>36.0</v>
      </c>
      <c r="B37" s="8" t="s">
        <v>10506</v>
      </c>
      <c r="C37" s="8" t="s">
        <v>10507</v>
      </c>
      <c r="D37" s="8" t="s">
        <v>10508</v>
      </c>
      <c r="F37" s="5" t="str">
        <f>IFERROR(__xludf.DUMMYFUNCTION("GOOGLETRANSLATE(A37, ""en"", ""hi"")"),"36")</f>
        <v>36</v>
      </c>
      <c r="G37" s="5" t="str">
        <f>IFERROR(__xludf.DUMMYFUNCTION("GOOGLETRANSLATE(B37, ""en"", ""hi"")"),"समकालीन समय में मलखम्ब का प्राथमिक उद्देश्य क्या है?")</f>
        <v>समकालीन समय में मलखम्ब का प्राथमिक उद्देश्य क्या है?</v>
      </c>
      <c r="H37" s="5" t="str">
        <f>IFERROR(__xludf.DUMMYFUNCTION("GOOGLETRANSLATE(C37, ""en"", ""hi"")"),"A) प्रतिस्पर्धी खेल, B) शारीरिक शिक्षा, C) अनुष्ठानिक अभ्यास, D) मनोरंजन")</f>
        <v>A) प्रतिस्पर्धी खेल, B) शारीरिक शिक्षा, C) अनुष्ठानिक अभ्यास, D) मनोरंजन</v>
      </c>
      <c r="I37" s="5" t="str">
        <f>IFERROR(__xludf.DUMMYFUNCTION("GOOGLETRANSLATE(D37, ""en"", ""hi"")"),"बी) शारीरिक शिक्षा")</f>
        <v>बी) शारीरिक शिक्षा</v>
      </c>
    </row>
    <row r="38" ht="22.5" customHeight="1">
      <c r="A38" s="10">
        <v>37.0</v>
      </c>
      <c r="B38" s="8" t="s">
        <v>10509</v>
      </c>
      <c r="C38" s="8" t="s">
        <v>10510</v>
      </c>
      <c r="D38" s="8" t="s">
        <v>4164</v>
      </c>
      <c r="F38" s="5" t="str">
        <f>IFERROR(__xludf.DUMMYFUNCTION("GOOGLETRANSLATE(A38, ""en"", ""hi"")"),"37")</f>
        <v>37</v>
      </c>
      <c r="G38" s="5" t="str">
        <f>IFERROR(__xludf.DUMMYFUNCTION("GOOGLETRANSLATE(B38, ""en"", ""hi"")"),"17वीं शताब्दी के दौरान मलखम्ब को लोकप्रिय बनाने के लिए किस भारतीय राजा को जाना जाता है?")</f>
        <v>17वीं शताब्दी के दौरान मलखम्ब को लोकप्रिय बनाने के लिए किस भारतीय राजा को जाना जाता है?</v>
      </c>
      <c r="H38" s="5" t="str">
        <f>IFERROR(__xludf.DUMMYFUNCTION("GOOGLETRANSLATE(C38, ""en"", ""hi"")"),"ए) शिवाजी महाराज, बी) अकबर, सी) औरंगजेब, डी) राणा प्रताप")</f>
        <v>ए) शिवाजी महाराज, बी) अकबर, सी) औरंगजेब, डी) राणा प्रताप</v>
      </c>
      <c r="I38" s="5" t="str">
        <f>IFERROR(__xludf.DUMMYFUNCTION("GOOGLETRANSLATE(D38, ""en"", ""hi"")"),"A) शिवाजी महाराज")</f>
        <v>A) शिवाजी महाराज</v>
      </c>
    </row>
    <row r="39" ht="22.5" customHeight="1">
      <c r="A39" s="10">
        <v>38.0</v>
      </c>
      <c r="B39" s="8" t="s">
        <v>10511</v>
      </c>
      <c r="C39" s="8" t="s">
        <v>10512</v>
      </c>
      <c r="D39" s="8" t="s">
        <v>10513</v>
      </c>
      <c r="F39" s="5" t="str">
        <f>IFERROR(__xludf.DUMMYFUNCTION("GOOGLETRANSLATE(A39, ""en"", ""hi"")"),"38")</f>
        <v>38</v>
      </c>
      <c r="G39" s="5" t="str">
        <f>IFERROR(__xludf.DUMMYFUNCTION("GOOGLETRANSLATE(B39, ""en"", ""hi"")"),"किस प्रकार के मलखम्ब में रस्सी से लटककर गतिविधियां की जाती हैं?")</f>
        <v>किस प्रकार के मलखम्ब में रस्सी से लटककर गतिविधियां की जाती हैं?</v>
      </c>
      <c r="H39" s="5" t="str">
        <f>IFERROR(__xludf.DUMMYFUNCTION("GOOGLETRANSLATE(C39, ""en"", ""hi"")"),"A) रस्सी चढ़ना, B) हवाई मलखम्ब, C) रस्सी कलाबाजी, D) रस्सी दिनचर्या")</f>
        <v>A) रस्सी चढ़ना, B) हवाई मलखम्ब, C) रस्सी कलाबाजी, D) रस्सी दिनचर्या</v>
      </c>
      <c r="I39" s="5" t="str">
        <f>IFERROR(__xludf.DUMMYFUNCTION("GOOGLETRANSLATE(D39, ""en"", ""hi"")"),"बी) हवाई मलखंभ")</f>
        <v>बी) हवाई मलखंभ</v>
      </c>
    </row>
    <row r="40" ht="22.5" customHeight="1">
      <c r="A40" s="10">
        <v>39.0</v>
      </c>
      <c r="B40" s="8" t="s">
        <v>10514</v>
      </c>
      <c r="C40" s="8" t="s">
        <v>10475</v>
      </c>
      <c r="D40" s="8" t="s">
        <v>10476</v>
      </c>
      <c r="F40" s="5" t="str">
        <f>IFERROR(__xludf.DUMMYFUNCTION("GOOGLETRANSLATE(A40, ""en"", ""hi"")"),"39")</f>
        <v>39</v>
      </c>
      <c r="G40" s="5" t="str">
        <f>IFERROR(__xludf.DUMMYFUNCTION("GOOGLETRANSLATE(B40, ""en"", ""hi"")"),"कौन सा भारतीय त्यौहार अपने उत्सव के एक भाग के रूप में मलखम्ब प्रदर्शन के लिए जाना जाता है?")</f>
        <v>कौन सा भारतीय त्यौहार अपने उत्सव के एक भाग के रूप में मलखम्ब प्रदर्शन के लिए जाना जाता है?</v>
      </c>
      <c r="H40" s="5" t="str">
        <f>IFERROR(__xludf.DUMMYFUNCTION("GOOGLETRANSLATE(C40, ""en"", ""hi"")"),"ए) गणेश चतुर्थी, बी) दिवाली, सी) होली, डी) पोंगल")</f>
        <v>ए) गणेश चतुर्थी, बी) दिवाली, सी) होली, डी) पोंगल</v>
      </c>
      <c r="I40" s="5" t="str">
        <f>IFERROR(__xludf.DUMMYFUNCTION("GOOGLETRANSLATE(D40, ""en"", ""hi"")"),"A) गणेश चतुर्थी")</f>
        <v>A) गणेश चतुर्थी</v>
      </c>
    </row>
    <row r="41" ht="22.5" customHeight="1">
      <c r="A41" s="10">
        <v>40.0</v>
      </c>
      <c r="B41" s="8" t="s">
        <v>10515</v>
      </c>
      <c r="C41" s="8" t="s">
        <v>10456</v>
      </c>
      <c r="D41" s="8" t="s">
        <v>10457</v>
      </c>
      <c r="F41" s="5" t="str">
        <f>IFERROR(__xludf.DUMMYFUNCTION("GOOGLETRANSLATE(A41, ""en"", ""hi"")"),"40")</f>
        <v>40</v>
      </c>
      <c r="G41" s="5" t="str">
        <f>IFERROR(__xludf.DUMMYFUNCTION("GOOGLETRANSLATE(B41, ""en"", ""hi"")"),"प्रतियोगिताओं में प्रयुक्त मलखम्ब पोल की पारंपरिक ऊंचाई कितनी है?")</f>
        <v>प्रतियोगिताओं में प्रयुक्त मलखम्ब पोल की पारंपरिक ऊंचाई कितनी है?</v>
      </c>
      <c r="H41" s="5" t="str">
        <f>IFERROR(__xludf.DUMMYFUNCTION("GOOGLETRANSLATE(C41, ""en"", ""hi"")"),"A) 10 फीट, B) 12 फीट, C) 15 फीट, D) 20 फीट")</f>
        <v>A) 10 फीट, B) 12 फीट, C) 15 फीट, D) 20 फीट</v>
      </c>
      <c r="I41" s="5" t="str">
        <f>IFERROR(__xludf.DUMMYFUNCTION("GOOGLETRANSLATE(D41, ""en"", ""hi"")"),"सी) 15 फीट")</f>
        <v>सी) 15 फीट</v>
      </c>
    </row>
    <row r="42" ht="22.5" customHeight="1">
      <c r="A42" s="10">
        <v>41.0</v>
      </c>
      <c r="B42" s="8" t="s">
        <v>10516</v>
      </c>
      <c r="C42" s="8" t="s">
        <v>10517</v>
      </c>
      <c r="D42" s="8" t="s">
        <v>3012</v>
      </c>
      <c r="F42" s="5" t="str">
        <f>IFERROR(__xludf.DUMMYFUNCTION("GOOGLETRANSLATE(A42, ""en"", ""hi"")"),"41")</f>
        <v>41</v>
      </c>
      <c r="G42" s="5" t="str">
        <f>IFERROR(__xludf.DUMMYFUNCTION("GOOGLETRANSLATE(B42, ""en"", ""hi"")"),"पारंपरिक मलखम्ब प्रशिक्षण का प्राथमिक फोकस क्या है?")</f>
        <v>पारंपरिक मलखम्ब प्रशिक्षण का प्राथमिक फोकस क्या है?</v>
      </c>
      <c r="H42" s="5" t="str">
        <f>IFERROR(__xludf.DUMMYFUNCTION("GOOGLETRANSLATE(C42, ""en"", ""hi"")"),"A) ताकत, B) लचीलापन, C) गति, D) समन्वय")</f>
        <v>A) ताकत, B) लचीलापन, C) गति, D) समन्वय</v>
      </c>
      <c r="I42" s="5" t="str">
        <f>IFERROR(__xludf.DUMMYFUNCTION("GOOGLETRANSLATE(D42, ""en"", ""hi"")"),"ए) ताकत")</f>
        <v>ए) ताकत</v>
      </c>
    </row>
    <row r="43" ht="22.5" customHeight="1">
      <c r="A43" s="10">
        <v>42.0</v>
      </c>
      <c r="B43" s="8" t="s">
        <v>10518</v>
      </c>
      <c r="C43" s="8" t="s">
        <v>10519</v>
      </c>
      <c r="D43" s="8" t="s">
        <v>10431</v>
      </c>
      <c r="F43" s="5" t="str">
        <f>IFERROR(__xludf.DUMMYFUNCTION("GOOGLETRANSLATE(A43, ""en"", ""hi"")"),"42")</f>
        <v>42</v>
      </c>
      <c r="G43" s="5" t="str">
        <f>IFERROR(__xludf.DUMMYFUNCTION("GOOGLETRANSLATE(B43, ""en"", ""hi"")"),"प्राचीन काल के किस भारतीय ग्रंथ में मलखंभ के समान शारीरिक प्रशिक्षण का वर्णन किया गया है?")</f>
        <v>प्राचीन काल के किस भारतीय ग्रंथ में मलखंभ के समान शारीरिक प्रशिक्षण का वर्णन किया गया है?</v>
      </c>
      <c r="H43" s="5" t="str">
        <f>IFERROR(__xludf.DUMMYFUNCTION("GOOGLETRANSLATE(C43, ""en"", ""hi"")"),"ए) योग सूत्र, बी) मनुस्मृति, सी) वेद, डी) रामायण")</f>
        <v>ए) योग सूत्र, बी) मनुस्मृति, सी) वेद, डी) रामायण</v>
      </c>
      <c r="I43" s="5" t="str">
        <f>IFERROR(__xludf.DUMMYFUNCTION("GOOGLETRANSLATE(D43, ""en"", ""hi"")"),"C) वेद")</f>
        <v>C) वेद</v>
      </c>
    </row>
    <row r="44" ht="22.5" customHeight="1">
      <c r="A44" s="10">
        <v>43.0</v>
      </c>
      <c r="B44" s="8" t="s">
        <v>10520</v>
      </c>
      <c r="C44" s="8" t="s">
        <v>10471</v>
      </c>
      <c r="D44" s="8" t="s">
        <v>10472</v>
      </c>
      <c r="F44" s="5" t="str">
        <f>IFERROR(__xludf.DUMMYFUNCTION("GOOGLETRANSLATE(A44, ""en"", ""hi"")"),"43")</f>
        <v>43</v>
      </c>
      <c r="G44" s="5" t="str">
        <f>IFERROR(__xludf.DUMMYFUNCTION("GOOGLETRANSLATE(B44, ""en"", ""hi"")"),"मलखम्ब को एक खेल के रूप में विकसित करने का श्रेय किस महाराजा को दिया जाता है?")</f>
        <v>मलखम्ब को एक खेल के रूप में विकसित करने का श्रेय किस महाराजा को दिया जाता है?</v>
      </c>
      <c r="H44" s="5" t="str">
        <f>IFERROR(__xludf.DUMMYFUNCTION("GOOGLETRANSLATE(C44, ""en"", ""hi"")"),"ए) शिवाजी महाराज, बी) जय सिंह, सी) रणजीत सिंह, डी) महादजी शिंदे")</f>
        <v>ए) शिवाजी महाराज, बी) जय सिंह, सी) रणजीत सिंह, डी) महादजी शिंदे</v>
      </c>
      <c r="I44" s="5" t="str">
        <f>IFERROR(__xludf.DUMMYFUNCTION("GOOGLETRANSLATE(D44, ""en"", ""hi"")"),"D) महादजी शिंदे")</f>
        <v>D) महादजी शिंदे</v>
      </c>
    </row>
    <row r="45" ht="22.5" customHeight="1">
      <c r="A45" s="10">
        <v>44.0</v>
      </c>
      <c r="B45" s="8" t="s">
        <v>10521</v>
      </c>
      <c r="C45" s="8" t="s">
        <v>10478</v>
      </c>
      <c r="D45" s="8" t="s">
        <v>10479</v>
      </c>
      <c r="F45" s="5" t="str">
        <f>IFERROR(__xludf.DUMMYFUNCTION("GOOGLETRANSLATE(A45, ""en"", ""hi"")"),"44")</f>
        <v>44</v>
      </c>
      <c r="G45" s="5" t="str">
        <f>IFERROR(__xludf.DUMMYFUNCTION("GOOGLETRANSLATE(B45, ""en"", ""hi"")"),"मलखम्ब के खंभों के लिए पारंपरिक रूप से किस सामग्री का उपयोग किया जाता है?")</f>
        <v>मलखम्ब के खंभों के लिए पारंपरिक रूप से किस सामग्री का उपयोग किया जाता है?</v>
      </c>
      <c r="H45" s="5" t="str">
        <f>IFERROR(__xludf.DUMMYFUNCTION("GOOGLETRANSLATE(C45, ""en"", ""hi"")"),"A) धातु, B) प्लास्टिक, C) लकड़ी, D) बांस")</f>
        <v>A) धातु, B) प्लास्टिक, C) लकड़ी, D) बांस</v>
      </c>
      <c r="I45" s="5" t="str">
        <f>IFERROR(__xludf.DUMMYFUNCTION("GOOGLETRANSLATE(D45, ""en"", ""hi"")"),"C) लकड़ी")</f>
        <v>C) लकड़ी</v>
      </c>
    </row>
    <row r="46" ht="22.5" customHeight="1">
      <c r="A46" s="10">
        <v>45.0</v>
      </c>
      <c r="B46" s="8" t="s">
        <v>10522</v>
      </c>
      <c r="C46" s="8" t="s">
        <v>10523</v>
      </c>
      <c r="D46" s="8" t="s">
        <v>2616</v>
      </c>
      <c r="F46" s="5" t="str">
        <f>IFERROR(__xludf.DUMMYFUNCTION("GOOGLETRANSLATE(A46, ""en"", ""hi"")"),"45")</f>
        <v>45</v>
      </c>
      <c r="G46" s="5" t="str">
        <f>IFERROR(__xludf.DUMMYFUNCTION("GOOGLETRANSLATE(B46, ""en"", ""hi"")"),"कौन सा ग्रंथ मलखम्ब के समान प्रारंभिक कलाबाजी प्रशिक्षण का प्रमाण प्रदान करता है?")</f>
        <v>कौन सा ग्रंथ मलखम्ब के समान प्रारंभिक कलाबाजी प्रशिक्षण का प्रमाण प्रदान करता है?</v>
      </c>
      <c r="H46" s="5" t="str">
        <f>IFERROR(__xludf.DUMMYFUNCTION("GOOGLETRANSLATE(C46, ""en"", ""hi"")"),"ए) अर्थशास्त्र, बी) वेद, सी) मनुस्मृति, डी) रामायण")</f>
        <v>ए) अर्थशास्त्र, बी) वेद, सी) मनुस्मृति, डी) रामायण</v>
      </c>
      <c r="I46" s="5" t="str">
        <f>IFERROR(__xludf.DUMMYFUNCTION("GOOGLETRANSLATE(D46, ""en"", ""hi"")"),"A) अर्थशास्त्र")</f>
        <v>A) अर्थशास्त्र</v>
      </c>
    </row>
    <row r="47" ht="22.5" customHeight="1">
      <c r="A47" s="10">
        <v>46.0</v>
      </c>
      <c r="B47" s="8" t="s">
        <v>10524</v>
      </c>
      <c r="C47" s="8" t="s">
        <v>10498</v>
      </c>
      <c r="D47" s="8" t="s">
        <v>4164</v>
      </c>
      <c r="F47" s="5" t="str">
        <f>IFERROR(__xludf.DUMMYFUNCTION("GOOGLETRANSLATE(A47, ""en"", ""hi"")"),"46")</f>
        <v>46</v>
      </c>
      <c r="G47" s="5" t="str">
        <f>IFERROR(__xludf.DUMMYFUNCTION("GOOGLETRANSLATE(B47, ""en"", ""hi"")"),"किस भारतीय राजा का नाम सैन्य प्रशिक्षण पद्धति में मलखंभ को शामिल करने से जुड़ा है?")</f>
        <v>किस भारतीय राजा का नाम सैन्य प्रशिक्षण पद्धति में मलखंभ को शामिल करने से जुड़ा है?</v>
      </c>
      <c r="H47" s="5" t="str">
        <f>IFERROR(__xludf.DUMMYFUNCTION("GOOGLETRANSLATE(C47, ""en"", ""hi"")"),"ए) शिवाजी महाराज, बी) अकबर, सी) चंद्रगुप्त मौर्य, डी) अशोक")</f>
        <v>ए) शिवाजी महाराज, बी) अकबर, सी) चंद्रगुप्त मौर्य, डी) अशोक</v>
      </c>
      <c r="I47" s="5" t="str">
        <f>IFERROR(__xludf.DUMMYFUNCTION("GOOGLETRANSLATE(D47, ""en"", ""hi"")"),"A) शिवाजी महाराज")</f>
        <v>A) शिवाजी महाराज</v>
      </c>
    </row>
    <row r="48" ht="22.5" customHeight="1">
      <c r="A48" s="10">
        <v>47.0</v>
      </c>
      <c r="B48" s="8" t="s">
        <v>10525</v>
      </c>
      <c r="C48" s="8" t="s">
        <v>10449</v>
      </c>
      <c r="D48" s="8" t="s">
        <v>10450</v>
      </c>
      <c r="F48" s="5" t="str">
        <f>IFERROR(__xludf.DUMMYFUNCTION("GOOGLETRANSLATE(A48, ""en"", ""hi"")"),"47")</f>
        <v>47</v>
      </c>
      <c r="G48" s="5" t="str">
        <f>IFERROR(__xludf.DUMMYFUNCTION("GOOGLETRANSLATE(B48, ""en"", ""hi"")"),"किस युग में मलखम्ब को एक प्रतिस्पर्धी खेल के रूप में औपचारिक रूप दिया गया?")</f>
        <v>किस युग में मलखम्ब को एक प्रतिस्पर्धी खेल के रूप में औपचारिक रूप दिया गया?</v>
      </c>
      <c r="H48" s="5" t="str">
        <f>IFERROR(__xludf.DUMMYFUNCTION("GOOGLETRANSLATE(C48, ""en"", ""hi"")"),"A) मुगल काल, B) ब्रिटिश औपनिवेशिक काल, C) स्वतंत्रता के बाद का काल, D) मध्यकालीन काल")</f>
        <v>A) मुगल काल, B) ब्रिटिश औपनिवेशिक काल, C) स्वतंत्रता के बाद का काल, D) मध्यकालीन काल</v>
      </c>
      <c r="I48" s="5" t="str">
        <f>IFERROR(__xludf.DUMMYFUNCTION("GOOGLETRANSLATE(D48, ""en"", ""hi"")"),"C) स्वतंत्रता के बाद का युग")</f>
        <v>C) स्वतंत्रता के बाद का युग</v>
      </c>
    </row>
    <row r="49" ht="22.5" customHeight="1">
      <c r="A49" s="10">
        <v>48.0</v>
      </c>
      <c r="B49" s="8" t="s">
        <v>10526</v>
      </c>
      <c r="C49" s="8" t="s">
        <v>10471</v>
      </c>
      <c r="D49" s="8" t="s">
        <v>10472</v>
      </c>
      <c r="F49" s="5" t="str">
        <f>IFERROR(__xludf.DUMMYFUNCTION("GOOGLETRANSLATE(A49, ""en"", ""hi"")"),"48")</f>
        <v>48</v>
      </c>
      <c r="G49" s="5" t="str">
        <f>IFERROR(__xludf.DUMMYFUNCTION("GOOGLETRANSLATE(B49, ""en"", ""hi"")"),"18वीं शताब्दी के अंत में किस महाराजा ने मलखम्ब को बढ़ावा दिया?")</f>
        <v>18वीं शताब्दी के अंत में किस महाराजा ने मलखम्ब को बढ़ावा दिया?</v>
      </c>
      <c r="H49" s="5" t="str">
        <f>IFERROR(__xludf.DUMMYFUNCTION("GOOGLETRANSLATE(C49, ""en"", ""hi"")"),"ए) शिवाजी महाराज, बी) जय सिंह, सी) रणजीत सिंह, डी) महादजी शिंदे")</f>
        <v>ए) शिवाजी महाराज, बी) जय सिंह, सी) रणजीत सिंह, डी) महादजी शिंदे</v>
      </c>
      <c r="I49" s="5" t="str">
        <f>IFERROR(__xludf.DUMMYFUNCTION("GOOGLETRANSLATE(D49, ""en"", ""hi"")"),"D) महादजी शिंदे")</f>
        <v>D) महादजी शिंदे</v>
      </c>
    </row>
    <row r="50" ht="22.5" customHeight="1">
      <c r="A50" s="10">
        <v>49.0</v>
      </c>
      <c r="B50" s="8" t="s">
        <v>10527</v>
      </c>
      <c r="C50" s="8" t="s">
        <v>10528</v>
      </c>
      <c r="D50" s="8" t="s">
        <v>8993</v>
      </c>
      <c r="F50" s="5" t="str">
        <f>IFERROR(__xludf.DUMMYFUNCTION("GOOGLETRANSLATE(A50, ""en"", ""hi"")"),"49")</f>
        <v>49</v>
      </c>
      <c r="G50" s="5" t="str">
        <f>IFERROR(__xludf.DUMMYFUNCTION("GOOGLETRANSLATE(B50, ""en"", ""hi"")"),"आधुनिक शारीरिक शिक्षा में मलखम्ब का प्राथमिक उपयोग क्या है?")</f>
        <v>आधुनिक शारीरिक शिक्षा में मलखम्ब का प्राथमिक उपयोग क्या है?</v>
      </c>
      <c r="H50" s="5" t="str">
        <f>IFERROR(__xludf.DUMMYFUNCTION("GOOGLETRANSLATE(C50, ""en"", ""hi"")"),"A) प्रतिस्पर्धी खेल, B) शारीरिक कंडीशनिंग, C) पारंपरिक अनुष्ठान, D) मनोरंजन")</f>
        <v>A) प्रतिस्पर्धी खेल, B) शारीरिक कंडीशनिंग, C) पारंपरिक अनुष्ठान, D) मनोरंजन</v>
      </c>
      <c r="I50" s="5" t="str">
        <f>IFERROR(__xludf.DUMMYFUNCTION("GOOGLETRANSLATE(D50, ""en"", ""hi"")"),"बी) शारीरिक कंडीशनिंग")</f>
        <v>बी) शारीरिक कंडीशनिंग</v>
      </c>
    </row>
    <row r="51" ht="22.5" customHeight="1">
      <c r="A51" s="10">
        <v>50.0</v>
      </c>
      <c r="B51" s="8" t="s">
        <v>10529</v>
      </c>
      <c r="C51" s="8" t="s">
        <v>10456</v>
      </c>
      <c r="D51" s="8" t="s">
        <v>10457</v>
      </c>
      <c r="F51" s="5" t="str">
        <f>IFERROR(__xludf.DUMMYFUNCTION("GOOGLETRANSLATE(A51, ""en"", ""hi"")"),"50")</f>
        <v>50</v>
      </c>
      <c r="G51" s="5" t="str">
        <f>IFERROR(__xludf.DUMMYFUNCTION("GOOGLETRANSLATE(B51, ""en"", ""hi"")"),"पारंपरिक मलखम्ब पोल की ऊंचाई कितनी होती है?")</f>
        <v>पारंपरिक मलखम्ब पोल की ऊंचाई कितनी होती है?</v>
      </c>
      <c r="H51" s="5" t="str">
        <f>IFERROR(__xludf.DUMMYFUNCTION("GOOGLETRANSLATE(C51, ""en"", ""hi"")"),"A) 10 फीट, B) 12 फीट, C) 15 फीट, D) 20 फीट")</f>
        <v>A) 10 फीट, B) 12 फीट, C) 15 फीट, D) 20 फीट</v>
      </c>
      <c r="I51" s="5" t="str">
        <f>IFERROR(__xludf.DUMMYFUNCTION("GOOGLETRANSLATE(D51, ""en"", ""hi"")"),"सी) 15 फीट")</f>
        <v>सी) 15 फीट</v>
      </c>
    </row>
    <row r="52" ht="22.5" customHeight="1">
      <c r="A52" s="10">
        <v>51.0</v>
      </c>
      <c r="B52" s="8" t="s">
        <v>10530</v>
      </c>
      <c r="C52" s="8" t="s">
        <v>10531</v>
      </c>
      <c r="D52" s="8" t="s">
        <v>3365</v>
      </c>
      <c r="F52" s="5" t="str">
        <f>IFERROR(__xludf.DUMMYFUNCTION("GOOGLETRANSLATE(A52, ""en"", ""hi"")"),"51")</f>
        <v>51</v>
      </c>
      <c r="G52" s="5" t="str">
        <f>IFERROR(__xludf.DUMMYFUNCTION("GOOGLETRANSLATE(B52, ""en"", ""hi"")"),"कौन सा क्लासिक भारतीय ग्रंथ मलखंभ के समान प्रारंभिक शारीरिक प्रथाओं का वर्णन करता है?")</f>
        <v>कौन सा क्लासिक भारतीय ग्रंथ मलखंभ के समान प्रारंभिक शारीरिक प्रथाओं का वर्णन करता है?</v>
      </c>
      <c r="H52" s="5" t="str">
        <f>IFERROR(__xludf.DUMMYFUNCTION("GOOGLETRANSLATE(C52, ""en"", ""hi"")"),"ए) भगवद गीता, बी) योग सूत्र, सी) अर्थशास्त्र, डी) रामायण")</f>
        <v>ए) भगवद गीता, बी) योग सूत्र, सी) अर्थशास्त्र, डी) रामायण</v>
      </c>
      <c r="I52" s="5" t="str">
        <f>IFERROR(__xludf.DUMMYFUNCTION("GOOGLETRANSLATE(D52, ""en"", ""hi"")"),"C) अर्थशास्त्र")</f>
        <v>C) अर्थशास्त्र</v>
      </c>
    </row>
    <row r="53" ht="22.5" customHeight="1">
      <c r="A53" s="10">
        <v>52.0</v>
      </c>
      <c r="B53" s="8" t="s">
        <v>10532</v>
      </c>
      <c r="C53" s="8" t="s">
        <v>10498</v>
      </c>
      <c r="D53" s="8" t="s">
        <v>4164</v>
      </c>
      <c r="F53" s="5" t="str">
        <f>IFERROR(__xludf.DUMMYFUNCTION("GOOGLETRANSLATE(A53, ""en"", ""hi"")"),"52")</f>
        <v>52</v>
      </c>
      <c r="G53" s="5" t="str">
        <f>IFERROR(__xludf.DUMMYFUNCTION("GOOGLETRANSLATE(B53, ""en"", ""hi"")"),"कौन सा राजा अपनी सेना के शारीरिक प्रशिक्षण में मलखम्ब को शामिल करने के लिए जाना जाता है?")</f>
        <v>कौन सा राजा अपनी सेना के शारीरिक प्रशिक्षण में मलखम्ब को शामिल करने के लिए जाना जाता है?</v>
      </c>
      <c r="H53" s="5" t="str">
        <f>IFERROR(__xludf.DUMMYFUNCTION("GOOGLETRANSLATE(C53, ""en"", ""hi"")"),"ए) शिवाजी महाराज, बी) अकबर, सी) चंद्रगुप्त मौर्य, डी) अशोक")</f>
        <v>ए) शिवाजी महाराज, बी) अकबर, सी) चंद्रगुप्त मौर्य, डी) अशोक</v>
      </c>
      <c r="I53" s="5" t="str">
        <f>IFERROR(__xludf.DUMMYFUNCTION("GOOGLETRANSLATE(D53, ""en"", ""hi"")"),"A) शिवाजी महाराज")</f>
        <v>A) शिवाजी महाराज</v>
      </c>
    </row>
    <row r="54" ht="22.5" customHeight="1">
      <c r="A54" s="10">
        <v>53.0</v>
      </c>
      <c r="B54" s="8" t="s">
        <v>10533</v>
      </c>
      <c r="C54" s="8" t="s">
        <v>10475</v>
      </c>
      <c r="D54" s="8" t="s">
        <v>10476</v>
      </c>
      <c r="F54" s="5" t="str">
        <f>IFERROR(__xludf.DUMMYFUNCTION("GOOGLETRANSLATE(A54, ""en"", ""hi"")"),"53")</f>
        <v>53</v>
      </c>
      <c r="G54" s="5" t="str">
        <f>IFERROR(__xludf.DUMMYFUNCTION("GOOGLETRANSLATE(B54, ""en"", ""hi"")"),"मलखम्ब प्रदर्शन किस भारतीय त्यौहार की पारंपरिक विशेषता है?")</f>
        <v>मलखम्ब प्रदर्शन किस भारतीय त्यौहार की पारंपरिक विशेषता है?</v>
      </c>
      <c r="H54" s="5" t="str">
        <f>IFERROR(__xludf.DUMMYFUNCTION("GOOGLETRANSLATE(C54, ""en"", ""hi"")"),"ए) गणेश चतुर्थी, बी) दिवाली, सी) होली, डी) पोंगल")</f>
        <v>ए) गणेश चतुर्थी, बी) दिवाली, सी) होली, डी) पोंगल</v>
      </c>
      <c r="I54" s="5" t="str">
        <f>IFERROR(__xludf.DUMMYFUNCTION("GOOGLETRANSLATE(D54, ""en"", ""hi"")"),"A) गणेश चतुर्थी")</f>
        <v>A) गणेश चतुर्थी</v>
      </c>
    </row>
    <row r="55" ht="22.5" customHeight="1">
      <c r="A55" s="10">
        <v>54.0</v>
      </c>
      <c r="B55" s="8" t="s">
        <v>10534</v>
      </c>
      <c r="C55" s="8" t="s">
        <v>10456</v>
      </c>
      <c r="D55" s="8" t="s">
        <v>10457</v>
      </c>
      <c r="F55" s="5" t="str">
        <f>IFERROR(__xludf.DUMMYFUNCTION("GOOGLETRANSLATE(A55, ""en"", ""hi"")"),"54")</f>
        <v>54</v>
      </c>
      <c r="G55" s="5" t="str">
        <f>IFERROR(__xludf.DUMMYFUNCTION("GOOGLETRANSLATE(B55, ""en"", ""hi"")"),"प्रतियोगिताओं में प्रयुक्त मलखम्ब पोल की पारंपरिक ऊंचाई कितनी है?")</f>
        <v>प्रतियोगिताओं में प्रयुक्त मलखम्ब पोल की पारंपरिक ऊंचाई कितनी है?</v>
      </c>
      <c r="H55" s="5" t="str">
        <f>IFERROR(__xludf.DUMMYFUNCTION("GOOGLETRANSLATE(C55, ""en"", ""hi"")"),"A) 10 फीट, B) 12 फीट, C) 15 फीट, D) 20 फीट")</f>
        <v>A) 10 फीट, B) 12 फीट, C) 15 फीट, D) 20 फीट</v>
      </c>
      <c r="I55" s="5" t="str">
        <f>IFERROR(__xludf.DUMMYFUNCTION("GOOGLETRANSLATE(D55, ""en"", ""hi"")"),"सी) 15 फीट")</f>
        <v>सी) 15 फीट</v>
      </c>
    </row>
    <row r="56" ht="22.5" customHeight="1">
      <c r="A56" s="10">
        <v>55.0</v>
      </c>
      <c r="B56" s="8" t="s">
        <v>10535</v>
      </c>
      <c r="C56" s="8" t="s">
        <v>10517</v>
      </c>
      <c r="D56" s="8" t="s">
        <v>3012</v>
      </c>
      <c r="F56" s="5" t="str">
        <f>IFERROR(__xludf.DUMMYFUNCTION("GOOGLETRANSLATE(A56, ""en"", ""hi"")"),"55")</f>
        <v>55</v>
      </c>
      <c r="G56" s="5" t="str">
        <f>IFERROR(__xludf.DUMMYFUNCTION("GOOGLETRANSLATE(B56, ""en"", ""hi"")"),"मलखम्ब प्रशिक्षण का मुख्य फोकस क्या है?")</f>
        <v>मलखम्ब प्रशिक्षण का मुख्य फोकस क्या है?</v>
      </c>
      <c r="H56" s="5" t="str">
        <f>IFERROR(__xludf.DUMMYFUNCTION("GOOGLETRANSLATE(C56, ""en"", ""hi"")"),"A) ताकत, B) लचीलापन, C) गति, D) समन्वय")</f>
        <v>A) ताकत, B) लचीलापन, C) गति, D) समन्वय</v>
      </c>
      <c r="I56" s="5" t="str">
        <f>IFERROR(__xludf.DUMMYFUNCTION("GOOGLETRANSLATE(D56, ""en"", ""hi"")"),"ए) ताकत")</f>
        <v>ए) ताकत</v>
      </c>
    </row>
    <row r="57" ht="22.5" customHeight="1">
      <c r="A57" s="10">
        <v>56.0</v>
      </c>
      <c r="B57" s="8" t="s">
        <v>10536</v>
      </c>
      <c r="C57" s="8" t="s">
        <v>10510</v>
      </c>
      <c r="D57" s="8" t="s">
        <v>4164</v>
      </c>
      <c r="F57" s="5" t="str">
        <f>IFERROR(__xludf.DUMMYFUNCTION("GOOGLETRANSLATE(A57, ""en"", ""hi"")"),"56")</f>
        <v>56</v>
      </c>
      <c r="G57" s="5" t="str">
        <f>IFERROR(__xludf.DUMMYFUNCTION("GOOGLETRANSLATE(B57, ""en"", ""hi"")"),"17वीं शताब्दी में मलखम्ब को औपचारिक रूप देने का श्रेय किस राजा को दिया जाता है?")</f>
        <v>17वीं शताब्दी में मलखम्ब को औपचारिक रूप देने का श्रेय किस राजा को दिया जाता है?</v>
      </c>
      <c r="H57" s="5" t="str">
        <f>IFERROR(__xludf.DUMMYFUNCTION("GOOGLETRANSLATE(C57, ""en"", ""hi"")"),"ए) शिवाजी महाराज, बी) अकबर, सी) औरंगजेब, डी) राणा प्रताप")</f>
        <v>ए) शिवाजी महाराज, बी) अकबर, सी) औरंगजेब, डी) राणा प्रताप</v>
      </c>
      <c r="I57" s="5" t="str">
        <f>IFERROR(__xludf.DUMMYFUNCTION("GOOGLETRANSLATE(D57, ""en"", ""hi"")"),"A) शिवाजी महाराज")</f>
        <v>A) शिवाजी महाराज</v>
      </c>
    </row>
    <row r="58" ht="22.5" customHeight="1">
      <c r="A58" s="10">
        <v>57.0</v>
      </c>
      <c r="B58" s="8" t="s">
        <v>10537</v>
      </c>
      <c r="C58" s="8" t="s">
        <v>10538</v>
      </c>
      <c r="D58" s="8" t="s">
        <v>10485</v>
      </c>
      <c r="F58" s="5" t="str">
        <f>IFERROR(__xludf.DUMMYFUNCTION("GOOGLETRANSLATE(A58, ""en"", ""hi"")"),"57")</f>
        <v>57</v>
      </c>
      <c r="G58" s="5" t="str">
        <f>IFERROR(__xludf.DUMMYFUNCTION("GOOGLETRANSLATE(B58, ""en"", ""hi"")"),"प्राचीन काल के किस भारतीय ग्रंथ में मलखंभ के समान शारीरिक प्रशिक्षण तकनीकों का वर्णन किया गया है?")</f>
        <v>प्राचीन काल के किस भारतीय ग्रंथ में मलखंभ के समान शारीरिक प्रशिक्षण तकनीकों का वर्णन किया गया है?</v>
      </c>
      <c r="H58" s="5" t="str">
        <f>IFERROR(__xludf.DUMMYFUNCTION("GOOGLETRANSLATE(C58, ""en"", ""hi"")"),"ए) मनुस्मृति, बी) वेद, सी) योग सूत्र, डी) रामायण")</f>
        <v>ए) मनुस्मृति, बी) वेद, सी) योग सूत्र, डी) रामायण</v>
      </c>
      <c r="I58" s="5" t="str">
        <f>IFERROR(__xludf.DUMMYFUNCTION("GOOGLETRANSLATE(D58, ""en"", ""hi"")"),"बी) वेद")</f>
        <v>बी) वेद</v>
      </c>
    </row>
    <row r="59" ht="22.5" customHeight="1">
      <c r="A59" s="10">
        <v>58.0</v>
      </c>
      <c r="B59" s="8" t="s">
        <v>10539</v>
      </c>
      <c r="C59" s="8" t="s">
        <v>10478</v>
      </c>
      <c r="D59" s="8" t="s">
        <v>10479</v>
      </c>
      <c r="F59" s="5" t="str">
        <f>IFERROR(__xludf.DUMMYFUNCTION("GOOGLETRANSLATE(A59, ""en"", ""hi"")"),"58")</f>
        <v>58</v>
      </c>
      <c r="G59" s="5" t="str">
        <f>IFERROR(__xludf.DUMMYFUNCTION("GOOGLETRANSLATE(B59, ""en"", ""hi"")"),"पारंपरिक मलखंभ डंडों के लिए प्रयुक्त प्राथमिक सामग्री क्या है?")</f>
        <v>पारंपरिक मलखंभ डंडों के लिए प्रयुक्त प्राथमिक सामग्री क्या है?</v>
      </c>
      <c r="H59" s="5" t="str">
        <f>IFERROR(__xludf.DUMMYFUNCTION("GOOGLETRANSLATE(C59, ""en"", ""hi"")"),"A) धातु, B) प्लास्टिक, C) लकड़ी, D) बांस")</f>
        <v>A) धातु, B) प्लास्टिक, C) लकड़ी, D) बांस</v>
      </c>
      <c r="I59" s="5" t="str">
        <f>IFERROR(__xludf.DUMMYFUNCTION("GOOGLETRANSLATE(D59, ""en"", ""hi"")"),"C) लकड़ी")</f>
        <v>C) लकड़ी</v>
      </c>
    </row>
    <row r="60" ht="22.5" customHeight="1">
      <c r="A60" s="10">
        <v>59.0</v>
      </c>
      <c r="B60" s="8" t="s">
        <v>10540</v>
      </c>
      <c r="C60" s="8" t="s">
        <v>10541</v>
      </c>
      <c r="D60" s="8" t="s">
        <v>10542</v>
      </c>
      <c r="F60" s="5" t="str">
        <f>IFERROR(__xludf.DUMMYFUNCTION("GOOGLETRANSLATE(A60, ""en"", ""hi"")"),"59")</f>
        <v>59</v>
      </c>
      <c r="G60" s="5" t="str">
        <f>IFERROR(__xludf.DUMMYFUNCTION("GOOGLETRANSLATE(B60, ""en"", ""hi"")"),"किस प्रकार की मलखम्ब तकनीक में क्षैतिज बीम पर गतिविधियां करना शामिल है?")</f>
        <v>किस प्रकार की मलखम्ब तकनीक में क्षैतिज बीम पर गतिविधियां करना शामिल है?</v>
      </c>
      <c r="H60" s="5" t="str">
        <f>IFERROR(__xludf.DUMMYFUNCTION("GOOGLETRANSLATE(C60, ""en"", ""hi"")"),"ए) क्षैतिज मलखंब, बी) एरियल मलखंब, सी) पोल मलखंब, डी) रस्सी मलखंब")</f>
        <v>ए) क्षैतिज मलखंब, बी) एरियल मलखंब, सी) पोल मलखंब, डी) रस्सी मलखंब</v>
      </c>
      <c r="I60" s="5" t="str">
        <f>IFERROR(__xludf.DUMMYFUNCTION("GOOGLETRANSLATE(D60, ""en"", ""hi"")"),"A) क्षैतिज मलखम्ब")</f>
        <v>A) क्षैतिज मलखम्ब</v>
      </c>
    </row>
    <row r="61" ht="22.5" customHeight="1">
      <c r="A61" s="10">
        <v>60.0</v>
      </c>
      <c r="B61" s="8" t="s">
        <v>10543</v>
      </c>
      <c r="C61" s="8" t="s">
        <v>10498</v>
      </c>
      <c r="D61" s="8" t="s">
        <v>4164</v>
      </c>
      <c r="F61" s="5" t="str">
        <f>IFERROR(__xludf.DUMMYFUNCTION("GOOGLETRANSLATE(A61, ""en"", ""hi"")"),"60")</f>
        <v>60</v>
      </c>
      <c r="G61" s="5" t="str">
        <f>IFERROR(__xludf.DUMMYFUNCTION("GOOGLETRANSLATE(B61, ""en"", ""hi"")"),"किस भारतीय राजा का नाम सैन्य प्रशिक्षण के रूप में मलखम्ब को औपचारिक रूप देने से जुड़ा है?")</f>
        <v>किस भारतीय राजा का नाम सैन्य प्रशिक्षण के रूप में मलखम्ब को औपचारिक रूप देने से जुड़ा है?</v>
      </c>
      <c r="H61" s="5" t="str">
        <f>IFERROR(__xludf.DUMMYFUNCTION("GOOGLETRANSLATE(C61, ""en"", ""hi"")"),"ए) शिवाजी महाराज, बी) अकबर, सी) चंद्रगुप्त मौर्य, डी) अशोक")</f>
        <v>ए) शिवाजी महाराज, बी) अकबर, सी) चंद्रगुप्त मौर्य, डी) अशोक</v>
      </c>
      <c r="I61" s="5" t="str">
        <f>IFERROR(__xludf.DUMMYFUNCTION("GOOGLETRANSLATE(D61, ""en"", ""hi"")"),"A) शिवाजी महाराज")</f>
        <v>A) शिवाजी महाराज</v>
      </c>
    </row>
    <row r="62" ht="22.5" customHeight="1">
      <c r="A62" s="10">
        <v>61.0</v>
      </c>
      <c r="B62" s="8" t="s">
        <v>10544</v>
      </c>
      <c r="C62" s="8" t="s">
        <v>10471</v>
      </c>
      <c r="D62" s="8" t="s">
        <v>10472</v>
      </c>
      <c r="F62" s="5" t="str">
        <f>IFERROR(__xludf.DUMMYFUNCTION("GOOGLETRANSLATE(A62, ""en"", ""hi"")"),"61")</f>
        <v>61</v>
      </c>
      <c r="G62" s="5" t="str">
        <f>IFERROR(__xludf.DUMMYFUNCTION("GOOGLETRANSLATE(B62, ""en"", ""hi"")"),"19वीं शताब्दी के अंत में किस महाराजा ने मलखम्ब को एक प्रतिस्पर्धी खेल के रूप में विकसित करने का समर्थन किया था?")</f>
        <v>19वीं शताब्दी के अंत में किस महाराजा ने मलखम्ब को एक प्रतिस्पर्धी खेल के रूप में विकसित करने का समर्थन किया था?</v>
      </c>
      <c r="H62" s="5" t="str">
        <f>IFERROR(__xludf.DUMMYFUNCTION("GOOGLETRANSLATE(C62, ""en"", ""hi"")"),"ए) शिवाजी महाराज, बी) जय सिंह, सी) रणजीत सिंह, डी) महादजी शिंदे")</f>
        <v>ए) शिवाजी महाराज, बी) जय सिंह, सी) रणजीत सिंह, डी) महादजी शिंदे</v>
      </c>
      <c r="I62" s="5" t="str">
        <f>IFERROR(__xludf.DUMMYFUNCTION("GOOGLETRANSLATE(D62, ""en"", ""hi"")"),"D) महादजी शिंदे")</f>
        <v>D) महादजी शिंदे</v>
      </c>
    </row>
    <row r="63" ht="22.5" customHeight="1">
      <c r="A63" s="10">
        <v>62.0</v>
      </c>
      <c r="B63" s="8" t="s">
        <v>10545</v>
      </c>
      <c r="C63" s="8" t="s">
        <v>10456</v>
      </c>
      <c r="D63" s="8" t="s">
        <v>10457</v>
      </c>
      <c r="F63" s="5" t="str">
        <f>IFERROR(__xludf.DUMMYFUNCTION("GOOGLETRANSLATE(A63, ""en"", ""hi"")"),"62")</f>
        <v>62</v>
      </c>
      <c r="G63" s="5" t="str">
        <f>IFERROR(__xludf.DUMMYFUNCTION("GOOGLETRANSLATE(B63, ""en"", ""hi"")"),"प्रदर्शन में प्रयुक्त मलखम्ब पोल की पारंपरिक ऊंचाई कितनी है?")</f>
        <v>प्रदर्शन में प्रयुक्त मलखम्ब पोल की पारंपरिक ऊंचाई कितनी है?</v>
      </c>
      <c r="H63" s="5" t="str">
        <f>IFERROR(__xludf.DUMMYFUNCTION("GOOGLETRANSLATE(C63, ""en"", ""hi"")"),"A) 10 फीट, B) 12 फीट, C) 15 फीट, D) 20 फीट")</f>
        <v>A) 10 फीट, B) 12 फीट, C) 15 फीट, D) 20 फीट</v>
      </c>
      <c r="I63" s="5" t="str">
        <f>IFERROR(__xludf.DUMMYFUNCTION("GOOGLETRANSLATE(D63, ""en"", ""hi"")"),"सी) 15 फीट")</f>
        <v>सी) 15 फीट</v>
      </c>
    </row>
    <row r="64" ht="22.5" customHeight="1">
      <c r="A64" s="10">
        <v>63.0</v>
      </c>
      <c r="B64" s="8" t="s">
        <v>10530</v>
      </c>
      <c r="C64" s="8" t="s">
        <v>10531</v>
      </c>
      <c r="D64" s="8" t="s">
        <v>3365</v>
      </c>
      <c r="F64" s="5" t="str">
        <f>IFERROR(__xludf.DUMMYFUNCTION("GOOGLETRANSLATE(A64, ""en"", ""hi"")"),"63")</f>
        <v>63</v>
      </c>
      <c r="G64" s="5" t="str">
        <f>IFERROR(__xludf.DUMMYFUNCTION("GOOGLETRANSLATE(B64, ""en"", ""hi"")"),"कौन सा क्लासिक भारतीय ग्रंथ मलखंभ के समान प्रारंभिक शारीरिक प्रथाओं का वर्णन करता है?")</f>
        <v>कौन सा क्लासिक भारतीय ग्रंथ मलखंभ के समान प्रारंभिक शारीरिक प्रथाओं का वर्णन करता है?</v>
      </c>
      <c r="H64" s="5" t="str">
        <f>IFERROR(__xludf.DUMMYFUNCTION("GOOGLETRANSLATE(C64, ""en"", ""hi"")"),"ए) भगवद गीता, बी) योग सूत्र, सी) अर्थशास्त्र, डी) रामायण")</f>
        <v>ए) भगवद गीता, बी) योग सूत्र, सी) अर्थशास्त्र, डी) रामायण</v>
      </c>
      <c r="I64" s="5" t="str">
        <f>IFERROR(__xludf.DUMMYFUNCTION("GOOGLETRANSLATE(D64, ""en"", ""hi"")"),"C) अर्थशास्त्र")</f>
        <v>C) अर्थशास्त्र</v>
      </c>
    </row>
    <row r="65" ht="22.5" customHeight="1">
      <c r="A65" s="10">
        <v>64.0</v>
      </c>
      <c r="B65" s="8" t="s">
        <v>10546</v>
      </c>
      <c r="C65" s="8" t="s">
        <v>10498</v>
      </c>
      <c r="D65" s="8" t="s">
        <v>4164</v>
      </c>
      <c r="F65" s="5" t="str">
        <f>IFERROR(__xludf.DUMMYFUNCTION("GOOGLETRANSLATE(A65, ""en"", ""hi"")"),"64")</f>
        <v>64</v>
      </c>
      <c r="G65" s="5" t="str">
        <f>IFERROR(__xludf.DUMMYFUNCTION("GOOGLETRANSLATE(B65, ""en"", ""hi"")"),"किस भारतीय राजा ने मलखम्ब को अपनी सेना के प्रशिक्षण में शामिल किया?")</f>
        <v>किस भारतीय राजा ने मलखम्ब को अपनी सेना के प्रशिक्षण में शामिल किया?</v>
      </c>
      <c r="H65" s="5" t="str">
        <f>IFERROR(__xludf.DUMMYFUNCTION("GOOGLETRANSLATE(C65, ""en"", ""hi"")"),"ए) शिवाजी महाराज, बी) अकबर, सी) चंद्रगुप्त मौर्य, डी) अशोक")</f>
        <v>ए) शिवाजी महाराज, बी) अकबर, सी) चंद्रगुप्त मौर्य, डी) अशोक</v>
      </c>
      <c r="I65" s="5" t="str">
        <f>IFERROR(__xludf.DUMMYFUNCTION("GOOGLETRANSLATE(D65, ""en"", ""hi"")"),"A) शिवाजी महाराज")</f>
        <v>A) शिवाजी महाराज</v>
      </c>
    </row>
    <row r="66" ht="22.5" customHeight="1">
      <c r="A66" s="10">
        <v>65.0</v>
      </c>
      <c r="B66" s="8" t="s">
        <v>10547</v>
      </c>
      <c r="C66" s="8" t="s">
        <v>10475</v>
      </c>
      <c r="D66" s="8" t="s">
        <v>10476</v>
      </c>
      <c r="F66" s="5" t="str">
        <f>IFERROR(__xludf.DUMMYFUNCTION("GOOGLETRANSLATE(A66, ""en"", ""hi"")"),"65")</f>
        <v>65</v>
      </c>
      <c r="G66" s="5" t="str">
        <f>IFERROR(__xludf.DUMMYFUNCTION("GOOGLETRANSLATE(B66, ""en"", ""hi"")"),"मलखम्ब किस भारतीय त्यौहार की पारंपरिक विशेषता है?")</f>
        <v>मलखम्ब किस भारतीय त्यौहार की पारंपरिक विशेषता है?</v>
      </c>
      <c r="H66" s="5" t="str">
        <f>IFERROR(__xludf.DUMMYFUNCTION("GOOGLETRANSLATE(C66, ""en"", ""hi"")"),"ए) गणेश चतुर्थी, बी) दिवाली, सी) होली, डी) पोंगल")</f>
        <v>ए) गणेश चतुर्थी, बी) दिवाली, सी) होली, डी) पोंगल</v>
      </c>
      <c r="I66" s="5" t="str">
        <f>IFERROR(__xludf.DUMMYFUNCTION("GOOGLETRANSLATE(D66, ""en"", ""hi"")"),"A) गणेश चतुर्थी")</f>
        <v>A) गणेश चतुर्थी</v>
      </c>
    </row>
    <row r="67" ht="22.5" customHeight="1">
      <c r="A67" s="10">
        <v>66.0</v>
      </c>
      <c r="B67" s="8" t="s">
        <v>10548</v>
      </c>
      <c r="C67" s="8" t="s">
        <v>10456</v>
      </c>
      <c r="D67" s="8" t="s">
        <v>10457</v>
      </c>
      <c r="F67" s="5" t="str">
        <f>IFERROR(__xludf.DUMMYFUNCTION("GOOGLETRANSLATE(A67, ""en"", ""hi"")"),"66")</f>
        <v>66</v>
      </c>
      <c r="G67" s="5" t="str">
        <f>IFERROR(__xludf.DUMMYFUNCTION("GOOGLETRANSLATE(B67, ""en"", ""hi"")"),"प्रतियोगिताओं में प्रयुक्त पारंपरिक मलखम्ब पोल की ऊंचाई कितनी होती है?")</f>
        <v>प्रतियोगिताओं में प्रयुक्त पारंपरिक मलखम्ब पोल की ऊंचाई कितनी होती है?</v>
      </c>
      <c r="H67" s="5" t="str">
        <f>IFERROR(__xludf.DUMMYFUNCTION("GOOGLETRANSLATE(C67, ""en"", ""hi"")"),"A) 10 फीट, B) 12 फीट, C) 15 फीट, D) 20 फीट")</f>
        <v>A) 10 फीट, B) 12 फीट, C) 15 फीट, D) 20 फीट</v>
      </c>
      <c r="I67" s="5" t="str">
        <f>IFERROR(__xludf.DUMMYFUNCTION("GOOGLETRANSLATE(D67, ""en"", ""hi"")"),"सी) 15 फीट")</f>
        <v>सी) 15 फीट</v>
      </c>
    </row>
    <row r="68" ht="22.5" customHeight="1">
      <c r="A68" s="10">
        <v>67.0</v>
      </c>
      <c r="B68" s="8" t="s">
        <v>10516</v>
      </c>
      <c r="C68" s="8" t="s">
        <v>10517</v>
      </c>
      <c r="D68" s="8" t="s">
        <v>3012</v>
      </c>
      <c r="F68" s="5" t="str">
        <f>IFERROR(__xludf.DUMMYFUNCTION("GOOGLETRANSLATE(A68, ""en"", ""hi"")"),"67")</f>
        <v>67</v>
      </c>
      <c r="G68" s="5" t="str">
        <f>IFERROR(__xludf.DUMMYFUNCTION("GOOGLETRANSLATE(B68, ""en"", ""hi"")"),"पारंपरिक मलखम्ब प्रशिक्षण का प्राथमिक फोकस क्या है?")</f>
        <v>पारंपरिक मलखम्ब प्रशिक्षण का प्राथमिक फोकस क्या है?</v>
      </c>
      <c r="H68" s="5" t="str">
        <f>IFERROR(__xludf.DUMMYFUNCTION("GOOGLETRANSLATE(C68, ""en"", ""hi"")"),"A) ताकत, B) लचीलापन, C) गति, D) समन्वय")</f>
        <v>A) ताकत, B) लचीलापन, C) गति, D) समन्वय</v>
      </c>
      <c r="I68" s="5" t="str">
        <f>IFERROR(__xludf.DUMMYFUNCTION("GOOGLETRANSLATE(D68, ""en"", ""hi"")"),"ए) ताकत")</f>
        <v>ए) ताकत</v>
      </c>
    </row>
    <row r="69" ht="22.5" customHeight="1">
      <c r="A69" s="10">
        <v>68.0</v>
      </c>
      <c r="B69" s="8" t="s">
        <v>10526</v>
      </c>
      <c r="C69" s="8" t="s">
        <v>10471</v>
      </c>
      <c r="D69" s="8" t="s">
        <v>10472</v>
      </c>
      <c r="F69" s="5" t="str">
        <f>IFERROR(__xludf.DUMMYFUNCTION("GOOGLETRANSLATE(A69, ""en"", ""hi"")"),"68")</f>
        <v>68</v>
      </c>
      <c r="G69" s="5" t="str">
        <f>IFERROR(__xludf.DUMMYFUNCTION("GOOGLETRANSLATE(B69, ""en"", ""hi"")"),"18वीं शताब्दी के अंत में किस महाराजा ने मलखम्ब को बढ़ावा दिया?")</f>
        <v>18वीं शताब्दी के अंत में किस महाराजा ने मलखम्ब को बढ़ावा दिया?</v>
      </c>
      <c r="H69" s="5" t="str">
        <f>IFERROR(__xludf.DUMMYFUNCTION("GOOGLETRANSLATE(C69, ""en"", ""hi"")"),"ए) शिवाजी महाराज, बी) जय सिंह, सी) रणजीत सिंह, डी) महादजी शिंदे")</f>
        <v>ए) शिवाजी महाराज, बी) जय सिंह, सी) रणजीत सिंह, डी) महादजी शिंदे</v>
      </c>
      <c r="I69" s="5" t="str">
        <f>IFERROR(__xludf.DUMMYFUNCTION("GOOGLETRANSLATE(D69, ""en"", ""hi"")"),"D) महादजी शिंदे")</f>
        <v>D) महादजी शिंदे</v>
      </c>
    </row>
    <row r="70" ht="22.5" customHeight="1">
      <c r="A70" s="10">
        <v>69.0</v>
      </c>
      <c r="B70" s="8" t="s">
        <v>10549</v>
      </c>
      <c r="C70" s="8" t="s">
        <v>10538</v>
      </c>
      <c r="D70" s="8" t="s">
        <v>10485</v>
      </c>
      <c r="F70" s="5" t="str">
        <f>IFERROR(__xludf.DUMMYFUNCTION("GOOGLETRANSLATE(A70, ""en"", ""hi"")"),"69")</f>
        <v>69</v>
      </c>
      <c r="G70" s="5" t="str">
        <f>IFERROR(__xludf.DUMMYFUNCTION("GOOGLETRANSLATE(B70, ""en"", ""hi"")"),"प्राचीन काल के किस भारतीय ग्रंथ में मलखंभ जैसी शारीरिक प्रथाओं का वर्णन है?")</f>
        <v>प्राचीन काल के किस भारतीय ग्रंथ में मलखंभ जैसी शारीरिक प्रथाओं का वर्णन है?</v>
      </c>
      <c r="H70" s="5" t="str">
        <f>IFERROR(__xludf.DUMMYFUNCTION("GOOGLETRANSLATE(C70, ""en"", ""hi"")"),"ए) मनुस्मृति, बी) वेद, सी) योग सूत्र, डी) रामायण")</f>
        <v>ए) मनुस्मृति, बी) वेद, सी) योग सूत्र, डी) रामायण</v>
      </c>
      <c r="I70" s="5" t="str">
        <f>IFERROR(__xludf.DUMMYFUNCTION("GOOGLETRANSLATE(D70, ""en"", ""hi"")"),"बी) वेद")</f>
        <v>बी) वेद</v>
      </c>
    </row>
    <row r="71" ht="22.5" customHeight="1">
      <c r="A71" s="10">
        <v>70.0</v>
      </c>
      <c r="B71" s="8" t="s">
        <v>10550</v>
      </c>
      <c r="C71" s="8" t="s">
        <v>10510</v>
      </c>
      <c r="D71" s="8" t="s">
        <v>4164</v>
      </c>
      <c r="F71" s="5" t="str">
        <f>IFERROR(__xludf.DUMMYFUNCTION("GOOGLETRANSLATE(A71, ""en"", ""hi"")"),"70")</f>
        <v>70</v>
      </c>
      <c r="G71" s="5" t="str">
        <f>IFERROR(__xludf.DUMMYFUNCTION("GOOGLETRANSLATE(B71, ""en"", ""hi"")"),"17वीं शताब्दी के दौरान मलखम्ब को एक खेल के रूप में विकसित करने का श्रेय किस राजा को जाता है?")</f>
        <v>17वीं शताब्दी के दौरान मलखम्ब को एक खेल के रूप में विकसित करने का श्रेय किस राजा को जाता है?</v>
      </c>
      <c r="H71" s="5" t="str">
        <f>IFERROR(__xludf.DUMMYFUNCTION("GOOGLETRANSLATE(C71, ""en"", ""hi"")"),"ए) शिवाजी महाराज, बी) अकबर, सी) औरंगजेब, डी) राणा प्रताप")</f>
        <v>ए) शिवाजी महाराज, बी) अकबर, सी) औरंगजेब, डी) राणा प्रताप</v>
      </c>
      <c r="I71" s="5" t="str">
        <f>IFERROR(__xludf.DUMMYFUNCTION("GOOGLETRANSLATE(D71, ""en"", ""hi"")"),"A) शिवाजी महाराज")</f>
        <v>A) शिवाजी महाराज</v>
      </c>
    </row>
    <row r="72" ht="22.5" customHeight="1">
      <c r="A72" s="10">
        <v>71.0</v>
      </c>
      <c r="B72" s="8" t="s">
        <v>10551</v>
      </c>
      <c r="C72" s="8" t="s">
        <v>10471</v>
      </c>
      <c r="D72" s="8" t="s">
        <v>10472</v>
      </c>
      <c r="F72" s="5" t="str">
        <f>IFERROR(__xludf.DUMMYFUNCTION("GOOGLETRANSLATE(A72, ""en"", ""hi"")"),"71")</f>
        <v>71</v>
      </c>
      <c r="G72" s="5" t="str">
        <f>IFERROR(__xludf.DUMMYFUNCTION("GOOGLETRANSLATE(B72, ""en"", ""hi"")"),"किस भारतीय राजा ने मलखम्ब को एक प्रतिस्पर्धी खेल के रूप में विकसित करने का समर्थन किया?")</f>
        <v>किस भारतीय राजा ने मलखम्ब को एक प्रतिस्पर्धी खेल के रूप में विकसित करने का समर्थन किया?</v>
      </c>
      <c r="H72" s="5" t="str">
        <f>IFERROR(__xludf.DUMMYFUNCTION("GOOGLETRANSLATE(C72, ""en"", ""hi"")"),"ए) शिवाजी महाराज, बी) जय सिंह, सी) रणजीत सिंह, डी) महादजी शिंदे")</f>
        <v>ए) शिवाजी महाराज, बी) जय सिंह, सी) रणजीत सिंह, डी) महादजी शिंदे</v>
      </c>
      <c r="I72" s="5" t="str">
        <f>IFERROR(__xludf.DUMMYFUNCTION("GOOGLETRANSLATE(D72, ""en"", ""hi"")"),"D) महादजी शिंदे")</f>
        <v>D) महादजी शिंदे</v>
      </c>
    </row>
    <row r="73" ht="22.5" customHeight="1">
      <c r="A73" s="10">
        <v>72.0</v>
      </c>
      <c r="B73" s="8" t="s">
        <v>10525</v>
      </c>
      <c r="C73" s="8" t="s">
        <v>10449</v>
      </c>
      <c r="D73" s="8" t="s">
        <v>10450</v>
      </c>
      <c r="F73" s="5" t="str">
        <f>IFERROR(__xludf.DUMMYFUNCTION("GOOGLETRANSLATE(A73, ""en"", ""hi"")"),"72")</f>
        <v>72</v>
      </c>
      <c r="G73" s="5" t="str">
        <f>IFERROR(__xludf.DUMMYFUNCTION("GOOGLETRANSLATE(B73, ""en"", ""hi"")"),"किस युग में मलखम्ब को एक प्रतिस्पर्धी खेल के रूप में औपचारिक रूप दिया गया?")</f>
        <v>किस युग में मलखम्ब को एक प्रतिस्पर्धी खेल के रूप में औपचारिक रूप दिया गया?</v>
      </c>
      <c r="H73" s="5" t="str">
        <f>IFERROR(__xludf.DUMMYFUNCTION("GOOGLETRANSLATE(C73, ""en"", ""hi"")"),"A) मुगल काल, B) ब्रिटिश औपनिवेशिक काल, C) स्वतंत्रता के बाद का काल, D) मध्यकालीन काल")</f>
        <v>A) मुगल काल, B) ब्रिटिश औपनिवेशिक काल, C) स्वतंत्रता के बाद का काल, D) मध्यकालीन काल</v>
      </c>
      <c r="I73" s="5" t="str">
        <f>IFERROR(__xludf.DUMMYFUNCTION("GOOGLETRANSLATE(D73, ""en"", ""hi"")"),"C) स्वतंत्रता के बाद का युग")</f>
        <v>C) स्वतंत्रता के बाद का युग</v>
      </c>
    </row>
    <row r="74" ht="22.5" customHeight="1">
      <c r="A74" s="10">
        <v>73.0</v>
      </c>
      <c r="B74" s="8" t="s">
        <v>10552</v>
      </c>
      <c r="C74" s="8" t="s">
        <v>10456</v>
      </c>
      <c r="D74" s="8" t="s">
        <v>10457</v>
      </c>
      <c r="F74" s="5" t="str">
        <f>IFERROR(__xludf.DUMMYFUNCTION("GOOGLETRANSLATE(A74, ""en"", ""hi"")"),"73")</f>
        <v>73</v>
      </c>
      <c r="G74" s="5" t="str">
        <f>IFERROR(__xludf.DUMMYFUNCTION("GOOGLETRANSLATE(B74, ""en"", ""hi"")"),"समकालीन अभ्यास में प्रयुक्त मलखम्ब पोल की पारंपरिक ऊंचाई क्या है?")</f>
        <v>समकालीन अभ्यास में प्रयुक्त मलखम्ब पोल की पारंपरिक ऊंचाई क्या है?</v>
      </c>
      <c r="H74" s="5" t="str">
        <f>IFERROR(__xludf.DUMMYFUNCTION("GOOGLETRANSLATE(C74, ""en"", ""hi"")"),"A) 10 फीट, B) 12 फीट, C) 15 फीट, D) 20 फीट")</f>
        <v>A) 10 फीट, B) 12 फीट, C) 15 फीट, D) 20 फीट</v>
      </c>
      <c r="I74" s="5" t="str">
        <f>IFERROR(__xludf.DUMMYFUNCTION("GOOGLETRANSLATE(D74, ""en"", ""hi"")"),"सी) 15 फीट")</f>
        <v>सी) 15 फीट</v>
      </c>
    </row>
    <row r="75" ht="22.5" customHeight="1">
      <c r="A75" s="10">
        <v>74.0</v>
      </c>
      <c r="B75" s="8" t="s">
        <v>10553</v>
      </c>
      <c r="C75" s="8" t="s">
        <v>10531</v>
      </c>
      <c r="D75" s="8" t="s">
        <v>3365</v>
      </c>
      <c r="F75" s="5" t="str">
        <f>IFERROR(__xludf.DUMMYFUNCTION("GOOGLETRANSLATE(A75, ""en"", ""hi"")"),"74")</f>
        <v>74</v>
      </c>
      <c r="G75" s="5" t="str">
        <f>IFERROR(__xludf.DUMMYFUNCTION("GOOGLETRANSLATE(B75, ""en"", ""hi"")"),"कौन सा क्लासिक भारतीय ग्रंथ मलखंभ के समान प्रारंभिक कलाबाजी प्रथाओं का वर्णन करता है?")</f>
        <v>कौन सा क्लासिक भारतीय ग्रंथ मलखंभ के समान प्रारंभिक कलाबाजी प्रथाओं का वर्णन करता है?</v>
      </c>
      <c r="H75" s="5" t="str">
        <f>IFERROR(__xludf.DUMMYFUNCTION("GOOGLETRANSLATE(C75, ""en"", ""hi"")"),"ए) भगवद गीता, बी) योग सूत्र, सी) अर्थशास्त्र, डी) रामायण")</f>
        <v>ए) भगवद गीता, बी) योग सूत्र, सी) अर्थशास्त्र, डी) रामायण</v>
      </c>
      <c r="I75" s="5" t="str">
        <f>IFERROR(__xludf.DUMMYFUNCTION("GOOGLETRANSLATE(D75, ""en"", ""hi"")"),"C) अर्थशास्त्र")</f>
        <v>C) अर्थशास्त्र</v>
      </c>
    </row>
    <row r="76" ht="22.5" customHeight="1">
      <c r="A76" s="10">
        <v>75.0</v>
      </c>
      <c r="B76" s="8" t="s">
        <v>10554</v>
      </c>
      <c r="C76" s="8" t="s">
        <v>10498</v>
      </c>
      <c r="D76" s="8" t="s">
        <v>4164</v>
      </c>
      <c r="F76" s="5" t="str">
        <f>IFERROR(__xludf.DUMMYFUNCTION("GOOGLETRANSLATE(A76, ""en"", ""hi"")"),"75")</f>
        <v>75</v>
      </c>
      <c r="G76" s="5" t="str">
        <f>IFERROR(__xludf.DUMMYFUNCTION("GOOGLETRANSLATE(B76, ""en"", ""hi"")"),"किस भारतीय राजा को अपनी सेना के शारीरिक प्रशिक्षण में मलखम्ब को शामिल करने का श्रेय दिया जाता है?")</f>
        <v>किस भारतीय राजा को अपनी सेना के शारीरिक प्रशिक्षण में मलखम्ब को शामिल करने का श्रेय दिया जाता है?</v>
      </c>
      <c r="H76" s="5" t="str">
        <f>IFERROR(__xludf.DUMMYFUNCTION("GOOGLETRANSLATE(C76, ""en"", ""hi"")"),"ए) शिवाजी महाराज, बी) अकबर, सी) चंद्रगुप्त मौर्य, डी) अशोक")</f>
        <v>ए) शिवाजी महाराज, बी) अकबर, सी) चंद्रगुप्त मौर्य, डी) अशोक</v>
      </c>
      <c r="I76" s="5" t="str">
        <f>IFERROR(__xludf.DUMMYFUNCTION("GOOGLETRANSLATE(D76, ""en"", ""hi"")"),"A) शिवाजी महाराज")</f>
        <v>A) शिवाजी महाराज</v>
      </c>
    </row>
    <row r="77" ht="22.5" customHeight="1">
      <c r="A77" s="10">
        <v>76.0</v>
      </c>
      <c r="B77" s="8" t="s">
        <v>10521</v>
      </c>
      <c r="C77" s="8" t="s">
        <v>10478</v>
      </c>
      <c r="D77" s="8" t="s">
        <v>10479</v>
      </c>
      <c r="F77" s="5" t="str">
        <f>IFERROR(__xludf.DUMMYFUNCTION("GOOGLETRANSLATE(A77, ""en"", ""hi"")"),"76")</f>
        <v>76</v>
      </c>
      <c r="G77" s="5" t="str">
        <f>IFERROR(__xludf.DUMMYFUNCTION("GOOGLETRANSLATE(B77, ""en"", ""hi"")"),"मलखम्ब के खंभों के लिए पारंपरिक रूप से किस सामग्री का उपयोग किया जाता है?")</f>
        <v>मलखम्ब के खंभों के लिए पारंपरिक रूप से किस सामग्री का उपयोग किया जाता है?</v>
      </c>
      <c r="H77" s="5" t="str">
        <f>IFERROR(__xludf.DUMMYFUNCTION("GOOGLETRANSLATE(C77, ""en"", ""hi"")"),"A) धातु, B) प्लास्टिक, C) लकड़ी, D) बांस")</f>
        <v>A) धातु, B) प्लास्टिक, C) लकड़ी, D) बांस</v>
      </c>
      <c r="I77" s="5" t="str">
        <f>IFERROR(__xludf.DUMMYFUNCTION("GOOGLETRANSLATE(D77, ""en"", ""hi"")"),"C) लकड़ी")</f>
        <v>C) लकड़ी</v>
      </c>
    </row>
    <row r="78" ht="22.5" customHeight="1">
      <c r="A78" s="10">
        <v>77.0</v>
      </c>
      <c r="B78" s="8" t="s">
        <v>10555</v>
      </c>
      <c r="C78" s="8" t="s">
        <v>10498</v>
      </c>
      <c r="D78" s="8" t="s">
        <v>4164</v>
      </c>
      <c r="F78" s="5" t="str">
        <f>IFERROR(__xludf.DUMMYFUNCTION("GOOGLETRANSLATE(A78, ""en"", ""hi"")"),"77")</f>
        <v>77</v>
      </c>
      <c r="G78" s="5" t="str">
        <f>IFERROR(__xludf.DUMMYFUNCTION("GOOGLETRANSLATE(B78, ""en"", ""hi"")"),"किस भारतीय राजा का नाम मलखम्ब को सैन्य प्रशिक्षण के रूप में औपचारिक रूप देने से जुड़ा है?")</f>
        <v>किस भारतीय राजा का नाम मलखम्ब को सैन्य प्रशिक्षण के रूप में औपचारिक रूप देने से जुड़ा है?</v>
      </c>
      <c r="H78" s="5" t="str">
        <f>IFERROR(__xludf.DUMMYFUNCTION("GOOGLETRANSLATE(C78, ""en"", ""hi"")"),"ए) शिवाजी महाराज, बी) अकबर, सी) चंद्रगुप्त मौर्य, डी) अशोक")</f>
        <v>ए) शिवाजी महाराज, बी) अकबर, सी) चंद्रगुप्त मौर्य, डी) अशोक</v>
      </c>
      <c r="I78" s="5" t="str">
        <f>IFERROR(__xludf.DUMMYFUNCTION("GOOGLETRANSLATE(D78, ""en"", ""hi"")"),"A) शिवाजी महाराज")</f>
        <v>A) शिवाजी महाराज</v>
      </c>
    </row>
    <row r="79" ht="22.5" customHeight="1">
      <c r="A79" s="10">
        <v>78.0</v>
      </c>
      <c r="B79" s="8" t="s">
        <v>10556</v>
      </c>
      <c r="C79" s="8" t="s">
        <v>10528</v>
      </c>
      <c r="D79" s="8" t="s">
        <v>8993</v>
      </c>
      <c r="F79" s="5" t="str">
        <f>IFERROR(__xludf.DUMMYFUNCTION("GOOGLETRANSLATE(A79, ""en"", ""hi"")"),"78")</f>
        <v>78</v>
      </c>
      <c r="G79" s="5" t="str">
        <f>IFERROR(__xludf.DUMMYFUNCTION("GOOGLETRANSLATE(B79, ""en"", ""hi"")"),"आधुनिक शारीरिक शिक्षा में मलखम्ब का प्राथमिक उद्देश्य क्या है?")</f>
        <v>आधुनिक शारीरिक शिक्षा में मलखम्ब का प्राथमिक उद्देश्य क्या है?</v>
      </c>
      <c r="H79" s="5" t="str">
        <f>IFERROR(__xludf.DUMMYFUNCTION("GOOGLETRANSLATE(C79, ""en"", ""hi"")"),"A) प्रतिस्पर्धी खेल, B) शारीरिक कंडीशनिंग, C) पारंपरिक अनुष्ठान, D) मनोरंजन")</f>
        <v>A) प्रतिस्पर्धी खेल, B) शारीरिक कंडीशनिंग, C) पारंपरिक अनुष्ठान, D) मनोरंजन</v>
      </c>
      <c r="I79" s="5" t="str">
        <f>IFERROR(__xludf.DUMMYFUNCTION("GOOGLETRANSLATE(D79, ""en"", ""hi"")"),"बी) शारीरिक कंडीशनिंग")</f>
        <v>बी) शारीरिक कंडीशनिंग</v>
      </c>
    </row>
    <row r="80" ht="22.5" customHeight="1">
      <c r="A80" s="10">
        <v>79.0</v>
      </c>
      <c r="B80" s="8" t="s">
        <v>10557</v>
      </c>
      <c r="C80" s="8" t="s">
        <v>10471</v>
      </c>
      <c r="D80" s="8" t="s">
        <v>10472</v>
      </c>
      <c r="F80" s="5" t="str">
        <f>IFERROR(__xludf.DUMMYFUNCTION("GOOGLETRANSLATE(A80, ""en"", ""hi"")"),"79")</f>
        <v>79</v>
      </c>
      <c r="G80" s="5" t="str">
        <f>IFERROR(__xludf.DUMMYFUNCTION("GOOGLETRANSLATE(B80, ""en"", ""hi"")"),"18वीं शताब्दी के दौरान किस महाराजा ने मलखम्ब को शारीरिक शिक्षा के एक भाग के रूप में बढ़ावा दिया?")</f>
        <v>18वीं शताब्दी के दौरान किस महाराजा ने मलखम्ब को शारीरिक शिक्षा के एक भाग के रूप में बढ़ावा दिया?</v>
      </c>
      <c r="H80" s="5" t="str">
        <f>IFERROR(__xludf.DUMMYFUNCTION("GOOGLETRANSLATE(C80, ""en"", ""hi"")"),"ए) शिवाजी महाराज, बी) जय सिंह, सी) रणजीत सिंह, डी) महादजी शिंदे")</f>
        <v>ए) शिवाजी महाराज, बी) जय सिंह, सी) रणजीत सिंह, डी) महादजी शिंदे</v>
      </c>
      <c r="I80" s="5" t="str">
        <f>IFERROR(__xludf.DUMMYFUNCTION("GOOGLETRANSLATE(D80, ""en"", ""hi"")"),"D) महादजी शिंदे")</f>
        <v>D) महादजी शिंदे</v>
      </c>
    </row>
    <row r="81" ht="22.5" customHeight="1">
      <c r="A81" s="10">
        <v>80.0</v>
      </c>
      <c r="B81" s="8" t="s">
        <v>10537</v>
      </c>
      <c r="C81" s="8" t="s">
        <v>10538</v>
      </c>
      <c r="D81" s="8" t="s">
        <v>10485</v>
      </c>
      <c r="F81" s="5" t="str">
        <f>IFERROR(__xludf.DUMMYFUNCTION("GOOGLETRANSLATE(A81, ""en"", ""hi"")"),"80")</f>
        <v>80</v>
      </c>
      <c r="G81" s="5" t="str">
        <f>IFERROR(__xludf.DUMMYFUNCTION("GOOGLETRANSLATE(B81, ""en"", ""hi"")"),"प्राचीन काल के किस भारतीय ग्रंथ में मलखंभ के समान शारीरिक प्रशिक्षण तकनीकों का वर्णन किया गया है?")</f>
        <v>प्राचीन काल के किस भारतीय ग्रंथ में मलखंभ के समान शारीरिक प्रशिक्षण तकनीकों का वर्णन किया गया है?</v>
      </c>
      <c r="H81" s="5" t="str">
        <f>IFERROR(__xludf.DUMMYFUNCTION("GOOGLETRANSLATE(C81, ""en"", ""hi"")"),"ए) मनुस्मृति, बी) वेद, सी) योग सूत्र, डी) रामायण")</f>
        <v>ए) मनुस्मृति, बी) वेद, सी) योग सूत्र, डी) रामायण</v>
      </c>
      <c r="I81" s="5" t="str">
        <f>IFERROR(__xludf.DUMMYFUNCTION("GOOGLETRANSLATE(D81, ""en"", ""hi"")"),"बी) वेद")</f>
        <v>बी) वेद</v>
      </c>
    </row>
    <row r="82" ht="22.5" customHeight="1">
      <c r="A82" s="10">
        <v>81.0</v>
      </c>
      <c r="B82" s="8" t="s">
        <v>10558</v>
      </c>
      <c r="C82" s="8" t="s">
        <v>10498</v>
      </c>
      <c r="D82" s="8" t="s">
        <v>4164</v>
      </c>
      <c r="F82" s="5" t="str">
        <f>IFERROR(__xludf.DUMMYFUNCTION("GOOGLETRANSLATE(A82, ""en"", ""hi"")"),"81")</f>
        <v>81</v>
      </c>
      <c r="G82" s="5" t="str">
        <f>IFERROR(__xludf.DUMMYFUNCTION("GOOGLETRANSLATE(B82, ""en"", ""hi"")"),"कौन सा राजा अपनी सेना के प्रशिक्षण में मलखम्ब को शामिल करने के लिए जाना जाता है?")</f>
        <v>कौन सा राजा अपनी सेना के प्रशिक्षण में मलखम्ब को शामिल करने के लिए जाना जाता है?</v>
      </c>
      <c r="H82" s="5" t="str">
        <f>IFERROR(__xludf.DUMMYFUNCTION("GOOGLETRANSLATE(C82, ""en"", ""hi"")"),"ए) शिवाजी महाराज, बी) अकबर, सी) चंद्रगुप्त मौर्य, डी) अशोक")</f>
        <v>ए) शिवाजी महाराज, बी) अकबर, सी) चंद्रगुप्त मौर्य, डी) अशोक</v>
      </c>
      <c r="I82" s="5" t="str">
        <f>IFERROR(__xludf.DUMMYFUNCTION("GOOGLETRANSLATE(D82, ""en"", ""hi"")"),"A) शिवाजी महाराज")</f>
        <v>A) शिवाजी महाराज</v>
      </c>
    </row>
    <row r="83" ht="22.5" customHeight="1">
      <c r="A83" s="10">
        <v>82.0</v>
      </c>
      <c r="B83" s="8" t="s">
        <v>10559</v>
      </c>
      <c r="C83" s="8" t="s">
        <v>10475</v>
      </c>
      <c r="D83" s="8" t="s">
        <v>10476</v>
      </c>
      <c r="F83" s="5" t="str">
        <f>IFERROR(__xludf.DUMMYFUNCTION("GOOGLETRANSLATE(A83, ""en"", ""hi"")"),"82")</f>
        <v>82</v>
      </c>
      <c r="G83" s="5" t="str">
        <f>IFERROR(__xludf.DUMMYFUNCTION("GOOGLETRANSLATE(B83, ""en"", ""hi"")"),"कौन सा भारतीय त्यौहार मलखम्ब प्रदर्शन के लिए जाना जाता है?")</f>
        <v>कौन सा भारतीय त्यौहार मलखम्ब प्रदर्शन के लिए जाना जाता है?</v>
      </c>
      <c r="H83" s="5" t="str">
        <f>IFERROR(__xludf.DUMMYFUNCTION("GOOGLETRANSLATE(C83, ""en"", ""hi"")"),"ए) गणेश चतुर्थी, बी) दिवाली, सी) होली, डी) पोंगल")</f>
        <v>ए) गणेश चतुर्थी, बी) दिवाली, सी) होली, डी) पोंगल</v>
      </c>
      <c r="I83" s="5" t="str">
        <f>IFERROR(__xludf.DUMMYFUNCTION("GOOGLETRANSLATE(D83, ""en"", ""hi"")"),"A) गणेश चतुर्थी")</f>
        <v>A) गणेश चतुर्थी</v>
      </c>
    </row>
    <row r="84" ht="22.5" customHeight="1">
      <c r="A84" s="10">
        <v>83.0</v>
      </c>
      <c r="B84" s="8" t="s">
        <v>10560</v>
      </c>
      <c r="C84" s="8" t="s">
        <v>10456</v>
      </c>
      <c r="D84" s="8" t="s">
        <v>10457</v>
      </c>
      <c r="F84" s="5" t="str">
        <f>IFERROR(__xludf.DUMMYFUNCTION("GOOGLETRANSLATE(A84, ""en"", ""hi"")"),"83")</f>
        <v>83</v>
      </c>
      <c r="G84" s="5" t="str">
        <f>IFERROR(__xludf.DUMMYFUNCTION("GOOGLETRANSLATE(B84, ""en"", ""hi"")"),"प्रदर्शन में प्रयुक्त मलखम्ब पोल की पारंपरिक ऊंचाई कितनी है?")</f>
        <v>प्रदर्शन में प्रयुक्त मलखम्ब पोल की पारंपरिक ऊंचाई कितनी है?</v>
      </c>
      <c r="H84" s="5" t="str">
        <f>IFERROR(__xludf.DUMMYFUNCTION("GOOGLETRANSLATE(C84, ""en"", ""hi"")"),"A) 10 फीट, B) 12 फीट, C) 15 फीट, D) 20 फीट")</f>
        <v>A) 10 फीट, B) 12 फीट, C) 15 फीट, D) 20 फीट</v>
      </c>
      <c r="I84" s="5" t="str">
        <f>IFERROR(__xludf.DUMMYFUNCTION("GOOGLETRANSLATE(D84, ""en"", ""hi"")"),"सी) 15 फीट")</f>
        <v>सी) 15 फीट</v>
      </c>
    </row>
    <row r="85" ht="22.5" customHeight="1">
      <c r="A85" s="10">
        <v>84.0</v>
      </c>
      <c r="B85" s="8" t="s">
        <v>10561</v>
      </c>
      <c r="C85" s="8" t="s">
        <v>10517</v>
      </c>
      <c r="D85" s="8" t="s">
        <v>3012</v>
      </c>
      <c r="F85" s="5" t="str">
        <f>IFERROR(__xludf.DUMMYFUNCTION("GOOGLETRANSLATE(A85, ""en"", ""hi"")"),"84")</f>
        <v>84</v>
      </c>
      <c r="G85" s="5" t="str">
        <f>IFERROR(__xludf.DUMMYFUNCTION("GOOGLETRANSLATE(B85, ""en"", ""hi"")"),"पारंपरिक मलखम्ब प्रशिक्षण का मुख्य केंद्र क्या है?")</f>
        <v>पारंपरिक मलखम्ब प्रशिक्षण का मुख्य केंद्र क्या है?</v>
      </c>
      <c r="H85" s="5" t="str">
        <f>IFERROR(__xludf.DUMMYFUNCTION("GOOGLETRANSLATE(C85, ""en"", ""hi"")"),"A) ताकत, B) लचीलापन, C) गति, D) समन्वय")</f>
        <v>A) ताकत, B) लचीलापन, C) गति, D) समन्वय</v>
      </c>
      <c r="I85" s="5" t="str">
        <f>IFERROR(__xludf.DUMMYFUNCTION("GOOGLETRANSLATE(D85, ""en"", ""hi"")"),"ए) ताकत")</f>
        <v>ए) ताकत</v>
      </c>
    </row>
    <row r="86" ht="22.5" customHeight="1">
      <c r="A86" s="10">
        <v>85.0</v>
      </c>
      <c r="B86" s="8" t="s">
        <v>10562</v>
      </c>
      <c r="C86" s="8" t="s">
        <v>10471</v>
      </c>
      <c r="D86" s="8" t="s">
        <v>10472</v>
      </c>
      <c r="F86" s="5" t="str">
        <f>IFERROR(__xludf.DUMMYFUNCTION("GOOGLETRANSLATE(A86, ""en"", ""hi"")"),"85")</f>
        <v>85</v>
      </c>
      <c r="G86" s="5" t="str">
        <f>IFERROR(__xludf.DUMMYFUNCTION("GOOGLETRANSLATE(B86, ""en"", ""hi"")"),"18वीं शताब्दी के अंत में किस महाराजा ने मलखम्ब के विकास का समर्थन किया?")</f>
        <v>18वीं शताब्दी के अंत में किस महाराजा ने मलखम्ब के विकास का समर्थन किया?</v>
      </c>
      <c r="H86" s="5" t="str">
        <f>IFERROR(__xludf.DUMMYFUNCTION("GOOGLETRANSLATE(C86, ""en"", ""hi"")"),"ए) शिवाजी महाराज, बी) जय सिंह, सी) रणजीत सिंह, डी) महादजी शिंदे")</f>
        <v>ए) शिवाजी महाराज, बी) जय सिंह, सी) रणजीत सिंह, डी) महादजी शिंदे</v>
      </c>
      <c r="I86" s="5" t="str">
        <f>IFERROR(__xludf.DUMMYFUNCTION("GOOGLETRANSLATE(D86, ""en"", ""hi"")"),"D) महादजी शिंदे")</f>
        <v>D) महादजी शिंदे</v>
      </c>
    </row>
    <row r="87" ht="22.5" customHeight="1">
      <c r="A87" s="10">
        <v>86.0</v>
      </c>
      <c r="B87" s="8" t="s">
        <v>10563</v>
      </c>
      <c r="C87" s="8" t="s">
        <v>10538</v>
      </c>
      <c r="D87" s="8" t="s">
        <v>10485</v>
      </c>
      <c r="F87" s="5" t="str">
        <f>IFERROR(__xludf.DUMMYFUNCTION("GOOGLETRANSLATE(A87, ""en"", ""hi"")"),"86")</f>
        <v>86</v>
      </c>
      <c r="G87" s="5" t="str">
        <f>IFERROR(__xludf.DUMMYFUNCTION("GOOGLETRANSLATE(B87, ""en"", ""hi"")"),"कौन सा भारतीय ग्रंथ मलखंभ के समान शारीरिक अभ्यासों का वर्णन करता है?")</f>
        <v>कौन सा भारतीय ग्रंथ मलखंभ के समान शारीरिक अभ्यासों का वर्णन करता है?</v>
      </c>
      <c r="H87" s="5" t="str">
        <f>IFERROR(__xludf.DUMMYFUNCTION("GOOGLETRANSLATE(C87, ""en"", ""hi"")"),"ए) मनुस्मृति, बी) वेद, सी) योग सूत्र, डी) रामायण")</f>
        <v>ए) मनुस्मृति, बी) वेद, सी) योग सूत्र, डी) रामायण</v>
      </c>
      <c r="I87" s="5" t="str">
        <f>IFERROR(__xludf.DUMMYFUNCTION("GOOGLETRANSLATE(D87, ""en"", ""hi"")"),"बी) वेद")</f>
        <v>बी) वेद</v>
      </c>
    </row>
    <row r="88" ht="22.5" customHeight="1">
      <c r="A88" s="10">
        <v>87.0</v>
      </c>
      <c r="B88" s="8" t="s">
        <v>10564</v>
      </c>
      <c r="C88" s="8" t="s">
        <v>10510</v>
      </c>
      <c r="D88" s="8" t="s">
        <v>4164</v>
      </c>
      <c r="F88" s="5" t="str">
        <f>IFERROR(__xludf.DUMMYFUNCTION("GOOGLETRANSLATE(A88, ""en"", ""hi"")"),"87")</f>
        <v>87</v>
      </c>
      <c r="G88" s="5" t="str">
        <f>IFERROR(__xludf.DUMMYFUNCTION("GOOGLETRANSLATE(B88, ""en"", ""hi"")"),"17वीं शताब्दी के दौरान मलखम्ब के विकास से कौन सा राजा जुड़ा हुआ है?")</f>
        <v>17वीं शताब्दी के दौरान मलखम्ब के विकास से कौन सा राजा जुड़ा हुआ है?</v>
      </c>
      <c r="H88" s="5" t="str">
        <f>IFERROR(__xludf.DUMMYFUNCTION("GOOGLETRANSLATE(C88, ""en"", ""hi"")"),"ए) शिवाजी महाराज, बी) अकबर, सी) औरंगजेब, डी) राणा प्रताप")</f>
        <v>ए) शिवाजी महाराज, बी) अकबर, सी) औरंगजेब, डी) राणा प्रताप</v>
      </c>
      <c r="I88" s="5" t="str">
        <f>IFERROR(__xludf.DUMMYFUNCTION("GOOGLETRANSLATE(D88, ""en"", ""hi"")"),"A) शिवाजी महाराज")</f>
        <v>A) शिवाजी महाराज</v>
      </c>
    </row>
    <row r="89" ht="22.5" customHeight="1">
      <c r="A89" s="10">
        <v>88.0</v>
      </c>
      <c r="B89" s="8" t="s">
        <v>10565</v>
      </c>
      <c r="C89" s="8" t="s">
        <v>10471</v>
      </c>
      <c r="D89" s="8" t="s">
        <v>10472</v>
      </c>
      <c r="F89" s="5" t="str">
        <f>IFERROR(__xludf.DUMMYFUNCTION("GOOGLETRANSLATE(A89, ""en"", ""hi"")"),"88")</f>
        <v>88</v>
      </c>
      <c r="G89" s="5" t="str">
        <f>IFERROR(__xludf.DUMMYFUNCTION("GOOGLETRANSLATE(B89, ""en"", ""hi"")"),"किस भारतीय राजा को शारीरिक शिक्षा के एक भाग के रूप में मलखम्ब को बढ़ावा देने का श्रेय दिया जाता है?")</f>
        <v>किस भारतीय राजा को शारीरिक शिक्षा के एक भाग के रूप में मलखम्ब को बढ़ावा देने का श्रेय दिया जाता है?</v>
      </c>
      <c r="H89" s="5" t="str">
        <f>IFERROR(__xludf.DUMMYFUNCTION("GOOGLETRANSLATE(C89, ""en"", ""hi"")"),"ए) शिवाजी महाराज, बी) जय सिंह, सी) रणजीत सिंह, डी) महादजी शिंदे")</f>
        <v>ए) शिवाजी महाराज, बी) जय सिंह, सी) रणजीत सिंह, डी) महादजी शिंदे</v>
      </c>
      <c r="I89" s="5" t="str">
        <f>IFERROR(__xludf.DUMMYFUNCTION("GOOGLETRANSLATE(D89, ""en"", ""hi"")"),"D) महादजी शिंदे")</f>
        <v>D) महादजी शिंदे</v>
      </c>
    </row>
    <row r="90" ht="22.5" customHeight="1">
      <c r="A90" s="10">
        <v>89.0</v>
      </c>
      <c r="B90" s="8" t="s">
        <v>10515</v>
      </c>
      <c r="C90" s="8" t="s">
        <v>10456</v>
      </c>
      <c r="D90" s="8" t="s">
        <v>10457</v>
      </c>
      <c r="F90" s="5" t="str">
        <f>IFERROR(__xludf.DUMMYFUNCTION("GOOGLETRANSLATE(A90, ""en"", ""hi"")"),"89")</f>
        <v>89</v>
      </c>
      <c r="G90" s="5" t="str">
        <f>IFERROR(__xludf.DUMMYFUNCTION("GOOGLETRANSLATE(B90, ""en"", ""hi"")"),"प्रतियोगिताओं में प्रयुक्त मलखम्ब पोल की पारंपरिक ऊंचाई कितनी है?")</f>
        <v>प्रतियोगिताओं में प्रयुक्त मलखम्ब पोल की पारंपरिक ऊंचाई कितनी है?</v>
      </c>
      <c r="H90" s="5" t="str">
        <f>IFERROR(__xludf.DUMMYFUNCTION("GOOGLETRANSLATE(C90, ""en"", ""hi"")"),"A) 10 फीट, B) 12 फीट, C) 15 फीट, D) 20 फीट")</f>
        <v>A) 10 फीट, B) 12 फीट, C) 15 फीट, D) 20 फीट</v>
      </c>
      <c r="I90" s="5" t="str">
        <f>IFERROR(__xludf.DUMMYFUNCTION("GOOGLETRANSLATE(D90, ""en"", ""hi"")"),"सी) 15 फीट")</f>
        <v>सी) 15 फीट</v>
      </c>
    </row>
    <row r="91" ht="22.5" customHeight="1">
      <c r="A91" s="10">
        <v>90.0</v>
      </c>
      <c r="B91" s="8" t="s">
        <v>10566</v>
      </c>
      <c r="C91" s="8" t="s">
        <v>10523</v>
      </c>
      <c r="D91" s="8" t="s">
        <v>2616</v>
      </c>
      <c r="F91" s="5" t="str">
        <f>IFERROR(__xludf.DUMMYFUNCTION("GOOGLETRANSLATE(A91, ""en"", ""hi"")"),"90")</f>
        <v>90</v>
      </c>
      <c r="G91" s="5" t="str">
        <f>IFERROR(__xludf.DUMMYFUNCTION("GOOGLETRANSLATE(B91, ""en"", ""hi"")"),"कौन सा भारतीय ग्रंथ मलखंभ के समान प्रारंभिक कलाबाजी प्रशिक्षण का प्रमाण प्रदान करता है?")</f>
        <v>कौन सा भारतीय ग्रंथ मलखंभ के समान प्रारंभिक कलाबाजी प्रशिक्षण का प्रमाण प्रदान करता है?</v>
      </c>
      <c r="H91" s="5" t="str">
        <f>IFERROR(__xludf.DUMMYFUNCTION("GOOGLETRANSLATE(C91, ""en"", ""hi"")"),"ए) अर्थशास्त्र, बी) वेद, सी) मनुस्मृति, डी) रामायण")</f>
        <v>ए) अर्थशास्त्र, बी) वेद, सी) मनुस्मृति, डी) रामायण</v>
      </c>
      <c r="I91" s="5" t="str">
        <f>IFERROR(__xludf.DUMMYFUNCTION("GOOGLETRANSLATE(D91, ""en"", ""hi"")"),"A) अर्थशास्त्र")</f>
        <v>A) अर्थशास्त्र</v>
      </c>
    </row>
    <row r="92" ht="22.5" customHeight="1">
      <c r="A92" s="10">
        <v>91.0</v>
      </c>
      <c r="B92" s="8" t="s">
        <v>10567</v>
      </c>
      <c r="C92" s="8" t="s">
        <v>10498</v>
      </c>
      <c r="D92" s="8" t="s">
        <v>4164</v>
      </c>
      <c r="F92" s="5" t="str">
        <f>IFERROR(__xludf.DUMMYFUNCTION("GOOGLETRANSLATE(A92, ""en"", ""hi"")"),"91")</f>
        <v>91</v>
      </c>
      <c r="G92" s="5" t="str">
        <f>IFERROR(__xludf.DUMMYFUNCTION("GOOGLETRANSLATE(B92, ""en"", ""hi"")"),"किस राजा ने मलखम्ब को अपनी सेना के प्रशिक्षण में शामिल किया?")</f>
        <v>किस राजा ने मलखम्ब को अपनी सेना के प्रशिक्षण में शामिल किया?</v>
      </c>
      <c r="H92" s="5" t="str">
        <f>IFERROR(__xludf.DUMMYFUNCTION("GOOGLETRANSLATE(C92, ""en"", ""hi"")"),"ए) शिवाजी महाराज, बी) अकबर, सी) चंद्रगुप्त मौर्य, डी) अशोक")</f>
        <v>ए) शिवाजी महाराज, बी) अकबर, सी) चंद्रगुप्त मौर्य, डी) अशोक</v>
      </c>
      <c r="I92" s="5" t="str">
        <f>IFERROR(__xludf.DUMMYFUNCTION("GOOGLETRANSLATE(D92, ""en"", ""hi"")"),"A) शिवाजी महाराज")</f>
        <v>A) शिवाजी महाराज</v>
      </c>
    </row>
    <row r="93" ht="22.5" customHeight="1">
      <c r="A93" s="10">
        <v>92.0</v>
      </c>
      <c r="B93" s="8" t="s">
        <v>10568</v>
      </c>
      <c r="C93" s="8" t="s">
        <v>10475</v>
      </c>
      <c r="D93" s="8" t="s">
        <v>10476</v>
      </c>
      <c r="F93" s="5" t="str">
        <f>IFERROR(__xludf.DUMMYFUNCTION("GOOGLETRANSLATE(A93, ""en"", ""hi"")"),"92")</f>
        <v>92</v>
      </c>
      <c r="G93" s="5" t="str">
        <f>IFERROR(__xludf.DUMMYFUNCTION("GOOGLETRANSLATE(B93, ""en"", ""hi"")"),"कौन से भारतीय त्यौहार में पारंपरिक रूप से मलखम्ब प्रदर्शन किया जाता है?")</f>
        <v>कौन से भारतीय त्यौहार में पारंपरिक रूप से मलखम्ब प्रदर्शन किया जाता है?</v>
      </c>
      <c r="H93" s="5" t="str">
        <f>IFERROR(__xludf.DUMMYFUNCTION("GOOGLETRANSLATE(C93, ""en"", ""hi"")"),"ए) गणेश चतुर्थी, बी) दिवाली, सी) होली, डी) पोंगल")</f>
        <v>ए) गणेश चतुर्थी, बी) दिवाली, सी) होली, डी) पोंगल</v>
      </c>
      <c r="I93" s="5" t="str">
        <f>IFERROR(__xludf.DUMMYFUNCTION("GOOGLETRANSLATE(D93, ""en"", ""hi"")"),"A) गणेश चतुर्थी")</f>
        <v>A) गणेश चतुर्थी</v>
      </c>
    </row>
    <row r="94" ht="22.5" customHeight="1">
      <c r="A94" s="10">
        <v>93.0</v>
      </c>
      <c r="B94" s="8" t="s">
        <v>10569</v>
      </c>
      <c r="C94" s="8" t="s">
        <v>10456</v>
      </c>
      <c r="D94" s="8" t="s">
        <v>10457</v>
      </c>
      <c r="F94" s="5" t="str">
        <f>IFERROR(__xludf.DUMMYFUNCTION("GOOGLETRANSLATE(A94, ""en"", ""hi"")"),"93")</f>
        <v>93</v>
      </c>
      <c r="G94" s="5" t="str">
        <f>IFERROR(__xludf.DUMMYFUNCTION("GOOGLETRANSLATE(B94, ""en"", ""hi"")"),"समकालीन अभ्यास में प्रयुक्त पारंपरिक मलखंभ स्तंभ की ऊंचाई कितनी है?")</f>
        <v>समकालीन अभ्यास में प्रयुक्त पारंपरिक मलखंभ स्तंभ की ऊंचाई कितनी है?</v>
      </c>
      <c r="H94" s="5" t="str">
        <f>IFERROR(__xludf.DUMMYFUNCTION("GOOGLETRANSLATE(C94, ""en"", ""hi"")"),"A) 10 फीट, B) 12 फीट, C) 15 फीट, D) 20 फीट")</f>
        <v>A) 10 फीट, B) 12 फीट, C) 15 फीट, D) 20 फीट</v>
      </c>
      <c r="I94" s="5" t="str">
        <f>IFERROR(__xludf.DUMMYFUNCTION("GOOGLETRANSLATE(D94, ""en"", ""hi"")"),"सी) 15 फीट")</f>
        <v>सी) 15 फीट</v>
      </c>
    </row>
    <row r="95" ht="22.5" customHeight="1">
      <c r="A95" s="10">
        <v>94.0</v>
      </c>
      <c r="B95" s="8" t="s">
        <v>10535</v>
      </c>
      <c r="C95" s="8" t="s">
        <v>10517</v>
      </c>
      <c r="D95" s="8" t="s">
        <v>3012</v>
      </c>
      <c r="F95" s="5" t="str">
        <f>IFERROR(__xludf.DUMMYFUNCTION("GOOGLETRANSLATE(A95, ""en"", ""hi"")"),"94")</f>
        <v>94</v>
      </c>
      <c r="G95" s="5" t="str">
        <f>IFERROR(__xludf.DUMMYFUNCTION("GOOGLETRANSLATE(B95, ""en"", ""hi"")"),"मलखम्ब प्रशिक्षण का मुख्य फोकस क्या है?")</f>
        <v>मलखम्ब प्रशिक्षण का मुख्य फोकस क्या है?</v>
      </c>
      <c r="H95" s="5" t="str">
        <f>IFERROR(__xludf.DUMMYFUNCTION("GOOGLETRANSLATE(C95, ""en"", ""hi"")"),"A) ताकत, B) लचीलापन, C) गति, D) समन्वय")</f>
        <v>A) ताकत, B) लचीलापन, C) गति, D) समन्वय</v>
      </c>
      <c r="I95" s="5" t="str">
        <f>IFERROR(__xludf.DUMMYFUNCTION("GOOGLETRANSLATE(D95, ""en"", ""hi"")"),"ए) ताकत")</f>
        <v>ए) ताकत</v>
      </c>
    </row>
    <row r="96" ht="22.5" customHeight="1">
      <c r="A96" s="10">
        <v>95.0</v>
      </c>
      <c r="B96" s="8" t="s">
        <v>10570</v>
      </c>
      <c r="C96" s="8" t="s">
        <v>10471</v>
      </c>
      <c r="D96" s="8" t="s">
        <v>10472</v>
      </c>
      <c r="F96" s="5" t="str">
        <f>IFERROR(__xludf.DUMMYFUNCTION("GOOGLETRANSLATE(A96, ""en"", ""hi"")"),"95")</f>
        <v>95</v>
      </c>
      <c r="G96" s="5" t="str">
        <f>IFERROR(__xludf.DUMMYFUNCTION("GOOGLETRANSLATE(B96, ""en"", ""hi"")"),"कौन से महाराजा को मलखम्ब को एक खेल के रूप में विकसित करने में उनके योगदान के लिए जाना जाता है?")</f>
        <v>कौन से महाराजा को मलखम्ब को एक खेल के रूप में विकसित करने में उनके योगदान के लिए जाना जाता है?</v>
      </c>
      <c r="H96" s="5" t="str">
        <f>IFERROR(__xludf.DUMMYFUNCTION("GOOGLETRANSLATE(C96, ""en"", ""hi"")"),"ए) शिवाजी महाराज, बी) जय सिंह, सी) रणजीत सिंह, डी) महादजी शिंदे")</f>
        <v>ए) शिवाजी महाराज, बी) जय सिंह, सी) रणजीत सिंह, डी) महादजी शिंदे</v>
      </c>
      <c r="I96" s="5" t="str">
        <f>IFERROR(__xludf.DUMMYFUNCTION("GOOGLETRANSLATE(D96, ""en"", ""hi"")"),"D) महादजी शिंदे")</f>
        <v>D) महादजी शिंदे</v>
      </c>
    </row>
    <row r="97" ht="22.5" customHeight="1">
      <c r="A97" s="10">
        <v>96.0</v>
      </c>
      <c r="B97" s="8" t="s">
        <v>10571</v>
      </c>
      <c r="C97" s="8" t="s">
        <v>10538</v>
      </c>
      <c r="D97" s="8" t="s">
        <v>10485</v>
      </c>
      <c r="F97" s="5" t="str">
        <f>IFERROR(__xludf.DUMMYFUNCTION("GOOGLETRANSLATE(A97, ""en"", ""hi"")"),"96")</f>
        <v>96</v>
      </c>
      <c r="G97" s="5" t="str">
        <f>IFERROR(__xludf.DUMMYFUNCTION("GOOGLETRANSLATE(B97, ""en"", ""hi"")"),"कौन सा भारतीय ग्रंथ मलखंभ के समान कलाबाजी प्रथाओं का वर्णन करता है?")</f>
        <v>कौन सा भारतीय ग्रंथ मलखंभ के समान कलाबाजी प्रथाओं का वर्णन करता है?</v>
      </c>
      <c r="H97" s="5" t="str">
        <f>IFERROR(__xludf.DUMMYFUNCTION("GOOGLETRANSLATE(C97, ""en"", ""hi"")"),"ए) मनुस्मृति, बी) वेद, सी) योग सूत्र, डी) रामायण")</f>
        <v>ए) मनुस्मृति, बी) वेद, सी) योग सूत्र, डी) रामायण</v>
      </c>
      <c r="I97" s="5" t="str">
        <f>IFERROR(__xludf.DUMMYFUNCTION("GOOGLETRANSLATE(D97, ""en"", ""hi"")"),"बी) वेद")</f>
        <v>बी) वेद</v>
      </c>
    </row>
    <row r="98" ht="22.5" customHeight="1">
      <c r="A98" s="10">
        <v>97.0</v>
      </c>
      <c r="B98" s="8" t="s">
        <v>10572</v>
      </c>
      <c r="C98" s="8" t="s">
        <v>10573</v>
      </c>
      <c r="D98" s="8" t="s">
        <v>98</v>
      </c>
      <c r="F98" s="5" t="str">
        <f>IFERROR(__xludf.DUMMYFUNCTION("GOOGLETRANSLATE(A98, ""en"", ""hi"")"),"97")</f>
        <v>97</v>
      </c>
      <c r="G98" s="5" t="str">
        <f>IFERROR(__xludf.DUMMYFUNCTION("GOOGLETRANSLATE(B98, ""en"", ""hi"")"),"मलखम्ब एक पारंपरिक खेल है जिसकी उत्पत्ति किस भारतीय राज्य से हुई है?")</f>
        <v>मलखम्ब एक पारंपरिक खेल है जिसकी उत्पत्ति किस भारतीय राज्य से हुई है?</v>
      </c>
      <c r="H98" s="5" t="str">
        <f>IFERROR(__xludf.DUMMYFUNCTION("GOOGLETRANSLATE(C98, ""en"", ""hi"")"),"ए) गुजरात, बी) महाराष्ट्र, सी) कर्नाटक, डी) उत्तर प्रदेश")</f>
        <v>ए) गुजरात, बी) महाराष्ट्र, सी) कर्नाटक, डी) उत्तर प्रदेश</v>
      </c>
      <c r="I98" s="5" t="str">
        <f>IFERROR(__xludf.DUMMYFUNCTION("GOOGLETRANSLATE(D98, ""en"", ""hi"")"),"बी) महाराष्ट्र")</f>
        <v>बी) महाराष्ट्र</v>
      </c>
    </row>
    <row r="99" ht="22.5" customHeight="1">
      <c r="A99" s="10">
        <v>98.0</v>
      </c>
      <c r="B99" s="8" t="s">
        <v>10574</v>
      </c>
      <c r="C99" s="8" t="s">
        <v>10575</v>
      </c>
      <c r="D99" s="8" t="s">
        <v>4164</v>
      </c>
      <c r="F99" s="5" t="str">
        <f>IFERROR(__xludf.DUMMYFUNCTION("GOOGLETRANSLATE(A99, ""en"", ""hi"")"),"98")</f>
        <v>98</v>
      </c>
      <c r="G99" s="5" t="str">
        <f>IFERROR(__xludf.DUMMYFUNCTION("GOOGLETRANSLATE(B99, ""en"", ""hi"")"),"ऐतिहासिक ग्रंथों में मलखम्ब को लोकप्रिय बनाने का श्रेय प्रायः किस राजा को दिया जाता है?")</f>
        <v>ऐतिहासिक ग्रंथों में मलखम्ब को लोकप्रिय बनाने का श्रेय प्रायः किस राजा को दिया जाता है?</v>
      </c>
      <c r="H99" s="5" t="str">
        <f>IFERROR(__xludf.DUMMYFUNCTION("GOOGLETRANSLATE(C99, ""en"", ""hi"")"),"ए) शिवाजी महाराज, बी) अशोक, सी) अकबर, डी) औरंगजेब")</f>
        <v>ए) शिवाजी महाराज, बी) अशोक, सी) अकबर, डी) औरंगजेब</v>
      </c>
      <c r="I99" s="5" t="str">
        <f>IFERROR(__xludf.DUMMYFUNCTION("GOOGLETRANSLATE(D99, ""en"", ""hi"")"),"A) शिवाजी महाराज")</f>
        <v>A) शिवाजी महाराज</v>
      </c>
    </row>
    <row r="100" ht="22.5" customHeight="1">
      <c r="A100" s="10">
        <v>99.0</v>
      </c>
      <c r="B100" s="8" t="s">
        <v>10576</v>
      </c>
      <c r="C100" s="8" t="s">
        <v>7910</v>
      </c>
      <c r="D100" s="8" t="s">
        <v>6644</v>
      </c>
      <c r="F100" s="5" t="str">
        <f>IFERROR(__xludf.DUMMYFUNCTION("GOOGLETRANSLATE(A100, ""en"", ""hi"")"),"99")</f>
        <v>99</v>
      </c>
      <c r="G100" s="5" t="str">
        <f>IFERROR(__xludf.DUMMYFUNCTION("GOOGLETRANSLATE(B100, ""en"", ""hi"")"),"मलखम्ब को एक खेल के रूप में किस शताब्दी में प्रसिद्धि मिलनी शुरू हुई?")</f>
        <v>मलखम्ब को एक खेल के रूप में किस शताब्दी में प्रसिद्धि मिलनी शुरू हुई?</v>
      </c>
      <c r="H100" s="5" t="str">
        <f>IFERROR(__xludf.DUMMYFUNCTION("GOOGLETRANSLATE(C100, ""en"", ""hi"")"),"A) 15वीं शताब्दी, B) 16वीं शताब्दी, C) 17वीं शताब्दी, D) 18वीं शताब्दी")</f>
        <v>A) 15वीं शताब्दी, B) 16वीं शताब्दी, C) 17वीं शताब्दी, D) 18वीं शताब्दी</v>
      </c>
      <c r="I100" s="5" t="str">
        <f>IFERROR(__xludf.DUMMYFUNCTION("GOOGLETRANSLATE(D100, ""en"", ""hi"")"),"सी) 17वीं शताब्दी")</f>
        <v>सी) 17वीं शताब्दी</v>
      </c>
    </row>
    <row r="101" ht="22.5" customHeight="1">
      <c r="A101" s="10">
        <v>100.0</v>
      </c>
      <c r="B101" s="8" t="s">
        <v>10577</v>
      </c>
      <c r="C101" s="8" t="s">
        <v>10578</v>
      </c>
      <c r="D101" s="8" t="s">
        <v>10579</v>
      </c>
      <c r="F101" s="5" t="str">
        <f>IFERROR(__xludf.DUMMYFUNCTION("GOOGLETRANSLATE(A101, ""en"", ""hi"")"),"100")</f>
        <v>100</v>
      </c>
      <c r="G101" s="5" t="str">
        <f>IFERROR(__xludf.DUMMYFUNCTION("GOOGLETRANSLATE(B101, ""en"", ""hi"")"),"किस प्रकार का मलखम्ब लकड़ी के बीम से बंधी रस्सी से किया जाता है?")</f>
        <v>किस प्रकार का मलखम्ब लकड़ी के बीम से बंधी रस्सी से किया जाता है?</v>
      </c>
      <c r="H101" s="5" t="str">
        <f>IFERROR(__xludf.DUMMYFUNCTION("GOOGLETRANSLATE(C101, ""en"", ""hi"")"),"ए) पोल मलखम्ब, बी) रस्सी मलखम्ब, सी) एरियल मलखम्ब, डी) क्षैतिज मलखम्ब")</f>
        <v>ए) पोल मलखम्ब, बी) रस्सी मलखम्ब, सी) एरियल मलखम्ब, डी) क्षैतिज मलखम्ब</v>
      </c>
      <c r="I101" s="5" t="str">
        <f>IFERROR(__xludf.DUMMYFUNCTION("GOOGLETRANSLATE(D101, ""en"", ""hi"")"),"बी) रस्सी मलखंभ")</f>
        <v>बी) रस्सी मलखंभ</v>
      </c>
    </row>
    <row r="102" ht="22.5" customHeight="1">
      <c r="A102" s="10">
        <v>101.0</v>
      </c>
      <c r="B102" s="8" t="s">
        <v>10580</v>
      </c>
      <c r="C102" s="8" t="s">
        <v>10581</v>
      </c>
      <c r="D102" s="8" t="s">
        <v>10582</v>
      </c>
      <c r="F102" s="5" t="str">
        <f>IFERROR(__xludf.DUMMYFUNCTION("GOOGLETRANSLATE(A102, ""en"", ""hi"")"),"101")</f>
        <v>101</v>
      </c>
      <c r="G102" s="5" t="str">
        <f>IFERROR(__xludf.DUMMYFUNCTION("GOOGLETRANSLATE(B102, ""en"", ""hi"")"),"मलखंभ स्तंभ बनाने के लिए प्राथमिक सामग्री क्या है?")</f>
        <v>मलखंभ स्तंभ बनाने के लिए प्राथमिक सामग्री क्या है?</v>
      </c>
      <c r="H102" s="5" t="str">
        <f>IFERROR(__xludf.DUMMYFUNCTION("GOOGLETRANSLATE(C102, ""en"", ""hi"")"),"A) बांस, B) धातु, C) प्लास्टिक, D) लकड़ी")</f>
        <v>A) बांस, B) धातु, C) प्लास्टिक, D) लकड़ी</v>
      </c>
      <c r="I102" s="5" t="str">
        <f>IFERROR(__xludf.DUMMYFUNCTION("GOOGLETRANSLATE(D102, ""en"", ""hi"")"),"D) लकड़ी")</f>
        <v>D) लकड़ी</v>
      </c>
    </row>
    <row r="103" ht="22.5" customHeight="1">
      <c r="A103" s="10">
        <v>102.0</v>
      </c>
      <c r="B103" s="8" t="s">
        <v>10583</v>
      </c>
      <c r="C103" s="8" t="s">
        <v>10584</v>
      </c>
      <c r="D103" s="8" t="s">
        <v>10585</v>
      </c>
      <c r="F103" s="5" t="str">
        <f>IFERROR(__xludf.DUMMYFUNCTION("GOOGLETRANSLATE(A103, ""en"", ""hi"")"),"102")</f>
        <v>102</v>
      </c>
      <c r="G103" s="5" t="str">
        <f>IFERROR(__xludf.DUMMYFUNCTION("GOOGLETRANSLATE(B103, ""en"", ""hi"")"),"कौन सा आधुनिक भारतीय एथलीट अंतरराष्ट्रीय स्तर पर मलखंभ को बढ़ावा देने के लिए जाना जाता है?")</f>
        <v>कौन सा आधुनिक भारतीय एथलीट अंतरराष्ट्रीय स्तर पर मलखंभ को बढ़ावा देने के लिए जाना जाता है?</v>
      </c>
      <c r="H103" s="5" t="str">
        <f>IFERROR(__xludf.DUMMYFUNCTION("GOOGLETRANSLATE(C103, ""en"", ""hi"")"),"ए) सचिन तेंदुलकर, बी) दीपा कर्माकर, सी) बजरंग पुनिया, डी) योगेश्वर दत्त")</f>
        <v>ए) सचिन तेंदुलकर, बी) दीपा कर्माकर, सी) बजरंग पुनिया, डी) योगेश्वर दत्त</v>
      </c>
      <c r="I103" s="5" t="str">
        <f>IFERROR(__xludf.DUMMYFUNCTION("GOOGLETRANSLATE(D103, ""en"", ""hi"")"),"B) दीपा करमाकर")</f>
        <v>B) दीपा करमाकर</v>
      </c>
    </row>
    <row r="104" ht="22.5" customHeight="1">
      <c r="A104" s="10">
        <v>103.0</v>
      </c>
      <c r="B104" s="8" t="s">
        <v>10586</v>
      </c>
      <c r="C104" s="8" t="s">
        <v>10587</v>
      </c>
      <c r="D104" s="8" t="s">
        <v>10588</v>
      </c>
      <c r="F104" s="5" t="str">
        <f>IFERROR(__xludf.DUMMYFUNCTION("GOOGLETRANSLATE(A104, ""en"", ""hi"")"),"103")</f>
        <v>103</v>
      </c>
      <c r="G104" s="5" t="str">
        <f>IFERROR(__xludf.DUMMYFUNCTION("GOOGLETRANSLATE(B104, ""en"", ""hi"")"),"मलखम्ब अक्सर किस त्यौहार के दौरान पारंपरिक समारोह के हिस्से के रूप में किया जाता है?")</f>
        <v>मलखम्ब अक्सर किस त्यौहार के दौरान पारंपरिक समारोह के हिस्से के रूप में किया जाता है?</v>
      </c>
      <c r="H104" s="5" t="str">
        <f>IFERROR(__xludf.DUMMYFUNCTION("GOOGLETRANSLATE(C104, ""en"", ""hi"")"),"ए) दिवाली, बी) गणेश चतुर्थी, सी) होली, डी) नवरात्रि")</f>
        <v>ए) दिवाली, बी) गणेश चतुर्थी, सी) होली, डी) नवरात्रि</v>
      </c>
      <c r="I104" s="5" t="str">
        <f>IFERROR(__xludf.DUMMYFUNCTION("GOOGLETRANSLATE(D104, ""en"", ""hi"")"),"बी) गणेश चतुर्थी")</f>
        <v>बी) गणेश चतुर्थी</v>
      </c>
    </row>
    <row r="105" ht="22.5" customHeight="1">
      <c r="A105" s="10">
        <v>104.0</v>
      </c>
      <c r="B105" s="8" t="s">
        <v>10589</v>
      </c>
      <c r="C105" s="8" t="s">
        <v>10590</v>
      </c>
      <c r="D105" s="8" t="s">
        <v>10591</v>
      </c>
      <c r="F105" s="5" t="str">
        <f>IFERROR(__xludf.DUMMYFUNCTION("GOOGLETRANSLATE(A105, ""en"", ""hi"")"),"104")</f>
        <v>104</v>
      </c>
      <c r="G105" s="5" t="str">
        <f>IFERROR(__xludf.DUMMYFUNCTION("GOOGLETRANSLATE(B105, ""en"", ""hi"")"),"पारंपरिक मलखम्ब प्रदर्शन का नाम क्या है जिसमें एक ऊर्ध्वाधर खंभे पर कलाबाजी शामिल होती है?")</f>
        <v>पारंपरिक मलखम्ब प्रदर्शन का नाम क्या है जिसमें एक ऊर्ध्वाधर खंभे पर कलाबाजी शामिल होती है?</v>
      </c>
      <c r="H105" s="5" t="str">
        <f>IFERROR(__xludf.DUMMYFUNCTION("GOOGLETRANSLATE(C105, ""en"", ""hi"")"),"ए) पोल मलखम्ब, बी) एरियल मलखम्ब, सी) रस्सी मलखम्ब, डी) क्षैतिज मलखम्ब")</f>
        <v>ए) पोल मलखम्ब, बी) एरियल मलखम्ब, सी) रस्सी मलखम्ब, डी) क्षैतिज मलखम्ब</v>
      </c>
      <c r="I105" s="5" t="str">
        <f>IFERROR(__xludf.DUMMYFUNCTION("GOOGLETRANSLATE(D105, ""en"", ""hi"")"),"A) पोल मलखम्ब")</f>
        <v>A) पोल मलखम्ब</v>
      </c>
    </row>
    <row r="106" ht="22.5" customHeight="1">
      <c r="A106" s="10">
        <v>105.0</v>
      </c>
      <c r="B106" s="8" t="s">
        <v>10592</v>
      </c>
      <c r="C106" s="8" t="s">
        <v>4751</v>
      </c>
      <c r="D106" s="8" t="s">
        <v>2526</v>
      </c>
      <c r="F106" s="5" t="str">
        <f>IFERROR(__xludf.DUMMYFUNCTION("GOOGLETRANSLATE(A106, ""en"", ""hi"")"),"105")</f>
        <v>105</v>
      </c>
      <c r="G106" s="5" t="str">
        <f>IFERROR(__xludf.DUMMYFUNCTION("GOOGLETRANSLATE(B106, ""en"", ""hi"")"),"किस प्राचीन भारतीय ग्रंथ में शारीरिक प्रशिक्षण के लिए मलखंभ के उपयोग का वर्णन है?")</f>
        <v>किस प्राचीन भारतीय ग्रंथ में शारीरिक प्रशिक्षण के लिए मलखंभ के उपयोग का वर्णन है?</v>
      </c>
      <c r="H106" s="5" t="str">
        <f>IFERROR(__xludf.DUMMYFUNCTION("GOOGLETRANSLATE(C106, ""en"", ""hi"")"),"ए) वेद, बी) उपनिषद, सी) महाभारत, डी) रामायण")</f>
        <v>ए) वेद, बी) उपनिषद, सी) महाभारत, डी) रामायण</v>
      </c>
      <c r="I106" s="5" t="str">
        <f>IFERROR(__xludf.DUMMYFUNCTION("GOOGLETRANSLATE(D106, ""en"", ""hi"")"),"C) महाभारत")</f>
        <v>C) महाभारत</v>
      </c>
    </row>
    <row r="107" ht="22.5" customHeight="1">
      <c r="A107" s="10">
        <v>106.0</v>
      </c>
      <c r="B107" s="8" t="s">
        <v>10593</v>
      </c>
      <c r="C107" s="8" t="s">
        <v>10594</v>
      </c>
      <c r="D107" s="8" t="s">
        <v>549</v>
      </c>
      <c r="F107" s="5" t="str">
        <f>IFERROR(__xludf.DUMMYFUNCTION("GOOGLETRANSLATE(A107, ""en"", ""hi"")"),"106")</f>
        <v>106</v>
      </c>
      <c r="G107" s="5" t="str">
        <f>IFERROR(__xludf.DUMMYFUNCTION("GOOGLETRANSLATE(B107, ""en"", ""hi"")"),"आधुनिक मलखम्ब महासंघ की स्थापना किस शहर में हुई?")</f>
        <v>आधुनिक मलखम्ब महासंघ की स्थापना किस शहर में हुई?</v>
      </c>
      <c r="H107" s="5" t="str">
        <f>IFERROR(__xludf.DUMMYFUNCTION("GOOGLETRANSLATE(C107, ""en"", ""hi"")"),"A) मुंबई, B) पुणे, C) नासिक, D) नागपुर")</f>
        <v>A) मुंबई, B) पुणे, C) नासिक, D) नागपुर</v>
      </c>
      <c r="I107" s="5" t="str">
        <f>IFERROR(__xludf.DUMMYFUNCTION("GOOGLETRANSLATE(D107, ""en"", ""hi"")"),"ए) मुंबई")</f>
        <v>ए) मुंबई</v>
      </c>
    </row>
    <row r="108" ht="22.5" customHeight="1">
      <c r="A108" s="10">
        <v>107.0</v>
      </c>
      <c r="B108" s="8" t="s">
        <v>10595</v>
      </c>
      <c r="C108" s="8" t="s">
        <v>10596</v>
      </c>
      <c r="D108" s="8" t="s">
        <v>10597</v>
      </c>
      <c r="F108" s="5" t="str">
        <f>IFERROR(__xludf.DUMMYFUNCTION("GOOGLETRANSLATE(A108, ""en"", ""hi"")"),"107")</f>
        <v>107</v>
      </c>
      <c r="G108" s="5" t="str">
        <f>IFERROR(__xludf.DUMMYFUNCTION("GOOGLETRANSLATE(B108, ""en"", ""hi"")"),"कौन सा भारतीय खेल प्रशिक्षण प्रयोजनों के लिए मलखंभ के समान ऊर्ध्वाधर पोल का उपयोग करता है?")</f>
        <v>कौन सा भारतीय खेल प्रशिक्षण प्रयोजनों के लिए मलखंभ के समान ऊर्ध्वाधर पोल का उपयोग करता है?</v>
      </c>
      <c r="H108" s="5" t="str">
        <f>IFERROR(__xludf.DUMMYFUNCTION("GOOGLETRANSLATE(C108, ""en"", ""hi"")"),"ए) जिम्नास्टिक, बी) कुश्ती, सी) कलारीपयट्टू, डी) योग")</f>
        <v>ए) जिम्नास्टिक, बी) कुश्ती, सी) कलारीपयट्टू, डी) योग</v>
      </c>
      <c r="I108" s="5" t="str">
        <f>IFERROR(__xludf.DUMMYFUNCTION("GOOGLETRANSLATE(D108, ""en"", ""hi"")"),"C) कलारीपयट्टू")</f>
        <v>C) कलारीपयट्टू</v>
      </c>
    </row>
    <row r="109" ht="22.5" customHeight="1">
      <c r="A109" s="10">
        <v>108.0</v>
      </c>
      <c r="B109" s="8" t="s">
        <v>10598</v>
      </c>
      <c r="C109" s="8" t="s">
        <v>10599</v>
      </c>
      <c r="D109" s="8" t="s">
        <v>2616</v>
      </c>
      <c r="F109" s="5" t="str">
        <f>IFERROR(__xludf.DUMMYFUNCTION("GOOGLETRANSLATE(A109, ""en"", ""hi"")"),"108")</f>
        <v>108</v>
      </c>
      <c r="G109" s="5" t="str">
        <f>IFERROR(__xludf.DUMMYFUNCTION("GOOGLETRANSLATE(B109, ""en"", ""hi"")"),"किस ऐतिहासिक दस्तावेज में पहली बार शारीरिक प्रशिक्षण में मलखंभ के उपयोग का उल्लेख मिलता है?")</f>
        <v>किस ऐतिहासिक दस्तावेज में पहली बार शारीरिक प्रशिक्षण में मलखंभ के उपयोग का उल्लेख मिलता है?</v>
      </c>
      <c r="H109" s="5" t="str">
        <f>IFERROR(__xludf.DUMMYFUNCTION("GOOGLETRANSLATE(C109, ""en"", ""hi"")"),"ए) अर्थशास्त्र, बी) मनुस्मृति, सी) योग सूत्र, डी) नाट्यशास्त्र")</f>
        <v>ए) अर्थशास्त्र, बी) मनुस्मृति, सी) योग सूत्र, डी) नाट्यशास्त्र</v>
      </c>
      <c r="I109" s="5" t="str">
        <f>IFERROR(__xludf.DUMMYFUNCTION("GOOGLETRANSLATE(D109, ""en"", ""hi"")"),"A) अर्थशास्त्र")</f>
        <v>A) अर्थशास्त्र</v>
      </c>
    </row>
    <row r="110" ht="22.5" customHeight="1">
      <c r="A110" s="10">
        <v>109.0</v>
      </c>
      <c r="B110" s="8" t="s">
        <v>10600</v>
      </c>
      <c r="C110" s="8" t="s">
        <v>10601</v>
      </c>
      <c r="D110" s="8" t="s">
        <v>10602</v>
      </c>
      <c r="F110" s="5" t="str">
        <f>IFERROR(__xludf.DUMMYFUNCTION("GOOGLETRANSLATE(A110, ""en"", ""hi"")"),"109")</f>
        <v>109</v>
      </c>
      <c r="G110" s="5" t="str">
        <f>IFERROR(__xludf.DUMMYFUNCTION("GOOGLETRANSLATE(B110, ""en"", ""hi"")"),"मलखम्ब प्रथाओं को बढ़ावा देने और मानकीकृत करने के लिए किस संगठन का गठन किया गया था?")</f>
        <v>मलखम्ब प्रथाओं को बढ़ावा देने और मानकीकृत करने के लिए किस संगठन का गठन किया गया था?</v>
      </c>
      <c r="H110" s="5" t="str">
        <f>IFERROR(__xludf.DUMMYFUNCTION("GOOGLETRANSLATE(C110, ""en"", ""hi"")"),"A) अखिल भारतीय मलखंभ महासंघ, B) भारतीय जिम्नास्टिक महासंघ, C) राष्ट्रीय खेल प्राधिकरण, D) भारतीय शारीरिक शिक्षा संघ")</f>
        <v>A) अखिल भारतीय मलखंभ महासंघ, B) भारतीय जिम्नास्टिक महासंघ, C) राष्ट्रीय खेल प्राधिकरण, D) भारतीय शारीरिक शिक्षा संघ</v>
      </c>
      <c r="I110" s="5" t="str">
        <f>IFERROR(__xludf.DUMMYFUNCTION("GOOGLETRANSLATE(D110, ""en"", ""hi"")"),"A) अखिल भारतीय मलखंभ महासंघ")</f>
        <v>A) अखिल भारतीय मलखंभ महासंघ</v>
      </c>
    </row>
    <row r="111" ht="22.5" customHeight="1">
      <c r="A111" s="10">
        <v>110.0</v>
      </c>
      <c r="B111" s="8" t="s">
        <v>10603</v>
      </c>
      <c r="C111" s="8" t="s">
        <v>10456</v>
      </c>
      <c r="D111" s="8" t="s">
        <v>10457</v>
      </c>
      <c r="F111" s="5" t="str">
        <f>IFERROR(__xludf.DUMMYFUNCTION("GOOGLETRANSLATE(A111, ""en"", ""hi"")"),"110")</f>
        <v>110</v>
      </c>
      <c r="G111" s="5" t="str">
        <f>IFERROR(__xludf.DUMMYFUNCTION("GOOGLETRANSLATE(B111, ""en"", ""hi"")"),"पारंपरिक मलखंभ पोल की सामान्य ऊंचाई कितनी होती है?")</f>
        <v>पारंपरिक मलखंभ पोल की सामान्य ऊंचाई कितनी होती है?</v>
      </c>
      <c r="H111" s="5" t="str">
        <f>IFERROR(__xludf.DUMMYFUNCTION("GOOGLETRANSLATE(C111, ""en"", ""hi"")"),"A) 10 फीट, B) 12 फीट, C) 15 फीट, D) 20 फीट")</f>
        <v>A) 10 फीट, B) 12 फीट, C) 15 फीट, D) 20 फीट</v>
      </c>
      <c r="I111" s="5" t="str">
        <f>IFERROR(__xludf.DUMMYFUNCTION("GOOGLETRANSLATE(D111, ""en"", ""hi"")"),"सी) 15 फीट")</f>
        <v>सी) 15 फीट</v>
      </c>
    </row>
    <row r="112" ht="22.5" customHeight="1">
      <c r="A112" s="10">
        <v>111.0</v>
      </c>
      <c r="B112" s="8" t="s">
        <v>10604</v>
      </c>
      <c r="C112" s="8" t="s">
        <v>10605</v>
      </c>
      <c r="D112" s="8" t="s">
        <v>10606</v>
      </c>
      <c r="F112" s="5" t="str">
        <f>IFERROR(__xludf.DUMMYFUNCTION("GOOGLETRANSLATE(A112, ""en"", ""hi"")"),"111")</f>
        <v>111</v>
      </c>
      <c r="G112" s="5" t="str">
        <f>IFERROR(__xludf.DUMMYFUNCTION("GOOGLETRANSLATE(B112, ""en"", ""hi"")"),"पारंपरिक भारतीय प्रशिक्षण व्यवस्था में मलखम्ब का प्राथमिक उद्देश्य क्या है?")</f>
        <v>पारंपरिक भारतीय प्रशिक्षण व्यवस्था में मलखम्ब का प्राथमिक उद्देश्य क्या है?</v>
      </c>
      <c r="H112" s="5" t="str">
        <f>IFERROR(__xludf.DUMMYFUNCTION("GOOGLETRANSLATE(C112, ""en"", ""hi"")"),"A) युद्ध प्रशिक्षण, B) लचीलापन प्रशिक्षण, C) शक्ति प्रशिक्षण, D) संतुलन प्रशिक्षण")</f>
        <v>A) युद्ध प्रशिक्षण, B) लचीलापन प्रशिक्षण, C) शक्ति प्रशिक्षण, D) संतुलन प्रशिक्षण</v>
      </c>
      <c r="I112" s="5" t="str">
        <f>IFERROR(__xludf.DUMMYFUNCTION("GOOGLETRANSLATE(D112, ""en"", ""hi"")"),"सी) शक्ति प्रशिक्षण")</f>
        <v>सी) शक्ति प्रशिक्षण</v>
      </c>
    </row>
    <row r="113" ht="22.5" customHeight="1">
      <c r="A113" s="10">
        <v>112.0</v>
      </c>
      <c r="B113" s="8" t="s">
        <v>10607</v>
      </c>
      <c r="C113" s="8" t="s">
        <v>10608</v>
      </c>
      <c r="D113" s="8" t="s">
        <v>10609</v>
      </c>
      <c r="F113" s="5" t="str">
        <f>IFERROR(__xludf.DUMMYFUNCTION("GOOGLETRANSLATE(A113, ""en"", ""hi"")"),"112")</f>
        <v>112</v>
      </c>
      <c r="G113" s="5" t="str">
        <f>IFERROR(__xludf.DUMMYFUNCTION("GOOGLETRANSLATE(B113, ""en"", ""hi"")"),"मलखम्ब के प्रारंभिक विकास और प्रयोग से कौन सा राजवंश जुड़ा हुआ है?")</f>
        <v>मलखम्ब के प्रारंभिक विकास और प्रयोग से कौन सा राजवंश जुड़ा हुआ है?</v>
      </c>
      <c r="H113" s="5" t="str">
        <f>IFERROR(__xludf.DUMMYFUNCTION("GOOGLETRANSLATE(C113, ""en"", ""hi"")"),"A) चोल वंश, B) मराठा वंश, C) गुप्त वंश, D) मुगल वंश")</f>
        <v>A) चोल वंश, B) मराठा वंश, C) गुप्त वंश, D) मुगल वंश</v>
      </c>
      <c r="I113" s="5" t="str">
        <f>IFERROR(__xludf.DUMMYFUNCTION("GOOGLETRANSLATE(D113, ""en"", ""hi"")"),"बी) मराठा राजवंश")</f>
        <v>बी) मराठा राजवंश</v>
      </c>
    </row>
    <row r="114" ht="22.5" customHeight="1">
      <c r="A114" s="10">
        <v>113.0</v>
      </c>
      <c r="B114" s="8" t="s">
        <v>10610</v>
      </c>
      <c r="C114" s="8" t="s">
        <v>630</v>
      </c>
      <c r="D114" s="8" t="s">
        <v>631</v>
      </c>
      <c r="F114" s="5" t="str">
        <f>IFERROR(__xludf.DUMMYFUNCTION("GOOGLETRANSLATE(A114, ""en"", ""hi"")"),"113")</f>
        <v>113</v>
      </c>
      <c r="G114" s="5" t="str">
        <f>IFERROR(__xludf.DUMMYFUNCTION("GOOGLETRANSLATE(B114, ""en"", ""hi"")"),"मलखम्ब प्रदर्शन में शामिल एथलीटों की सामान्य संख्या कितनी होती है?")</f>
        <v>मलखम्ब प्रदर्शन में शामिल एथलीटों की सामान्य संख्या कितनी होती है?</v>
      </c>
      <c r="H114" s="5" t="str">
        <f>IFERROR(__xludf.DUMMYFUNCTION("GOOGLETRANSLATE(C114, ""en"", ""hi"")"),"ए) 1, बी) 2, सी) 3, डी) 4")</f>
        <v>ए) 1, बी) 2, सी) 3, डी) 4</v>
      </c>
      <c r="I114" s="5" t="str">
        <f>IFERROR(__xludf.DUMMYFUNCTION("GOOGLETRANSLATE(D114, ""en"", ""hi"")"),"ए) 1")</f>
        <v>ए) 1</v>
      </c>
    </row>
    <row r="115" ht="22.5" customHeight="1">
      <c r="A115" s="10">
        <v>114.0</v>
      </c>
      <c r="B115" s="8" t="s">
        <v>10611</v>
      </c>
      <c r="C115" s="8" t="s">
        <v>10612</v>
      </c>
      <c r="D115" s="8" t="s">
        <v>10513</v>
      </c>
      <c r="F115" s="5" t="str">
        <f>IFERROR(__xludf.DUMMYFUNCTION("GOOGLETRANSLATE(A115, ""en"", ""hi"")"),"114")</f>
        <v>114</v>
      </c>
      <c r="G115" s="5" t="str">
        <f>IFERROR(__xludf.DUMMYFUNCTION("GOOGLETRANSLATE(B115, ""en"", ""hi"")"),"मलखम्ब आंदोलन का क्या नाम है जिसमें खिलाड़ी रस्सी से लटककर कलाबाजी करते हैं?")</f>
        <v>मलखम्ब आंदोलन का क्या नाम है जिसमें खिलाड़ी रस्सी से लटककर कलाबाजी करते हैं?</v>
      </c>
      <c r="H115" s="5" t="str">
        <f>IFERROR(__xludf.DUMMYFUNCTION("GOOGLETRANSLATE(C115, ""en"", ""hi"")"),"A) रस्सी चढ़ना, B) हवाई मलखम्ब, C) पोल स्पिनिंग, D) क्षैतिज झूला")</f>
        <v>A) रस्सी चढ़ना, B) हवाई मलखम्ब, C) पोल स्पिनिंग, D) क्षैतिज झूला</v>
      </c>
      <c r="I115" s="5" t="str">
        <f>IFERROR(__xludf.DUMMYFUNCTION("GOOGLETRANSLATE(D115, ""en"", ""hi"")"),"बी) हवाई मलखंभ")</f>
        <v>बी) हवाई मलखंभ</v>
      </c>
    </row>
    <row r="116" ht="22.5" customHeight="1">
      <c r="A116" s="10">
        <v>115.0</v>
      </c>
      <c r="B116" s="8" t="s">
        <v>10613</v>
      </c>
      <c r="C116" s="8" t="s">
        <v>10614</v>
      </c>
      <c r="D116" s="8" t="s">
        <v>10615</v>
      </c>
      <c r="F116" s="5" t="str">
        <f>IFERROR(__xludf.DUMMYFUNCTION("GOOGLETRANSLATE(A116, ""en"", ""hi"")"),"115")</f>
        <v>115</v>
      </c>
      <c r="G116" s="5" t="str">
        <f>IFERROR(__xludf.DUMMYFUNCTION("GOOGLETRANSLATE(B116, ""en"", ""hi"")"),"किस पारंपरिक भारतीय खेल ने मलखम्ब तकनीक को प्रभावित किया है?")</f>
        <v>किस पारंपरिक भारतीय खेल ने मलखम्ब तकनीक को प्रभावित किया है?</v>
      </c>
      <c r="H116" s="5" t="str">
        <f>IFERROR(__xludf.DUMMYFUNCTION("GOOGLETRANSLATE(C116, ""en"", ""hi"")"),"A) तीरंदाजी, B) मार्शल आर्ट, C) कुश्ती, D) घुड़सवारी")</f>
        <v>A) तीरंदाजी, B) मार्शल आर्ट, C) कुश्ती, D) घुड़सवारी</v>
      </c>
      <c r="I116" s="5" t="str">
        <f>IFERROR(__xludf.DUMMYFUNCTION("GOOGLETRANSLATE(D116, ""en"", ""hi"")"),"बी) मार्शल आर्ट")</f>
        <v>बी) मार्शल आर्ट</v>
      </c>
    </row>
    <row r="117" ht="22.5" customHeight="1">
      <c r="A117" s="10">
        <v>116.0</v>
      </c>
      <c r="B117" s="8" t="s">
        <v>10616</v>
      </c>
      <c r="C117" s="8" t="s">
        <v>10617</v>
      </c>
      <c r="D117" s="8" t="s">
        <v>10618</v>
      </c>
      <c r="F117" s="5" t="str">
        <f>IFERROR(__xludf.DUMMYFUNCTION("GOOGLETRANSLATE(A117, ""en"", ""hi"")"),"116")</f>
        <v>116</v>
      </c>
      <c r="G117" s="5" t="str">
        <f>IFERROR(__xludf.DUMMYFUNCTION("GOOGLETRANSLATE(B117, ""en"", ""hi"")"),"पहली आधिकारिक मलखम्ब चैंपियनशिप किस वर्ष आयोजित की गई थी?")</f>
        <v>पहली आधिकारिक मलखम्ब चैंपियनशिप किस वर्ष आयोजित की गई थी?</v>
      </c>
      <c r="H117" s="5" t="str">
        <f>IFERROR(__xludf.DUMMYFUNCTION("GOOGLETRANSLATE(C117, ""en"", ""hi"")"),"ए) 1925, बी) 1930, सी) 1940, डी) 1955")</f>
        <v>ए) 1925, बी) 1930, सी) 1940, डी) 1955</v>
      </c>
      <c r="I117" s="5" t="str">
        <f>IFERROR(__xludf.DUMMYFUNCTION("GOOGLETRANSLATE(D117, ""en"", ""hi"")"),"ए) 1925")</f>
        <v>ए) 1925</v>
      </c>
    </row>
    <row r="118" ht="22.5" customHeight="1">
      <c r="A118" s="10">
        <v>117.0</v>
      </c>
      <c r="B118" s="8" t="s">
        <v>10619</v>
      </c>
      <c r="C118" s="8" t="s">
        <v>10620</v>
      </c>
      <c r="D118" s="8" t="s">
        <v>10621</v>
      </c>
      <c r="F118" s="5" t="str">
        <f>IFERROR(__xludf.DUMMYFUNCTION("GOOGLETRANSLATE(A118, ""en"", ""hi"")"),"117")</f>
        <v>117</v>
      </c>
      <c r="G118" s="5" t="str">
        <f>IFERROR(__xludf.DUMMYFUNCTION("GOOGLETRANSLATE(B118, ""en"", ""hi"")"),"किस भारतीय फिल्म की कहानी में मलखंभ प्रथा को दर्शाया गया है?")</f>
        <v>किस भारतीय फिल्म की कहानी में मलखंभ प्रथा को दर्शाया गया है?</v>
      </c>
      <c r="H118" s="5" t="str">
        <f>IFERROR(__xludf.DUMMYFUNCTION("GOOGLETRANSLATE(C118, ""en"", ""hi"")"),"ए) लगान, बी) स्वदेस, सी) चकदे! भारत, डी) भाग मिल्खा भाग")</f>
        <v>ए) लगान, बी) स्वदेस, सी) चकदे! भारत, डी) भाग मिल्खा भाग</v>
      </c>
      <c r="I118" s="5" t="str">
        <f>IFERROR(__xludf.DUMMYFUNCTION("GOOGLETRANSLATE(D118, ""en"", ""hi"")"),"A) लगान")</f>
        <v>A) लगान</v>
      </c>
    </row>
    <row r="119" ht="22.5" customHeight="1">
      <c r="A119" s="10">
        <v>118.0</v>
      </c>
      <c r="B119" s="8" t="s">
        <v>10622</v>
      </c>
      <c r="C119" s="8" t="s">
        <v>10623</v>
      </c>
      <c r="D119" s="8" t="s">
        <v>10624</v>
      </c>
      <c r="F119" s="5" t="str">
        <f>IFERROR(__xludf.DUMMYFUNCTION("GOOGLETRANSLATE(A119, ""en"", ""hi"")"),"118")</f>
        <v>118</v>
      </c>
      <c r="G119" s="5" t="str">
        <f>IFERROR(__xludf.DUMMYFUNCTION("GOOGLETRANSLATE(B119, ""en"", ""hi"")"),"मलखम्ब को प्रभावी ढंग से करने के लिए कौन सी शारीरिक विशेषता सबसे महत्वपूर्ण है?")</f>
        <v>मलखम्ब को प्रभावी ढंग से करने के लिए कौन सी शारीरिक विशेषता सबसे महत्वपूर्ण है?</v>
      </c>
      <c r="H119" s="5" t="str">
        <f>IFERROR(__xludf.DUMMYFUNCTION("GOOGLETRANSLATE(C119, ""en"", ""hi"")"),"A) ताकत, B) लचीलापन, C) सहनशक्ति, D) चपलता")</f>
        <v>A) ताकत, B) लचीलापन, C) सहनशक्ति, D) चपलता</v>
      </c>
      <c r="I119" s="5" t="str">
        <f>IFERROR(__xludf.DUMMYFUNCTION("GOOGLETRANSLATE(D119, ""en"", ""hi"")"),"बी) लचीलापन")</f>
        <v>बी) लचीलापन</v>
      </c>
    </row>
    <row r="120" ht="22.5" customHeight="1">
      <c r="A120" s="10">
        <v>119.0</v>
      </c>
      <c r="B120" s="8" t="s">
        <v>10625</v>
      </c>
      <c r="C120" s="8" t="s">
        <v>10626</v>
      </c>
      <c r="D120" s="8" t="s">
        <v>9681</v>
      </c>
      <c r="F120" s="5" t="str">
        <f>IFERROR(__xludf.DUMMYFUNCTION("GOOGLETRANSLATE(A120, ""en"", ""hi"")"),"119")</f>
        <v>119</v>
      </c>
      <c r="G120" s="5" t="str">
        <f>IFERROR(__xludf.DUMMYFUNCTION("GOOGLETRANSLATE(B120, ""en"", ""hi"")"),"मलखम्ब का ऐतिहासिक रूप से किस पेशे के प्रशिक्षण अभ्यास के रूप में उपयोग किया जाता था?")</f>
        <v>मलखम्ब का ऐतिहासिक रूप से किस पेशे के प्रशिक्षण अभ्यास के रूप में उपयोग किया जाता था?</v>
      </c>
      <c r="H120" s="5" t="str">
        <f>IFERROR(__xludf.DUMMYFUNCTION("GOOGLETRANSLATE(C120, ""en"", ""hi"")"),"A) योद्धा, B) किसान, C) व्यापारी, D) कारीगर")</f>
        <v>A) योद्धा, B) किसान, C) व्यापारी, D) कारीगर</v>
      </c>
      <c r="I120" s="5" t="str">
        <f>IFERROR(__xludf.DUMMYFUNCTION("GOOGLETRANSLATE(D120, ""en"", ""hi"")"),"ए) योद्धा")</f>
        <v>ए) योद्धा</v>
      </c>
    </row>
    <row r="121" ht="22.5" customHeight="1">
      <c r="A121" s="10">
        <v>120.0</v>
      </c>
      <c r="B121" s="8" t="s">
        <v>10627</v>
      </c>
      <c r="C121" s="8" t="s">
        <v>10628</v>
      </c>
      <c r="D121" s="8" t="s">
        <v>10588</v>
      </c>
      <c r="F121" s="5" t="str">
        <f>IFERROR(__xludf.DUMMYFUNCTION("GOOGLETRANSLATE(A121, ""en"", ""hi"")"),"120")</f>
        <v>120</v>
      </c>
      <c r="G121" s="5" t="str">
        <f>IFERROR(__xludf.DUMMYFUNCTION("GOOGLETRANSLATE(B121, ""en"", ""hi"")"),"कौन सा पारंपरिक भारतीय त्यौहार मलखंभ प्रदर्शन के लिए जाना जाता है?")</f>
        <v>कौन सा पारंपरिक भारतीय त्यौहार मलखंभ प्रदर्शन के लिए जाना जाता है?</v>
      </c>
      <c r="H121" s="5" t="str">
        <f>IFERROR(__xludf.DUMMYFUNCTION("GOOGLETRANSLATE(C121, ""en"", ""hi"")"),"ए) दिवाली, बी) गणेश चतुर्थी, सी) दशहरा, डी) होली")</f>
        <v>ए) दिवाली, बी) गणेश चतुर्थी, सी) दशहरा, डी) होली</v>
      </c>
      <c r="I121" s="5" t="str">
        <f>IFERROR(__xludf.DUMMYFUNCTION("GOOGLETRANSLATE(D121, ""en"", ""hi"")"),"बी) गणेश चतुर्थी")</f>
        <v>बी) गणेश चतुर्थी</v>
      </c>
    </row>
    <row r="122" ht="22.5" customHeight="1">
      <c r="A122" s="10">
        <v>121.0</v>
      </c>
      <c r="B122" s="8" t="s">
        <v>10629</v>
      </c>
      <c r="C122" s="8" t="s">
        <v>10630</v>
      </c>
      <c r="D122" s="8" t="s">
        <v>10631</v>
      </c>
      <c r="F122" s="5" t="str">
        <f>IFERROR(__xludf.DUMMYFUNCTION("GOOGLETRANSLATE(A122, ""en"", ""hi"")"),"121")</f>
        <v>121</v>
      </c>
      <c r="G122" s="5" t="str">
        <f>IFERROR(__xludf.DUMMYFUNCTION("GOOGLETRANSLATE(B122, ""en"", ""hi"")"),"मलखम्ब तकनीक का क्या नाम है जिसमें खिलाड़ी पोल के चारों ओर घूमते हुए गति करता है?")</f>
        <v>मलखम्ब तकनीक का क्या नाम है जिसमें खिलाड़ी पोल के चारों ओर घूमते हुए गति करता है?</v>
      </c>
      <c r="H122" s="5" t="str">
        <f>IFERROR(__xludf.DUMMYFUNCTION("GOOGLETRANSLATE(C122, ""en"", ""hi"")"),"ए) घुमाव मलखम्ब, बी) स्पिनिंग मलखम्ब, सी) घूर्णी मलखम्ब, डी) गोलाकार मलखम्ब")</f>
        <v>ए) घुमाव मलखम्ब, बी) स्पिनिंग मलखम्ब, सी) घूर्णी मलखम्ब, डी) गोलाकार मलखम्ब</v>
      </c>
      <c r="I122" s="5" t="str">
        <f>IFERROR(__xludf.DUMMYFUNCTION("GOOGLETRANSLATE(D122, ""en"", ""hi"")"),"बी) स्पिनिंग मलखम्ब")</f>
        <v>बी) स्पिनिंग मलखम्ब</v>
      </c>
    </row>
    <row r="123" ht="22.5" customHeight="1">
      <c r="A123" s="10">
        <v>122.0</v>
      </c>
      <c r="B123" s="8" t="s">
        <v>10632</v>
      </c>
      <c r="C123" s="8" t="s">
        <v>2493</v>
      </c>
      <c r="D123" s="8" t="s">
        <v>549</v>
      </c>
      <c r="F123" s="5" t="str">
        <f>IFERROR(__xludf.DUMMYFUNCTION("GOOGLETRANSLATE(A123, ""en"", ""hi"")"),"122")</f>
        <v>122</v>
      </c>
      <c r="G123" s="5" t="str">
        <f>IFERROR(__xludf.DUMMYFUNCTION("GOOGLETRANSLATE(B123, ""en"", ""hi"")"),"अखिल भारतीय मलखम्ब महासंघ की स्थापना किस भारतीय शहर में की गई थी?")</f>
        <v>अखिल भारतीय मलखम्ब महासंघ की स्थापना किस भारतीय शहर में की गई थी?</v>
      </c>
      <c r="H123" s="5" t="str">
        <f>IFERROR(__xludf.DUMMYFUNCTION("GOOGLETRANSLATE(C123, ""en"", ""hi"")"),"A) मुंबई, B) पुणे, C) दिल्ली, D) बैंगलोर")</f>
        <v>A) मुंबई, B) पुणे, C) दिल्ली, D) बैंगलोर</v>
      </c>
      <c r="I123" s="5" t="str">
        <f>IFERROR(__xludf.DUMMYFUNCTION("GOOGLETRANSLATE(D123, ""en"", ""hi"")"),"ए) मुंबई")</f>
        <v>ए) मुंबई</v>
      </c>
    </row>
    <row r="124" ht="22.5" customHeight="1">
      <c r="A124" s="10">
        <v>123.0</v>
      </c>
      <c r="B124" s="8" t="s">
        <v>10633</v>
      </c>
      <c r="C124" s="8" t="s">
        <v>10634</v>
      </c>
      <c r="D124" s="8" t="s">
        <v>10635</v>
      </c>
      <c r="F124" s="5" t="str">
        <f>IFERROR(__xludf.DUMMYFUNCTION("GOOGLETRANSLATE(A124, ""en"", ""hi"")"),"123")</f>
        <v>123</v>
      </c>
      <c r="G124" s="5" t="str">
        <f>IFERROR(__xludf.DUMMYFUNCTION("GOOGLETRANSLATE(B124, ""en"", ""hi"")"),"मलखम्ब के विकास में महत्वपूर्ण योगदान देने का श्रेय किस राजवंश को दिया जाता है?")</f>
        <v>मलखम्ब के विकास में महत्वपूर्ण योगदान देने का श्रेय किस राजवंश को दिया जाता है?</v>
      </c>
      <c r="H124" s="5" t="str">
        <f>IFERROR(__xludf.DUMMYFUNCTION("GOOGLETRANSLATE(C124, ""en"", ""hi"")"),"A) मराठा वंश, B) मौर्य वंश, C) गुप्त वंश, D) मुगल वंश")</f>
        <v>A) मराठा वंश, B) मौर्य वंश, C) गुप्त वंश, D) मुगल वंश</v>
      </c>
      <c r="I124" s="5" t="str">
        <f>IFERROR(__xludf.DUMMYFUNCTION("GOOGLETRANSLATE(D124, ""en"", ""hi"")"),"A) मराठा राजवंश")</f>
        <v>A) मराठा राजवंश</v>
      </c>
    </row>
    <row r="125" ht="22.5" customHeight="1">
      <c r="A125" s="10">
        <v>124.0</v>
      </c>
      <c r="B125" s="8" t="s">
        <v>10636</v>
      </c>
      <c r="C125" s="8" t="s">
        <v>10637</v>
      </c>
      <c r="D125" s="8" t="s">
        <v>10638</v>
      </c>
      <c r="F125" s="5" t="str">
        <f>IFERROR(__xludf.DUMMYFUNCTION("GOOGLETRANSLATE(A125, ""en"", ""hi"")"),"124")</f>
        <v>124</v>
      </c>
      <c r="G125" s="5" t="str">
        <f>IFERROR(__xludf.DUMMYFUNCTION("GOOGLETRANSLATE(B125, ""en"", ""hi"")"),"मलखम्ब में प्रयुक्त लकड़ी के खंभे का पारंपरिक नाम क्या है?")</f>
        <v>मलखम्ब में प्रयुक्त लकड़ी के खंभे का पारंपरिक नाम क्या है?</v>
      </c>
      <c r="H125" s="5" t="str">
        <f>IFERROR(__xludf.DUMMYFUNCTION("GOOGLETRANSLATE(C125, ""en"", ""hi"")"),"ए) वात, बी) लक्ष, सी) खम्बो, डी) धन्दा")</f>
        <v>ए) वात, बी) लक्ष, सी) खम्बो, डी) धन्दा</v>
      </c>
      <c r="I125" s="5" t="str">
        <f>IFERROR(__xludf.DUMMYFUNCTION("GOOGLETRANSLATE(D125, ""en"", ""hi"")"),"D) धंदा")</f>
        <v>D) धंदा</v>
      </c>
    </row>
    <row r="126" ht="22.5" customHeight="1">
      <c r="A126" s="10">
        <v>125.0</v>
      </c>
      <c r="B126" s="8" t="s">
        <v>10639</v>
      </c>
      <c r="C126" s="8" t="s">
        <v>10640</v>
      </c>
      <c r="D126" s="8" t="s">
        <v>4164</v>
      </c>
      <c r="F126" s="5" t="str">
        <f>IFERROR(__xludf.DUMMYFUNCTION("GOOGLETRANSLATE(A126, ""en"", ""hi"")"),"125")</f>
        <v>125</v>
      </c>
      <c r="G126" s="5" t="str">
        <f>IFERROR(__xludf.DUMMYFUNCTION("GOOGLETRANSLATE(B126, ""en"", ""hi"")"),"कौन सा महान योद्धा राजा मलखम्ब को अपने प्रशिक्षण में शामिल करने के लिए जाना जाता है?")</f>
        <v>कौन सा महान योद्धा राजा मलखम्ब को अपने प्रशिक्षण में शामिल करने के लिए जाना जाता है?</v>
      </c>
      <c r="H126" s="5" t="str">
        <f>IFERROR(__xludf.DUMMYFUNCTION("GOOGLETRANSLATE(C126, ""en"", ""hi"")"),"ए) शिवाजी महाराज, बी) पृथ्वीराज चौहान, सी) राणा प्रताप, डी) समुद्रगुप्त")</f>
        <v>ए) शिवाजी महाराज, बी) पृथ्वीराज चौहान, सी) राणा प्रताप, डी) समुद्रगुप्त</v>
      </c>
      <c r="I126" s="5" t="str">
        <f>IFERROR(__xludf.DUMMYFUNCTION("GOOGLETRANSLATE(D126, ""en"", ""hi"")"),"A) शिवाजी महाराज")</f>
        <v>A) शिवाजी महाराज</v>
      </c>
    </row>
    <row r="127" ht="22.5" customHeight="1">
      <c r="A127" s="10">
        <v>126.0</v>
      </c>
      <c r="B127" s="8" t="s">
        <v>10641</v>
      </c>
      <c r="C127" s="8" t="s">
        <v>10642</v>
      </c>
      <c r="D127" s="8" t="s">
        <v>10643</v>
      </c>
      <c r="F127" s="5" t="str">
        <f>IFERROR(__xludf.DUMMYFUNCTION("GOOGLETRANSLATE(A127, ""en"", ""hi"")"),"126")</f>
        <v>126</v>
      </c>
      <c r="G127" s="5" t="str">
        <f>IFERROR(__xludf.DUMMYFUNCTION("GOOGLETRANSLATE(B127, ""en"", ""hi"")"),"कौन सी मलखम्ब तकनीक में कलाबाज़ी करने के लिए क्षैतिज बार का उपयोग किया जाता है?")</f>
        <v>कौन सी मलखम्ब तकनीक में कलाबाज़ी करने के लिए क्षैतिज बार का उपयोग किया जाता है?</v>
      </c>
      <c r="H127" s="5" t="str">
        <f>IFERROR(__xludf.DUMMYFUNCTION("GOOGLETRANSLATE(C127, ""en"", ""hi"")"),"ए) पोल मलखम्ब, बी) रस्सी मलखम्ब, सी) क्षैतिज मलखम्ब, डी) एरियल मलखम्ब")</f>
        <v>ए) पोल मलखम्ब, बी) रस्सी मलखम्ब, सी) क्षैतिज मलखम्ब, डी) एरियल मलखम्ब</v>
      </c>
      <c r="I127" s="5" t="str">
        <f>IFERROR(__xludf.DUMMYFUNCTION("GOOGLETRANSLATE(D127, ""en"", ""hi"")"),"C) क्षैतिज मलखम्ब")</f>
        <v>C) क्षैतिज मलखम्ब</v>
      </c>
    </row>
    <row r="128" ht="22.5" customHeight="1">
      <c r="A128" s="10">
        <v>127.0</v>
      </c>
      <c r="B128" s="8" t="s">
        <v>10644</v>
      </c>
      <c r="C128" s="8" t="s">
        <v>10645</v>
      </c>
      <c r="D128" s="8" t="s">
        <v>10602</v>
      </c>
      <c r="F128" s="5" t="str">
        <f>IFERROR(__xludf.DUMMYFUNCTION("GOOGLETRANSLATE(A128, ""en"", ""hi"")"),"127")</f>
        <v>127</v>
      </c>
      <c r="G128" s="5" t="str">
        <f>IFERROR(__xludf.DUMMYFUNCTION("GOOGLETRANSLATE(B128, ""en"", ""hi"")"),"मलखम्ब के विनियमन और संवर्धन के लिए मुख्य रूप से कौन सा संगठन जिम्मेदार है?")</f>
        <v>मलखम्ब के विनियमन और संवर्धन के लिए मुख्य रूप से कौन सा संगठन जिम्मेदार है?</v>
      </c>
      <c r="H128" s="5" t="str">
        <f>IFERROR(__xludf.DUMMYFUNCTION("GOOGLETRANSLATE(C128, ""en"", ""hi"")"),"A) अखिल भारतीय मलखंभ महासंघ, B) भारतीय ओलंपिक संघ, C) राष्ट्रीय खेल प्राधिकरण, D) भारतीय शारीरिक शिक्षा संघ")</f>
        <v>A) अखिल भारतीय मलखंभ महासंघ, B) भारतीय ओलंपिक संघ, C) राष्ट्रीय खेल प्राधिकरण, D) भारतीय शारीरिक शिक्षा संघ</v>
      </c>
      <c r="I128" s="5" t="str">
        <f>IFERROR(__xludf.DUMMYFUNCTION("GOOGLETRANSLATE(D128, ""en"", ""hi"")"),"A) अखिल भारतीय मलखंभ महासंघ")</f>
        <v>A) अखिल भारतीय मलखंभ महासंघ</v>
      </c>
    </row>
    <row r="129" ht="22.5" customHeight="1">
      <c r="A129" s="10">
        <v>128.0</v>
      </c>
      <c r="B129" s="8" t="s">
        <v>10646</v>
      </c>
      <c r="C129" s="8" t="s">
        <v>10647</v>
      </c>
      <c r="D129" s="8" t="s">
        <v>10648</v>
      </c>
      <c r="F129" s="5" t="str">
        <f>IFERROR(__xludf.DUMMYFUNCTION("GOOGLETRANSLATE(A129, ""en"", ""hi"")"),"128")</f>
        <v>128</v>
      </c>
      <c r="G129" s="5" t="str">
        <f>IFERROR(__xludf.DUMMYFUNCTION("GOOGLETRANSLATE(B129, ""en"", ""hi"")"),"मलखम्ब में मुख्यतः किस प्रकार के प्रशिक्षण पर जोर दिया जाता है?")</f>
        <v>मलखम्ब में मुख्यतः किस प्रकार के प्रशिक्षण पर जोर दिया जाता है?</v>
      </c>
      <c r="H129" s="5" t="str">
        <f>IFERROR(__xludf.DUMMYFUNCTION("GOOGLETRANSLATE(C129, ""en"", ""hi"")"),"A) धीरज, B) शक्ति, C) गति, D) चपलता")</f>
        <v>A) धीरज, B) शक्ति, C) गति, D) चपलता</v>
      </c>
      <c r="I129" s="5" t="str">
        <f>IFERROR(__xludf.DUMMYFUNCTION("GOOGLETRANSLATE(D129, ""en"", ""hi"")"),"बी) ताकत")</f>
        <v>बी) ताकत</v>
      </c>
    </row>
    <row r="130" ht="22.5" customHeight="1">
      <c r="A130" s="10">
        <v>129.0</v>
      </c>
      <c r="B130" s="8" t="s">
        <v>10649</v>
      </c>
      <c r="C130" s="8" t="s">
        <v>10650</v>
      </c>
      <c r="D130" s="8" t="s">
        <v>10651</v>
      </c>
      <c r="F130" s="5" t="str">
        <f>IFERROR(__xludf.DUMMYFUNCTION("GOOGLETRANSLATE(A130, ""en"", ""hi"")"),"129")</f>
        <v>129</v>
      </c>
      <c r="G130" s="5" t="str">
        <f>IFERROR(__xludf.DUMMYFUNCTION("GOOGLETRANSLATE(B130, ""en"", ""hi"")"),"मलखम्ब में ऊर्ध्वाधर पोल पर एथलीट के प्रदर्शन को क्या कहते हैं?")</f>
        <v>मलखम्ब में ऊर्ध्वाधर पोल पर एथलीट के प्रदर्शन को क्या कहते हैं?</v>
      </c>
      <c r="H130" s="5" t="str">
        <f>IFERROR(__xludf.DUMMYFUNCTION("GOOGLETRANSLATE(C130, ""en"", ""hi"")"),"ए) पोल प्रदर्शन, बी) पोल रूटीन, सी) पोल एक्रोबेटिक्स, डी) पोल प्रशिक्षण")</f>
        <v>ए) पोल प्रदर्शन, बी) पोल रूटीन, सी) पोल एक्रोबेटिक्स, डी) पोल प्रशिक्षण</v>
      </c>
      <c r="I130" s="5" t="str">
        <f>IFERROR(__xludf.DUMMYFUNCTION("GOOGLETRANSLATE(D130, ""en"", ""hi"")"),"C) पोल एक्रोबेटिक्स")</f>
        <v>C) पोल एक्रोबेटिक्स</v>
      </c>
    </row>
    <row r="131" ht="22.5" customHeight="1">
      <c r="A131" s="10">
        <v>130.0</v>
      </c>
      <c r="B131" s="8" t="s">
        <v>10652</v>
      </c>
      <c r="C131" s="8" t="s">
        <v>221</v>
      </c>
      <c r="D131" s="8" t="s">
        <v>222</v>
      </c>
      <c r="F131" s="5" t="str">
        <f>IFERROR(__xludf.DUMMYFUNCTION("GOOGLETRANSLATE(A131, ""en"", ""hi"")"),"130")</f>
        <v>130</v>
      </c>
      <c r="G131" s="5" t="str">
        <f>IFERROR(__xludf.DUMMYFUNCTION("GOOGLETRANSLATE(B131, ""en"", ""hi"")"),"किस क्लासिक भारतीय महाकाव्य में मलखंभ जैसे अभ्यासों का उल्लेख मिलता है?")</f>
        <v>किस क्लासिक भारतीय महाकाव्य में मलखंभ जैसे अभ्यासों का उल्लेख मिलता है?</v>
      </c>
      <c r="H131" s="5" t="str">
        <f>IFERROR(__xludf.DUMMYFUNCTION("GOOGLETRANSLATE(C131, ""en"", ""hi"")"),"ए) महाभारत, बी) रामायण, सी) वेद, डी) पुराण")</f>
        <v>ए) महाभारत, बी) रामायण, सी) वेद, डी) पुराण</v>
      </c>
      <c r="I131" s="5" t="str">
        <f>IFERROR(__xludf.DUMMYFUNCTION("GOOGLETRANSLATE(D131, ""en"", ""hi"")"),"A) महाभारत")</f>
        <v>A) महाभारत</v>
      </c>
    </row>
    <row r="132" ht="22.5" customHeight="1">
      <c r="A132" s="10">
        <v>131.0</v>
      </c>
      <c r="B132" s="8" t="s">
        <v>10653</v>
      </c>
      <c r="C132" s="8" t="s">
        <v>10654</v>
      </c>
      <c r="D132" s="8" t="s">
        <v>10442</v>
      </c>
      <c r="F132" s="5" t="str">
        <f>IFERROR(__xludf.DUMMYFUNCTION("GOOGLETRANSLATE(A132, ""en"", ""hi"")"),"131")</f>
        <v>131</v>
      </c>
      <c r="G132" s="5" t="str">
        <f>IFERROR(__xludf.DUMMYFUNCTION("GOOGLETRANSLATE(B132, ""en"", ""hi"")"),"कौन सा भारतीय त्यौहार मलखम्ब सहित पारंपरिक खेलों के प्रदर्शन के लिए जाना जाता है?")</f>
        <v>कौन सा भारतीय त्यौहार मलखम्ब सहित पारंपरिक खेलों के प्रदर्शन के लिए जाना जाता है?</v>
      </c>
      <c r="H132" s="5" t="str">
        <f>IFERROR(__xludf.DUMMYFUNCTION("GOOGLETRANSLATE(C132, ""en"", ""hi"")"),"ए) पोंगल, बी) दिवाली, सी) गणेश चतुर्थी, डी) लोहड़ी")</f>
        <v>ए) पोंगल, बी) दिवाली, सी) गणेश चतुर्थी, डी) लोहड़ी</v>
      </c>
      <c r="I132" s="5" t="str">
        <f>IFERROR(__xludf.DUMMYFUNCTION("GOOGLETRANSLATE(D132, ""en"", ""hi"")"),"C) गणेश चतुर्थी")</f>
        <v>C) गणेश चतुर्थी</v>
      </c>
    </row>
    <row r="133" ht="22.5" customHeight="1">
      <c r="A133" s="10">
        <v>132.0</v>
      </c>
      <c r="B133" s="8" t="s">
        <v>10655</v>
      </c>
      <c r="C133" s="8" t="s">
        <v>10512</v>
      </c>
      <c r="D133" s="8" t="s">
        <v>10513</v>
      </c>
      <c r="F133" s="5" t="str">
        <f>IFERROR(__xludf.DUMMYFUNCTION("GOOGLETRANSLATE(A133, ""en"", ""hi"")"),"132")</f>
        <v>132</v>
      </c>
      <c r="G133" s="5" t="str">
        <f>IFERROR(__xludf.DUMMYFUNCTION("GOOGLETRANSLATE(B133, ""en"", ""hi"")"),"मलखम्ब तकनीक का क्या नाम है जिसमें खिलाड़ी रस्सी से लटककर गतिविधयां करता है?")</f>
        <v>मलखम्ब तकनीक का क्या नाम है जिसमें खिलाड़ी रस्सी से लटककर गतिविधयां करता है?</v>
      </c>
      <c r="H133" s="5" t="str">
        <f>IFERROR(__xludf.DUMMYFUNCTION("GOOGLETRANSLATE(C133, ""en"", ""hi"")"),"A) रस्सी चढ़ना, B) हवाई मलखम्ब, C) रस्सी कलाबाजी, D) रस्सी दिनचर्या")</f>
        <v>A) रस्सी चढ़ना, B) हवाई मलखम्ब, C) रस्सी कलाबाजी, D) रस्सी दिनचर्या</v>
      </c>
      <c r="I133" s="5" t="str">
        <f>IFERROR(__xludf.DUMMYFUNCTION("GOOGLETRANSLATE(D133, ""en"", ""hi"")"),"बी) हवाई मलखंभ")</f>
        <v>बी) हवाई मलखंभ</v>
      </c>
    </row>
    <row r="134" ht="22.5" customHeight="1">
      <c r="A134" s="10">
        <v>133.0</v>
      </c>
      <c r="B134" s="8" t="s">
        <v>10656</v>
      </c>
      <c r="C134" s="8" t="s">
        <v>10657</v>
      </c>
      <c r="D134" s="8" t="s">
        <v>4164</v>
      </c>
      <c r="F134" s="5" t="str">
        <f>IFERROR(__xludf.DUMMYFUNCTION("GOOGLETRANSLATE(A134, ""en"", ""hi"")"),"133")</f>
        <v>133</v>
      </c>
      <c r="G134" s="5" t="str">
        <f>IFERROR(__xludf.DUMMYFUNCTION("GOOGLETRANSLATE(B134, ""en"", ""hi"")"),"किस महाराजा ने अपने शासनकाल में मलखम्ब के विकास में महत्वपूर्ण भूमिका निभाई थी?")</f>
        <v>किस महाराजा ने अपने शासनकाल में मलखम्ब के विकास में महत्वपूर्ण भूमिका निभाई थी?</v>
      </c>
      <c r="H134" s="5" t="str">
        <f>IFERROR(__xludf.DUMMYFUNCTION("GOOGLETRANSLATE(C134, ""en"", ""hi"")"),"ए) शिवाजी महाराज, बी) जय सिंह, सी) रणजीत सिंह, डी) सिंधिया")</f>
        <v>ए) शिवाजी महाराज, बी) जय सिंह, सी) रणजीत सिंह, डी) सिंधिया</v>
      </c>
      <c r="I134" s="5" t="str">
        <f>IFERROR(__xludf.DUMMYFUNCTION("GOOGLETRANSLATE(D134, ""en"", ""hi"")"),"A) शिवाजी महाराज")</f>
        <v>A) शिवाजी महाराज</v>
      </c>
    </row>
    <row r="135" ht="22.5" customHeight="1">
      <c r="A135" s="10">
        <v>134.0</v>
      </c>
      <c r="B135" s="8" t="s">
        <v>10658</v>
      </c>
      <c r="C135" s="8" t="s">
        <v>10659</v>
      </c>
      <c r="D135" s="8" t="s">
        <v>10660</v>
      </c>
      <c r="F135" s="5" t="str">
        <f>IFERROR(__xludf.DUMMYFUNCTION("GOOGLETRANSLATE(A135, ""en"", ""hi"")"),"134")</f>
        <v>134</v>
      </c>
      <c r="G135" s="5" t="str">
        <f>IFERROR(__xludf.DUMMYFUNCTION("GOOGLETRANSLATE(B135, ""en"", ""hi"")"),"वह पारंपरिक भारतीय खेल कौन सा है जिसमें क्षैतिज बीम पर कलाबाजी की जाती है?")</f>
        <v>वह पारंपरिक भारतीय खेल कौन सा है जिसमें क्षैतिज बीम पर कलाबाजी की जाती है?</v>
      </c>
      <c r="H135" s="5" t="str">
        <f>IFERROR(__xludf.DUMMYFUNCTION("GOOGLETRANSLATE(C135, ""en"", ""hi"")"),"ए) जिम्नास्टिक, बी) मलखंभ, सी) कलारीपयट्टू, डी) योग")</f>
        <v>ए) जिम्नास्टिक, बी) मलखंभ, सी) कलारीपयट्टू, डी) योग</v>
      </c>
      <c r="I135" s="5" t="str">
        <f>IFERROR(__xludf.DUMMYFUNCTION("GOOGLETRANSLATE(D135, ""en"", ""hi"")"),"बी) मलखम्ब")</f>
        <v>बी) मलखम्ब</v>
      </c>
    </row>
    <row r="136" ht="22.5" customHeight="1">
      <c r="A136" s="10">
        <v>135.0</v>
      </c>
      <c r="B136" s="8" t="s">
        <v>10661</v>
      </c>
      <c r="C136" s="8" t="s">
        <v>10662</v>
      </c>
      <c r="D136" s="8" t="s">
        <v>10635</v>
      </c>
      <c r="F136" s="5" t="str">
        <f>IFERROR(__xludf.DUMMYFUNCTION("GOOGLETRANSLATE(A136, ""en"", ""hi"")"),"135")</f>
        <v>135</v>
      </c>
      <c r="G136" s="5" t="str">
        <f>IFERROR(__xludf.DUMMYFUNCTION("GOOGLETRANSLATE(B136, ""en"", ""hi"")"),"कौन सा भारतीय राजवंश मलखम्ब के प्रारंभिक स्वरूप में अपने योगदान के लिए जाना जाता है?")</f>
        <v>कौन सा भारतीय राजवंश मलखम्ब के प्रारंभिक स्वरूप में अपने योगदान के लिए जाना जाता है?</v>
      </c>
      <c r="H136" s="5" t="str">
        <f>IFERROR(__xludf.DUMMYFUNCTION("GOOGLETRANSLATE(C136, ""en"", ""hi"")"),"A) मराठा वंश, B) गुप्त वंश, C) मुगल वंश, D) चोल वंश")</f>
        <v>A) मराठा वंश, B) गुप्त वंश, C) मुगल वंश, D) चोल वंश</v>
      </c>
      <c r="I136" s="5" t="str">
        <f>IFERROR(__xludf.DUMMYFUNCTION("GOOGLETRANSLATE(D136, ""en"", ""hi"")"),"A) मराठा राजवंश")</f>
        <v>A) मराठा राजवंश</v>
      </c>
    </row>
    <row r="137" ht="22.5" customHeight="1">
      <c r="A137" s="10">
        <v>136.0</v>
      </c>
      <c r="B137" s="8" t="s">
        <v>10663</v>
      </c>
      <c r="C137" s="8" t="s">
        <v>10456</v>
      </c>
      <c r="D137" s="8" t="s">
        <v>10457</v>
      </c>
      <c r="F137" s="5" t="str">
        <f>IFERROR(__xludf.DUMMYFUNCTION("GOOGLETRANSLATE(A137, ""en"", ""hi"")"),"136")</f>
        <v>136</v>
      </c>
      <c r="G137" s="5" t="str">
        <f>IFERROR(__xludf.DUMMYFUNCTION("GOOGLETRANSLATE(B137, ""en"", ""hi"")"),"मलखंभ पोल की पारंपरिक ऊंचाई कितनी है?")</f>
        <v>मलखंभ पोल की पारंपरिक ऊंचाई कितनी है?</v>
      </c>
      <c r="H137" s="5" t="str">
        <f>IFERROR(__xludf.DUMMYFUNCTION("GOOGLETRANSLATE(C137, ""en"", ""hi"")"),"A) 10 फीट, B) 12 फीट, C) 15 फीट, D) 20 फीट")</f>
        <v>A) 10 फीट, B) 12 फीट, C) 15 फीट, D) 20 फीट</v>
      </c>
      <c r="I137" s="5" t="str">
        <f>IFERROR(__xludf.DUMMYFUNCTION("GOOGLETRANSLATE(D137, ""en"", ""hi"")"),"सी) 15 फीट")</f>
        <v>सी) 15 फीट</v>
      </c>
    </row>
    <row r="138" ht="22.5" customHeight="1">
      <c r="A138" s="10">
        <v>137.0</v>
      </c>
      <c r="B138" s="8" t="s">
        <v>10664</v>
      </c>
      <c r="C138" s="8" t="s">
        <v>10665</v>
      </c>
      <c r="D138" s="8" t="s">
        <v>10508</v>
      </c>
      <c r="F138" s="5" t="str">
        <f>IFERROR(__xludf.DUMMYFUNCTION("GOOGLETRANSLATE(A138, ""en"", ""hi"")"),"137")</f>
        <v>137</v>
      </c>
      <c r="G138" s="5" t="str">
        <f>IFERROR(__xludf.DUMMYFUNCTION("GOOGLETRANSLATE(B138, ""en"", ""hi"")"),"आधुनिक समय में मलखम्ब का प्राथमिक उपयोग क्या है?")</f>
        <v>आधुनिक समय में मलखम्ब का प्राथमिक उपयोग क्या है?</v>
      </c>
      <c r="H138" s="5" t="str">
        <f>IFERROR(__xludf.DUMMYFUNCTION("GOOGLETRANSLATE(C138, ""en"", ""hi"")"),"A) प्रतिस्पर्धी खेल, B) शारीरिक शिक्षा, C) पारंपरिक अनुष्ठान, D) मनोरंजन")</f>
        <v>A) प्रतिस्पर्धी खेल, B) शारीरिक शिक्षा, C) पारंपरिक अनुष्ठान, D) मनोरंजन</v>
      </c>
      <c r="I138" s="5" t="str">
        <f>IFERROR(__xludf.DUMMYFUNCTION("GOOGLETRANSLATE(D138, ""en"", ""hi"")"),"बी) शारीरिक शिक्षा")</f>
        <v>बी) शारीरिक शिक्षा</v>
      </c>
    </row>
    <row r="139" ht="22.5" customHeight="1">
      <c r="A139" s="10">
        <v>138.0</v>
      </c>
      <c r="B139" s="8" t="s">
        <v>10666</v>
      </c>
      <c r="C139" s="8" t="s">
        <v>10628</v>
      </c>
      <c r="D139" s="8" t="s">
        <v>10588</v>
      </c>
      <c r="F139" s="5" t="str">
        <f>IFERROR(__xludf.DUMMYFUNCTION("GOOGLETRANSLATE(A139, ""en"", ""hi"")"),"138")</f>
        <v>138</v>
      </c>
      <c r="G139" s="5" t="str">
        <f>IFERROR(__xludf.DUMMYFUNCTION("GOOGLETRANSLATE(B139, ""en"", ""hi"")"),"कौन सा भारतीय त्यौहार पारंपरिक मलखम्ब प्रतियोगिता से जुड़ा हुआ है?")</f>
        <v>कौन सा भारतीय त्यौहार पारंपरिक मलखम्ब प्रतियोगिता से जुड़ा हुआ है?</v>
      </c>
      <c r="H139" s="5" t="str">
        <f>IFERROR(__xludf.DUMMYFUNCTION("GOOGLETRANSLATE(C139, ""en"", ""hi"")"),"ए) दिवाली, बी) गणेश चतुर्थी, सी) दशहरा, डी) होली")</f>
        <v>ए) दिवाली, बी) गणेश चतुर्थी, सी) दशहरा, डी) होली</v>
      </c>
      <c r="I139" s="5" t="str">
        <f>IFERROR(__xludf.DUMMYFUNCTION("GOOGLETRANSLATE(D139, ""en"", ""hi"")"),"बी) गणेश चतुर्थी")</f>
        <v>बी) गणेश चतुर्थी</v>
      </c>
    </row>
    <row r="140" ht="22.5" customHeight="1">
      <c r="A140" s="10">
        <v>139.0</v>
      </c>
      <c r="B140" s="8" t="s">
        <v>10667</v>
      </c>
      <c r="C140" s="8" t="s">
        <v>10668</v>
      </c>
      <c r="D140" s="8" t="s">
        <v>10669</v>
      </c>
      <c r="F140" s="5" t="str">
        <f>IFERROR(__xludf.DUMMYFUNCTION("GOOGLETRANSLATE(A140, ""en"", ""hi"")"),"139")</f>
        <v>139</v>
      </c>
      <c r="G140" s="5" t="str">
        <f>IFERROR(__xludf.DUMMYFUNCTION("GOOGLETRANSLATE(B140, ""en"", ""hi"")"),"कौन सा भारतीय खेल प्रयुक्त उपकरणों के संदर्भ में मलखम्ब के सबसे अधिक समान है?")</f>
        <v>कौन सा भारतीय खेल प्रयुक्त उपकरणों के संदर्भ में मलखम्ब के सबसे अधिक समान है?</v>
      </c>
      <c r="H140" s="5" t="str">
        <f>IFERROR(__xludf.DUMMYFUNCTION("GOOGLETRANSLATE(C140, ""en"", ""hi"")"),"ए) कुश्ती, बी) जिम्नास्टिक, सी) कलारीपयट्टू, डी) योग")</f>
        <v>ए) कुश्ती, बी) जिम्नास्टिक, सी) कलारीपयट्टू, डी) योग</v>
      </c>
      <c r="I140" s="5" t="str">
        <f>IFERROR(__xludf.DUMMYFUNCTION("GOOGLETRANSLATE(D140, ""en"", ""hi"")"),"बी) जिम्नास्टिक")</f>
        <v>बी) जिम्नास्टिक</v>
      </c>
    </row>
    <row r="141" ht="22.5" customHeight="1">
      <c r="A141" s="10">
        <v>140.0</v>
      </c>
      <c r="B141" s="8" t="s">
        <v>10670</v>
      </c>
      <c r="C141" s="8" t="s">
        <v>10478</v>
      </c>
      <c r="D141" s="8" t="s">
        <v>10479</v>
      </c>
      <c r="F141" s="5" t="str">
        <f>IFERROR(__xludf.DUMMYFUNCTION("GOOGLETRANSLATE(A141, ""en"", ""hi"")"),"140")</f>
        <v>140</v>
      </c>
      <c r="G141" s="5" t="str">
        <f>IFERROR(__xludf.DUMMYFUNCTION("GOOGLETRANSLATE(B141, ""en"", ""hi"")"),"मलखम्ब अभ्यास में पारंपरिक रूप से किस प्रकार के डंडे का उपयोग किया जाता है?")</f>
        <v>मलखम्ब अभ्यास में पारंपरिक रूप से किस प्रकार के डंडे का उपयोग किया जाता है?</v>
      </c>
      <c r="H141" s="5" t="str">
        <f>IFERROR(__xludf.DUMMYFUNCTION("GOOGLETRANSLATE(C141, ""en"", ""hi"")"),"A) धातु, B) प्लास्टिक, C) लकड़ी, D) बांस")</f>
        <v>A) धातु, B) प्लास्टिक, C) लकड़ी, D) बांस</v>
      </c>
      <c r="I141" s="5" t="str">
        <f>IFERROR(__xludf.DUMMYFUNCTION("GOOGLETRANSLATE(D141, ""en"", ""hi"")"),"C) लकड़ी")</f>
        <v>C) लकड़ी</v>
      </c>
    </row>
    <row r="142" ht="22.5" customHeight="1">
      <c r="A142" s="10">
        <v>141.0</v>
      </c>
      <c r="B142" s="8" t="s">
        <v>10671</v>
      </c>
      <c r="C142" s="8" t="s">
        <v>10541</v>
      </c>
      <c r="D142" s="8" t="s">
        <v>10542</v>
      </c>
      <c r="F142" s="5" t="str">
        <f>IFERROR(__xludf.DUMMYFUNCTION("GOOGLETRANSLATE(A142, ""en"", ""hi"")"),"141")</f>
        <v>141</v>
      </c>
      <c r="G142" s="5" t="str">
        <f>IFERROR(__xludf.DUMMYFUNCTION("GOOGLETRANSLATE(B142, ""en"", ""hi"")"),"मलखम्ब तकनीक का क्या नाम है जिसमें खिलाड़ी क्षैतिज पट्टी पर प्रदर्शन करता है?")</f>
        <v>मलखम्ब तकनीक का क्या नाम है जिसमें खिलाड़ी क्षैतिज पट्टी पर प्रदर्शन करता है?</v>
      </c>
      <c r="H142" s="5" t="str">
        <f>IFERROR(__xludf.DUMMYFUNCTION("GOOGLETRANSLATE(C142, ""en"", ""hi"")"),"ए) क्षैतिज मलखंब, बी) एरियल मलखंब, सी) पोल मलखंब, डी) रस्सी मलखंब")</f>
        <v>ए) क्षैतिज मलखंब, बी) एरियल मलखंब, सी) पोल मलखंब, डी) रस्सी मलखंब</v>
      </c>
      <c r="I142" s="5" t="str">
        <f>IFERROR(__xludf.DUMMYFUNCTION("GOOGLETRANSLATE(D142, ""en"", ""hi"")"),"A) क्षैतिज मलखम्ब")</f>
        <v>A) क्षैतिज मलखम्ब</v>
      </c>
    </row>
    <row r="143" ht="22.5" customHeight="1">
      <c r="A143" s="10">
        <v>142.0</v>
      </c>
      <c r="B143" s="8" t="s">
        <v>10672</v>
      </c>
      <c r="C143" s="8" t="s">
        <v>10673</v>
      </c>
      <c r="D143" s="8" t="s">
        <v>4164</v>
      </c>
      <c r="F143" s="5" t="str">
        <f>IFERROR(__xludf.DUMMYFUNCTION("GOOGLETRANSLATE(A143, ""en"", ""hi"")"),"142")</f>
        <v>142</v>
      </c>
      <c r="G143" s="5" t="str">
        <f>IFERROR(__xludf.DUMMYFUNCTION("GOOGLETRANSLATE(B143, ""en"", ""hi"")"),"किस भारतीय राजा को सैन्य प्रशिक्षण में मलखम्ब को शामिल करने के लिए जाना जाता है?")</f>
        <v>किस भारतीय राजा को सैन्य प्रशिक्षण में मलखम्ब को शामिल करने के लिए जाना जाता है?</v>
      </c>
      <c r="H143" s="5" t="str">
        <f>IFERROR(__xludf.DUMMYFUNCTION("GOOGLETRANSLATE(C143, ""en"", ""hi"")"),"ए) शिवाजी महाराज, बी) अकबर, सी) चंद्रगुप्त मौर्य, डी) राणा प्रताप")</f>
        <v>ए) शिवाजी महाराज, बी) अकबर, सी) चंद्रगुप्त मौर्य, डी) राणा प्रताप</v>
      </c>
      <c r="I143" s="5" t="str">
        <f>IFERROR(__xludf.DUMMYFUNCTION("GOOGLETRANSLATE(D143, ""en"", ""hi"")"),"A) शिवाजी महाराज")</f>
        <v>A) शिवाजी महाराज</v>
      </c>
    </row>
    <row r="144" ht="22.5" customHeight="1">
      <c r="A144" s="10">
        <v>143.0</v>
      </c>
      <c r="B144" s="8" t="s">
        <v>10674</v>
      </c>
      <c r="C144" s="8" t="s">
        <v>2493</v>
      </c>
      <c r="D144" s="8" t="s">
        <v>549</v>
      </c>
      <c r="F144" s="5" t="str">
        <f>IFERROR(__xludf.DUMMYFUNCTION("GOOGLETRANSLATE(A144, ""en"", ""hi"")"),"143")</f>
        <v>143</v>
      </c>
      <c r="G144" s="5" t="str">
        <f>IFERROR(__xludf.DUMMYFUNCTION("GOOGLETRANSLATE(B144, ""en"", ""hi"")"),"अखिल भारतीय मलखम्ब महासंघ की स्थापना किस शहर में की गई थी?")</f>
        <v>अखिल भारतीय मलखम्ब महासंघ की स्थापना किस शहर में की गई थी?</v>
      </c>
      <c r="H144" s="5" t="str">
        <f>IFERROR(__xludf.DUMMYFUNCTION("GOOGLETRANSLATE(C144, ""en"", ""hi"")"),"A) मुंबई, B) पुणे, C) दिल्ली, D) बैंगलोर")</f>
        <v>A) मुंबई, B) पुणे, C) दिल्ली, D) बैंगलोर</v>
      </c>
      <c r="I144" s="5" t="str">
        <f>IFERROR(__xludf.DUMMYFUNCTION("GOOGLETRANSLATE(D144, ""en"", ""hi"")"),"ए) मुंबई")</f>
        <v>ए) मुंबई</v>
      </c>
    </row>
    <row r="145" ht="22.5" customHeight="1">
      <c r="A145" s="10">
        <v>144.0</v>
      </c>
      <c r="B145" s="8" t="s">
        <v>10675</v>
      </c>
      <c r="C145" s="8" t="s">
        <v>10676</v>
      </c>
      <c r="D145" s="8" t="s">
        <v>3365</v>
      </c>
      <c r="F145" s="5" t="str">
        <f>IFERROR(__xludf.DUMMYFUNCTION("GOOGLETRANSLATE(A145, ""en"", ""hi"")"),"144")</f>
        <v>144</v>
      </c>
      <c r="G145" s="5" t="str">
        <f>IFERROR(__xludf.DUMMYFUNCTION("GOOGLETRANSLATE(B145, ""en"", ""hi"")"),"कौन सा क्लासिक भारतीय ग्रंथ मलखंभ के समान प्रारंभिक शारीरिक प्रशिक्षण तकनीकों का वर्णन करता है?")</f>
        <v>कौन सा क्लासिक भारतीय ग्रंथ मलखंभ के समान प्रारंभिक शारीरिक प्रशिक्षण तकनीकों का वर्णन करता है?</v>
      </c>
      <c r="H145" s="5" t="str">
        <f>IFERROR(__xludf.DUMMYFUNCTION("GOOGLETRANSLATE(C145, ""en"", ""hi"")"),"ए) मनुस्मृति, बी) योग सूत्र, सी) अर्थशास्त्र, डी) रामायण")</f>
        <v>ए) मनुस्मृति, बी) योग सूत्र, सी) अर्थशास्त्र, डी) रामायण</v>
      </c>
      <c r="I145" s="5" t="str">
        <f>IFERROR(__xludf.DUMMYFUNCTION("GOOGLETRANSLATE(D145, ""en"", ""hi"")"),"C) अर्थशास्त्र")</f>
        <v>C) अर्थशास्त्र</v>
      </c>
    </row>
    <row r="146" ht="22.5" customHeight="1">
      <c r="A146" s="10">
        <v>145.0</v>
      </c>
      <c r="B146" s="8" t="s">
        <v>10677</v>
      </c>
      <c r="C146" s="8" t="s">
        <v>10517</v>
      </c>
      <c r="D146" s="8" t="s">
        <v>3012</v>
      </c>
      <c r="F146" s="5" t="str">
        <f>IFERROR(__xludf.DUMMYFUNCTION("GOOGLETRANSLATE(A146, ""en"", ""hi"")"),"145")</f>
        <v>145</v>
      </c>
      <c r="G146" s="5" t="str">
        <f>IFERROR(__xludf.DUMMYFUNCTION("GOOGLETRANSLATE(B146, ""en"", ""hi"")"),"मलखम्ब प्रशिक्षण का मुख्य फोकस क्या है?")</f>
        <v>मलखम्ब प्रशिक्षण का मुख्य फोकस क्या है?</v>
      </c>
      <c r="H146" s="5" t="str">
        <f>IFERROR(__xludf.DUMMYFUNCTION("GOOGLETRANSLATE(C146, ""en"", ""hi"")"),"A) ताकत, B) लचीलापन, C) गति, D) समन्वय")</f>
        <v>A) ताकत, B) लचीलापन, C) गति, D) समन्वय</v>
      </c>
      <c r="I146" s="5" t="str">
        <f>IFERROR(__xludf.DUMMYFUNCTION("GOOGLETRANSLATE(D146, ""en"", ""hi"")"),"ए) ताकत")</f>
        <v>ए) ताकत</v>
      </c>
    </row>
    <row r="147" ht="22.5" customHeight="1">
      <c r="A147" s="10">
        <v>146.0</v>
      </c>
      <c r="B147" s="8" t="s">
        <v>10678</v>
      </c>
      <c r="C147" s="8" t="s">
        <v>10456</v>
      </c>
      <c r="D147" s="8" t="s">
        <v>10457</v>
      </c>
      <c r="F147" s="5" t="str">
        <f>IFERROR(__xludf.DUMMYFUNCTION("GOOGLETRANSLATE(A147, ""en"", ""hi"")"),"146")</f>
        <v>146</v>
      </c>
      <c r="G147" s="5" t="str">
        <f>IFERROR(__xludf.DUMMYFUNCTION("GOOGLETRANSLATE(B147, ""en"", ""hi"")"),"प्रतियोगिताओं में प्रयुक्त मलखम्ब पोल की सामान्य ऊंचाई कितनी होती है?")</f>
        <v>प्रतियोगिताओं में प्रयुक्त मलखम्ब पोल की सामान्य ऊंचाई कितनी होती है?</v>
      </c>
      <c r="H147" s="5" t="str">
        <f>IFERROR(__xludf.DUMMYFUNCTION("GOOGLETRANSLATE(C147, ""en"", ""hi"")"),"A) 10 फीट, B) 12 फीट, C) 15 फीट, D) 20 फीट")</f>
        <v>A) 10 फीट, B) 12 फीट, C) 15 फीट, D) 20 फीट</v>
      </c>
      <c r="I147" s="5" t="str">
        <f>IFERROR(__xludf.DUMMYFUNCTION("GOOGLETRANSLATE(D147, ""en"", ""hi"")"),"सी) 15 फीट")</f>
        <v>सी) 15 फीट</v>
      </c>
    </row>
    <row r="148" ht="22.5" customHeight="1">
      <c r="A148" s="10">
        <v>147.0</v>
      </c>
      <c r="B148" s="8" t="s">
        <v>10679</v>
      </c>
      <c r="C148" s="8" t="s">
        <v>10680</v>
      </c>
      <c r="D148" s="8" t="s">
        <v>10681</v>
      </c>
      <c r="F148" s="5" t="str">
        <f>IFERROR(__xludf.DUMMYFUNCTION("GOOGLETRANSLATE(A148, ""en"", ""hi"")"),"147")</f>
        <v>147</v>
      </c>
      <c r="G148" s="5" t="str">
        <f>IFERROR(__xludf.DUMMYFUNCTION("GOOGLETRANSLATE(B148, ""en"", ""hi"")"),"कौन सा आधुनिक एथलीट मलखम्ब में अपनी विशेषज्ञता के लिए जाना जाता है?")</f>
        <v>कौन सा आधुनिक एथलीट मलखम्ब में अपनी विशेषज्ञता के लिए जाना जाता है?</v>
      </c>
      <c r="H148" s="5" t="str">
        <f>IFERROR(__xludf.DUMMYFUNCTION("GOOGLETRANSLATE(C148, ""en"", ""hi"")"),"ए) दीपा कर्माकर, बी) सचिन तेंदुलकर, सी) अभिनव बिंद्रा, डी) मैरी कॉम")</f>
        <v>ए) दीपा कर्माकर, बी) सचिन तेंदुलकर, सी) अभिनव बिंद्रा, डी) मैरी कॉम</v>
      </c>
      <c r="I148" s="5" t="str">
        <f>IFERROR(__xludf.DUMMYFUNCTION("GOOGLETRANSLATE(D148, ""en"", ""hi"")"),"A) दीपा करमाकर")</f>
        <v>A) दीपा करमाकर</v>
      </c>
    </row>
    <row r="149" ht="22.5" customHeight="1">
      <c r="A149" s="10">
        <v>148.0</v>
      </c>
      <c r="B149" s="8" t="s">
        <v>10682</v>
      </c>
      <c r="C149" s="8" t="s">
        <v>10475</v>
      </c>
      <c r="D149" s="8" t="s">
        <v>10476</v>
      </c>
      <c r="F149" s="5" t="str">
        <f>IFERROR(__xludf.DUMMYFUNCTION("GOOGLETRANSLATE(A149, ""en"", ""hi"")"),"148")</f>
        <v>148</v>
      </c>
      <c r="G149" s="5" t="str">
        <f>IFERROR(__xludf.DUMMYFUNCTION("GOOGLETRANSLATE(B149, ""en"", ""hi"")"),"किस भारतीय त्यौहार में प्रायः पारंपरिक मलखम्ब प्रदर्शन किया जाता है?")</f>
        <v>किस भारतीय त्यौहार में प्रायः पारंपरिक मलखम्ब प्रदर्शन किया जाता है?</v>
      </c>
      <c r="H149" s="5" t="str">
        <f>IFERROR(__xludf.DUMMYFUNCTION("GOOGLETRANSLATE(C149, ""en"", ""hi"")"),"ए) गणेश चतुर्थी, बी) दिवाली, सी) होली, डी) पोंगल")</f>
        <v>ए) गणेश चतुर्थी, बी) दिवाली, सी) होली, डी) पोंगल</v>
      </c>
      <c r="I149" s="5" t="str">
        <f>IFERROR(__xludf.DUMMYFUNCTION("GOOGLETRANSLATE(D149, ""en"", ""hi"")"),"A) गणेश चतुर्थी")</f>
        <v>A) गणेश चतुर्थी</v>
      </c>
    </row>
    <row r="150" ht="22.5" customHeight="1">
      <c r="A150" s="10">
        <v>149.0</v>
      </c>
      <c r="B150" s="8" t="s">
        <v>10683</v>
      </c>
      <c r="C150" s="8" t="s">
        <v>10684</v>
      </c>
      <c r="D150" s="8" t="s">
        <v>549</v>
      </c>
      <c r="F150" s="5" t="str">
        <f>IFERROR(__xludf.DUMMYFUNCTION("GOOGLETRANSLATE(A150, ""en"", ""hi"")"),"149")</f>
        <v>149</v>
      </c>
      <c r="G150" s="5" t="str">
        <f>IFERROR(__xludf.DUMMYFUNCTION("GOOGLETRANSLATE(B150, ""en"", ""hi"")"),"अखिल भारतीय मलखम्ब महासंघ की स्थापना किस शहर में की गई थी?")</f>
        <v>अखिल भारतीय मलखम्ब महासंघ की स्थापना किस शहर में की गई थी?</v>
      </c>
      <c r="H150" s="5" t="str">
        <f>IFERROR(__xludf.DUMMYFUNCTION("GOOGLETRANSLATE(C150, ""en"", ""hi"")"),"A) मुंबई, B) पुणे, C) बैंगलोर, D) दिल्ली")</f>
        <v>A) मुंबई, B) पुणे, C) बैंगलोर, D) दिल्ली</v>
      </c>
      <c r="I150" s="5" t="str">
        <f>IFERROR(__xludf.DUMMYFUNCTION("GOOGLETRANSLATE(D150, ""en"", ""hi"")"),"ए) मुंबई")</f>
        <v>ए) मुंबई</v>
      </c>
    </row>
    <row r="151" ht="22.5" customHeight="1">
      <c r="A151" s="10">
        <v>150.0</v>
      </c>
      <c r="B151" s="8" t="s">
        <v>10685</v>
      </c>
      <c r="C151" s="8" t="s">
        <v>10686</v>
      </c>
      <c r="D151" s="8" t="s">
        <v>10687</v>
      </c>
      <c r="F151" s="5" t="str">
        <f>IFERROR(__xludf.DUMMYFUNCTION("GOOGLETRANSLATE(A151, ""en"", ""hi"")"),"150")</f>
        <v>150</v>
      </c>
      <c r="G151" s="5" t="str">
        <f>IFERROR(__xludf.DUMMYFUNCTION("GOOGLETRANSLATE(B151, ""en"", ""hi"")"),"शारीरिक व्यायाम के संदर्भ में कौन सा पारंपरिक भारतीय खेल मलखम्ब के साथ समानताएं साझा करता है?")</f>
        <v>शारीरिक व्यायाम के संदर्भ में कौन सा पारंपरिक भारतीय खेल मलखम्ब के साथ समानताएं साझा करता है?</v>
      </c>
      <c r="H151" s="5" t="str">
        <f>IFERROR(__xludf.DUMMYFUNCTION("GOOGLETRANSLATE(C151, ""en"", ""hi"")"),"A) जिम्नास्टिक, B) योग, C) मार्शल आर्ट, D) कुश्ती")</f>
        <v>A) जिम्नास्टिक, B) योग, C) मार्शल आर्ट, D) कुश्ती</v>
      </c>
      <c r="I151" s="5" t="str">
        <f>IFERROR(__xludf.DUMMYFUNCTION("GOOGLETRANSLATE(D151, ""en"", ""hi"")"),"सी) मार्शल आर्ट")</f>
        <v>सी) मार्शल आर्ट</v>
      </c>
    </row>
    <row r="152" ht="22.5" customHeight="1">
      <c r="A152" s="10">
        <v>151.0</v>
      </c>
      <c r="B152" s="8" t="s">
        <v>10688</v>
      </c>
      <c r="C152" s="8" t="s">
        <v>10689</v>
      </c>
      <c r="D152" s="8" t="s">
        <v>10690</v>
      </c>
      <c r="F152" s="5" t="str">
        <f>IFERROR(__xludf.DUMMYFUNCTION("GOOGLETRANSLATE(A152, ""en"", ""hi"")"),"151")</f>
        <v>151</v>
      </c>
      <c r="G152" s="5" t="str">
        <f>IFERROR(__xludf.DUMMYFUNCTION("GOOGLETRANSLATE(B152, ""en"", ""hi"")"),"पारंपरिक भारतीय प्रशिक्षण में मलखंभ का प्राथमिक उद्देश्य क्या है?")</f>
        <v>पारंपरिक भारतीय प्रशिक्षण में मलखंभ का प्राथमिक उद्देश्य क्या है?</v>
      </c>
      <c r="H152" s="5" t="str">
        <f>IFERROR(__xludf.DUMMYFUNCTION("GOOGLETRANSLATE(C152, ""en"", ""hi"")"),"A) शक्ति और चपलता, B) युद्ध तत्परता, C) लचीलापन, D) समन्वय")</f>
        <v>A) शक्ति और चपलता, B) युद्ध तत्परता, C) लचीलापन, D) समन्वय</v>
      </c>
      <c r="I152" s="5" t="str">
        <f>IFERROR(__xludf.DUMMYFUNCTION("GOOGLETRANSLATE(D152, ""en"", ""hi"")"),"A) शक्ति और चपलता")</f>
        <v>A) शक्ति और चपलता</v>
      </c>
    </row>
    <row r="153" ht="22.5" customHeight="1">
      <c r="A153" s="10">
        <v>152.0</v>
      </c>
      <c r="B153" s="8" t="s">
        <v>10691</v>
      </c>
      <c r="C153" s="8" t="s">
        <v>10510</v>
      </c>
      <c r="D153" s="8" t="s">
        <v>4164</v>
      </c>
      <c r="F153" s="5" t="str">
        <f>IFERROR(__xludf.DUMMYFUNCTION("GOOGLETRANSLATE(A153, ""en"", ""hi"")"),"152")</f>
        <v>152</v>
      </c>
      <c r="G153" s="5" t="str">
        <f>IFERROR(__xludf.DUMMYFUNCTION("GOOGLETRANSLATE(B153, ""en"", ""hi"")"),"मलखम्ब को लोकप्रिय बनाने का श्रेय किस भारतीय राजा को दिया जाता है?")</f>
        <v>मलखम्ब को लोकप्रिय बनाने का श्रेय किस भारतीय राजा को दिया जाता है?</v>
      </c>
      <c r="H153" s="5" t="str">
        <f>IFERROR(__xludf.DUMMYFUNCTION("GOOGLETRANSLATE(C153, ""en"", ""hi"")"),"ए) शिवाजी महाराज, बी) अकबर, सी) औरंगजेब, डी) राणा प्रताप")</f>
        <v>ए) शिवाजी महाराज, बी) अकबर, सी) औरंगजेब, डी) राणा प्रताप</v>
      </c>
      <c r="I153" s="5" t="str">
        <f>IFERROR(__xludf.DUMMYFUNCTION("GOOGLETRANSLATE(D153, ""en"", ""hi"")"),"A) शिवाजी महाराज")</f>
        <v>A) शिवाजी महाराज</v>
      </c>
    </row>
    <row r="154" ht="22.5" customHeight="1">
      <c r="A154" s="10">
        <v>153.0</v>
      </c>
      <c r="B154" s="8" t="s">
        <v>10692</v>
      </c>
      <c r="C154" s="8" t="s">
        <v>10693</v>
      </c>
      <c r="D154" s="8" t="s">
        <v>10648</v>
      </c>
      <c r="F154" s="5" t="str">
        <f>IFERROR(__xludf.DUMMYFUNCTION("GOOGLETRANSLATE(A154, ""en"", ""hi"")"),"153")</f>
        <v>153</v>
      </c>
      <c r="G154" s="5" t="str">
        <f>IFERROR(__xludf.DUMMYFUNCTION("GOOGLETRANSLATE(B154, ""en"", ""hi"")"),"मलखम्ब को प्रभावी ढंग से करने के लिए कौन सी शारीरिक विशेषता सबसे महत्वपूर्ण है?")</f>
        <v>मलखम्ब को प्रभावी ढंग से करने के लिए कौन सी शारीरिक विशेषता सबसे महत्वपूर्ण है?</v>
      </c>
      <c r="H154" s="5" t="str">
        <f>IFERROR(__xludf.DUMMYFUNCTION("GOOGLETRANSLATE(C154, ""en"", ""hi"")"),"A) लचीलापन, B) ताकत, C) सहनशक्ति, D) चपलता")</f>
        <v>A) लचीलापन, B) ताकत, C) सहनशक्ति, D) चपलता</v>
      </c>
      <c r="I154" s="5" t="str">
        <f>IFERROR(__xludf.DUMMYFUNCTION("GOOGLETRANSLATE(D154, ""en"", ""hi"")"),"बी) ताकत")</f>
        <v>बी) ताकत</v>
      </c>
    </row>
    <row r="155" ht="22.5" customHeight="1">
      <c r="A155" s="10">
        <v>154.0</v>
      </c>
      <c r="B155" s="8" t="s">
        <v>10694</v>
      </c>
      <c r="C155" s="8" t="s">
        <v>10695</v>
      </c>
      <c r="D155" s="8" t="s">
        <v>222</v>
      </c>
      <c r="F155" s="5" t="str">
        <f>IFERROR(__xludf.DUMMYFUNCTION("GOOGLETRANSLATE(A155, ""en"", ""hi"")"),"154")</f>
        <v>154</v>
      </c>
      <c r="G155" s="5" t="str">
        <f>IFERROR(__xludf.DUMMYFUNCTION("GOOGLETRANSLATE(B155, ""en"", ""hi"")"),"किस भारतीय महाकाव्य में मलखंभ जैसे अभ्यासों का उल्लेख मिलता है?")</f>
        <v>किस भारतीय महाकाव्य में मलखंभ जैसे अभ्यासों का उल्लेख मिलता है?</v>
      </c>
      <c r="H155" s="5" t="str">
        <f>IFERROR(__xludf.DUMMYFUNCTION("GOOGLETRANSLATE(C155, ""en"", ""hi"")"),"ए) महाभारत, बी) रामायण, सी) पुराण, डी) वेद")</f>
        <v>ए) महाभारत, बी) रामायण, सी) पुराण, डी) वेद</v>
      </c>
      <c r="I155" s="5" t="str">
        <f>IFERROR(__xludf.DUMMYFUNCTION("GOOGLETRANSLATE(D155, ""en"", ""hi"")"),"A) महाभारत")</f>
        <v>A) महाभारत</v>
      </c>
    </row>
    <row r="156" ht="22.5" customHeight="1">
      <c r="A156" s="10">
        <v>155.0</v>
      </c>
      <c r="B156" s="8" t="s">
        <v>10696</v>
      </c>
      <c r="C156" s="8" t="s">
        <v>10475</v>
      </c>
      <c r="D156" s="8" t="s">
        <v>10476</v>
      </c>
      <c r="F156" s="5" t="str">
        <f>IFERROR(__xludf.DUMMYFUNCTION("GOOGLETRANSLATE(A156, ""en"", ""hi"")"),"155")</f>
        <v>155</v>
      </c>
      <c r="G156" s="5" t="str">
        <f>IFERROR(__xludf.DUMMYFUNCTION("GOOGLETRANSLATE(B156, ""en"", ""hi"")"),"उस पारंपरिक भारतीय त्यौहार का नाम क्या है जहाँ मलखम्ब प्रदर्शन किया जाता है?")</f>
        <v>उस पारंपरिक भारतीय त्यौहार का नाम क्या है जहाँ मलखम्ब प्रदर्शन किया जाता है?</v>
      </c>
      <c r="H156" s="5" t="str">
        <f>IFERROR(__xludf.DUMMYFUNCTION("GOOGLETRANSLATE(C156, ""en"", ""hi"")"),"ए) गणेश चतुर्थी, बी) दिवाली, सी) होली, डी) पोंगल")</f>
        <v>ए) गणेश चतुर्थी, बी) दिवाली, सी) होली, डी) पोंगल</v>
      </c>
      <c r="I156" s="5" t="str">
        <f>IFERROR(__xludf.DUMMYFUNCTION("GOOGLETRANSLATE(D156, ""en"", ""hi"")"),"A) गणेश चतुर्थी")</f>
        <v>A) गणेश चतुर्थी</v>
      </c>
    </row>
    <row r="157" ht="22.5" customHeight="1">
      <c r="A157" s="10">
        <v>156.0</v>
      </c>
      <c r="B157" s="8" t="s">
        <v>10697</v>
      </c>
      <c r="C157" s="8" t="s">
        <v>10541</v>
      </c>
      <c r="D157" s="8" t="s">
        <v>10542</v>
      </c>
      <c r="F157" s="5" t="str">
        <f>IFERROR(__xludf.DUMMYFUNCTION("GOOGLETRANSLATE(A157, ""en"", ""hi"")"),"156")</f>
        <v>156</v>
      </c>
      <c r="G157" s="5" t="str">
        <f>IFERROR(__xludf.DUMMYFUNCTION("GOOGLETRANSLATE(B157, ""en"", ""hi"")"),"किस प्रकार की मलखम्ब तकनीक में क्षैतिज पट्टी पर गतिविधियां शामिल होती हैं?")</f>
        <v>किस प्रकार की मलखम्ब तकनीक में क्षैतिज पट्टी पर गतिविधियां शामिल होती हैं?</v>
      </c>
      <c r="H157" s="5" t="str">
        <f>IFERROR(__xludf.DUMMYFUNCTION("GOOGLETRANSLATE(C157, ""en"", ""hi"")"),"ए) क्षैतिज मलखंब, बी) एरियल मलखंब, सी) पोल मलखंब, डी) रस्सी मलखंब")</f>
        <v>ए) क्षैतिज मलखंब, बी) एरियल मलखंब, सी) पोल मलखंब, डी) रस्सी मलखंब</v>
      </c>
      <c r="I157" s="5" t="str">
        <f>IFERROR(__xludf.DUMMYFUNCTION("GOOGLETRANSLATE(D157, ""en"", ""hi"")"),"A) क्षैतिज मलखम्ब")</f>
        <v>A) क्षैतिज मलखम्ब</v>
      </c>
    </row>
    <row r="158" ht="22.5" customHeight="1">
      <c r="A158" s="10">
        <v>157.0</v>
      </c>
      <c r="B158" s="8" t="s">
        <v>10698</v>
      </c>
      <c r="C158" s="8" t="s">
        <v>10673</v>
      </c>
      <c r="D158" s="8" t="s">
        <v>4164</v>
      </c>
      <c r="F158" s="5" t="str">
        <f>IFERROR(__xludf.DUMMYFUNCTION("GOOGLETRANSLATE(A158, ""en"", ""hi"")"),"157")</f>
        <v>157</v>
      </c>
      <c r="G158" s="5" t="str">
        <f>IFERROR(__xludf.DUMMYFUNCTION("GOOGLETRANSLATE(B158, ""en"", ""hi"")"),"मलखम्ब को सैन्य प्रशिक्षण में शामिल करने के लिए किस ऐतिहासिक व्यक्ति को याद किया जाता है?")</f>
        <v>मलखम्ब को सैन्य प्रशिक्षण में शामिल करने के लिए किस ऐतिहासिक व्यक्ति को याद किया जाता है?</v>
      </c>
      <c r="H158" s="5" t="str">
        <f>IFERROR(__xludf.DUMMYFUNCTION("GOOGLETRANSLATE(C158, ""en"", ""hi"")"),"ए) शिवाजी महाराज, बी) अकबर, सी) चंद्रगुप्त मौर्य, डी) राणा प्रताप")</f>
        <v>ए) शिवाजी महाराज, बी) अकबर, सी) चंद्रगुप्त मौर्य, डी) राणा प्रताप</v>
      </c>
      <c r="I158" s="5" t="str">
        <f>IFERROR(__xludf.DUMMYFUNCTION("GOOGLETRANSLATE(D158, ""en"", ""hi"")"),"A) शिवाजी महाराज")</f>
        <v>A) शिवाजी महाराज</v>
      </c>
    </row>
    <row r="159" ht="22.5" customHeight="1">
      <c r="A159" s="10">
        <v>158.0</v>
      </c>
      <c r="B159" s="8" t="s">
        <v>10674</v>
      </c>
      <c r="C159" s="8" t="s">
        <v>2493</v>
      </c>
      <c r="D159" s="8" t="s">
        <v>549</v>
      </c>
      <c r="F159" s="5" t="str">
        <f>IFERROR(__xludf.DUMMYFUNCTION("GOOGLETRANSLATE(A159, ""en"", ""hi"")"),"158")</f>
        <v>158</v>
      </c>
      <c r="G159" s="5" t="str">
        <f>IFERROR(__xludf.DUMMYFUNCTION("GOOGLETRANSLATE(B159, ""en"", ""hi"")"),"अखिल भारतीय मलखम्ब महासंघ की स्थापना किस शहर में की गई थी?")</f>
        <v>अखिल भारतीय मलखम्ब महासंघ की स्थापना किस शहर में की गई थी?</v>
      </c>
      <c r="H159" s="5" t="str">
        <f>IFERROR(__xludf.DUMMYFUNCTION("GOOGLETRANSLATE(C159, ""en"", ""hi"")"),"A) मुंबई, B) पुणे, C) दिल्ली, D) बैंगलोर")</f>
        <v>A) मुंबई, B) पुणे, C) दिल्ली, D) बैंगलोर</v>
      </c>
      <c r="I159" s="5" t="str">
        <f>IFERROR(__xludf.DUMMYFUNCTION("GOOGLETRANSLATE(D159, ""en"", ""hi"")"),"ए) मुंबई")</f>
        <v>ए) मुंबई</v>
      </c>
    </row>
    <row r="160" ht="22.5" customHeight="1">
      <c r="A160" s="10">
        <v>159.0</v>
      </c>
      <c r="B160" s="8" t="s">
        <v>10699</v>
      </c>
      <c r="C160" s="8" t="s">
        <v>10676</v>
      </c>
      <c r="D160" s="8" t="s">
        <v>3365</v>
      </c>
      <c r="F160" s="5" t="str">
        <f>IFERROR(__xludf.DUMMYFUNCTION("GOOGLETRANSLATE(A160, ""en"", ""hi"")"),"159")</f>
        <v>159</v>
      </c>
      <c r="G160" s="5" t="str">
        <f>IFERROR(__xludf.DUMMYFUNCTION("GOOGLETRANSLATE(B160, ""en"", ""hi"")"),"किस प्राचीन ग्रंथ में मलखम्ब के समान प्रारंभिक शारीरिक प्रशिक्षण तकनीकों का वर्णन है?")</f>
        <v>किस प्राचीन ग्रंथ में मलखम्ब के समान प्रारंभिक शारीरिक प्रशिक्षण तकनीकों का वर्णन है?</v>
      </c>
      <c r="H160" s="5" t="str">
        <f>IFERROR(__xludf.DUMMYFUNCTION("GOOGLETRANSLATE(C160, ""en"", ""hi"")"),"ए) मनुस्मृति, बी) योग सूत्र, सी) अर्थशास्त्र, डी) रामायण")</f>
        <v>ए) मनुस्मृति, बी) योग सूत्र, सी) अर्थशास्त्र, डी) रामायण</v>
      </c>
      <c r="I160" s="5" t="str">
        <f>IFERROR(__xludf.DUMMYFUNCTION("GOOGLETRANSLATE(D160, ""en"", ""hi"")"),"C) अर्थशास्त्र")</f>
        <v>C) अर्थशास्त्र</v>
      </c>
    </row>
    <row r="161" ht="22.5" customHeight="1">
      <c r="A161" s="10">
        <v>160.0</v>
      </c>
      <c r="B161" s="8" t="s">
        <v>10700</v>
      </c>
      <c r="C161" s="8" t="s">
        <v>10517</v>
      </c>
      <c r="D161" s="8" t="s">
        <v>3012</v>
      </c>
      <c r="F161" s="5" t="str">
        <f>IFERROR(__xludf.DUMMYFUNCTION("GOOGLETRANSLATE(A161, ""en"", ""hi"")"),"160")</f>
        <v>160</v>
      </c>
      <c r="G161" s="5" t="str">
        <f>IFERROR(__xludf.DUMMYFUNCTION("GOOGLETRANSLATE(B161, ""en"", ""hi"")"),"मलखम्ब प्रशिक्षण का प्राथमिक फोकस क्या है?")</f>
        <v>मलखम्ब प्रशिक्षण का प्राथमिक फोकस क्या है?</v>
      </c>
      <c r="H161" s="5" t="str">
        <f>IFERROR(__xludf.DUMMYFUNCTION("GOOGLETRANSLATE(C161, ""en"", ""hi"")"),"A) ताकत, B) लचीलापन, C) गति, D) समन्वय")</f>
        <v>A) ताकत, B) लचीलापन, C) गति, D) समन्वय</v>
      </c>
      <c r="I161" s="5" t="str">
        <f>IFERROR(__xludf.DUMMYFUNCTION("GOOGLETRANSLATE(D161, ""en"", ""hi"")"),"ए) ताकत")</f>
        <v>ए) ताकत</v>
      </c>
    </row>
    <row r="162" ht="22.5" customHeight="1">
      <c r="A162" s="10">
        <v>161.0</v>
      </c>
      <c r="B162" s="8" t="s">
        <v>10678</v>
      </c>
      <c r="C162" s="8" t="s">
        <v>10456</v>
      </c>
      <c r="D162" s="8" t="s">
        <v>10457</v>
      </c>
      <c r="F162" s="5" t="str">
        <f>IFERROR(__xludf.DUMMYFUNCTION("GOOGLETRANSLATE(A162, ""en"", ""hi"")"),"161")</f>
        <v>161</v>
      </c>
      <c r="G162" s="5" t="str">
        <f>IFERROR(__xludf.DUMMYFUNCTION("GOOGLETRANSLATE(B162, ""en"", ""hi"")"),"प्रतियोगिताओं में प्रयुक्त मलखम्ब पोल की सामान्य ऊंचाई कितनी होती है?")</f>
        <v>प्रतियोगिताओं में प्रयुक्त मलखम्ब पोल की सामान्य ऊंचाई कितनी होती है?</v>
      </c>
      <c r="H162" s="5" t="str">
        <f>IFERROR(__xludf.DUMMYFUNCTION("GOOGLETRANSLATE(C162, ""en"", ""hi"")"),"A) 10 फीट, B) 12 फीट, C) 15 फीट, D) 20 फीट")</f>
        <v>A) 10 फीट, B) 12 फीट, C) 15 फीट, D) 20 फीट</v>
      </c>
      <c r="I162" s="5" t="str">
        <f>IFERROR(__xludf.DUMMYFUNCTION("GOOGLETRANSLATE(D162, ""en"", ""hi"")"),"सी) 15 फीट")</f>
        <v>सी) 15 फीट</v>
      </c>
    </row>
    <row r="163" ht="22.5" customHeight="1">
      <c r="A163" s="10">
        <v>162.0</v>
      </c>
      <c r="B163" s="8" t="s">
        <v>10701</v>
      </c>
      <c r="C163" s="8" t="s">
        <v>10680</v>
      </c>
      <c r="D163" s="8" t="s">
        <v>10681</v>
      </c>
      <c r="F163" s="5" t="str">
        <f>IFERROR(__xludf.DUMMYFUNCTION("GOOGLETRANSLATE(A163, ""en"", ""hi"")"),"162")</f>
        <v>162</v>
      </c>
      <c r="G163" s="5" t="str">
        <f>IFERROR(__xludf.DUMMYFUNCTION("GOOGLETRANSLATE(B163, ""en"", ""hi"")"),"कौन सा आधुनिक एथलीट मलखम्ब में अपने कौशल के लिए पहचाना जाता है?")</f>
        <v>कौन सा आधुनिक एथलीट मलखम्ब में अपने कौशल के लिए पहचाना जाता है?</v>
      </c>
      <c r="H163" s="5" t="str">
        <f>IFERROR(__xludf.DUMMYFUNCTION("GOOGLETRANSLATE(C163, ""en"", ""hi"")"),"ए) दीपा कर्माकर, बी) सचिन तेंदुलकर, सी) अभिनव बिंद्रा, डी) मैरी कॉम")</f>
        <v>ए) दीपा कर्माकर, बी) सचिन तेंदुलकर, सी) अभिनव बिंद्रा, डी) मैरी कॉम</v>
      </c>
      <c r="I163" s="5" t="str">
        <f>IFERROR(__xludf.DUMMYFUNCTION("GOOGLETRANSLATE(D163, ""en"", ""hi"")"),"A) दीपा करमाकर")</f>
        <v>A) दीपा करमाकर</v>
      </c>
    </row>
    <row r="164" ht="22.5" customHeight="1">
      <c r="A164" s="10">
        <v>163.0</v>
      </c>
      <c r="B164" s="8" t="s">
        <v>10702</v>
      </c>
      <c r="C164" s="8" t="s">
        <v>10703</v>
      </c>
      <c r="D164" s="8" t="s">
        <v>10704</v>
      </c>
      <c r="F164" s="5" t="str">
        <f>IFERROR(__xludf.DUMMYFUNCTION("GOOGLETRANSLATE(A164, ""en"", ""hi"")"),"163")</f>
        <v>163</v>
      </c>
      <c r="G164" s="5" t="str">
        <f>IFERROR(__xludf.DUMMYFUNCTION("GOOGLETRANSLATE(B164, ""en"", ""hi"")"),"क्षैतिज पट्टी पर कलाबाजी से संबंधित पारंपरिक भारतीय खेल कौन सा है?")</f>
        <v>क्षैतिज पट्टी पर कलाबाजी से संबंधित पारंपरिक भारतीय खेल कौन सा है?</v>
      </c>
      <c r="H164" s="5" t="str">
        <f>IFERROR(__xludf.DUMMYFUNCTION("GOOGLETRANSLATE(C164, ""en"", ""hi"")"),"ए) मलखंब, बी) जिम्नास्टिक, सी) कलारीपयट्टू, डी) योग")</f>
        <v>ए) मलखंब, बी) जिम्नास्टिक, सी) कलारीपयट्टू, डी) योग</v>
      </c>
      <c r="I164" s="5" t="str">
        <f>IFERROR(__xludf.DUMMYFUNCTION("GOOGLETRANSLATE(D164, ""en"", ""hi"")"),"A) मलखम्ब")</f>
        <v>A) मलखम्ब</v>
      </c>
    </row>
    <row r="165" ht="22.5" customHeight="1">
      <c r="A165" s="10">
        <v>164.0</v>
      </c>
      <c r="B165" s="8" t="s">
        <v>10705</v>
      </c>
      <c r="C165" s="8" t="s">
        <v>10673</v>
      </c>
      <c r="D165" s="8" t="s">
        <v>4164</v>
      </c>
      <c r="F165" s="5" t="str">
        <f>IFERROR(__xludf.DUMMYFUNCTION("GOOGLETRANSLATE(A165, ""en"", ""hi"")"),"164")</f>
        <v>164</v>
      </c>
      <c r="G165" s="5" t="str">
        <f>IFERROR(__xludf.DUMMYFUNCTION("GOOGLETRANSLATE(B165, ""en"", ""hi"")"),"मलखम्ब के विकास में किस भारतीय राजा ने महत्वपूर्ण योगदान दिया?")</f>
        <v>मलखम्ब के विकास में किस भारतीय राजा ने महत्वपूर्ण योगदान दिया?</v>
      </c>
      <c r="H165" s="5" t="str">
        <f>IFERROR(__xludf.DUMMYFUNCTION("GOOGLETRANSLATE(C165, ""en"", ""hi"")"),"ए) शिवाजी महाराज, बी) अकबर, सी) चंद्रगुप्त मौर्य, डी) राणा प्रताप")</f>
        <v>ए) शिवाजी महाराज, बी) अकबर, सी) चंद्रगुप्त मौर्य, डी) राणा प्रताप</v>
      </c>
      <c r="I165" s="5" t="str">
        <f>IFERROR(__xludf.DUMMYFUNCTION("GOOGLETRANSLATE(D165, ""en"", ""hi"")"),"A) शिवाजी महाराज")</f>
        <v>A) शिवाजी महाराज</v>
      </c>
    </row>
    <row r="166" ht="22.5" customHeight="1">
      <c r="A166" s="10">
        <v>165.0</v>
      </c>
      <c r="B166" s="8" t="s">
        <v>10706</v>
      </c>
      <c r="C166" s="8" t="s">
        <v>10475</v>
      </c>
      <c r="D166" s="8" t="s">
        <v>10476</v>
      </c>
      <c r="F166" s="5" t="str">
        <f>IFERROR(__xludf.DUMMYFUNCTION("GOOGLETRANSLATE(A166, ""en"", ""hi"")"),"165")</f>
        <v>165</v>
      </c>
      <c r="G166" s="5" t="str">
        <f>IFERROR(__xludf.DUMMYFUNCTION("GOOGLETRANSLATE(B166, ""en"", ""hi"")"),"पारंपरिक मलखम्ब प्रदर्शन अक्सर किस त्यौहार में किया जाता है?")</f>
        <v>पारंपरिक मलखम्ब प्रदर्शन अक्सर किस त्यौहार में किया जाता है?</v>
      </c>
      <c r="H166" s="5" t="str">
        <f>IFERROR(__xludf.DUMMYFUNCTION("GOOGLETRANSLATE(C166, ""en"", ""hi"")"),"ए) गणेश चतुर्थी, बी) दिवाली, सी) होली, डी) पोंगल")</f>
        <v>ए) गणेश चतुर्थी, बी) दिवाली, सी) होली, डी) पोंगल</v>
      </c>
      <c r="I166" s="5" t="str">
        <f>IFERROR(__xludf.DUMMYFUNCTION("GOOGLETRANSLATE(D166, ""en"", ""hi"")"),"A) गणेश चतुर्थी")</f>
        <v>A) गणेश चतुर्थी</v>
      </c>
    </row>
    <row r="167" ht="22.5" customHeight="1">
      <c r="A167" s="10">
        <v>166.0</v>
      </c>
      <c r="B167" s="8" t="s">
        <v>10663</v>
      </c>
      <c r="C167" s="8" t="s">
        <v>10456</v>
      </c>
      <c r="D167" s="8" t="s">
        <v>10457</v>
      </c>
      <c r="F167" s="5" t="str">
        <f>IFERROR(__xludf.DUMMYFUNCTION("GOOGLETRANSLATE(A167, ""en"", ""hi"")"),"166")</f>
        <v>166</v>
      </c>
      <c r="G167" s="5" t="str">
        <f>IFERROR(__xludf.DUMMYFUNCTION("GOOGLETRANSLATE(B167, ""en"", ""hi"")"),"मलखंभ पोल की पारंपरिक ऊंचाई कितनी है?")</f>
        <v>मलखंभ पोल की पारंपरिक ऊंचाई कितनी है?</v>
      </c>
      <c r="H167" s="5" t="str">
        <f>IFERROR(__xludf.DUMMYFUNCTION("GOOGLETRANSLATE(C167, ""en"", ""hi"")"),"A) 10 फीट, B) 12 फीट, C) 15 फीट, D) 20 फीट")</f>
        <v>A) 10 फीट, B) 12 फीट, C) 15 फीट, D) 20 फीट</v>
      </c>
      <c r="I167" s="5" t="str">
        <f>IFERROR(__xludf.DUMMYFUNCTION("GOOGLETRANSLATE(D167, ""en"", ""hi"")"),"सी) 15 फीट")</f>
        <v>सी) 15 फीट</v>
      </c>
    </row>
    <row r="168" ht="22.5" customHeight="1">
      <c r="A168" s="10">
        <v>167.0</v>
      </c>
      <c r="B168" s="8" t="s">
        <v>10670</v>
      </c>
      <c r="C168" s="8" t="s">
        <v>10478</v>
      </c>
      <c r="D168" s="8" t="s">
        <v>10479</v>
      </c>
      <c r="F168" s="5" t="str">
        <f>IFERROR(__xludf.DUMMYFUNCTION("GOOGLETRANSLATE(A168, ""en"", ""hi"")"),"167")</f>
        <v>167</v>
      </c>
      <c r="G168" s="5" t="str">
        <f>IFERROR(__xludf.DUMMYFUNCTION("GOOGLETRANSLATE(B168, ""en"", ""hi"")"),"मलखम्ब अभ्यास में पारंपरिक रूप से किस प्रकार के डंडे का उपयोग किया जाता है?")</f>
        <v>मलखम्ब अभ्यास में पारंपरिक रूप से किस प्रकार के डंडे का उपयोग किया जाता है?</v>
      </c>
      <c r="H168" s="5" t="str">
        <f>IFERROR(__xludf.DUMMYFUNCTION("GOOGLETRANSLATE(C168, ""en"", ""hi"")"),"A) धातु, B) प्लास्टिक, C) लकड़ी, D) बांस")</f>
        <v>A) धातु, B) प्लास्टिक, C) लकड़ी, D) बांस</v>
      </c>
      <c r="I168" s="5" t="str">
        <f>IFERROR(__xludf.DUMMYFUNCTION("GOOGLETRANSLATE(D168, ""en"", ""hi"")"),"C) लकड़ी")</f>
        <v>C) लकड़ी</v>
      </c>
    </row>
    <row r="169" ht="22.5" customHeight="1">
      <c r="A169" s="10">
        <v>168.0</v>
      </c>
      <c r="B169" s="8" t="s">
        <v>10707</v>
      </c>
      <c r="C169" s="8" t="s">
        <v>10541</v>
      </c>
      <c r="D169" s="8" t="s">
        <v>10542</v>
      </c>
      <c r="F169" s="5" t="str">
        <f>IFERROR(__xludf.DUMMYFUNCTION("GOOGLETRANSLATE(A169, ""en"", ""hi"")"),"168")</f>
        <v>168</v>
      </c>
      <c r="G169" s="5" t="str">
        <f>IFERROR(__xludf.DUMMYFUNCTION("GOOGLETRANSLATE(B169, ""en"", ""hi"")"),"किस प्रकार की मलखम्ब तकनीक में क्षैतिज बीम पर प्रदर्शन किया जाता है?")</f>
        <v>किस प्रकार की मलखम्ब तकनीक में क्षैतिज बीम पर प्रदर्शन किया जाता है?</v>
      </c>
      <c r="H169" s="5" t="str">
        <f>IFERROR(__xludf.DUMMYFUNCTION("GOOGLETRANSLATE(C169, ""en"", ""hi"")"),"ए) क्षैतिज मलखंब, बी) एरियल मलखंब, सी) पोल मलखंब, डी) रस्सी मलखंब")</f>
        <v>ए) क्षैतिज मलखंब, बी) एरियल मलखंब, सी) पोल मलखंब, डी) रस्सी मलखंब</v>
      </c>
      <c r="I169" s="5" t="str">
        <f>IFERROR(__xludf.DUMMYFUNCTION("GOOGLETRANSLATE(D169, ""en"", ""hi"")"),"A) क्षैतिज मलखम्ब")</f>
        <v>A) क्षैतिज मलखम्ब</v>
      </c>
    </row>
    <row r="170" ht="22.5" customHeight="1">
      <c r="A170" s="10">
        <v>169.0</v>
      </c>
      <c r="B170" s="8" t="s">
        <v>10708</v>
      </c>
      <c r="C170" s="8" t="s">
        <v>10662</v>
      </c>
      <c r="D170" s="8" t="s">
        <v>10635</v>
      </c>
      <c r="F170" s="5" t="str">
        <f>IFERROR(__xludf.DUMMYFUNCTION("GOOGLETRANSLATE(A170, ""en"", ""hi"")"),"169")</f>
        <v>169</v>
      </c>
      <c r="G170" s="5" t="str">
        <f>IFERROR(__xludf.DUMMYFUNCTION("GOOGLETRANSLATE(B170, ""en"", ""hi"")"),"कौन सा राजवंश मलखम्ब के प्रारंभिक स्वरूप में अपने योगदान के लिए जाना जाता है?")</f>
        <v>कौन सा राजवंश मलखम्ब के प्रारंभिक स्वरूप में अपने योगदान के लिए जाना जाता है?</v>
      </c>
      <c r="H170" s="5" t="str">
        <f>IFERROR(__xludf.DUMMYFUNCTION("GOOGLETRANSLATE(C170, ""en"", ""hi"")"),"A) मराठा वंश, B) गुप्त वंश, C) मुगल वंश, D) चोल वंश")</f>
        <v>A) मराठा वंश, B) गुप्त वंश, C) मुगल वंश, D) चोल वंश</v>
      </c>
      <c r="I170" s="5" t="str">
        <f>IFERROR(__xludf.DUMMYFUNCTION("GOOGLETRANSLATE(D170, ""en"", ""hi"")"),"A) मराठा राजवंश")</f>
        <v>A) मराठा राजवंश</v>
      </c>
    </row>
    <row r="171" ht="22.5" customHeight="1">
      <c r="A171" s="10">
        <v>170.0</v>
      </c>
      <c r="B171" s="8" t="s">
        <v>10664</v>
      </c>
      <c r="C171" s="8" t="s">
        <v>10665</v>
      </c>
      <c r="D171" s="8" t="s">
        <v>10508</v>
      </c>
      <c r="F171" s="5" t="str">
        <f>IFERROR(__xludf.DUMMYFUNCTION("GOOGLETRANSLATE(A171, ""en"", ""hi"")"),"170")</f>
        <v>170</v>
      </c>
      <c r="G171" s="5" t="str">
        <f>IFERROR(__xludf.DUMMYFUNCTION("GOOGLETRANSLATE(B171, ""en"", ""hi"")"),"आधुनिक समय में मलखम्ब का प्राथमिक उपयोग क्या है?")</f>
        <v>आधुनिक समय में मलखम्ब का प्राथमिक उपयोग क्या है?</v>
      </c>
      <c r="H171" s="5" t="str">
        <f>IFERROR(__xludf.DUMMYFUNCTION("GOOGLETRANSLATE(C171, ""en"", ""hi"")"),"A) प्रतिस्पर्धी खेल, B) शारीरिक शिक्षा, C) पारंपरिक अनुष्ठान, D) मनोरंजन")</f>
        <v>A) प्रतिस्पर्धी खेल, B) शारीरिक शिक्षा, C) पारंपरिक अनुष्ठान, D) मनोरंजन</v>
      </c>
      <c r="I171" s="5" t="str">
        <f>IFERROR(__xludf.DUMMYFUNCTION("GOOGLETRANSLATE(D171, ""en"", ""hi"")"),"बी) शारीरिक शिक्षा")</f>
        <v>बी) शारीरिक शिक्षा</v>
      </c>
    </row>
    <row r="172" ht="22.5" customHeight="1">
      <c r="A172" s="10">
        <v>171.0</v>
      </c>
      <c r="B172" s="8" t="s">
        <v>10709</v>
      </c>
      <c r="C172" s="8" t="s">
        <v>10689</v>
      </c>
      <c r="D172" s="8" t="s">
        <v>10690</v>
      </c>
      <c r="F172" s="5" t="str">
        <f>IFERROR(__xludf.DUMMYFUNCTION("GOOGLETRANSLATE(A172, ""en"", ""hi"")"),"171")</f>
        <v>171</v>
      </c>
      <c r="G172" s="5" t="str">
        <f>IFERROR(__xludf.DUMMYFUNCTION("GOOGLETRANSLATE(B172, ""en"", ""hi"")"),"पारंपरिक मलखम्ब प्रशिक्षण का मुख्य उद्देश्य क्या है?")</f>
        <v>पारंपरिक मलखम्ब प्रशिक्षण का मुख्य उद्देश्य क्या है?</v>
      </c>
      <c r="H172" s="5" t="str">
        <f>IFERROR(__xludf.DUMMYFUNCTION("GOOGLETRANSLATE(C172, ""en"", ""hi"")"),"A) शक्ति और चपलता, B) युद्ध तत्परता, C) लचीलापन, D) समन्वय")</f>
        <v>A) शक्ति और चपलता, B) युद्ध तत्परता, C) लचीलापन, D) समन्वय</v>
      </c>
      <c r="I172" s="5" t="str">
        <f>IFERROR(__xludf.DUMMYFUNCTION("GOOGLETRANSLATE(D172, ""en"", ""hi"")"),"A) शक्ति और चपलता")</f>
        <v>A) शक्ति और चपलता</v>
      </c>
    </row>
    <row r="173" ht="22.5" customHeight="1">
      <c r="A173" s="10">
        <v>172.0</v>
      </c>
      <c r="B173" s="8" t="s">
        <v>10710</v>
      </c>
      <c r="C173" s="8" t="s">
        <v>10673</v>
      </c>
      <c r="D173" s="8" t="s">
        <v>4164</v>
      </c>
      <c r="F173" s="5" t="str">
        <f>IFERROR(__xludf.DUMMYFUNCTION("GOOGLETRANSLATE(A173, ""en"", ""hi"")"),"172")</f>
        <v>172</v>
      </c>
      <c r="G173" s="5" t="str">
        <f>IFERROR(__xludf.DUMMYFUNCTION("GOOGLETRANSLATE(B173, ""en"", ""hi"")"),"किस ऐतिहासिक राजा को सैन्य प्रशिक्षण में मलखम्ब को शामिल करने के लिए जाना जाता है?")</f>
        <v>किस ऐतिहासिक राजा को सैन्य प्रशिक्षण में मलखम्ब को शामिल करने के लिए जाना जाता है?</v>
      </c>
      <c r="H173" s="5" t="str">
        <f>IFERROR(__xludf.DUMMYFUNCTION("GOOGLETRANSLATE(C173, ""en"", ""hi"")"),"ए) शिवाजी महाराज, बी) अकबर, सी) चंद्रगुप्त मौर्य, डी) राणा प्रताप")</f>
        <v>ए) शिवाजी महाराज, बी) अकबर, सी) चंद्रगुप्त मौर्य, डी) राणा प्रताप</v>
      </c>
      <c r="I173" s="5" t="str">
        <f>IFERROR(__xludf.DUMMYFUNCTION("GOOGLETRANSLATE(D173, ""en"", ""hi"")"),"A) शिवाजी महाराज")</f>
        <v>A) शिवाजी महाराज</v>
      </c>
    </row>
    <row r="174" ht="22.5" customHeight="1">
      <c r="A174" s="10">
        <v>173.0</v>
      </c>
      <c r="B174" s="8" t="s">
        <v>10711</v>
      </c>
      <c r="C174" s="8" t="s">
        <v>10512</v>
      </c>
      <c r="D174" s="8" t="s">
        <v>10513</v>
      </c>
      <c r="F174" s="5" t="str">
        <f>IFERROR(__xludf.DUMMYFUNCTION("GOOGLETRANSLATE(A174, ""en"", ""hi"")"),"173")</f>
        <v>173</v>
      </c>
      <c r="G174" s="5" t="str">
        <f>IFERROR(__xludf.DUMMYFUNCTION("GOOGLETRANSLATE(B174, ""en"", ""hi"")"),"किस प्रकार की मलखम्ब तकनीक में रस्सी से लटककर गतिविधियां की जाती हैं?")</f>
        <v>किस प्रकार की मलखम्ब तकनीक में रस्सी से लटककर गतिविधियां की जाती हैं?</v>
      </c>
      <c r="H174" s="5" t="str">
        <f>IFERROR(__xludf.DUMMYFUNCTION("GOOGLETRANSLATE(C174, ""en"", ""hi"")"),"A) रस्सी चढ़ना, B) हवाई मलखम्ब, C) रस्सी कलाबाजी, D) रस्सी दिनचर्या")</f>
        <v>A) रस्सी चढ़ना, B) हवाई मलखम्ब, C) रस्सी कलाबाजी, D) रस्सी दिनचर्या</v>
      </c>
      <c r="I174" s="5" t="str">
        <f>IFERROR(__xludf.DUMMYFUNCTION("GOOGLETRANSLATE(D174, ""en"", ""hi"")"),"बी) हवाई मलखंभ")</f>
        <v>बी) हवाई मलखंभ</v>
      </c>
    </row>
    <row r="175" ht="22.5" customHeight="1">
      <c r="A175" s="10">
        <v>174.0</v>
      </c>
      <c r="B175" s="8" t="s">
        <v>10712</v>
      </c>
      <c r="C175" s="8" t="s">
        <v>10510</v>
      </c>
      <c r="D175" s="8" t="s">
        <v>4164</v>
      </c>
      <c r="F175" s="5" t="str">
        <f>IFERROR(__xludf.DUMMYFUNCTION("GOOGLETRANSLATE(A175, ""en"", ""hi"")"),"174")</f>
        <v>174</v>
      </c>
      <c r="G175" s="5" t="str">
        <f>IFERROR(__xludf.DUMMYFUNCTION("GOOGLETRANSLATE(B175, ""en"", ""hi"")"),"मलखम्ब को लोकप्रिय बनाने का श्रेय किस राजा को दिया जाता है?")</f>
        <v>मलखम्ब को लोकप्रिय बनाने का श्रेय किस राजा को दिया जाता है?</v>
      </c>
      <c r="H175" s="5" t="str">
        <f>IFERROR(__xludf.DUMMYFUNCTION("GOOGLETRANSLATE(C175, ""en"", ""hi"")"),"ए) शिवाजी महाराज, बी) अकबर, सी) औरंगजेब, डी) राणा प्रताप")</f>
        <v>ए) शिवाजी महाराज, बी) अकबर, सी) औरंगजेब, डी) राणा प्रताप</v>
      </c>
      <c r="I175" s="5" t="str">
        <f>IFERROR(__xludf.DUMMYFUNCTION("GOOGLETRANSLATE(D175, ""en"", ""hi"")"),"A) शिवाजी महाराज")</f>
        <v>A) शिवाजी महाराज</v>
      </c>
    </row>
    <row r="176" ht="22.5" customHeight="1">
      <c r="A176" s="10">
        <v>175.0</v>
      </c>
      <c r="B176" s="8" t="s">
        <v>10713</v>
      </c>
      <c r="C176" s="8" t="s">
        <v>10475</v>
      </c>
      <c r="D176" s="8" t="s">
        <v>10476</v>
      </c>
      <c r="F176" s="5" t="str">
        <f>IFERROR(__xludf.DUMMYFUNCTION("GOOGLETRANSLATE(A176, ""en"", ""hi"")"),"175")</f>
        <v>175</v>
      </c>
      <c r="G176" s="5" t="str">
        <f>IFERROR(__xludf.DUMMYFUNCTION("GOOGLETRANSLATE(B176, ""en"", ""hi"")"),"मलखंभ प्रदर्शन वाले पारंपरिक भारतीय त्योहार का नाम क्या है?")</f>
        <v>मलखंभ प्रदर्शन वाले पारंपरिक भारतीय त्योहार का नाम क्या है?</v>
      </c>
      <c r="H176" s="5" t="str">
        <f>IFERROR(__xludf.DUMMYFUNCTION("GOOGLETRANSLATE(C176, ""en"", ""hi"")"),"ए) गणेश चतुर्थी, बी) दिवाली, सी) होली, डी) पोंगल")</f>
        <v>ए) गणेश चतुर्थी, बी) दिवाली, सी) होली, डी) पोंगल</v>
      </c>
      <c r="I176" s="5" t="str">
        <f>IFERROR(__xludf.DUMMYFUNCTION("GOOGLETRANSLATE(D176, ""en"", ""hi"")"),"A) गणेश चतुर्थी")</f>
        <v>A) गणेश चतुर्थी</v>
      </c>
    </row>
    <row r="177" ht="22.5" customHeight="1">
      <c r="A177" s="10">
        <v>176.0</v>
      </c>
      <c r="B177" s="8" t="s">
        <v>10534</v>
      </c>
      <c r="C177" s="8" t="s">
        <v>10456</v>
      </c>
      <c r="D177" s="8" t="s">
        <v>10457</v>
      </c>
      <c r="F177" s="5" t="str">
        <f>IFERROR(__xludf.DUMMYFUNCTION("GOOGLETRANSLATE(A177, ""en"", ""hi"")"),"176")</f>
        <v>176</v>
      </c>
      <c r="G177" s="5" t="str">
        <f>IFERROR(__xludf.DUMMYFUNCTION("GOOGLETRANSLATE(B177, ""en"", ""hi"")"),"प्रतियोगिताओं में प्रयुक्त मलखम्ब पोल की पारंपरिक ऊंचाई कितनी है?")</f>
        <v>प्रतियोगिताओं में प्रयुक्त मलखम्ब पोल की पारंपरिक ऊंचाई कितनी है?</v>
      </c>
      <c r="H177" s="5" t="str">
        <f>IFERROR(__xludf.DUMMYFUNCTION("GOOGLETRANSLATE(C177, ""en"", ""hi"")"),"A) 10 फीट, B) 12 फीट, C) 15 फीट, D) 20 फीट")</f>
        <v>A) 10 फीट, B) 12 फीट, C) 15 फीट, D) 20 फीट</v>
      </c>
      <c r="I177" s="5" t="str">
        <f>IFERROR(__xludf.DUMMYFUNCTION("GOOGLETRANSLATE(D177, ""en"", ""hi"")"),"सी) 15 फीट")</f>
        <v>सी) 15 फीट</v>
      </c>
    </row>
    <row r="178" ht="22.5" customHeight="1">
      <c r="A178" s="10">
        <v>177.0</v>
      </c>
      <c r="B178" s="8" t="s">
        <v>10700</v>
      </c>
      <c r="C178" s="8" t="s">
        <v>10517</v>
      </c>
      <c r="D178" s="8" t="s">
        <v>3012</v>
      </c>
      <c r="F178" s="5" t="str">
        <f>IFERROR(__xludf.DUMMYFUNCTION("GOOGLETRANSLATE(A178, ""en"", ""hi"")"),"177")</f>
        <v>177</v>
      </c>
      <c r="G178" s="5" t="str">
        <f>IFERROR(__xludf.DUMMYFUNCTION("GOOGLETRANSLATE(B178, ""en"", ""hi"")"),"मलखम्ब प्रशिक्षण का प्राथमिक फोकस क्या है?")</f>
        <v>मलखम्ब प्रशिक्षण का प्राथमिक फोकस क्या है?</v>
      </c>
      <c r="H178" s="5" t="str">
        <f>IFERROR(__xludf.DUMMYFUNCTION("GOOGLETRANSLATE(C178, ""en"", ""hi"")"),"A) ताकत, B) लचीलापन, C) गति, D) समन्वय")</f>
        <v>A) ताकत, B) लचीलापन, C) गति, D) समन्वय</v>
      </c>
      <c r="I178" s="5" t="str">
        <f>IFERROR(__xludf.DUMMYFUNCTION("GOOGLETRANSLATE(D178, ""en"", ""hi"")"),"ए) ताकत")</f>
        <v>ए) ताकत</v>
      </c>
    </row>
    <row r="179" ht="22.5" customHeight="1">
      <c r="A179" s="10">
        <v>178.0</v>
      </c>
      <c r="B179" s="8" t="s">
        <v>10697</v>
      </c>
      <c r="C179" s="8" t="s">
        <v>10541</v>
      </c>
      <c r="D179" s="8" t="s">
        <v>10542</v>
      </c>
      <c r="F179" s="5" t="str">
        <f>IFERROR(__xludf.DUMMYFUNCTION("GOOGLETRANSLATE(A179, ""en"", ""hi"")"),"178")</f>
        <v>178</v>
      </c>
      <c r="G179" s="5" t="str">
        <f>IFERROR(__xludf.DUMMYFUNCTION("GOOGLETRANSLATE(B179, ""en"", ""hi"")"),"किस प्रकार की मलखम्ब तकनीक में क्षैतिज पट्टी पर गतिविधियां शामिल होती हैं?")</f>
        <v>किस प्रकार की मलखम्ब तकनीक में क्षैतिज पट्टी पर गतिविधियां शामिल होती हैं?</v>
      </c>
      <c r="H179" s="5" t="str">
        <f>IFERROR(__xludf.DUMMYFUNCTION("GOOGLETRANSLATE(C179, ""en"", ""hi"")"),"ए) क्षैतिज मलखंब, बी) एरियल मलखंब, सी) पोल मलखंब, डी) रस्सी मलखंब")</f>
        <v>ए) क्षैतिज मलखंब, बी) एरियल मलखंब, सी) पोल मलखंब, डी) रस्सी मलखंब</v>
      </c>
      <c r="I179" s="5" t="str">
        <f>IFERROR(__xludf.DUMMYFUNCTION("GOOGLETRANSLATE(D179, ""en"", ""hi"")"),"A) क्षैतिज मलखम्ब")</f>
        <v>A) क्षैतिज मलखम्ब</v>
      </c>
    </row>
    <row r="180" ht="22.5" customHeight="1">
      <c r="A180" s="10">
        <v>179.0</v>
      </c>
      <c r="B180" s="8" t="s">
        <v>10672</v>
      </c>
      <c r="C180" s="8" t="s">
        <v>10673</v>
      </c>
      <c r="D180" s="8" t="s">
        <v>4164</v>
      </c>
      <c r="F180" s="5" t="str">
        <f>IFERROR(__xludf.DUMMYFUNCTION("GOOGLETRANSLATE(A180, ""en"", ""hi"")"),"179")</f>
        <v>179</v>
      </c>
      <c r="G180" s="5" t="str">
        <f>IFERROR(__xludf.DUMMYFUNCTION("GOOGLETRANSLATE(B180, ""en"", ""hi"")"),"किस भारतीय राजा को सैन्य प्रशिक्षण में मलखम्ब को शामिल करने के लिए जाना जाता है?")</f>
        <v>किस भारतीय राजा को सैन्य प्रशिक्षण में मलखम्ब को शामिल करने के लिए जाना जाता है?</v>
      </c>
      <c r="H180" s="5" t="str">
        <f>IFERROR(__xludf.DUMMYFUNCTION("GOOGLETRANSLATE(C180, ""en"", ""hi"")"),"ए) शिवाजी महाराज, बी) अकबर, सी) चंद्रगुप्त मौर्य, डी) राणा प्रताप")</f>
        <v>ए) शिवाजी महाराज, बी) अकबर, सी) चंद्रगुप्त मौर्य, डी) राणा प्रताप</v>
      </c>
      <c r="I180" s="5" t="str">
        <f>IFERROR(__xludf.DUMMYFUNCTION("GOOGLETRANSLATE(D180, ""en"", ""hi"")"),"A) शिवाजी महाराज")</f>
        <v>A) शिवाजी महाराज</v>
      </c>
    </row>
    <row r="181" ht="22.5" customHeight="1">
      <c r="A181" s="10">
        <v>180.0</v>
      </c>
      <c r="B181" s="8" t="s">
        <v>10714</v>
      </c>
      <c r="C181" s="8" t="s">
        <v>10680</v>
      </c>
      <c r="D181" s="8" t="s">
        <v>10681</v>
      </c>
      <c r="F181" s="5" t="str">
        <f>IFERROR(__xludf.DUMMYFUNCTION("GOOGLETRANSLATE(A181, ""en"", ""hi"")"),"180")</f>
        <v>180</v>
      </c>
      <c r="G181" s="5" t="str">
        <f>IFERROR(__xludf.DUMMYFUNCTION("GOOGLETRANSLATE(B181, ""en"", ""hi"")"),"कौन सा ऐतिहासिक व्यक्ति मलखम्ब में अपनी विशेषज्ञता के लिए जाना जाता है?")</f>
        <v>कौन सा ऐतिहासिक व्यक्ति मलखम्ब में अपनी विशेषज्ञता के लिए जाना जाता है?</v>
      </c>
      <c r="H181" s="5" t="str">
        <f>IFERROR(__xludf.DUMMYFUNCTION("GOOGLETRANSLATE(C181, ""en"", ""hi"")"),"ए) दीपा कर्माकर, बी) सचिन तेंदुलकर, सी) अभिनव बिंद्रा, डी) मैरी कॉम")</f>
        <v>ए) दीपा कर्माकर, बी) सचिन तेंदुलकर, सी) अभिनव बिंद्रा, डी) मैरी कॉम</v>
      </c>
      <c r="I181" s="5" t="str">
        <f>IFERROR(__xludf.DUMMYFUNCTION("GOOGLETRANSLATE(D181, ""en"", ""hi"")"),"A) दीपा करमाकर")</f>
        <v>A) दीपा करमाकर</v>
      </c>
    </row>
    <row r="182" ht="22.5" customHeight="1">
      <c r="A182" s="10">
        <v>181.0</v>
      </c>
      <c r="B182" s="8" t="s">
        <v>10715</v>
      </c>
      <c r="C182" s="8" t="s">
        <v>10512</v>
      </c>
      <c r="D182" s="8" t="s">
        <v>10513</v>
      </c>
      <c r="F182" s="5" t="str">
        <f>IFERROR(__xludf.DUMMYFUNCTION("GOOGLETRANSLATE(A182, ""en"", ""hi"")"),"181")</f>
        <v>181</v>
      </c>
      <c r="G182" s="5" t="str">
        <f>IFERROR(__xludf.DUMMYFUNCTION("GOOGLETRANSLATE(B182, ""en"", ""hi"")"),"मलखम्ब तकनीक का क्या नाम है जिसमें खिलाड़ी रस्सी से लटककर प्रदर्शन करता है?")</f>
        <v>मलखम्ब तकनीक का क्या नाम है जिसमें खिलाड़ी रस्सी से लटककर प्रदर्शन करता है?</v>
      </c>
      <c r="H182" s="5" t="str">
        <f>IFERROR(__xludf.DUMMYFUNCTION("GOOGLETRANSLATE(C182, ""en"", ""hi"")"),"A) रस्सी चढ़ना, B) हवाई मलखम्ब, C) रस्सी कलाबाजी, D) रस्सी दिनचर्या")</f>
        <v>A) रस्सी चढ़ना, B) हवाई मलखम्ब, C) रस्सी कलाबाजी, D) रस्सी दिनचर्या</v>
      </c>
      <c r="I182" s="5" t="str">
        <f>IFERROR(__xludf.DUMMYFUNCTION("GOOGLETRANSLATE(D182, ""en"", ""hi"")"),"बी) हवाई मलखंभ")</f>
        <v>बी) हवाई मलखंभ</v>
      </c>
    </row>
    <row r="183" ht="22.5" customHeight="1">
      <c r="A183" s="10">
        <v>182.0</v>
      </c>
      <c r="B183" s="8" t="s">
        <v>10632</v>
      </c>
      <c r="C183" s="8" t="s">
        <v>2493</v>
      </c>
      <c r="D183" s="8" t="s">
        <v>549</v>
      </c>
      <c r="F183" s="5" t="str">
        <f>IFERROR(__xludf.DUMMYFUNCTION("GOOGLETRANSLATE(A183, ""en"", ""hi"")"),"182")</f>
        <v>182</v>
      </c>
      <c r="G183" s="5" t="str">
        <f>IFERROR(__xludf.DUMMYFUNCTION("GOOGLETRANSLATE(B183, ""en"", ""hi"")"),"अखिल भारतीय मलखम्ब महासंघ की स्थापना किस भारतीय शहर में की गई थी?")</f>
        <v>अखिल भारतीय मलखम्ब महासंघ की स्थापना किस भारतीय शहर में की गई थी?</v>
      </c>
      <c r="H183" s="5" t="str">
        <f>IFERROR(__xludf.DUMMYFUNCTION("GOOGLETRANSLATE(C183, ""en"", ""hi"")"),"A) मुंबई, B) पुणे, C) दिल्ली, D) बैंगलोर")</f>
        <v>A) मुंबई, B) पुणे, C) दिल्ली, D) बैंगलोर</v>
      </c>
      <c r="I183" s="5" t="str">
        <f>IFERROR(__xludf.DUMMYFUNCTION("GOOGLETRANSLATE(D183, ""en"", ""hi"")"),"ए) मुंबई")</f>
        <v>ए) मुंबई</v>
      </c>
    </row>
    <row r="184" ht="22.5" customHeight="1">
      <c r="A184" s="10">
        <v>183.0</v>
      </c>
      <c r="B184" s="8" t="s">
        <v>10675</v>
      </c>
      <c r="C184" s="8" t="s">
        <v>10676</v>
      </c>
      <c r="D184" s="8" t="s">
        <v>3365</v>
      </c>
      <c r="F184" s="5" t="str">
        <f>IFERROR(__xludf.DUMMYFUNCTION("GOOGLETRANSLATE(A184, ""en"", ""hi"")"),"183")</f>
        <v>183</v>
      </c>
      <c r="G184" s="5" t="str">
        <f>IFERROR(__xludf.DUMMYFUNCTION("GOOGLETRANSLATE(B184, ""en"", ""hi"")"),"कौन सा क्लासिक भारतीय ग्रंथ मलखंभ के समान प्रारंभिक शारीरिक प्रशिक्षण तकनीकों का वर्णन करता है?")</f>
        <v>कौन सा क्लासिक भारतीय ग्रंथ मलखंभ के समान प्रारंभिक शारीरिक प्रशिक्षण तकनीकों का वर्णन करता है?</v>
      </c>
      <c r="H184" s="5" t="str">
        <f>IFERROR(__xludf.DUMMYFUNCTION("GOOGLETRANSLATE(C184, ""en"", ""hi"")"),"ए) मनुस्मृति, बी) योग सूत्र, सी) अर्थशास्त्र, डी) रामायण")</f>
        <v>ए) मनुस्मृति, बी) योग सूत्र, सी) अर्थशास्त्र, डी) रामायण</v>
      </c>
      <c r="I184" s="5" t="str">
        <f>IFERROR(__xludf.DUMMYFUNCTION("GOOGLETRANSLATE(D184, ""en"", ""hi"")"),"C) अर्थशास्त्र")</f>
        <v>C) अर्थशास्त्र</v>
      </c>
    </row>
    <row r="185" ht="22.5" customHeight="1">
      <c r="A185" s="10">
        <v>184.0</v>
      </c>
      <c r="B185" s="8" t="s">
        <v>10515</v>
      </c>
      <c r="C185" s="8" t="s">
        <v>10456</v>
      </c>
      <c r="D185" s="8" t="s">
        <v>10457</v>
      </c>
      <c r="F185" s="5" t="str">
        <f>IFERROR(__xludf.DUMMYFUNCTION("GOOGLETRANSLATE(A185, ""en"", ""hi"")"),"184")</f>
        <v>184</v>
      </c>
      <c r="G185" s="5" t="str">
        <f>IFERROR(__xludf.DUMMYFUNCTION("GOOGLETRANSLATE(B185, ""en"", ""hi"")"),"प्रतियोगिताओं में प्रयुक्त मलखम्ब पोल की पारंपरिक ऊंचाई कितनी है?")</f>
        <v>प्रतियोगिताओं में प्रयुक्त मलखम्ब पोल की पारंपरिक ऊंचाई कितनी है?</v>
      </c>
      <c r="H185" s="5" t="str">
        <f>IFERROR(__xludf.DUMMYFUNCTION("GOOGLETRANSLATE(C185, ""en"", ""hi"")"),"A) 10 फीट, B) 12 फीट, C) 15 फीट, D) 20 फीट")</f>
        <v>A) 10 फीट, B) 12 फीट, C) 15 फीट, D) 20 फीट</v>
      </c>
      <c r="I185" s="5" t="str">
        <f>IFERROR(__xludf.DUMMYFUNCTION("GOOGLETRANSLATE(D185, ""en"", ""hi"")"),"सी) 15 फीट")</f>
        <v>सी) 15 फीट</v>
      </c>
    </row>
    <row r="186" ht="22.5" customHeight="1">
      <c r="A186" s="10">
        <v>185.0</v>
      </c>
      <c r="B186" s="8" t="s">
        <v>10679</v>
      </c>
      <c r="C186" s="8" t="s">
        <v>10680</v>
      </c>
      <c r="D186" s="8" t="s">
        <v>10681</v>
      </c>
      <c r="F186" s="5" t="str">
        <f>IFERROR(__xludf.DUMMYFUNCTION("GOOGLETRANSLATE(A186, ""en"", ""hi"")"),"185")</f>
        <v>185</v>
      </c>
      <c r="G186" s="5" t="str">
        <f>IFERROR(__xludf.DUMMYFUNCTION("GOOGLETRANSLATE(B186, ""en"", ""hi"")"),"कौन सा आधुनिक एथलीट मलखम्ब में अपनी विशेषज्ञता के लिए जाना जाता है?")</f>
        <v>कौन सा आधुनिक एथलीट मलखम्ब में अपनी विशेषज्ञता के लिए जाना जाता है?</v>
      </c>
      <c r="H186" s="5" t="str">
        <f>IFERROR(__xludf.DUMMYFUNCTION("GOOGLETRANSLATE(C186, ""en"", ""hi"")"),"ए) दीपा कर्माकर, बी) सचिन तेंदुलकर, सी) अभिनव बिंद्रा, डी) मैरी कॉम")</f>
        <v>ए) दीपा कर्माकर, बी) सचिन तेंदुलकर, सी) अभिनव बिंद्रा, डी) मैरी कॉम</v>
      </c>
      <c r="I186" s="5" t="str">
        <f>IFERROR(__xludf.DUMMYFUNCTION("GOOGLETRANSLATE(D186, ""en"", ""hi"")"),"A) दीपा करमाकर")</f>
        <v>A) दीपा करमाकर</v>
      </c>
    </row>
    <row r="187" ht="22.5" customHeight="1">
      <c r="A187" s="10">
        <v>186.0</v>
      </c>
      <c r="B187" s="8" t="s">
        <v>10658</v>
      </c>
      <c r="C187" s="8" t="s">
        <v>10703</v>
      </c>
      <c r="D187" s="8" t="s">
        <v>10704</v>
      </c>
      <c r="F187" s="5" t="str">
        <f>IFERROR(__xludf.DUMMYFUNCTION("GOOGLETRANSLATE(A187, ""en"", ""hi"")"),"186")</f>
        <v>186</v>
      </c>
      <c r="G187" s="5" t="str">
        <f>IFERROR(__xludf.DUMMYFUNCTION("GOOGLETRANSLATE(B187, ""en"", ""hi"")"),"वह पारंपरिक भारतीय खेल कौन सा है जिसमें क्षैतिज बीम पर कलाबाजी की जाती है?")</f>
        <v>वह पारंपरिक भारतीय खेल कौन सा है जिसमें क्षैतिज बीम पर कलाबाजी की जाती है?</v>
      </c>
      <c r="H187" s="5" t="str">
        <f>IFERROR(__xludf.DUMMYFUNCTION("GOOGLETRANSLATE(C187, ""en"", ""hi"")"),"ए) मलखंब, बी) जिम्नास्टिक, सी) कलारीपयट्टू, डी) योग")</f>
        <v>ए) मलखंब, बी) जिम्नास्टिक, सी) कलारीपयट्टू, डी) योग</v>
      </c>
      <c r="I187" s="5" t="str">
        <f>IFERROR(__xludf.DUMMYFUNCTION("GOOGLETRANSLATE(D187, ""en"", ""hi"")"),"A) मलखम्ब")</f>
        <v>A) मलखम्ब</v>
      </c>
    </row>
    <row r="188" ht="22.5" customHeight="1">
      <c r="A188" s="10">
        <v>187.0</v>
      </c>
      <c r="B188" s="8" t="s">
        <v>10705</v>
      </c>
      <c r="C188" s="8" t="s">
        <v>10673</v>
      </c>
      <c r="D188" s="8" t="s">
        <v>4164</v>
      </c>
      <c r="F188" s="5" t="str">
        <f>IFERROR(__xludf.DUMMYFUNCTION("GOOGLETRANSLATE(A188, ""en"", ""hi"")"),"187")</f>
        <v>187</v>
      </c>
      <c r="G188" s="5" t="str">
        <f>IFERROR(__xludf.DUMMYFUNCTION("GOOGLETRANSLATE(B188, ""en"", ""hi"")"),"मलखम्ब के विकास में किस भारतीय राजा ने महत्वपूर्ण योगदान दिया?")</f>
        <v>मलखम्ब के विकास में किस भारतीय राजा ने महत्वपूर्ण योगदान दिया?</v>
      </c>
      <c r="H188" s="5" t="str">
        <f>IFERROR(__xludf.DUMMYFUNCTION("GOOGLETRANSLATE(C188, ""en"", ""hi"")"),"ए) शिवाजी महाराज, बी) अकबर, सी) चंद्रगुप्त मौर्य, डी) राणा प्रताप")</f>
        <v>ए) शिवाजी महाराज, बी) अकबर, सी) चंद्रगुप्त मौर्य, डी) राणा प्रताप</v>
      </c>
      <c r="I188" s="5" t="str">
        <f>IFERROR(__xludf.DUMMYFUNCTION("GOOGLETRANSLATE(D188, ""en"", ""hi"")"),"A) शिवाजी महाराज")</f>
        <v>A) शिवाजी महाराज</v>
      </c>
    </row>
    <row r="189" ht="22.5" customHeight="1">
      <c r="A189" s="10">
        <v>188.0</v>
      </c>
      <c r="B189" s="8" t="s">
        <v>10696</v>
      </c>
      <c r="C189" s="8" t="s">
        <v>10475</v>
      </c>
      <c r="D189" s="8" t="s">
        <v>10476</v>
      </c>
      <c r="F189" s="5" t="str">
        <f>IFERROR(__xludf.DUMMYFUNCTION("GOOGLETRANSLATE(A189, ""en"", ""hi"")"),"188")</f>
        <v>188</v>
      </c>
      <c r="G189" s="5" t="str">
        <f>IFERROR(__xludf.DUMMYFUNCTION("GOOGLETRANSLATE(B189, ""en"", ""hi"")"),"उस पारंपरिक भारतीय त्यौहार का नाम क्या है जहाँ मलखम्ब प्रदर्शन किया जाता है?")</f>
        <v>उस पारंपरिक भारतीय त्यौहार का नाम क्या है जहाँ मलखम्ब प्रदर्शन किया जाता है?</v>
      </c>
      <c r="H189" s="5" t="str">
        <f>IFERROR(__xludf.DUMMYFUNCTION("GOOGLETRANSLATE(C189, ""en"", ""hi"")"),"ए) गणेश चतुर्थी, बी) दिवाली, सी) होली, डी) पोंगल")</f>
        <v>ए) गणेश चतुर्थी, बी) दिवाली, सी) होली, डी) पोंगल</v>
      </c>
      <c r="I189" s="5" t="str">
        <f>IFERROR(__xludf.DUMMYFUNCTION("GOOGLETRANSLATE(D189, ""en"", ""hi"")"),"A) गणेश चतुर्थी")</f>
        <v>A) गणेश चतुर्थी</v>
      </c>
    </row>
    <row r="190" ht="22.5" customHeight="1">
      <c r="A190" s="10">
        <v>189.0</v>
      </c>
      <c r="B190" s="8" t="s">
        <v>10716</v>
      </c>
      <c r="C190" s="8" t="s">
        <v>10456</v>
      </c>
      <c r="D190" s="8" t="s">
        <v>10457</v>
      </c>
      <c r="F190" s="5" t="str">
        <f>IFERROR(__xludf.DUMMYFUNCTION("GOOGLETRANSLATE(A190, ""en"", ""hi"")"),"189")</f>
        <v>189</v>
      </c>
      <c r="G190" s="5" t="str">
        <f>IFERROR(__xludf.DUMMYFUNCTION("GOOGLETRANSLATE(B190, ""en"", ""hi"")"),"मलखम्ब पोल की पारंपरिक ऊंचाई कितनी है?")</f>
        <v>मलखम्ब पोल की पारंपरिक ऊंचाई कितनी है?</v>
      </c>
      <c r="H190" s="5" t="str">
        <f>IFERROR(__xludf.DUMMYFUNCTION("GOOGLETRANSLATE(C190, ""en"", ""hi"")"),"A) 10 फीट, B) 12 फीट, C) 15 फीट, D) 20 फीट")</f>
        <v>A) 10 फीट, B) 12 फीट, C) 15 फीट, D) 20 फीट</v>
      </c>
      <c r="I190" s="5" t="str">
        <f>IFERROR(__xludf.DUMMYFUNCTION("GOOGLETRANSLATE(D190, ""en"", ""hi"")"),"सी) 15 फीट")</f>
        <v>सी) 15 फीट</v>
      </c>
    </row>
    <row r="191" ht="22.5" customHeight="1">
      <c r="A191" s="10">
        <v>190.0</v>
      </c>
      <c r="B191" s="8" t="s">
        <v>10670</v>
      </c>
      <c r="C191" s="8" t="s">
        <v>10478</v>
      </c>
      <c r="D191" s="8" t="s">
        <v>10479</v>
      </c>
      <c r="F191" s="5" t="str">
        <f>IFERROR(__xludf.DUMMYFUNCTION("GOOGLETRANSLATE(A191, ""en"", ""hi"")"),"190")</f>
        <v>190</v>
      </c>
      <c r="G191" s="5" t="str">
        <f>IFERROR(__xludf.DUMMYFUNCTION("GOOGLETRANSLATE(B191, ""en"", ""hi"")"),"मलखम्ब अभ्यास में पारंपरिक रूप से किस प्रकार के डंडे का उपयोग किया जाता है?")</f>
        <v>मलखम्ब अभ्यास में पारंपरिक रूप से किस प्रकार के डंडे का उपयोग किया जाता है?</v>
      </c>
      <c r="H191" s="5" t="str">
        <f>IFERROR(__xludf.DUMMYFUNCTION("GOOGLETRANSLATE(C191, ""en"", ""hi"")"),"A) धातु, B) प्लास्टिक, C) लकड़ी, D) बांस")</f>
        <v>A) धातु, B) प्लास्टिक, C) लकड़ी, D) बांस</v>
      </c>
      <c r="I191" s="5" t="str">
        <f>IFERROR(__xludf.DUMMYFUNCTION("GOOGLETRANSLATE(D191, ""en"", ""hi"")"),"C) लकड़ी")</f>
        <v>C) लकड़ी</v>
      </c>
    </row>
    <row r="192" ht="22.5" customHeight="1">
      <c r="A192" s="10">
        <v>191.0</v>
      </c>
      <c r="B192" s="8" t="s">
        <v>10540</v>
      </c>
      <c r="C192" s="8" t="s">
        <v>10541</v>
      </c>
      <c r="D192" s="8" t="s">
        <v>10542</v>
      </c>
      <c r="F192" s="5" t="str">
        <f>IFERROR(__xludf.DUMMYFUNCTION("GOOGLETRANSLATE(A192, ""en"", ""hi"")"),"191")</f>
        <v>191</v>
      </c>
      <c r="G192" s="5" t="str">
        <f>IFERROR(__xludf.DUMMYFUNCTION("GOOGLETRANSLATE(B192, ""en"", ""hi"")"),"किस प्रकार की मलखम्ब तकनीक में क्षैतिज बीम पर गतिविधियां करना शामिल है?")</f>
        <v>किस प्रकार की मलखम्ब तकनीक में क्षैतिज बीम पर गतिविधियां करना शामिल है?</v>
      </c>
      <c r="H192" s="5" t="str">
        <f>IFERROR(__xludf.DUMMYFUNCTION("GOOGLETRANSLATE(C192, ""en"", ""hi"")"),"ए) क्षैतिज मलखंब, बी) एरियल मलखंब, सी) पोल मलखंब, डी) रस्सी मलखंब")</f>
        <v>ए) क्षैतिज मलखंब, बी) एरियल मलखंब, सी) पोल मलखंब, डी) रस्सी मलखंब</v>
      </c>
      <c r="I192" s="5" t="str">
        <f>IFERROR(__xludf.DUMMYFUNCTION("GOOGLETRANSLATE(D192, ""en"", ""hi"")"),"A) क्षैतिज मलखम्ब")</f>
        <v>A) क्षैतिज मलखम्ब</v>
      </c>
    </row>
    <row r="193" ht="22.5" customHeight="1">
      <c r="A193" s="10">
        <v>192.0</v>
      </c>
      <c r="B193" s="8" t="s">
        <v>10708</v>
      </c>
      <c r="C193" s="8" t="s">
        <v>10662</v>
      </c>
      <c r="D193" s="8" t="s">
        <v>10635</v>
      </c>
      <c r="F193" s="5" t="str">
        <f>IFERROR(__xludf.DUMMYFUNCTION("GOOGLETRANSLATE(A193, ""en"", ""hi"")"),"192")</f>
        <v>192</v>
      </c>
      <c r="G193" s="5" t="str">
        <f>IFERROR(__xludf.DUMMYFUNCTION("GOOGLETRANSLATE(B193, ""en"", ""hi"")"),"कौन सा राजवंश मलखम्ब के प्रारंभिक स्वरूप में अपने योगदान के लिए जाना जाता है?")</f>
        <v>कौन सा राजवंश मलखम्ब के प्रारंभिक स्वरूप में अपने योगदान के लिए जाना जाता है?</v>
      </c>
      <c r="H193" s="5" t="str">
        <f>IFERROR(__xludf.DUMMYFUNCTION("GOOGLETRANSLATE(C193, ""en"", ""hi"")"),"A) मराठा वंश, B) गुप्त वंश, C) मुगल वंश, D) चोल वंश")</f>
        <v>A) मराठा वंश, B) गुप्त वंश, C) मुगल वंश, D) चोल वंश</v>
      </c>
      <c r="I193" s="5" t="str">
        <f>IFERROR(__xludf.DUMMYFUNCTION("GOOGLETRANSLATE(D193, ""en"", ""hi"")"),"A) मराठा राजवंश")</f>
        <v>A) मराठा राजवंश</v>
      </c>
    </row>
    <row r="194" ht="22.5" customHeight="1">
      <c r="A194" s="10">
        <v>193.0</v>
      </c>
      <c r="B194" s="8" t="s">
        <v>10664</v>
      </c>
      <c r="C194" s="8" t="s">
        <v>10665</v>
      </c>
      <c r="D194" s="8" t="s">
        <v>10508</v>
      </c>
      <c r="F194" s="5" t="str">
        <f>IFERROR(__xludf.DUMMYFUNCTION("GOOGLETRANSLATE(A194, ""en"", ""hi"")"),"193")</f>
        <v>193</v>
      </c>
      <c r="G194" s="5" t="str">
        <f>IFERROR(__xludf.DUMMYFUNCTION("GOOGLETRANSLATE(B194, ""en"", ""hi"")"),"आधुनिक समय में मलखम्ब का प्राथमिक उपयोग क्या है?")</f>
        <v>आधुनिक समय में मलखम्ब का प्राथमिक उपयोग क्या है?</v>
      </c>
      <c r="H194" s="5" t="str">
        <f>IFERROR(__xludf.DUMMYFUNCTION("GOOGLETRANSLATE(C194, ""en"", ""hi"")"),"A) प्रतिस्पर्धी खेल, B) शारीरिक शिक्षा, C) पारंपरिक अनुष्ठान, D) मनोरंजन")</f>
        <v>A) प्रतिस्पर्धी खेल, B) शारीरिक शिक्षा, C) पारंपरिक अनुष्ठान, D) मनोरंजन</v>
      </c>
      <c r="I194" s="5" t="str">
        <f>IFERROR(__xludf.DUMMYFUNCTION("GOOGLETRANSLATE(D194, ""en"", ""hi"")"),"बी) शारीरिक शिक्षा")</f>
        <v>बी) शारीरिक शिक्षा</v>
      </c>
    </row>
    <row r="195" ht="22.5" customHeight="1">
      <c r="A195" s="10">
        <v>194.0</v>
      </c>
      <c r="B195" s="8" t="s">
        <v>10709</v>
      </c>
      <c r="C195" s="8" t="s">
        <v>10689</v>
      </c>
      <c r="D195" s="8" t="s">
        <v>10690</v>
      </c>
      <c r="F195" s="5" t="str">
        <f>IFERROR(__xludf.DUMMYFUNCTION("GOOGLETRANSLATE(A195, ""en"", ""hi"")"),"194")</f>
        <v>194</v>
      </c>
      <c r="G195" s="5" t="str">
        <f>IFERROR(__xludf.DUMMYFUNCTION("GOOGLETRANSLATE(B195, ""en"", ""hi"")"),"पारंपरिक मलखम्ब प्रशिक्षण का मुख्य उद्देश्य क्या है?")</f>
        <v>पारंपरिक मलखम्ब प्रशिक्षण का मुख्य उद्देश्य क्या है?</v>
      </c>
      <c r="H195" s="5" t="str">
        <f>IFERROR(__xludf.DUMMYFUNCTION("GOOGLETRANSLATE(C195, ""en"", ""hi"")"),"A) शक्ति और चपलता, B) युद्ध तत्परता, C) लचीलापन, D) समन्वय")</f>
        <v>A) शक्ति और चपलता, B) युद्ध तत्परता, C) लचीलापन, D) समन्वय</v>
      </c>
      <c r="I195" s="5" t="str">
        <f>IFERROR(__xludf.DUMMYFUNCTION("GOOGLETRANSLATE(D195, ""en"", ""hi"")"),"A) शक्ति और चपलता")</f>
        <v>A) शक्ति और चपलता</v>
      </c>
    </row>
    <row r="196" ht="22.5" customHeight="1">
      <c r="A196" s="10">
        <v>195.0</v>
      </c>
      <c r="B196" s="8" t="s">
        <v>10710</v>
      </c>
      <c r="C196" s="8" t="s">
        <v>10673</v>
      </c>
      <c r="D196" s="8" t="s">
        <v>4164</v>
      </c>
      <c r="F196" s="5" t="str">
        <f>IFERROR(__xludf.DUMMYFUNCTION("GOOGLETRANSLATE(A196, ""en"", ""hi"")"),"195")</f>
        <v>195</v>
      </c>
      <c r="G196" s="5" t="str">
        <f>IFERROR(__xludf.DUMMYFUNCTION("GOOGLETRANSLATE(B196, ""en"", ""hi"")"),"किस ऐतिहासिक राजा को सैन्य प्रशिक्षण में मलखम्ब को शामिल करने के लिए जाना जाता है?")</f>
        <v>किस ऐतिहासिक राजा को सैन्य प्रशिक्षण में मलखम्ब को शामिल करने के लिए जाना जाता है?</v>
      </c>
      <c r="H196" s="5" t="str">
        <f>IFERROR(__xludf.DUMMYFUNCTION("GOOGLETRANSLATE(C196, ""en"", ""hi"")"),"ए) शिवाजी महाराज, बी) अकबर, सी) चंद्रगुप्त मौर्य, डी) राणा प्रताप")</f>
        <v>ए) शिवाजी महाराज, बी) अकबर, सी) चंद्रगुप्त मौर्य, डी) राणा प्रताप</v>
      </c>
      <c r="I196" s="5" t="str">
        <f>IFERROR(__xludf.DUMMYFUNCTION("GOOGLETRANSLATE(D196, ""en"", ""hi"")"),"A) शिवाजी महाराज")</f>
        <v>A) शिवाजी महाराज</v>
      </c>
    </row>
    <row r="197" ht="22.5" customHeight="1">
      <c r="A197" s="10">
        <v>196.0</v>
      </c>
      <c r="B197" s="8" t="s">
        <v>10717</v>
      </c>
      <c r="C197" s="8" t="s">
        <v>10718</v>
      </c>
      <c r="D197" s="8" t="s">
        <v>4164</v>
      </c>
      <c r="F197" s="5" t="str">
        <f>IFERROR(__xludf.DUMMYFUNCTION("GOOGLETRANSLATE(A197, ""en"", ""hi"")"),"196")</f>
        <v>196</v>
      </c>
      <c r="G197" s="5" t="str">
        <f>IFERROR(__xludf.DUMMYFUNCTION("GOOGLETRANSLATE(B197, ""en"", ""hi"")"),"कौन सा ऐतिहासिक व्यक्ति अपने सैन्य प्रशिक्षण मैनुअल में मलखम्ब के प्रारंभिक दस्तावेजीकरण के लिए जाना जाता है?")</f>
        <v>कौन सा ऐतिहासिक व्यक्ति अपने सैन्य प्रशिक्षण मैनुअल में मलखम्ब के प्रारंभिक दस्तावेजीकरण के लिए जाना जाता है?</v>
      </c>
      <c r="H197" s="5" t="str">
        <f>IFERROR(__xludf.DUMMYFUNCTION("GOOGLETRANSLATE(C197, ""en"", ""hi"")"),"ए) शिवाजी महाराज, बी) अशोक, सी) चंद्रगुप्त मौर्य, डी) अकबर")</f>
        <v>ए) शिवाजी महाराज, बी) अशोक, सी) चंद्रगुप्त मौर्य, डी) अकबर</v>
      </c>
      <c r="I197" s="5" t="str">
        <f>IFERROR(__xludf.DUMMYFUNCTION("GOOGLETRANSLATE(D197, ""en"", ""hi"")"),"A) शिवाजी महाराज")</f>
        <v>A) शिवाजी महाराज</v>
      </c>
    </row>
    <row r="198" ht="22.5" customHeight="1">
      <c r="A198" s="10">
        <v>197.0</v>
      </c>
      <c r="B198" s="8" t="s">
        <v>10719</v>
      </c>
      <c r="C198" s="8" t="s">
        <v>10720</v>
      </c>
      <c r="D198" s="8" t="s">
        <v>6644</v>
      </c>
      <c r="F198" s="5" t="str">
        <f>IFERROR(__xludf.DUMMYFUNCTION("GOOGLETRANSLATE(A198, ""en"", ""hi"")"),"197")</f>
        <v>197</v>
      </c>
      <c r="G198" s="5" t="str">
        <f>IFERROR(__xludf.DUMMYFUNCTION("GOOGLETRANSLATE(B198, ""en"", ""hi"")"),"मलखम्ब को औपचारिक खेल के रूप में किस शताब्दी में प्रसिद्धि मिलनी शुरू हुई?")</f>
        <v>मलखम्ब को औपचारिक खेल के रूप में किस शताब्दी में प्रसिद्धि मिलनी शुरू हुई?</v>
      </c>
      <c r="H198" s="5" t="str">
        <f>IFERROR(__xludf.DUMMYFUNCTION("GOOGLETRANSLATE(C198, ""en"", ""hi"")"),"A) 12वीं शताब्दी, B) 15वीं शताब्दी, C) 17वीं शताब्दी, D) 19वीं शताब्दी")</f>
        <v>A) 12वीं शताब्दी, B) 15वीं शताब्दी, C) 17वीं शताब्दी, D) 19वीं शताब्दी</v>
      </c>
      <c r="I198" s="5" t="str">
        <f>IFERROR(__xludf.DUMMYFUNCTION("GOOGLETRANSLATE(D198, ""en"", ""hi"")"),"सी) 17वीं शताब्दी")</f>
        <v>सी) 17वीं शताब्दी</v>
      </c>
    </row>
    <row r="199" ht="22.5" customHeight="1">
      <c r="A199" s="10">
        <v>198.0</v>
      </c>
      <c r="B199" s="8" t="s">
        <v>10721</v>
      </c>
      <c r="C199" s="8" t="s">
        <v>10494</v>
      </c>
      <c r="D199" s="8" t="s">
        <v>10472</v>
      </c>
      <c r="F199" s="5" t="str">
        <f>IFERROR(__xludf.DUMMYFUNCTION("GOOGLETRANSLATE(A199, ""en"", ""hi"")"),"198")</f>
        <v>198</v>
      </c>
      <c r="G199" s="5" t="str">
        <f>IFERROR(__xludf.DUMMYFUNCTION("GOOGLETRANSLATE(B199, ""en"", ""hi"")"),"प्रथम मलखम्ब अकादमी की स्थापना का श्रेय किस महाराजा को दिया जाता है?")</f>
        <v>प्रथम मलखम्ब अकादमी की स्थापना का श्रेय किस महाराजा को दिया जाता है?</v>
      </c>
      <c r="H199" s="5" t="str">
        <f>IFERROR(__xludf.DUMMYFUNCTION("GOOGLETRANSLATE(C199, ""en"", ""hi"")"),"ए) शिवाजी महाराज, बी) रणजीत सिंह, सी) जय सिंह, डी) महादजी शिंदे")</f>
        <v>ए) शिवाजी महाराज, बी) रणजीत सिंह, सी) जय सिंह, डी) महादजी शिंदे</v>
      </c>
      <c r="I199" s="5" t="str">
        <f>IFERROR(__xludf.DUMMYFUNCTION("GOOGLETRANSLATE(D199, ""en"", ""hi"")"),"D) महादजी शिंदे")</f>
        <v>D) महादजी शिंदे</v>
      </c>
    </row>
    <row r="200" ht="22.5" customHeight="1">
      <c r="A200" s="10">
        <v>199.0</v>
      </c>
      <c r="B200" s="8" t="s">
        <v>10722</v>
      </c>
      <c r="C200" s="8" t="s">
        <v>10676</v>
      </c>
      <c r="D200" s="8" t="s">
        <v>3365</v>
      </c>
      <c r="F200" s="5" t="str">
        <f>IFERROR(__xludf.DUMMYFUNCTION("GOOGLETRANSLATE(A200, ""en"", ""hi"")"),"199")</f>
        <v>199</v>
      </c>
      <c r="G200" s="5" t="str">
        <f>IFERROR(__xludf.DUMMYFUNCTION("GOOGLETRANSLATE(B200, ""en"", ""hi"")"),"16वीं शताब्दी का कौन सा भारतीय ग्रंथ मलखंभ तकनीकों की जानकारी प्रदान करता है?")</f>
        <v>16वीं शताब्दी का कौन सा भारतीय ग्रंथ मलखंभ तकनीकों की जानकारी प्रदान करता है?</v>
      </c>
      <c r="H200" s="5" t="str">
        <f>IFERROR(__xludf.DUMMYFUNCTION("GOOGLETRANSLATE(C200, ""en"", ""hi"")"),"ए) मनुस्मृति, बी) योग सूत्र, सी) अर्थशास्त्र, डी) रामायण")</f>
        <v>ए) मनुस्मृति, बी) योग सूत्र, सी) अर्थशास्त्र, डी) रामायण</v>
      </c>
      <c r="I200" s="5" t="str">
        <f>IFERROR(__xludf.DUMMYFUNCTION("GOOGLETRANSLATE(D200, ""en"", ""hi"")"),"C) अर्थशास्त्र")</f>
        <v>C) अर्थशास्त्र</v>
      </c>
    </row>
    <row r="201" ht="22.5" customHeight="1">
      <c r="A201" s="10">
        <v>200.0</v>
      </c>
      <c r="B201" s="8" t="s">
        <v>10723</v>
      </c>
      <c r="C201" s="8" t="s">
        <v>10724</v>
      </c>
      <c r="D201" s="8" t="s">
        <v>10725</v>
      </c>
      <c r="F201" s="5" t="str">
        <f>IFERROR(__xludf.DUMMYFUNCTION("GOOGLETRANSLATE(A201, ""en"", ""hi"")"),"200")</f>
        <v>200</v>
      </c>
      <c r="G201" s="5" t="str">
        <f>IFERROR(__xludf.DUMMYFUNCTION("GOOGLETRANSLATE(B201, ""en"", ""hi"")"),"भारत में मध्यकालीन काल के दौरान मलखम्ब का प्राथमिक उद्देश्य क्या था?")</f>
        <v>भारत में मध्यकालीन काल के दौरान मलखम्ब का प्राथमिक उद्देश्य क्या था?</v>
      </c>
      <c r="H201" s="5" t="str">
        <f>IFERROR(__xludf.DUMMYFUNCTION("GOOGLETRANSLATE(C201, ""en"", ""hi"")"),"A) मनोरंजन, B) शारीरिक कंडीशनिंग, C) धार्मिक अनुष्ठान, D) सैन्य प्रशिक्षण")</f>
        <v>A) मनोरंजन, B) शारीरिक कंडीशनिंग, C) धार्मिक अनुष्ठान, D) सैन्य प्रशिक्षण</v>
      </c>
      <c r="I201" s="5" t="str">
        <f>IFERROR(__xludf.DUMMYFUNCTION("GOOGLETRANSLATE(D201, ""en"", ""hi"")"),"डी) सैन्य प्रशिक्षण")</f>
        <v>डी) सैन्य प्रशिक्षण</v>
      </c>
    </row>
    <row r="202" ht="22.5" customHeight="1">
      <c r="A202" s="10">
        <v>201.0</v>
      </c>
      <c r="B202" s="8" t="s">
        <v>10726</v>
      </c>
      <c r="C202" s="8" t="s">
        <v>10727</v>
      </c>
      <c r="D202" s="8" t="s">
        <v>10728</v>
      </c>
      <c r="F202" s="5" t="str">
        <f>IFERROR(__xludf.DUMMYFUNCTION("GOOGLETRANSLATE(A202, ""en"", ""hi"")"),"201")</f>
        <v>201</v>
      </c>
      <c r="G202" s="5" t="str">
        <f>IFERROR(__xludf.DUMMYFUNCTION("GOOGLETRANSLATE(B202, ""en"", ""hi"")"),"18वीं शताब्दी में किस ऐतिहासिक घटना ने मलखम्ब को लोकप्रिय बनाने में महत्वपूर्ण योगदान दिया?")</f>
        <v>18वीं शताब्दी में किस ऐतिहासिक घटना ने मलखम्ब को लोकप्रिय बनाने में महत्वपूर्ण योगदान दिया?</v>
      </c>
      <c r="H202" s="5" t="str">
        <f>IFERROR(__xludf.DUMMYFUNCTION("GOOGLETRANSLATE(C202, ""en"", ""hi"")"),"A) मराठा साम्राज्य का विस्तार, B) मुगल साम्राज्य का पतन, C) ब्रिटिश औपनिवेशिक शासन, D) 1857 का भारतीय विद्रोह")</f>
        <v>A) मराठा साम्राज्य का विस्तार, B) मुगल साम्राज्य का पतन, C) ब्रिटिश औपनिवेशिक शासन, D) 1857 का भारतीय विद्रोह</v>
      </c>
      <c r="I202" s="5" t="str">
        <f>IFERROR(__xludf.DUMMYFUNCTION("GOOGLETRANSLATE(D202, ""en"", ""hi"")"),"A) मराठा साम्राज्य का विस्तार")</f>
        <v>A) मराठा साम्राज्य का विस्तार</v>
      </c>
    </row>
    <row r="203" ht="22.5" customHeight="1">
      <c r="A203" s="10">
        <v>202.0</v>
      </c>
      <c r="B203" s="8" t="s">
        <v>10729</v>
      </c>
      <c r="C203" s="8" t="s">
        <v>10730</v>
      </c>
      <c r="D203" s="8" t="s">
        <v>98</v>
      </c>
      <c r="F203" s="5" t="str">
        <f>IFERROR(__xludf.DUMMYFUNCTION("GOOGLETRANSLATE(A203, ""en"", ""hi"")"),"202")</f>
        <v>202</v>
      </c>
      <c r="G203" s="5" t="str">
        <f>IFERROR(__xludf.DUMMYFUNCTION("GOOGLETRANSLATE(B203, ""en"", ""hi"")"),"भारत का कौन सा क्षेत्र प्रतिस्पर्धी खेल के रूप में मलखम्ब का जन्मस्थान था?")</f>
        <v>भारत का कौन सा क्षेत्र प्रतिस्पर्धी खेल के रूप में मलखम्ब का जन्मस्थान था?</v>
      </c>
      <c r="H203" s="5" t="str">
        <f>IFERROR(__xludf.DUMMYFUNCTION("GOOGLETRANSLATE(C203, ""en"", ""hi"")"),"ए) गुजरात, बी) महाराष्ट्र, सी) पंजाब, डी) राजस्थान")</f>
        <v>ए) गुजरात, बी) महाराष्ट्र, सी) पंजाब, डी) राजस्थान</v>
      </c>
      <c r="I203" s="5" t="str">
        <f>IFERROR(__xludf.DUMMYFUNCTION("GOOGLETRANSLATE(D203, ""en"", ""hi"")"),"बी) महाराष्ट्र")</f>
        <v>बी) महाराष्ट्र</v>
      </c>
    </row>
    <row r="204" ht="22.5" customHeight="1">
      <c r="A204" s="10">
        <v>203.0</v>
      </c>
      <c r="B204" s="8" t="s">
        <v>10731</v>
      </c>
      <c r="C204" s="8" t="s">
        <v>10732</v>
      </c>
      <c r="D204" s="8" t="s">
        <v>10733</v>
      </c>
      <c r="F204" s="5" t="str">
        <f>IFERROR(__xludf.DUMMYFUNCTION("GOOGLETRANSLATE(A204, ""en"", ""hi"")"),"203")</f>
        <v>203</v>
      </c>
      <c r="G204" s="5" t="str">
        <f>IFERROR(__xludf.DUMMYFUNCTION("GOOGLETRANSLATE(B204, ""en"", ""hi"")"),"कौन से महाराजा मलखम्ब प्रतियोगिताओं के औपचारिकीकरण और विनियमन में अपने योगदान के लिए जाने जाते हैं?")</f>
        <v>कौन से महाराजा मलखम्ब प्रतियोगिताओं के औपचारिकीकरण और विनियमन में अपने योगदान के लिए जाने जाते हैं?</v>
      </c>
      <c r="H204" s="5" t="str">
        <f>IFERROR(__xludf.DUMMYFUNCTION("GOOGLETRANSLATE(C204, ""en"", ""hi"")"),"ए) शिवाजी महाराज, बी) महादजी शिंदे, सी) रणजीत सिंह, डी) जय सिंह")</f>
        <v>ए) शिवाजी महाराज, बी) महादजी शिंदे, सी) रणजीत सिंह, डी) जय सिंह</v>
      </c>
      <c r="I204" s="5" t="str">
        <f>IFERROR(__xludf.DUMMYFUNCTION("GOOGLETRANSLATE(D204, ""en"", ""hi"")"),"B) महादजी शिंदे")</f>
        <v>B) महादजी शिंदे</v>
      </c>
    </row>
    <row r="205" ht="22.5" customHeight="1">
      <c r="A205" s="10">
        <v>204.0</v>
      </c>
      <c r="B205" s="8" t="s">
        <v>10734</v>
      </c>
      <c r="C205" s="8" t="s">
        <v>10735</v>
      </c>
      <c r="D205" s="8" t="s">
        <v>10736</v>
      </c>
      <c r="F205" s="5" t="str">
        <f>IFERROR(__xludf.DUMMYFUNCTION("GOOGLETRANSLATE(A205, ""en"", ""hi"")"),"204")</f>
        <v>204</v>
      </c>
      <c r="G205" s="5" t="str">
        <f>IFERROR(__xludf.DUMMYFUNCTION("GOOGLETRANSLATE(B205, ""en"", ""hi"")"),"19वीं सदी के किस व्यक्ति ने मलखम्ब के पतन के बाद इसे पुनर्जीवित करने में महत्वपूर्ण भूमिका निभाई?")</f>
        <v>19वीं सदी के किस व्यक्ति ने मलखम्ब के पतन के बाद इसे पुनर्जीवित करने में महत्वपूर्ण भूमिका निभाई?</v>
      </c>
      <c r="H205" s="5" t="str">
        <f>IFERROR(__xludf.DUMMYFUNCTION("GOOGLETRANSLATE(C205, ""en"", ""hi"")"),"ए) बाल गंगाधर तिलक, बी) लक्ष्मण राव किर्लोस्कर, सी) ज्योतिराव फुले, डी) भाऊ दाजी लाड")</f>
        <v>ए) बाल गंगाधर तिलक, बी) लक्ष्मण राव किर्लोस्कर, सी) ज्योतिराव फुले, डी) भाऊ दाजी लाड</v>
      </c>
      <c r="I205" s="5" t="str">
        <f>IFERROR(__xludf.DUMMYFUNCTION("GOOGLETRANSLATE(D205, ""en"", ""hi"")"),"B) लक्ष्मण राव किर्लोस्कर")</f>
        <v>B) लक्ष्मण राव किर्लोस्कर</v>
      </c>
    </row>
    <row r="206" ht="22.5" customHeight="1">
      <c r="A206" s="10">
        <v>205.0</v>
      </c>
      <c r="B206" s="8" t="s">
        <v>10737</v>
      </c>
      <c r="C206" s="8" t="s">
        <v>10475</v>
      </c>
      <c r="D206" s="8" t="s">
        <v>10476</v>
      </c>
      <c r="F206" s="5" t="str">
        <f>IFERROR(__xludf.DUMMYFUNCTION("GOOGLETRANSLATE(A206, ""en"", ""hi"")"),"205")</f>
        <v>205</v>
      </c>
      <c r="G206" s="5" t="str">
        <f>IFERROR(__xludf.DUMMYFUNCTION("GOOGLETRANSLATE(B206, ""en"", ""hi"")"),"17वीं शताब्दी के दौरान किस प्रमुख भारतीय त्यौहार में मलखम्ब प्रदर्शन किया जाता था?")</f>
        <v>17वीं शताब्दी के दौरान किस प्रमुख भारतीय त्यौहार में मलखम्ब प्रदर्शन किया जाता था?</v>
      </c>
      <c r="H206" s="5" t="str">
        <f>IFERROR(__xludf.DUMMYFUNCTION("GOOGLETRANSLATE(C206, ""en"", ""hi"")"),"ए) गणेश चतुर्थी, बी) दिवाली, सी) होली, डी) पोंगल")</f>
        <v>ए) गणेश चतुर्थी, बी) दिवाली, सी) होली, डी) पोंगल</v>
      </c>
      <c r="I206" s="5" t="str">
        <f>IFERROR(__xludf.DUMMYFUNCTION("GOOGLETRANSLATE(D206, ""en"", ""hi"")"),"A) गणेश चतुर्थी")</f>
        <v>A) गणेश चतुर्थी</v>
      </c>
    </row>
    <row r="207" ht="22.5" customHeight="1">
      <c r="A207" s="10">
        <v>206.0</v>
      </c>
      <c r="B207" s="8" t="s">
        <v>10738</v>
      </c>
      <c r="C207" s="8" t="s">
        <v>10739</v>
      </c>
      <c r="D207" s="8" t="s">
        <v>10740</v>
      </c>
      <c r="F207" s="5" t="str">
        <f>IFERROR(__xludf.DUMMYFUNCTION("GOOGLETRANSLATE(A207, ""en"", ""hi"")"),"206")</f>
        <v>206</v>
      </c>
      <c r="G207" s="5" t="str">
        <f>IFERROR(__xludf.DUMMYFUNCTION("GOOGLETRANSLATE(B207, ""en"", ""hi"")"),"किस राजवंश के पतन के कारण मलखम्ब का औपचारिक खेल के रूप में पतन हुआ और उसके बाद इसका पुनरुद्धार हुआ?")</f>
        <v>किस राजवंश के पतन के कारण मलखम्ब का औपचारिक खेल के रूप में पतन हुआ और उसके बाद इसका पुनरुद्धार हुआ?</v>
      </c>
      <c r="H207" s="5" t="str">
        <f>IFERROR(__xludf.DUMMYFUNCTION("GOOGLETRANSLATE(C207, ""en"", ""hi"")"),"A) मराठा वंश, B) मुगल वंश, C) गुप्त वंश, D) मौर्य वंश")</f>
        <v>A) मराठा वंश, B) मुगल वंश, C) गुप्त वंश, D) मौर्य वंश</v>
      </c>
      <c r="I207" s="5" t="str">
        <f>IFERROR(__xludf.DUMMYFUNCTION("GOOGLETRANSLATE(D207, ""en"", ""hi"")"),"बी) मुगल वंश")</f>
        <v>बी) मुगल वंश</v>
      </c>
    </row>
    <row r="208" ht="22.5" customHeight="1">
      <c r="A208" s="10">
        <v>207.0</v>
      </c>
      <c r="B208" s="8" t="s">
        <v>10741</v>
      </c>
      <c r="C208" s="8" t="s">
        <v>10742</v>
      </c>
      <c r="D208" s="8" t="s">
        <v>3430</v>
      </c>
      <c r="F208" s="5" t="str">
        <f>IFERROR(__xludf.DUMMYFUNCTION("GOOGLETRANSLATE(A208, ""en"", ""hi"")"),"207")</f>
        <v>207</v>
      </c>
      <c r="G208" s="5" t="str">
        <f>IFERROR(__xludf.DUMMYFUNCTION("GOOGLETRANSLATE(B208, ""en"", ""hi"")"),"15वीं शताब्दी के किस ऐतिहासिक ग्रंथ में मलखम्ब के समान शारीरिक व्यायाम का वर्णन है?")</f>
        <v>15वीं शताब्दी के किस ऐतिहासिक ग्रंथ में मलखम्ब के समान शारीरिक व्यायाम का वर्णन है?</v>
      </c>
      <c r="H208" s="5" t="str">
        <f>IFERROR(__xludf.DUMMYFUNCTION("GOOGLETRANSLATE(C208, ""en"", ""hi"")"),"ए) वेद, बी) मनुस्मृति, सी) योग सूत्र, डी) अर्थशास्त्र")</f>
        <v>ए) वेद, बी) मनुस्मृति, सी) योग सूत्र, डी) अर्थशास्त्र</v>
      </c>
      <c r="I208" s="5" t="str">
        <f>IFERROR(__xludf.DUMMYFUNCTION("GOOGLETRANSLATE(D208, ""en"", ""hi"")"),"D) अर्थशास्त्र")</f>
        <v>D) अर्थशास्त्र</v>
      </c>
    </row>
    <row r="209" ht="22.5" customHeight="1">
      <c r="A209" s="10">
        <v>208.0</v>
      </c>
      <c r="B209" s="8" t="s">
        <v>10743</v>
      </c>
      <c r="C209" s="8" t="s">
        <v>10498</v>
      </c>
      <c r="D209" s="8" t="s">
        <v>4164</v>
      </c>
      <c r="F209" s="5" t="str">
        <f>IFERROR(__xludf.DUMMYFUNCTION("GOOGLETRANSLATE(A209, ""en"", ""hi"")"),"208")</f>
        <v>208</v>
      </c>
      <c r="G209" s="5" t="str">
        <f>IFERROR(__xludf.DUMMYFUNCTION("GOOGLETRANSLATE(B209, ""en"", ""hi"")"),"ऐसा कहा जाता है कि किस राजा की सैन्य प्रशिक्षण पद्धति ने मलखम्ब के विकास को प्रभावित किया?")</f>
        <v>ऐसा कहा जाता है कि किस राजा की सैन्य प्रशिक्षण पद्धति ने मलखम्ब के विकास को प्रभावित किया?</v>
      </c>
      <c r="H209" s="5" t="str">
        <f>IFERROR(__xludf.DUMMYFUNCTION("GOOGLETRANSLATE(C209, ""en"", ""hi"")"),"ए) शिवाजी महाराज, बी) अकबर, सी) चंद्रगुप्त मौर्य, डी) अशोक")</f>
        <v>ए) शिवाजी महाराज, बी) अकबर, सी) चंद्रगुप्त मौर्य, डी) अशोक</v>
      </c>
      <c r="I209" s="5" t="str">
        <f>IFERROR(__xludf.DUMMYFUNCTION("GOOGLETRANSLATE(D209, ""en"", ""hi"")"),"A) शिवाजी महाराज")</f>
        <v>A) शिवाजी महाराज</v>
      </c>
    </row>
    <row r="210" ht="22.5" customHeight="1">
      <c r="A210" s="10">
        <v>209.0</v>
      </c>
      <c r="B210" s="8" t="s">
        <v>10744</v>
      </c>
      <c r="C210" s="8" t="s">
        <v>10745</v>
      </c>
      <c r="D210" s="8" t="s">
        <v>10746</v>
      </c>
      <c r="F210" s="5" t="str">
        <f>IFERROR(__xludf.DUMMYFUNCTION("GOOGLETRANSLATE(A210, ""en"", ""hi"")"),"209")</f>
        <v>209</v>
      </c>
      <c r="G210" s="5" t="str">
        <f>IFERROR(__xludf.DUMMYFUNCTION("GOOGLETRANSLATE(B210, ""en"", ""hi"")"),"भारत में ब्रिटिश औपनिवेशिक शासन के दौरान मलखम्ब में क्या महत्वपूर्ण परिवर्तन आया?")</f>
        <v>भारत में ब्रिटिश औपनिवेशिक शासन के दौरान मलखम्ब में क्या महत्वपूर्ण परिवर्तन आया?</v>
      </c>
      <c r="H210" s="5" t="str">
        <f>IFERROR(__xludf.DUMMYFUNCTION("GOOGLETRANSLATE(C210, ""en"", ""hi"")"),"A) इसे प्रतिबंधित कर दिया गया था, B) इसे आधिकारिक तौर पर विनियमित किया गया था, C) इसे एक खेल के रूप में पुनर्जीवित किया गया था, D) इसे भुला दिया गया था")</f>
        <v>A) इसे प्रतिबंधित कर दिया गया था, B) इसे आधिकारिक तौर पर विनियमित किया गया था, C) इसे एक खेल के रूप में पुनर्जीवित किया गया था, D) इसे भुला दिया गया था</v>
      </c>
      <c r="I210" s="5" t="str">
        <f>IFERROR(__xludf.DUMMYFUNCTION("GOOGLETRANSLATE(D210, ""en"", ""hi"")"),"B) इसे आधिकारिक तौर पर विनियमित किया गया था")</f>
        <v>B) इसे आधिकारिक तौर पर विनियमित किया गया था</v>
      </c>
    </row>
    <row r="211" ht="22.5" customHeight="1">
      <c r="A211" s="10">
        <v>210.0</v>
      </c>
      <c r="B211" s="8" t="s">
        <v>10747</v>
      </c>
      <c r="C211" s="8" t="s">
        <v>10748</v>
      </c>
      <c r="D211" s="8" t="s">
        <v>10439</v>
      </c>
      <c r="F211" s="5" t="str">
        <f>IFERROR(__xludf.DUMMYFUNCTION("GOOGLETRANSLATE(A211, ""en"", ""hi"")"),"210")</f>
        <v>210</v>
      </c>
      <c r="G211" s="5" t="str">
        <f>IFERROR(__xludf.DUMMYFUNCTION("GOOGLETRANSLATE(B211, ""en"", ""hi"")"),"19वीं शताब्दी के प्रारंभ में किस महाराजा ने मलखम्ब के विकास का समर्थन किया था?")</f>
        <v>19वीं शताब्दी के प्रारंभ में किस महाराजा ने मलखम्ब के विकास का समर्थन किया था?</v>
      </c>
      <c r="H211" s="5" t="str">
        <f>IFERROR(__xludf.DUMMYFUNCTION("GOOGLETRANSLATE(C211, ""en"", ""hi"")"),"ए) महादजी शिंदे, बी) शिवाजी महाराज, सी) जय सिंह, डी) रणजीत सिंह")</f>
        <v>ए) महादजी शिंदे, बी) शिवाजी महाराज, सी) जय सिंह, डी) रणजीत सिंह</v>
      </c>
      <c r="I211" s="5" t="str">
        <f>IFERROR(__xludf.DUMMYFUNCTION("GOOGLETRANSLATE(D211, ""en"", ""hi"")"),"A) महादजी शिंदे")</f>
        <v>A) महादजी शिंदे</v>
      </c>
    </row>
    <row r="212" ht="22.5" customHeight="1">
      <c r="A212" s="10">
        <v>211.0</v>
      </c>
      <c r="B212" s="8" t="s">
        <v>10749</v>
      </c>
      <c r="C212" s="8" t="s">
        <v>10750</v>
      </c>
      <c r="D212" s="8" t="s">
        <v>4164</v>
      </c>
      <c r="F212" s="5" t="str">
        <f>IFERROR(__xludf.DUMMYFUNCTION("GOOGLETRANSLATE(A212, ""en"", ""hi"")"),"211")</f>
        <v>211</v>
      </c>
      <c r="G212" s="5" t="str">
        <f>IFERROR(__xludf.DUMMYFUNCTION("GOOGLETRANSLATE(B212, ""en"", ""hi"")"),"17वीं शताब्दी में मलखम्ब को लोकप्रिय बनाने का श्रेय किस भारतीय राजा को जाता है?")</f>
        <v>17वीं शताब्दी में मलखम्ब को लोकप्रिय बनाने का श्रेय किस भारतीय राजा को जाता है?</v>
      </c>
      <c r="H212" s="5" t="str">
        <f>IFERROR(__xludf.DUMMYFUNCTION("GOOGLETRANSLATE(C212, ""en"", ""hi"")"),"ए) शिवाजी महाराज, बी) औरंगजेब, सी) अकबर, डी) चंद्रगुप्त मौर्य")</f>
        <v>ए) शिवाजी महाराज, बी) औरंगजेब, सी) अकबर, डी) चंद्रगुप्त मौर्य</v>
      </c>
      <c r="I212" s="5" t="str">
        <f>IFERROR(__xludf.DUMMYFUNCTION("GOOGLETRANSLATE(D212, ""en"", ""hi"")"),"A) शिवाजी महाराज")</f>
        <v>A) शिवाजी महाराज</v>
      </c>
    </row>
    <row r="213" ht="22.5" customHeight="1">
      <c r="A213" s="10">
        <v>212.0</v>
      </c>
      <c r="B213" s="8" t="s">
        <v>10751</v>
      </c>
      <c r="C213" s="8" t="s">
        <v>10752</v>
      </c>
      <c r="D213" s="8" t="s">
        <v>10753</v>
      </c>
      <c r="F213" s="5" t="str">
        <f>IFERROR(__xludf.DUMMYFUNCTION("GOOGLETRANSLATE(A213, ""en"", ""hi"")"),"212")</f>
        <v>212</v>
      </c>
      <c r="G213" s="5" t="str">
        <f>IFERROR(__xludf.DUMMYFUNCTION("GOOGLETRANSLATE(B213, ""en"", ""hi"")"),"पारंपरिक मलखंभ प्रथाओं में प्रयुक्त प्राथमिक प्रशिक्षण उपकरण क्या था?")</f>
        <v>पारंपरिक मलखंभ प्रथाओं में प्रयुक्त प्राथमिक प्रशिक्षण उपकरण क्या था?</v>
      </c>
      <c r="H213" s="5" t="str">
        <f>IFERROR(__xludf.DUMMYFUNCTION("GOOGLETRANSLATE(C213, ""en"", ""hi"")"),"A) रस्सी, B) लकड़ी की बीम, C) स्टील का खंभा, D) रेत की बोरियाँ")</f>
        <v>A) रस्सी, B) लकड़ी की बीम, C) स्टील का खंभा, D) रेत की बोरियाँ</v>
      </c>
      <c r="I213" s="5" t="str">
        <f>IFERROR(__xludf.DUMMYFUNCTION("GOOGLETRANSLATE(D213, ""en"", ""hi"")"),"बी) लकड़ी की बीम")</f>
        <v>बी) लकड़ी की बीम</v>
      </c>
    </row>
    <row r="214" ht="22.5" customHeight="1">
      <c r="A214" s="10">
        <v>213.0</v>
      </c>
      <c r="B214" s="8" t="s">
        <v>10754</v>
      </c>
      <c r="C214" s="8" t="s">
        <v>10519</v>
      </c>
      <c r="D214" s="8" t="s">
        <v>10431</v>
      </c>
      <c r="F214" s="5" t="str">
        <f>IFERROR(__xludf.DUMMYFUNCTION("GOOGLETRANSLATE(A214, ""en"", ""hi"")"),"213")</f>
        <v>213</v>
      </c>
      <c r="G214" s="5" t="str">
        <f>IFERROR(__xludf.DUMMYFUNCTION("GOOGLETRANSLATE(B214, ""en"", ""hi"")"),"प्राचीन भारत के किस ग्रंथ में मलखंभ के समान शारीरिक कंडीशनिंग विधियों का उल्लेख है?")</f>
        <v>प्राचीन भारत के किस ग्रंथ में मलखंभ के समान शारीरिक कंडीशनिंग विधियों का उल्लेख है?</v>
      </c>
      <c r="H214" s="5" t="str">
        <f>IFERROR(__xludf.DUMMYFUNCTION("GOOGLETRANSLATE(C214, ""en"", ""hi"")"),"ए) योग सूत्र, बी) मनुस्मृति, सी) वेद, डी) रामायण")</f>
        <v>ए) योग सूत्र, बी) मनुस्मृति, सी) वेद, डी) रामायण</v>
      </c>
      <c r="I214" s="5" t="str">
        <f>IFERROR(__xludf.DUMMYFUNCTION("GOOGLETRANSLATE(D214, ""en"", ""hi"")"),"C) वेद")</f>
        <v>C) वेद</v>
      </c>
    </row>
    <row r="215" ht="22.5" customHeight="1">
      <c r="A215" s="10">
        <v>214.0</v>
      </c>
      <c r="B215" s="8" t="s">
        <v>10755</v>
      </c>
      <c r="C215" s="8" t="s">
        <v>10756</v>
      </c>
      <c r="D215" s="8" t="s">
        <v>10757</v>
      </c>
      <c r="F215" s="5" t="str">
        <f>IFERROR(__xludf.DUMMYFUNCTION("GOOGLETRANSLATE(A215, ""en"", ""hi"")"),"214")</f>
        <v>214</v>
      </c>
      <c r="G215" s="5" t="str">
        <f>IFERROR(__xludf.DUMMYFUNCTION("GOOGLETRANSLATE(B215, ""en"", ""hi"")"),"20वीं सदी में मलखम्ब के पुनरुत्थान का मुख्य कारक क्या था?")</f>
        <v>20वीं सदी में मलखम्ब के पुनरुत्थान का मुख्य कारक क्या था?</v>
      </c>
      <c r="H215" s="5" t="str">
        <f>IFERROR(__xludf.DUMMYFUNCTION("GOOGLETRANSLATE(C215, ""en"", ""hi"")"),"A) सरकारी सहायता, B) अंतर्राष्ट्रीय प्रतियोगिताएं, C) सांस्कृतिक पुनरुत्थान, D) शैक्षिक सुधार")</f>
        <v>A) सरकारी सहायता, B) अंतर्राष्ट्रीय प्रतियोगिताएं, C) सांस्कृतिक पुनरुत्थान, D) शैक्षिक सुधार</v>
      </c>
      <c r="I215" s="5" t="str">
        <f>IFERROR(__xludf.DUMMYFUNCTION("GOOGLETRANSLATE(D215, ""en"", ""hi"")"),"C) सांस्कृतिक पुनरुत्थान")</f>
        <v>C) सांस्कृतिक पुनरुत्थान</v>
      </c>
    </row>
    <row r="216" ht="22.5" customHeight="1">
      <c r="A216" s="10">
        <v>215.0</v>
      </c>
      <c r="B216" s="8" t="s">
        <v>10758</v>
      </c>
      <c r="C216" s="8" t="s">
        <v>10759</v>
      </c>
      <c r="D216" s="8" t="s">
        <v>10736</v>
      </c>
      <c r="F216" s="5" t="str">
        <f>IFERROR(__xludf.DUMMYFUNCTION("GOOGLETRANSLATE(A216, ""en"", ""hi"")"),"215")</f>
        <v>215</v>
      </c>
      <c r="G216" s="5" t="str">
        <f>IFERROR(__xludf.DUMMYFUNCTION("GOOGLETRANSLATE(B216, ""en"", ""hi"")"),"अखिल भारतीय मलखम्ब महासंघ की स्थापना में किस ऐतिहासिक व्यक्ति ने महत्वपूर्ण भूमिका निभाई?")</f>
        <v>अखिल भारतीय मलखम्ब महासंघ की स्थापना में किस ऐतिहासिक व्यक्ति ने महत्वपूर्ण भूमिका निभाई?</v>
      </c>
      <c r="H216" s="5" t="str">
        <f>IFERROR(__xludf.DUMMYFUNCTION("GOOGLETRANSLATE(C216, ""en"", ""hi"")"),"ए) शिवाजी महाराज, बी) लक्ष्मण राव किर्लोस्कर, सी) महादजी शिंदे, डी) भाऊ दाजी लाड")</f>
        <v>ए) शिवाजी महाराज, बी) लक्ष्मण राव किर्लोस्कर, सी) महादजी शिंदे, डी) भाऊ दाजी लाड</v>
      </c>
      <c r="I216" s="5" t="str">
        <f>IFERROR(__xludf.DUMMYFUNCTION("GOOGLETRANSLATE(D216, ""en"", ""hi"")"),"B) लक्ष्मण राव किर्लोस्कर")</f>
        <v>B) लक्ष्मण राव किर्लोस्कर</v>
      </c>
    </row>
    <row r="217" ht="22.5" customHeight="1">
      <c r="A217" s="10">
        <v>216.0</v>
      </c>
      <c r="B217" s="8" t="s">
        <v>10760</v>
      </c>
      <c r="C217" s="8" t="s">
        <v>10761</v>
      </c>
      <c r="D217" s="8" t="s">
        <v>158</v>
      </c>
      <c r="F217" s="5" t="str">
        <f>IFERROR(__xludf.DUMMYFUNCTION("GOOGLETRANSLATE(A217, ""en"", ""hi"")"),"216")</f>
        <v>216</v>
      </c>
      <c r="G217" s="5" t="str">
        <f>IFERROR(__xludf.DUMMYFUNCTION("GOOGLETRANSLATE(B217, ""en"", ""hi"")"),"कौन सा क्षेत्र ऐतिहासिक रूप से प्रसिद्ध मलखंभ चिकित्सकों के उत्पादन के लिए जाना जाता है?")</f>
        <v>कौन सा क्षेत्र ऐतिहासिक रूप से प्रसिद्ध मलखंभ चिकित्सकों के उत्पादन के लिए जाना जाता है?</v>
      </c>
      <c r="H217" s="5" t="str">
        <f>IFERROR(__xludf.DUMMYFUNCTION("GOOGLETRANSLATE(C217, ""en"", ""hi"")"),"ए) महाराष्ट्र, बी) पंजाब, सी) गुजरात, डी) कर्नाटक")</f>
        <v>ए) महाराष्ट्र, बी) पंजाब, सी) गुजरात, डी) कर्नाटक</v>
      </c>
      <c r="I217" s="5" t="str">
        <f>IFERROR(__xludf.DUMMYFUNCTION("GOOGLETRANSLATE(D217, ""en"", ""hi"")"),"A) महाराष्ट्र")</f>
        <v>A) महाराष्ट्र</v>
      </c>
    </row>
    <row r="218" ht="22.5" customHeight="1">
      <c r="A218" s="10">
        <v>217.0</v>
      </c>
      <c r="B218" s="8" t="s">
        <v>10762</v>
      </c>
      <c r="C218" s="8" t="s">
        <v>10763</v>
      </c>
      <c r="D218" s="8" t="s">
        <v>2616</v>
      </c>
      <c r="F218" s="5" t="str">
        <f>IFERROR(__xludf.DUMMYFUNCTION("GOOGLETRANSLATE(A218, ""en"", ""hi"")"),"217")</f>
        <v>217</v>
      </c>
      <c r="G218" s="5" t="str">
        <f>IFERROR(__xludf.DUMMYFUNCTION("GOOGLETRANSLATE(B218, ""en"", ""hi"")"),"कौन सा ऐतिहासिक दस्तावेज 17वीं शताब्दी की मलखम्ब तकनीकों का विस्तृत विवरण प्रदान करता है?")</f>
        <v>कौन सा ऐतिहासिक दस्तावेज 17वीं शताब्दी की मलखम्ब तकनीकों का विस्तृत विवरण प्रदान करता है?</v>
      </c>
      <c r="H218" s="5" t="str">
        <f>IFERROR(__xludf.DUMMYFUNCTION("GOOGLETRANSLATE(C218, ""en"", ""hi"")"),"ए) अर्थशास्त्र, बी) योग सूत्र, सी) मनुस्मृति, डी) रामायण")</f>
        <v>ए) अर्थशास्त्र, बी) योग सूत्र, सी) मनुस्मृति, डी) रामायण</v>
      </c>
      <c r="I218" s="5" t="str">
        <f>IFERROR(__xludf.DUMMYFUNCTION("GOOGLETRANSLATE(D218, ""en"", ""hi"")"),"A) अर्थशास्त्र")</f>
        <v>A) अर्थशास्त्र</v>
      </c>
    </row>
    <row r="219" ht="22.5" customHeight="1">
      <c r="A219" s="10">
        <v>218.0</v>
      </c>
      <c r="B219" s="8" t="s">
        <v>10764</v>
      </c>
      <c r="C219" s="8" t="s">
        <v>10765</v>
      </c>
      <c r="D219" s="8" t="s">
        <v>10766</v>
      </c>
      <c r="F219" s="5" t="str">
        <f>IFERROR(__xludf.DUMMYFUNCTION("GOOGLETRANSLATE(A219, ""en"", ""hi"")"),"218")</f>
        <v>218</v>
      </c>
      <c r="G219" s="5" t="str">
        <f>IFERROR(__xludf.DUMMYFUNCTION("GOOGLETRANSLATE(B219, ""en"", ""hi"")"),"किस काल में नई मलखम्ब तकनीक और रूपों की शुरुआत हुई?")</f>
        <v>किस काल में नई मलखम्ब तकनीक और रूपों की शुरुआत हुई?</v>
      </c>
      <c r="H219" s="5" t="str">
        <f>IFERROR(__xludf.DUMMYFUNCTION("GOOGLETRANSLATE(C219, ""en"", ""hi"")"),"A) मध्यकाल, B) औपनिवेशिक काल, C) स्वतंत्रता-पूर्व काल, D) स्वतंत्रता-पश्चात काल")</f>
        <v>A) मध्यकाल, B) औपनिवेशिक काल, C) स्वतंत्रता-पूर्व काल, D) स्वतंत्रता-पश्चात काल</v>
      </c>
      <c r="I219" s="5" t="str">
        <f>IFERROR(__xludf.DUMMYFUNCTION("GOOGLETRANSLATE(D219, ""en"", ""hi"")"),"D) स्वतंत्रता के बाद की अवधि")</f>
        <v>D) स्वतंत्रता के बाद की अवधि</v>
      </c>
    </row>
    <row r="220" ht="22.5" customHeight="1">
      <c r="A220" s="10">
        <v>219.0</v>
      </c>
      <c r="B220" s="8" t="s">
        <v>10767</v>
      </c>
      <c r="C220" s="8" t="s">
        <v>10498</v>
      </c>
      <c r="D220" s="8" t="s">
        <v>4164</v>
      </c>
      <c r="F220" s="5" t="str">
        <f>IFERROR(__xludf.DUMMYFUNCTION("GOOGLETRANSLATE(A220, ""en"", ""hi"")"),"219")</f>
        <v>219</v>
      </c>
      <c r="G220" s="5" t="str">
        <f>IFERROR(__xludf.DUMMYFUNCTION("GOOGLETRANSLATE(B220, ""en"", ""hi"")"),"किस भारतीय राजा के शासनकाल में मलखम्ब एक मार्शल आर्ट के रूप में फला-फूला?")</f>
        <v>किस भारतीय राजा के शासनकाल में मलखम्ब एक मार्शल आर्ट के रूप में फला-फूला?</v>
      </c>
      <c r="H220" s="5" t="str">
        <f>IFERROR(__xludf.DUMMYFUNCTION("GOOGLETRANSLATE(C220, ""en"", ""hi"")"),"ए) शिवाजी महाराज, बी) अकबर, सी) चंद्रगुप्त मौर्य, डी) अशोक")</f>
        <v>ए) शिवाजी महाराज, बी) अकबर, सी) चंद्रगुप्त मौर्य, डी) अशोक</v>
      </c>
      <c r="I220" s="5" t="str">
        <f>IFERROR(__xludf.DUMMYFUNCTION("GOOGLETRANSLATE(D220, ""en"", ""hi"")"),"A) शिवाजी महाराज")</f>
        <v>A) शिवाजी महाराज</v>
      </c>
    </row>
    <row r="221" ht="22.5" customHeight="1">
      <c r="A221" s="10">
        <v>220.0</v>
      </c>
      <c r="B221" s="8" t="s">
        <v>10768</v>
      </c>
      <c r="C221" s="8" t="s">
        <v>10769</v>
      </c>
      <c r="D221" s="8" t="s">
        <v>3365</v>
      </c>
      <c r="F221" s="5" t="str">
        <f>IFERROR(__xludf.DUMMYFUNCTION("GOOGLETRANSLATE(A221, ""en"", ""hi"")"),"220")</f>
        <v>220</v>
      </c>
      <c r="G221" s="5" t="str">
        <f>IFERROR(__xludf.DUMMYFUNCTION("GOOGLETRANSLATE(B221, ""en"", ""hi"")"),"किस प्राचीन भारतीय ग्रंथ ने मलखंभ तकनीक के विकास को प्रभावित किया?")</f>
        <v>किस प्राचीन भारतीय ग्रंथ ने मलखंभ तकनीक के विकास को प्रभावित किया?</v>
      </c>
      <c r="H221" s="5" t="str">
        <f>IFERROR(__xludf.DUMMYFUNCTION("GOOGLETRANSLATE(C221, ""en"", ""hi"")"),"ए) योग सूत्र, बी) मनुस्मृति, सी) अर्थशास्त्र, डी) भगवद गीता")</f>
        <v>ए) योग सूत्र, बी) मनुस्मृति, सी) अर्थशास्त्र, डी) भगवद गीता</v>
      </c>
      <c r="I221" s="5" t="str">
        <f>IFERROR(__xludf.DUMMYFUNCTION("GOOGLETRANSLATE(D221, ""en"", ""hi"")"),"C) अर्थशास्त्र")</f>
        <v>C) अर्थशास्त्र</v>
      </c>
    </row>
    <row r="222" ht="22.5" customHeight="1">
      <c r="A222" s="10">
        <v>221.0</v>
      </c>
      <c r="B222" s="8" t="s">
        <v>10770</v>
      </c>
      <c r="C222" s="8" t="s">
        <v>10771</v>
      </c>
      <c r="D222" s="8" t="s">
        <v>10772</v>
      </c>
      <c r="F222" s="5" t="str">
        <f>IFERROR(__xludf.DUMMYFUNCTION("GOOGLETRANSLATE(A222, ""en"", ""hi"")"),"221")</f>
        <v>221</v>
      </c>
      <c r="G222" s="5" t="str">
        <f>IFERROR(__xludf.DUMMYFUNCTION("GOOGLETRANSLATE(B222, ""en"", ""hi"")"),"20वीं सदी के किस व्यक्ति को पारंपरिक मलखम्ब प्रथाओं के पुनरुद्धार का श्रेय दिया जाता है?")</f>
        <v>20वीं सदी के किस व्यक्ति को पारंपरिक मलखम्ब प्रथाओं के पुनरुद्धार का श्रेय दिया जाता है?</v>
      </c>
      <c r="H222" s="5" t="str">
        <f>IFERROR(__xludf.DUMMYFUNCTION("GOOGLETRANSLATE(C222, ""en"", ""hi"")"),"A) लक्ष्मण राव किर्लोस्कर, B) महात्मा गांधी, C) जवाहरलाल नेहरू, D) बी.आर. अम्बेडकर")</f>
        <v>A) लक्ष्मण राव किर्लोस्कर, B) महात्मा गांधी, C) जवाहरलाल नेहरू, D) बी.आर. अम्बेडकर</v>
      </c>
      <c r="I222" s="5" t="str">
        <f>IFERROR(__xludf.DUMMYFUNCTION("GOOGLETRANSLATE(D222, ""en"", ""hi"")"),"A) लक्ष्मण राव किर्लोस्कर")</f>
        <v>A) लक्ष्मण राव किर्लोस्कर</v>
      </c>
    </row>
    <row r="223" ht="22.5" customHeight="1">
      <c r="A223" s="10">
        <v>222.0</v>
      </c>
      <c r="B223" s="8" t="s">
        <v>10773</v>
      </c>
      <c r="C223" s="8" t="s">
        <v>10475</v>
      </c>
      <c r="D223" s="8" t="s">
        <v>10476</v>
      </c>
      <c r="F223" s="5" t="str">
        <f>IFERROR(__xludf.DUMMYFUNCTION("GOOGLETRANSLATE(A223, ""en"", ""hi"")"),"222")</f>
        <v>222</v>
      </c>
      <c r="G223" s="5" t="str">
        <f>IFERROR(__xludf.DUMMYFUNCTION("GOOGLETRANSLATE(B223, ""en"", ""hi"")"),"17वीं शताब्दी में किस उत्सव में मलखम्ब प्रदर्शन और प्रतियोगिताएं होती थीं?")</f>
        <v>17वीं शताब्दी में किस उत्सव में मलखम्ब प्रदर्शन और प्रतियोगिताएं होती थीं?</v>
      </c>
      <c r="H223" s="5" t="str">
        <f>IFERROR(__xludf.DUMMYFUNCTION("GOOGLETRANSLATE(C223, ""en"", ""hi"")"),"ए) गणेश चतुर्थी, बी) दिवाली, सी) होली, डी) पोंगल")</f>
        <v>ए) गणेश चतुर्थी, बी) दिवाली, सी) होली, डी) पोंगल</v>
      </c>
      <c r="I223" s="5" t="str">
        <f>IFERROR(__xludf.DUMMYFUNCTION("GOOGLETRANSLATE(D223, ""en"", ""hi"")"),"A) गणेश चतुर्थी")</f>
        <v>A) गणेश चतुर्थी</v>
      </c>
    </row>
    <row r="224" ht="22.5" customHeight="1">
      <c r="A224" s="10">
        <v>223.0</v>
      </c>
      <c r="B224" s="8" t="s">
        <v>10774</v>
      </c>
      <c r="C224" s="8" t="s">
        <v>10775</v>
      </c>
      <c r="D224" s="8" t="s">
        <v>10776</v>
      </c>
      <c r="F224" s="5" t="str">
        <f>IFERROR(__xludf.DUMMYFUNCTION("GOOGLETRANSLATE(A224, ""en"", ""hi"")"),"223")</f>
        <v>223</v>
      </c>
      <c r="G224" s="5" t="str">
        <f>IFERROR(__xludf.DUMMYFUNCTION("GOOGLETRANSLATE(B224, ""en"", ""hi"")"),"कौन सा ऐतिहासिक काल प्रतिस्पर्धी खेल के रूप में मलखम्ब की औपचारिकता से जुड़ा है?")</f>
        <v>कौन सा ऐतिहासिक काल प्रतिस्पर्धी खेल के रूप में मलखम्ब की औपचारिकता से जुड़ा है?</v>
      </c>
      <c r="H224" s="5" t="str">
        <f>IFERROR(__xludf.DUMMYFUNCTION("GOOGLETRANSLATE(C224, ""en"", ""hi"")"),"A) औपनिवेशिक काल, B) मध्यकाल, C) स्वतंत्रता के बाद का काल, D) प्रारंभिक आधुनिक काल")</f>
        <v>A) औपनिवेशिक काल, B) मध्यकाल, C) स्वतंत्रता के बाद का काल, D) प्रारंभिक आधुनिक काल</v>
      </c>
      <c r="I224" s="5" t="str">
        <f>IFERROR(__xludf.DUMMYFUNCTION("GOOGLETRANSLATE(D224, ""en"", ""hi"")"),"C) स्वतंत्रता के बाद की अवधि")</f>
        <v>C) स्वतंत्रता के बाद की अवधि</v>
      </c>
    </row>
    <row r="225" ht="22.5" customHeight="1">
      <c r="A225" s="10">
        <v>224.0</v>
      </c>
      <c r="B225" s="8" t="s">
        <v>10777</v>
      </c>
      <c r="C225" s="8" t="s">
        <v>10778</v>
      </c>
      <c r="D225" s="8" t="s">
        <v>10733</v>
      </c>
      <c r="F225" s="5" t="str">
        <f>IFERROR(__xludf.DUMMYFUNCTION("GOOGLETRANSLATE(A225, ""en"", ""hi"")"),"224")</f>
        <v>224</v>
      </c>
      <c r="G225" s="5" t="str">
        <f>IFERROR(__xludf.DUMMYFUNCTION("GOOGLETRANSLATE(B225, ""en"", ""hi"")"),"किस महाराजा के सहयोग से मलखम्ब को मान्यता प्राप्त खेल के रूप में स्थापित किया गया?")</f>
        <v>किस महाराजा के सहयोग से मलखम्ब को मान्यता प्राप्त खेल के रूप में स्थापित किया गया?</v>
      </c>
      <c r="H225" s="5" t="str">
        <f>IFERROR(__xludf.DUMMYFUNCTION("GOOGLETRANSLATE(C225, ""en"", ""hi"")"),"ए) शिवाजी महाराज, बी) महादजी शिंदे, सी) जय सिंह, डी) रणजीत सिंह")</f>
        <v>ए) शिवाजी महाराज, बी) महादजी शिंदे, सी) जय सिंह, डी) रणजीत सिंह</v>
      </c>
      <c r="I225" s="5" t="str">
        <f>IFERROR(__xludf.DUMMYFUNCTION("GOOGLETRANSLATE(D225, ""en"", ""hi"")"),"B) महादजी शिंदे")</f>
        <v>B) महादजी शिंदे</v>
      </c>
    </row>
    <row r="226" ht="22.5" customHeight="1">
      <c r="A226" s="10">
        <v>225.0</v>
      </c>
      <c r="B226" s="8" t="s">
        <v>10779</v>
      </c>
      <c r="C226" s="8" t="s">
        <v>10498</v>
      </c>
      <c r="D226" s="8" t="s">
        <v>4164</v>
      </c>
      <c r="F226" s="5" t="str">
        <f>IFERROR(__xludf.DUMMYFUNCTION("GOOGLETRANSLATE(A226, ""en"", ""hi"")"),"225")</f>
        <v>225</v>
      </c>
      <c r="G226" s="5" t="str">
        <f>IFERROR(__xludf.DUMMYFUNCTION("GOOGLETRANSLATE(B226, ""en"", ""hi"")"),"17वीं शताब्दी के दौरान सैन्य प्रशिक्षण में मलखम्ब को शामिल करने के लिए कौन सा ऐतिहासिक व्यक्ति जाना जाता है?")</f>
        <v>17वीं शताब्दी के दौरान सैन्य प्रशिक्षण में मलखम्ब को शामिल करने के लिए कौन सा ऐतिहासिक व्यक्ति जाना जाता है?</v>
      </c>
      <c r="H226" s="5" t="str">
        <f>IFERROR(__xludf.DUMMYFUNCTION("GOOGLETRANSLATE(C226, ""en"", ""hi"")"),"ए) शिवाजी महाराज, बी) अकबर, सी) चंद्रगुप्त मौर्य, डी) अशोक")</f>
        <v>ए) शिवाजी महाराज, बी) अकबर, सी) चंद्रगुप्त मौर्य, डी) अशोक</v>
      </c>
      <c r="I226" s="5" t="str">
        <f>IFERROR(__xludf.DUMMYFUNCTION("GOOGLETRANSLATE(D226, ""en"", ""hi"")"),"A) शिवाजी महाराज")</f>
        <v>A) शिवाजी महाराज</v>
      </c>
    </row>
    <row r="227" ht="22.5" customHeight="1">
      <c r="A227" s="10">
        <v>226.0</v>
      </c>
      <c r="B227" s="8" t="s">
        <v>10780</v>
      </c>
      <c r="C227" s="8" t="s">
        <v>10781</v>
      </c>
      <c r="D227" s="8" t="s">
        <v>10782</v>
      </c>
      <c r="F227" s="5" t="str">
        <f>IFERROR(__xludf.DUMMYFUNCTION("GOOGLETRANSLATE(A227, ""en"", ""hi"")"),"226")</f>
        <v>226</v>
      </c>
      <c r="G227" s="5" t="str">
        <f>IFERROR(__xludf.DUMMYFUNCTION("GOOGLETRANSLATE(B227, ""en"", ""hi"")"),"किस प्राचीन भारतीय प्रथा को आधुनिक मलखम्ब का अग्रदूत माना जाता है?")</f>
        <v>किस प्राचीन भारतीय प्रथा को आधुनिक मलखम्ब का अग्रदूत माना जाता है?</v>
      </c>
      <c r="H227" s="5" t="str">
        <f>IFERROR(__xludf.DUMMYFUNCTION("GOOGLETRANSLATE(C227, ""en"", ""hi"")"),"A) योग, B) मार्शल आर्ट, C) नृत्य, D) कलाबाजी")</f>
        <v>A) योग, B) मार्शल आर्ट, C) नृत्य, D) कलाबाजी</v>
      </c>
      <c r="I227" s="5" t="str">
        <f>IFERROR(__xludf.DUMMYFUNCTION("GOOGLETRANSLATE(D227, ""en"", ""hi"")"),"डी) कलाबाजी")</f>
        <v>डी) कलाबाजी</v>
      </c>
    </row>
    <row r="228" ht="22.5" customHeight="1">
      <c r="A228" s="10">
        <v>227.0</v>
      </c>
      <c r="B228" s="8" t="s">
        <v>10783</v>
      </c>
      <c r="C228" s="8" t="s">
        <v>10519</v>
      </c>
      <c r="D228" s="8" t="s">
        <v>10431</v>
      </c>
      <c r="F228" s="5" t="str">
        <f>IFERROR(__xludf.DUMMYFUNCTION("GOOGLETRANSLATE(A228, ""en"", ""hi"")"),"227")</f>
        <v>227</v>
      </c>
      <c r="G228" s="5" t="str">
        <f>IFERROR(__xludf.DUMMYFUNCTION("GOOGLETRANSLATE(B228, ""en"", ""hi"")"),"कौन सा ऐतिहासिक ग्रंथ मलखंभ के समान शारीरिक कंडीशनिंग का प्रारंभिक संदर्भ प्रदान करता है?")</f>
        <v>कौन सा ऐतिहासिक ग्रंथ मलखंभ के समान शारीरिक कंडीशनिंग का प्रारंभिक संदर्भ प्रदान करता है?</v>
      </c>
      <c r="H228" s="5" t="str">
        <f>IFERROR(__xludf.DUMMYFUNCTION("GOOGLETRANSLATE(C228, ""en"", ""hi"")"),"ए) योग सूत्र, बी) मनुस्मृति, सी) वेद, डी) रामायण")</f>
        <v>ए) योग सूत्र, बी) मनुस्मृति, सी) वेद, डी) रामायण</v>
      </c>
      <c r="I228" s="5" t="str">
        <f>IFERROR(__xludf.DUMMYFUNCTION("GOOGLETRANSLATE(D228, ""en"", ""hi"")"),"C) वेद")</f>
        <v>C) वेद</v>
      </c>
    </row>
    <row r="229" ht="22.5" customHeight="1">
      <c r="A229" s="10">
        <v>228.0</v>
      </c>
      <c r="B229" s="8" t="s">
        <v>10784</v>
      </c>
      <c r="C229" s="8" t="s">
        <v>10471</v>
      </c>
      <c r="D229" s="8" t="s">
        <v>10472</v>
      </c>
      <c r="F229" s="5" t="str">
        <f>IFERROR(__xludf.DUMMYFUNCTION("GOOGLETRANSLATE(A229, ""en"", ""hi"")"),"228")</f>
        <v>228</v>
      </c>
      <c r="G229" s="5" t="str">
        <f>IFERROR(__xludf.DUMMYFUNCTION("GOOGLETRANSLATE(B229, ""en"", ""hi"")"),"18वीं शताब्दी में किस महाराजा के शासनकाल में मलखम्ब अभ्यास और प्रतियोगिताओं का चरम देखा गया?")</f>
        <v>18वीं शताब्दी में किस महाराजा के शासनकाल में मलखम्ब अभ्यास और प्रतियोगिताओं का चरम देखा गया?</v>
      </c>
      <c r="H229" s="5" t="str">
        <f>IFERROR(__xludf.DUMMYFUNCTION("GOOGLETRANSLATE(C229, ""en"", ""hi"")"),"ए) शिवाजी महाराज, बी) जय सिंह, सी) रणजीत सिंह, डी) महादजी शिंदे")</f>
        <v>ए) शिवाजी महाराज, बी) जय सिंह, सी) रणजीत सिंह, डी) महादजी शिंदे</v>
      </c>
      <c r="I229" s="5" t="str">
        <f>IFERROR(__xludf.DUMMYFUNCTION("GOOGLETRANSLATE(D229, ""en"", ""hi"")"),"D) महादजी शिंदे")</f>
        <v>D) महादजी शिंदे</v>
      </c>
    </row>
    <row r="230" ht="22.5" customHeight="1">
      <c r="A230" s="10">
        <v>229.0</v>
      </c>
      <c r="B230" s="8" t="s">
        <v>10785</v>
      </c>
      <c r="C230" s="8" t="s">
        <v>10786</v>
      </c>
      <c r="D230" s="8" t="s">
        <v>10787</v>
      </c>
      <c r="F230" s="5" t="str">
        <f>IFERROR(__xludf.DUMMYFUNCTION("GOOGLETRANSLATE(A230, ""en"", ""hi"")"),"229")</f>
        <v>229</v>
      </c>
      <c r="G230" s="5" t="str">
        <f>IFERROR(__xludf.DUMMYFUNCTION("GOOGLETRANSLATE(B230, ""en"", ""hi"")"),"मलखम्ब पर मराठा साम्राज्य का मुख्य प्रभाव क्या था?")</f>
        <v>मलखम्ब पर मराठा साम्राज्य का मुख्य प्रभाव क्या था?</v>
      </c>
      <c r="H230" s="5" t="str">
        <f>IFERROR(__xludf.DUMMYFUNCTION("GOOGLETRANSLATE(C230, ""en"", ""hi"")"),"A) इसने मलखम्ब को औपचारिक रूप दिया, B) इसने मलखम्ब के पतन का कारण बना, C) इसने नई तकनीकों की शुरुआत की, D) इसने मलखम्ब को सैन्य प्रशिक्षण में एकीकृत किया")</f>
        <v>A) इसने मलखम्ब को औपचारिक रूप दिया, B) इसने मलखम्ब के पतन का कारण बना, C) इसने नई तकनीकों की शुरुआत की, D) इसने मलखम्ब को सैन्य प्रशिक्षण में एकीकृत किया</v>
      </c>
      <c r="I230" s="5" t="str">
        <f>IFERROR(__xludf.DUMMYFUNCTION("GOOGLETRANSLATE(D230, ""en"", ""hi"")"),"D) इसने मलखंभ को सैन्य प्रशिक्षण में एकीकृत किया")</f>
        <v>D) इसने मलखंभ को सैन्य प्रशिक्षण में एकीकृत किया</v>
      </c>
    </row>
    <row r="231" ht="22.5" customHeight="1">
      <c r="A231" s="10">
        <v>230.0</v>
      </c>
      <c r="B231" s="8" t="s">
        <v>10788</v>
      </c>
      <c r="C231" s="8" t="s">
        <v>10503</v>
      </c>
      <c r="D231" s="8" t="s">
        <v>4164</v>
      </c>
      <c r="F231" s="5" t="str">
        <f>IFERROR(__xludf.DUMMYFUNCTION("GOOGLETRANSLATE(A231, ""en"", ""hi"")"),"230")</f>
        <v>230</v>
      </c>
      <c r="G231" s="5" t="str">
        <f>IFERROR(__xludf.DUMMYFUNCTION("GOOGLETRANSLATE(B231, ""en"", ""hi"")"),"सैन्य नियमावली में मलखम्ब के ऐतिहासिक दस्तावेजीकरण का श्रेय किस राजा को दिया जाता है?")</f>
        <v>सैन्य नियमावली में मलखम्ब के ऐतिहासिक दस्तावेजीकरण का श्रेय किस राजा को दिया जाता है?</v>
      </c>
      <c r="H231" s="5" t="str">
        <f>IFERROR(__xludf.DUMMYFUNCTION("GOOGLETRANSLATE(C231, ""en"", ""hi"")"),"ए) शिवाजी महाराज, बी) अकबर, सी) औरंगजेब, डी) चंद्रगुप्त मौर्य")</f>
        <v>ए) शिवाजी महाराज, बी) अकबर, सी) औरंगजेब, डी) चंद्रगुप्त मौर्य</v>
      </c>
      <c r="I231" s="5" t="str">
        <f>IFERROR(__xludf.DUMMYFUNCTION("GOOGLETRANSLATE(D231, ""en"", ""hi"")"),"A) शिवाजी महाराज")</f>
        <v>A) शिवाजी महाराज</v>
      </c>
    </row>
    <row r="232" ht="22.5" customHeight="1">
      <c r="A232" s="10">
        <v>231.0</v>
      </c>
      <c r="B232" s="8" t="s">
        <v>10789</v>
      </c>
      <c r="C232" s="8" t="s">
        <v>10739</v>
      </c>
      <c r="D232" s="8" t="s">
        <v>10740</v>
      </c>
      <c r="F232" s="5" t="str">
        <f>IFERROR(__xludf.DUMMYFUNCTION("GOOGLETRANSLATE(A232, ""en"", ""hi"")"),"231")</f>
        <v>231</v>
      </c>
      <c r="G232" s="5" t="str">
        <f>IFERROR(__xludf.DUMMYFUNCTION("GOOGLETRANSLATE(B232, ""en"", ""hi"")"),"किस भारतीय राजवंश के पतन के कारण मलखम्ब का अस्थायी पतन हुआ?")</f>
        <v>किस भारतीय राजवंश के पतन के कारण मलखम्ब का अस्थायी पतन हुआ?</v>
      </c>
      <c r="H232" s="5" t="str">
        <f>IFERROR(__xludf.DUMMYFUNCTION("GOOGLETRANSLATE(C232, ""en"", ""hi"")"),"A) मराठा वंश, B) मुगल वंश, C) गुप्त वंश, D) मौर्य वंश")</f>
        <v>A) मराठा वंश, B) मुगल वंश, C) गुप्त वंश, D) मौर्य वंश</v>
      </c>
      <c r="I232" s="5" t="str">
        <f>IFERROR(__xludf.DUMMYFUNCTION("GOOGLETRANSLATE(D232, ""en"", ""hi"")"),"बी) मुगल वंश")</f>
        <v>बी) मुगल वंश</v>
      </c>
    </row>
    <row r="233" ht="22.5" customHeight="1">
      <c r="A233" s="10">
        <v>232.0</v>
      </c>
      <c r="B233" s="8" t="s">
        <v>10790</v>
      </c>
      <c r="C233" s="8" t="s">
        <v>10791</v>
      </c>
      <c r="D233" s="8" t="s">
        <v>10772</v>
      </c>
      <c r="F233" s="5" t="str">
        <f>IFERROR(__xludf.DUMMYFUNCTION("GOOGLETRANSLATE(A233, ""en"", ""hi"")"),"232")</f>
        <v>232</v>
      </c>
      <c r="G233" s="5" t="str">
        <f>IFERROR(__xludf.DUMMYFUNCTION("GOOGLETRANSLATE(B233, ""en"", ""hi"")"),"20वीं सदी की कौन सी हस्ती पारंपरिक मलखम्ब तकनीक को पुनर्जीवित करने के लिए जानी जाती है?")</f>
        <v>20वीं सदी की कौन सी हस्ती पारंपरिक मलखम्ब तकनीक को पुनर्जीवित करने के लिए जानी जाती है?</v>
      </c>
      <c r="H233" s="5" t="str">
        <f>IFERROR(__xludf.DUMMYFUNCTION("GOOGLETRANSLATE(C233, ""en"", ""hi"")"),"ए) लक्ष्मण राव किर्लोस्कर, बी) महात्मा गांधी, सी) जवाहरलाल नेहरू, डी) भाऊ दाजी लाड")</f>
        <v>ए) लक्ष्मण राव किर्लोस्कर, बी) महात्मा गांधी, सी) जवाहरलाल नेहरू, डी) भाऊ दाजी लाड</v>
      </c>
      <c r="I233" s="5" t="str">
        <f>IFERROR(__xludf.DUMMYFUNCTION("GOOGLETRANSLATE(D233, ""en"", ""hi"")"),"A) लक्ष्मण राव किर्लोस्कर")</f>
        <v>A) लक्ष्मण राव किर्लोस्कर</v>
      </c>
    </row>
    <row r="234" ht="22.5" customHeight="1">
      <c r="A234" s="10">
        <v>233.0</v>
      </c>
      <c r="B234" s="8" t="s">
        <v>10792</v>
      </c>
      <c r="C234" s="8" t="s">
        <v>10793</v>
      </c>
      <c r="D234" s="8" t="s">
        <v>2616</v>
      </c>
      <c r="F234" s="5" t="str">
        <f>IFERROR(__xludf.DUMMYFUNCTION("GOOGLETRANSLATE(A234, ""en"", ""hi"")"),"233")</f>
        <v>233</v>
      </c>
      <c r="G234" s="5" t="str">
        <f>IFERROR(__xludf.DUMMYFUNCTION("GOOGLETRANSLATE(B234, ""en"", ""hi"")"),"17वीं शताब्दी के किस ऐतिहासिक ग्रंथ में आधुनिक मलखम्ब के समान तकनीकों का वर्णन किया गया है?")</f>
        <v>17वीं शताब्दी के किस ऐतिहासिक ग्रंथ में आधुनिक मलखम्ब के समान तकनीकों का वर्णन किया गया है?</v>
      </c>
      <c r="H234" s="5" t="str">
        <f>IFERROR(__xludf.DUMMYFUNCTION("GOOGLETRANSLATE(C234, ""en"", ""hi"")"),"ए) अर्थशास्त्र, बी) मनुस्मृति, सी) योग सूत्र, डी) रामायण")</f>
        <v>ए) अर्थशास्त्र, बी) मनुस्मृति, सी) योग सूत्र, डी) रामायण</v>
      </c>
      <c r="I234" s="5" t="str">
        <f>IFERROR(__xludf.DUMMYFUNCTION("GOOGLETRANSLATE(D234, ""en"", ""hi"")"),"A) अर्थशास्त्र")</f>
        <v>A) अर्थशास्त्र</v>
      </c>
    </row>
    <row r="235" ht="22.5" customHeight="1">
      <c r="A235" s="10">
        <v>234.0</v>
      </c>
      <c r="B235" s="8" t="s">
        <v>10794</v>
      </c>
      <c r="C235" s="8" t="s">
        <v>10795</v>
      </c>
      <c r="D235" s="8" t="s">
        <v>10796</v>
      </c>
      <c r="F235" s="5" t="str">
        <f>IFERROR(__xludf.DUMMYFUNCTION("GOOGLETRANSLATE(A235, ""en"", ""hi"")"),"234")</f>
        <v>234</v>
      </c>
      <c r="G235" s="5" t="str">
        <f>IFERROR(__xludf.DUMMYFUNCTION("GOOGLETRANSLATE(B235, ""en"", ""hi"")"),"19वीं सदी में मलखम्ब के पुनरुद्धार में प्रमुख कारक क्या था?")</f>
        <v>19वीं सदी में मलखम्ब के पुनरुद्धार में प्रमुख कारक क्या था?</v>
      </c>
      <c r="H235" s="5" t="str">
        <f>IFERROR(__xludf.DUMMYFUNCTION("GOOGLETRANSLATE(C235, ""en"", ""hi"")"),"A) सरकारी हस्तक्षेप, B) सांस्कृतिक पुनरुत्थान आंदोलन, C) अंतर्राष्ट्रीय प्रतियोगिताएं, D) शैक्षिक सुधार")</f>
        <v>A) सरकारी हस्तक्षेप, B) सांस्कृतिक पुनरुत्थान आंदोलन, C) अंतर्राष्ट्रीय प्रतियोगिताएं, D) शैक्षिक सुधार</v>
      </c>
      <c r="I235" s="5" t="str">
        <f>IFERROR(__xludf.DUMMYFUNCTION("GOOGLETRANSLATE(D235, ""en"", ""hi"")"),"बी) सांस्कृतिक पुनरुत्थान आंदोलन")</f>
        <v>बी) सांस्कृतिक पुनरुत्थान आंदोलन</v>
      </c>
    </row>
    <row r="236" ht="22.5" customHeight="1">
      <c r="A236" s="10">
        <v>235.0</v>
      </c>
      <c r="B236" s="8" t="s">
        <v>10797</v>
      </c>
      <c r="C236" s="8" t="s">
        <v>10778</v>
      </c>
      <c r="D236" s="8" t="s">
        <v>10733</v>
      </c>
      <c r="F236" s="5" t="str">
        <f>IFERROR(__xludf.DUMMYFUNCTION("GOOGLETRANSLATE(A236, ""en"", ""hi"")"),"235")</f>
        <v>235</v>
      </c>
      <c r="G236" s="5" t="str">
        <f>IFERROR(__xludf.DUMMYFUNCTION("GOOGLETRANSLATE(B236, ""en"", ""hi"")"),"19वीं शताब्दी में किस महाराजा के सहयोग से मलखम्ब के औपचारिक नियम स्थापित करने में मदद मिली?")</f>
        <v>19वीं शताब्दी में किस महाराजा के सहयोग से मलखम्ब के औपचारिक नियम स्थापित करने में मदद मिली?</v>
      </c>
      <c r="H236" s="5" t="str">
        <f>IFERROR(__xludf.DUMMYFUNCTION("GOOGLETRANSLATE(C236, ""en"", ""hi"")"),"ए) शिवाजी महाराज, बी) महादजी शिंदे, सी) जय सिंह, डी) रणजीत सिंह")</f>
        <v>ए) शिवाजी महाराज, बी) महादजी शिंदे, सी) जय सिंह, डी) रणजीत सिंह</v>
      </c>
      <c r="I236" s="5" t="str">
        <f>IFERROR(__xludf.DUMMYFUNCTION("GOOGLETRANSLATE(D236, ""en"", ""hi"")"),"B) महादजी शिंदे")</f>
        <v>B) महादजी शिंदे</v>
      </c>
    </row>
    <row r="237" ht="22.5" customHeight="1">
      <c r="A237" s="10">
        <v>236.0</v>
      </c>
      <c r="B237" s="8" t="s">
        <v>10798</v>
      </c>
      <c r="C237" s="8" t="s">
        <v>10475</v>
      </c>
      <c r="D237" s="8" t="s">
        <v>10476</v>
      </c>
      <c r="F237" s="5" t="str">
        <f>IFERROR(__xludf.DUMMYFUNCTION("GOOGLETRANSLATE(A237, ""en"", ""hi"")"),"236")</f>
        <v>236</v>
      </c>
      <c r="G237" s="5" t="str">
        <f>IFERROR(__xludf.DUMMYFUNCTION("GOOGLETRANSLATE(B237, ""en"", ""hi"")"),"ऐतिहासिक रूप से किस त्यौहार में मलखम्ब प्रदर्शन और प्रतियोगिताएं होती थीं?")</f>
        <v>ऐतिहासिक रूप से किस त्यौहार में मलखम्ब प्रदर्शन और प्रतियोगिताएं होती थीं?</v>
      </c>
      <c r="H237" s="5" t="str">
        <f>IFERROR(__xludf.DUMMYFUNCTION("GOOGLETRANSLATE(C237, ""en"", ""hi"")"),"ए) गणेश चतुर्थी, बी) दिवाली, सी) होली, डी) पोंगल")</f>
        <v>ए) गणेश चतुर्थी, बी) दिवाली, सी) होली, डी) पोंगल</v>
      </c>
      <c r="I237" s="5" t="str">
        <f>IFERROR(__xludf.DUMMYFUNCTION("GOOGLETRANSLATE(D237, ""en"", ""hi"")"),"A) गणेश चतुर्थी")</f>
        <v>A) गणेश चतुर्थी</v>
      </c>
    </row>
    <row r="238" ht="22.5" customHeight="1">
      <c r="A238" s="10">
        <v>237.0</v>
      </c>
      <c r="B238" s="8" t="s">
        <v>10799</v>
      </c>
      <c r="C238" s="8" t="s">
        <v>10800</v>
      </c>
      <c r="D238" s="8" t="s">
        <v>10801</v>
      </c>
      <c r="F238" s="5" t="str">
        <f>IFERROR(__xludf.DUMMYFUNCTION("GOOGLETRANSLATE(A238, ""en"", ""hi"")"),"237")</f>
        <v>237</v>
      </c>
      <c r="G238" s="5" t="str">
        <f>IFERROR(__xludf.DUMMYFUNCTION("GOOGLETRANSLATE(B238, ""en"", ""hi"")"),"मलखम्ब के इतिहास में मराठा साम्राज्य की क्या भूमिका थी?")</f>
        <v>मलखम्ब के इतिहास में मराठा साम्राज्य की क्या भूमिका थी?</v>
      </c>
      <c r="H238" s="5" t="str">
        <f>IFERROR(__xludf.DUMMYFUNCTION("GOOGLETRANSLATE(C238, ""en"", ""hi"")"),"A)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f>
        <v>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v>
      </c>
      <c r="I238" s="5" t="str">
        <f>IFERROR(__xludf.DUMMYFUNCTION("GOOGLETRANSLATE(D238, ""en"", ""hi"")"),"B) इसने एक खेल के रूप में इसके विकास में मदद की")</f>
        <v>B) इसने एक खेल के रूप में इसके विकास में मदद की</v>
      </c>
    </row>
    <row r="239" ht="22.5" customHeight="1">
      <c r="A239" s="10">
        <v>238.0</v>
      </c>
      <c r="B239" s="8" t="s">
        <v>10802</v>
      </c>
      <c r="C239" s="8" t="s">
        <v>10503</v>
      </c>
      <c r="D239" s="8" t="s">
        <v>4164</v>
      </c>
      <c r="F239" s="5" t="str">
        <f>IFERROR(__xludf.DUMMYFUNCTION("GOOGLETRANSLATE(A239, ""en"", ""hi"")"),"238")</f>
        <v>238</v>
      </c>
      <c r="G239" s="5" t="str">
        <f>IFERROR(__xludf.DUMMYFUNCTION("GOOGLETRANSLATE(B239, ""en"", ""hi"")"),"17वीं शताब्दी के किस शासक के सैन्य प्रशिक्षण में मलखम्ब एक प्रमुख घटक के रूप में शामिल था?")</f>
        <v>17वीं शताब्दी के किस शासक के सैन्य प्रशिक्षण में मलखम्ब एक प्रमुख घटक के रूप में शामिल था?</v>
      </c>
      <c r="H239" s="5" t="str">
        <f>IFERROR(__xludf.DUMMYFUNCTION("GOOGLETRANSLATE(C239, ""en"", ""hi"")"),"ए) शिवाजी महाराज, बी) अकबर, सी) औरंगजेब, डी) चंद्रगुप्त मौर्य")</f>
        <v>ए) शिवाजी महाराज, बी) अकबर, सी) औरंगजेब, डी) चंद्रगुप्त मौर्य</v>
      </c>
      <c r="I239" s="5" t="str">
        <f>IFERROR(__xludf.DUMMYFUNCTION("GOOGLETRANSLATE(D239, ""en"", ""hi"")"),"A) शिवाजी महाराज")</f>
        <v>A) शिवाजी महाराज</v>
      </c>
    </row>
    <row r="240" ht="22.5" customHeight="1">
      <c r="A240" s="10">
        <v>239.0</v>
      </c>
      <c r="B240" s="8" t="s">
        <v>10803</v>
      </c>
      <c r="C240" s="8" t="s">
        <v>10804</v>
      </c>
      <c r="D240" s="8" t="s">
        <v>3365</v>
      </c>
      <c r="F240" s="5" t="str">
        <f>IFERROR(__xludf.DUMMYFUNCTION("GOOGLETRANSLATE(A240, ""en"", ""hi"")"),"239")</f>
        <v>239</v>
      </c>
      <c r="G240" s="5" t="str">
        <f>IFERROR(__xludf.DUMMYFUNCTION("GOOGLETRANSLATE(B240, ""en"", ""hi"")"),"किस प्राचीन भारतीय ग्रंथ में मलखंभ जैसी शारीरिक प्रथाओं का उल्लेख है?")</f>
        <v>किस प्राचीन भारतीय ग्रंथ में मलखंभ जैसी शारीरिक प्रथाओं का उल्लेख है?</v>
      </c>
      <c r="H240" s="5" t="str">
        <f>IFERROR(__xludf.DUMMYFUNCTION("GOOGLETRANSLATE(C240, ""en"", ""hi"")"),"ए) योग सूत्र, बी) मनुस्मृति, सी) अर्थशास्त्र, डी) रामायण")</f>
        <v>ए) योग सूत्र, बी) मनुस्मृति, सी) अर्थशास्त्र, डी) रामायण</v>
      </c>
      <c r="I240" s="5" t="str">
        <f>IFERROR(__xludf.DUMMYFUNCTION("GOOGLETRANSLATE(D240, ""en"", ""hi"")"),"C) अर्थशास्त्र")</f>
        <v>C) अर्थशास्त्र</v>
      </c>
    </row>
    <row r="241" ht="22.5" customHeight="1">
      <c r="A241" s="10">
        <v>240.0</v>
      </c>
      <c r="B241" s="8" t="s">
        <v>10805</v>
      </c>
      <c r="C241" s="8" t="s">
        <v>10806</v>
      </c>
      <c r="D241" s="8" t="s">
        <v>10807</v>
      </c>
      <c r="F241" s="5" t="str">
        <f>IFERROR(__xludf.DUMMYFUNCTION("GOOGLETRANSLATE(A241, ""en"", ""hi"")"),"240")</f>
        <v>240</v>
      </c>
      <c r="G241" s="5" t="str">
        <f>IFERROR(__xludf.DUMMYFUNCTION("GOOGLETRANSLATE(B241, ""en"", ""hi"")"),"भारतीय सैन्य इतिहास के संदर्भ में मलखम्ब का क्या महत्व है?")</f>
        <v>भारतीय सैन्य इतिहास के संदर्भ में मलखम्ब का क्या महत्व है?</v>
      </c>
      <c r="H241" s="5" t="str">
        <f>IFERROR(__xludf.DUMMYFUNCTION("GOOGLETRANSLATE(C241, ""en"", ""hi"")"),"A) इसका उपयोग सैनिकों की शारीरिक कंडीशनिंग के लिए किया जाता था, B) यह मनोरंजन का एक रूप था, C) यह एक धार्मिक अनुष्ठान था, D) यह नृत्य का एक रूप था")</f>
        <v>A) इसका उपयोग सैनिकों की शारीरिक कंडीशनिंग के लिए किया जाता था, B) यह मनोरंजन का एक रूप था, C) यह एक धार्मिक अनुष्ठान था, D) यह नृत्य का एक रूप था</v>
      </c>
      <c r="I241" s="5" t="str">
        <f>IFERROR(__xludf.DUMMYFUNCTION("GOOGLETRANSLATE(D241, ""en"", ""hi"")"),"A) इसका उपयोग सैनिकों की शारीरिक कंडीशनिंग के लिए किया जाता था")</f>
        <v>A) इसका उपयोग सैनिकों की शारीरिक कंडीशनिंग के लिए किया जाता था</v>
      </c>
    </row>
    <row r="242" ht="22.5" customHeight="1">
      <c r="A242" s="10">
        <v>241.0</v>
      </c>
      <c r="B242" s="8" t="s">
        <v>10808</v>
      </c>
      <c r="C242" s="8" t="s">
        <v>10809</v>
      </c>
      <c r="D242" s="8" t="s">
        <v>10810</v>
      </c>
      <c r="F242" s="5" t="str">
        <f>IFERROR(__xludf.DUMMYFUNCTION("GOOGLETRANSLATE(A242, ""en"", ""hi"")"),"241")</f>
        <v>241</v>
      </c>
      <c r="G242" s="5" t="str">
        <f>IFERROR(__xludf.DUMMYFUNCTION("GOOGLETRANSLATE(B242,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242" s="5" t="str">
        <f>IFERROR(__xludf.DUMMYFUNCTION("GOOGLETRANSLATE(C242,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242" s="5" t="str">
        <f>IFERROR(__xludf.DUMMYFUNCTION("GOOGLETRANSLATE(D242, ""en"", ""hi"")"),"बी) सांस्कृतिक उत्सव")</f>
        <v>बी) सांस्कृतिक उत्सव</v>
      </c>
    </row>
    <row r="243" ht="22.5" customHeight="1">
      <c r="A243" s="10">
        <v>242.0</v>
      </c>
      <c r="B243" s="8" t="s">
        <v>10811</v>
      </c>
      <c r="C243" s="8" t="s">
        <v>10812</v>
      </c>
      <c r="D243" s="8" t="s">
        <v>10813</v>
      </c>
      <c r="F243" s="5" t="str">
        <f>IFERROR(__xludf.DUMMYFUNCTION("GOOGLETRANSLATE(A243, ""en"", ""hi"")"),"242")</f>
        <v>242</v>
      </c>
      <c r="G243" s="5" t="str">
        <f>IFERROR(__xludf.DUMMYFUNCTION("GOOGLETRANSLATE(B243, ""en"", ""hi"")"),"किस महाराजा के काल में मानकीकृत मलखम्ब तकनीकों और रूपों का विकास हुआ?")</f>
        <v>किस महाराजा के काल में मानकीकृत मलखम्ब तकनीकों और रूपों का विकास हुआ?</v>
      </c>
      <c r="H243" s="5" t="str">
        <f>IFERROR(__xludf.DUMMYFUNCTION("GOOGLETRANSLATE(C243, ""en"", ""hi"")"),"ए) शिवाजी महाराज, बी) जय सिंह, सी) महादजी शिंदे, डी) रणजीत सिंह")</f>
        <v>ए) शिवाजी महाराज, बी) जय सिंह, सी) महादजी शिंदे, डी) रणजीत सिंह</v>
      </c>
      <c r="I243" s="5" t="str">
        <f>IFERROR(__xludf.DUMMYFUNCTION("GOOGLETRANSLATE(D243, ""en"", ""hi"")"),"C) महादजी शिंदे")</f>
        <v>C) महादजी शिंदे</v>
      </c>
    </row>
    <row r="244" ht="22.5" customHeight="1">
      <c r="A244" s="10">
        <v>243.0</v>
      </c>
      <c r="B244" s="8" t="s">
        <v>10814</v>
      </c>
      <c r="C244" s="8" t="s">
        <v>10538</v>
      </c>
      <c r="D244" s="8" t="s">
        <v>10485</v>
      </c>
      <c r="F244" s="5" t="str">
        <f>IFERROR(__xludf.DUMMYFUNCTION("GOOGLETRANSLATE(A244, ""en"", ""hi"")"),"243")</f>
        <v>243</v>
      </c>
      <c r="G244" s="5" t="str">
        <f>IFERROR(__xludf.DUMMYFUNCTION("GOOGLETRANSLATE(B244, ""en"", ""hi"")"),"प्राचीन काल का कौन सा भारतीय ग्रंथ मलखंभ की प्रथा को प्रभावित करने के लिए जाना जाता है?")</f>
        <v>प्राचीन काल का कौन सा भारतीय ग्रंथ मलखंभ की प्रथा को प्रभावित करने के लिए जाना जाता है?</v>
      </c>
      <c r="H244" s="5" t="str">
        <f>IFERROR(__xludf.DUMMYFUNCTION("GOOGLETRANSLATE(C244, ""en"", ""hi"")"),"ए) मनुस्मृति, बी) वेद, सी) योग सूत्र, डी) रामायण")</f>
        <v>ए) मनुस्मृति, बी) वेद, सी) योग सूत्र, डी) रामायण</v>
      </c>
      <c r="I244" s="5" t="str">
        <f>IFERROR(__xludf.DUMMYFUNCTION("GOOGLETRANSLATE(D244, ""en"", ""hi"")"),"बी) वेद")</f>
        <v>बी) वेद</v>
      </c>
    </row>
    <row r="245" ht="22.5" customHeight="1">
      <c r="A245" s="10">
        <v>244.0</v>
      </c>
      <c r="B245" s="8" t="s">
        <v>10815</v>
      </c>
      <c r="C245" s="8" t="s">
        <v>10816</v>
      </c>
      <c r="D245" s="8" t="s">
        <v>4164</v>
      </c>
      <c r="F245" s="5" t="str">
        <f>IFERROR(__xludf.DUMMYFUNCTION("GOOGLETRANSLATE(A245, ""en"", ""hi"")"),"244")</f>
        <v>244</v>
      </c>
      <c r="G245" s="5" t="str">
        <f>IFERROR(__xludf.DUMMYFUNCTION("GOOGLETRANSLATE(B245, ""en"", ""hi"")"),"मलखम्ब तकनीक के प्रथम औपचारिक दस्तावेजीकरण से कौन सा ऐतिहासिक व्यक्तित्व जुड़ा है?")</f>
        <v>मलखम्ब तकनीक के प्रथम औपचारिक दस्तावेजीकरण से कौन सा ऐतिहासिक व्यक्तित्व जुड़ा है?</v>
      </c>
      <c r="H245" s="5" t="str">
        <f>IFERROR(__xludf.DUMMYFUNCTION("GOOGLETRANSLATE(C245, ""en"", ""hi"")"),"ए) शिवाजी महाराज, बी) महादजी शिंदे, सी) अकबर, डी) चंद्रगुप्त मौर्य")</f>
        <v>ए) शिवाजी महाराज, बी) महादजी शिंदे, सी) अकबर, डी) चंद्रगुप्त मौर्य</v>
      </c>
      <c r="I245" s="5" t="str">
        <f>IFERROR(__xludf.DUMMYFUNCTION("GOOGLETRANSLATE(D245, ""en"", ""hi"")"),"A) शिवाजी महाराज")</f>
        <v>A) शिवाजी महाराज</v>
      </c>
    </row>
    <row r="246" ht="22.5" customHeight="1">
      <c r="A246" s="10">
        <v>245.0</v>
      </c>
      <c r="B246" s="8" t="s">
        <v>10817</v>
      </c>
      <c r="C246" s="8" t="s">
        <v>10818</v>
      </c>
      <c r="D246" s="8" t="s">
        <v>10819</v>
      </c>
      <c r="F246" s="5" t="str">
        <f>IFERROR(__xludf.DUMMYFUNCTION("GOOGLETRANSLATE(A246, ""en"", ""hi"")"),"245")</f>
        <v>245</v>
      </c>
      <c r="G246" s="5" t="str">
        <f>IFERROR(__xludf.DUMMYFUNCTION("GOOGLETRANSLATE(B246, ""en"", ""hi"")"),"19वीं शताब्दी में किस ऐतिहासिक घटना ने मलखम्ब में नए सिरे से रुचि पैदा की?")</f>
        <v>19वीं शताब्दी में किस ऐतिहासिक घटना ने मलखम्ब में नए सिरे से रुचि पैदा की?</v>
      </c>
      <c r="H246" s="5" t="str">
        <f>IFERROR(__xludf.DUMMYFUNCTION("GOOGLETRANSLATE(C246, ""en"", ""hi"")"),"A) मराठा साम्राज्य का पुनरुत्थान, B) ब्रिटिश औपनिवेशिक विस्तार, C) 1857 का भारतीय विद्रोह, D) स्वतंत्रता आंदोलन")</f>
        <v>A) मराठा साम्राज्य का पुनरुत्थान, B) ब्रिटिश औपनिवेशिक विस्तार, C) 1857 का भारतीय विद्रोह, D) स्वतंत्रता आंदोलन</v>
      </c>
      <c r="I246" s="5" t="str">
        <f>IFERROR(__xludf.DUMMYFUNCTION("GOOGLETRANSLATE(D246, ""en"", ""hi"")"),"बी) ब्रिटिश औपनिवेशिक विस्तार")</f>
        <v>बी) ब्रिटिश औपनिवेशिक विस्तार</v>
      </c>
    </row>
    <row r="247" ht="22.5" customHeight="1">
      <c r="A247" s="10">
        <v>246.0</v>
      </c>
      <c r="B247" s="8" t="s">
        <v>10820</v>
      </c>
      <c r="C247" s="8" t="s">
        <v>10498</v>
      </c>
      <c r="D247" s="8" t="s">
        <v>4164</v>
      </c>
      <c r="F247" s="5" t="str">
        <f>IFERROR(__xludf.DUMMYFUNCTION("GOOGLETRANSLATE(A247, ""en"", ""hi"")"),"246")</f>
        <v>246</v>
      </c>
      <c r="G247" s="5" t="str">
        <f>IFERROR(__xludf.DUMMYFUNCTION("GOOGLETRANSLATE(B247, ""en"", ""hi"")"),"17वीं शताब्दी में किस राजा की सैन्य प्रशिक्षण पुस्तिका में मलखम्ब तकनीक शामिल थी?")</f>
        <v>17वीं शताब्दी में किस राजा की सैन्य प्रशिक्षण पुस्तिका में मलखम्ब तकनीक शामिल थी?</v>
      </c>
      <c r="H247" s="5" t="str">
        <f>IFERROR(__xludf.DUMMYFUNCTION("GOOGLETRANSLATE(C247, ""en"", ""hi"")"),"ए) शिवाजी महाराज, बी) अकबर, सी) चंद्रगुप्त मौर्य, डी) अशोक")</f>
        <v>ए) शिवाजी महाराज, बी) अकबर, सी) चंद्रगुप्त मौर्य, डी) अशोक</v>
      </c>
      <c r="I247" s="5" t="str">
        <f>IFERROR(__xludf.DUMMYFUNCTION("GOOGLETRANSLATE(D247, ""en"", ""hi"")"),"A) शिवाजी महाराज")</f>
        <v>A) शिवाजी महाराज</v>
      </c>
    </row>
    <row r="248" ht="22.5" customHeight="1">
      <c r="A248" s="10">
        <v>247.0</v>
      </c>
      <c r="B248" s="8" t="s">
        <v>10821</v>
      </c>
      <c r="C248" s="8" t="s">
        <v>10822</v>
      </c>
      <c r="D248" s="8" t="s">
        <v>10823</v>
      </c>
      <c r="F248" s="5" t="str">
        <f>IFERROR(__xludf.DUMMYFUNCTION("GOOGLETRANSLATE(A248, ""en"", ""hi"")"),"247")</f>
        <v>247</v>
      </c>
      <c r="G248" s="5" t="str">
        <f>IFERROR(__xludf.DUMMYFUNCTION("GOOGLETRANSLATE(B248, ""en"", ""hi"")"),"आधुनिक समय में मलखम्ब को एक प्रतिस्पर्धात्मक खेल के रूप में स्थापित करने में प्रमुख कारक क्या था?")</f>
        <v>आधुनिक समय में मलखम्ब को एक प्रतिस्पर्धात्मक खेल के रूप में स्थापित करने में प्रमुख कारक क्या था?</v>
      </c>
      <c r="H248" s="5" t="str">
        <f>IFERROR(__xludf.DUMMYFUNCTION("GOOGLETRANSLATE(C248, ""en"", ""hi"")"),"A) सरकारी वित्त पोषण, B) सांस्कृतिक पुनरुत्थान, C) अंतर्राष्ट्रीय मान्यता, D) शैक्षिक सुधार")</f>
        <v>A) सरकारी वित्त पोषण, B) सांस्कृतिक पुनरुत्थान, C) अंतर्राष्ट्रीय मान्यता, D) शैक्षिक सुधार</v>
      </c>
      <c r="I248" s="5" t="str">
        <f>IFERROR(__xludf.DUMMYFUNCTION("GOOGLETRANSLATE(D248, ""en"", ""hi"")"),"बी) सांस्कृतिक पुनरुत्थान")</f>
        <v>बी) सांस्कृतिक पुनरुत्थान</v>
      </c>
    </row>
    <row r="249" ht="22.5" customHeight="1">
      <c r="A249" s="10">
        <v>248.0</v>
      </c>
      <c r="B249" s="8" t="s">
        <v>10824</v>
      </c>
      <c r="C249" s="8" t="s">
        <v>10778</v>
      </c>
      <c r="D249" s="8" t="s">
        <v>10733</v>
      </c>
      <c r="F249" s="5" t="str">
        <f>IFERROR(__xludf.DUMMYFUNCTION("GOOGLETRANSLATE(A249, ""en"", ""hi"")"),"248")</f>
        <v>248</v>
      </c>
      <c r="G249" s="5" t="str">
        <f>IFERROR(__xludf.DUMMYFUNCTION("GOOGLETRANSLATE(B249, ""en"", ""hi"")"),"18वीं शताब्दी के किस महाराजा का शासनकाल सैन्य प्रशिक्षण के एक भाग के रूप में मलखम्ब को बढ़ावा देने के लिए जाना जाता है?")</f>
        <v>18वीं शताब्दी के किस महाराजा का शासनकाल सैन्य प्रशिक्षण के एक भाग के रूप में मलखम्ब को बढ़ावा देने के लिए जाना जाता है?</v>
      </c>
      <c r="H249" s="5" t="str">
        <f>IFERROR(__xludf.DUMMYFUNCTION("GOOGLETRANSLATE(C249, ""en"", ""hi"")"),"ए) शिवाजी महाराज, बी) महादजी शिंदे, सी) जय सिंह, डी) रणजीत सिंह")</f>
        <v>ए) शिवाजी महाराज, बी) महादजी शिंदे, सी) जय सिंह, डी) रणजीत सिंह</v>
      </c>
      <c r="I249" s="5" t="str">
        <f>IFERROR(__xludf.DUMMYFUNCTION("GOOGLETRANSLATE(D249, ""en"", ""hi"")"),"B) महादजी शिंदे")</f>
        <v>B) महादजी शिंदे</v>
      </c>
    </row>
    <row r="250" ht="22.5" customHeight="1">
      <c r="A250" s="10">
        <v>249.0</v>
      </c>
      <c r="B250" s="8" t="s">
        <v>10825</v>
      </c>
      <c r="C250" s="8" t="s">
        <v>10503</v>
      </c>
      <c r="D250" s="8" t="s">
        <v>4164</v>
      </c>
      <c r="F250" s="5" t="str">
        <f>IFERROR(__xludf.DUMMYFUNCTION("GOOGLETRANSLATE(A250, ""en"", ""hi"")"),"249")</f>
        <v>249</v>
      </c>
      <c r="G250" s="5" t="str">
        <f>IFERROR(__xludf.DUMMYFUNCTION("GOOGLETRANSLATE(B250, ""en"", ""hi"")"),"17वीं शताब्दी के दौरान किस भारतीय राजा के सहयोग से मलखम्ब तकनीक का विकास हुआ?")</f>
        <v>17वीं शताब्दी के दौरान किस भारतीय राजा के सहयोग से मलखम्ब तकनीक का विकास हुआ?</v>
      </c>
      <c r="H250" s="5" t="str">
        <f>IFERROR(__xludf.DUMMYFUNCTION("GOOGLETRANSLATE(C250, ""en"", ""hi"")"),"ए) शिवाजी महाराज, बी) अकबर, सी) औरंगजेब, डी) चंद्रगुप्त मौर्य")</f>
        <v>ए) शिवाजी महाराज, बी) अकबर, सी) औरंगजेब, डी) चंद्रगुप्त मौर्य</v>
      </c>
      <c r="I250" s="5" t="str">
        <f>IFERROR(__xludf.DUMMYFUNCTION("GOOGLETRANSLATE(D250, ""en"", ""hi"")"),"A) शिवाजी महाराज")</f>
        <v>A) शिवाजी महाराज</v>
      </c>
    </row>
    <row r="251" ht="22.5" customHeight="1">
      <c r="A251" s="10">
        <v>250.0</v>
      </c>
      <c r="B251" s="8" t="s">
        <v>10826</v>
      </c>
      <c r="C251" s="8" t="s">
        <v>10827</v>
      </c>
      <c r="D251" s="8" t="s">
        <v>10828</v>
      </c>
      <c r="F251" s="5" t="str">
        <f>IFERROR(__xludf.DUMMYFUNCTION("GOOGLETRANSLATE(A251, ""en"", ""hi"")"),"250")</f>
        <v>250</v>
      </c>
      <c r="G251" s="5" t="str">
        <f>IFERROR(__xludf.DUMMYFUNCTION("GOOGLETRANSLATE(B251, ""en"", ""hi"")"),"कौन सी प्राचीन भारतीय प्रथा मलखंभ का पूर्ववर्ती मानी जाती है?")</f>
        <v>कौन सी प्राचीन भारतीय प्रथा मलखंभ का पूर्ववर्ती मानी जाती है?</v>
      </c>
      <c r="H251" s="5" t="str">
        <f>IFERROR(__xludf.DUMMYFUNCTION("GOOGLETRANSLATE(C251, ""en"", ""hi"")"),"A) योग, B) मार्शल आर्ट, C) कलाबाजी, D) नृत्य")</f>
        <v>A) योग, B) मार्शल आर्ट, C) कलाबाजी, D) नृत्य</v>
      </c>
      <c r="I251" s="5" t="str">
        <f>IFERROR(__xludf.DUMMYFUNCTION("GOOGLETRANSLATE(D251, ""en"", ""hi"")"),"सी) कलाबाजी")</f>
        <v>सी) कलाबाजी</v>
      </c>
    </row>
    <row r="252" ht="22.5" customHeight="1">
      <c r="A252" s="10">
        <v>251.0</v>
      </c>
      <c r="B252" s="8" t="s">
        <v>10829</v>
      </c>
      <c r="C252" s="8" t="s">
        <v>10778</v>
      </c>
      <c r="D252" s="8" t="s">
        <v>10733</v>
      </c>
      <c r="F252" s="5" t="str">
        <f>IFERROR(__xludf.DUMMYFUNCTION("GOOGLETRANSLATE(A252, ""en"", ""hi"")"),"251")</f>
        <v>251</v>
      </c>
      <c r="G252" s="5" t="str">
        <f>IFERROR(__xludf.DUMMYFUNCTION("GOOGLETRANSLATE(B252, ""en"", ""hi"")"),"19वीं शताब्दी में किस महाराजा के संरक्षण ने मलखम्ब नियमों को औपचारिक रूप देने में मदद की?")</f>
        <v>19वीं शताब्दी में किस महाराजा के संरक्षण ने मलखम्ब नियमों को औपचारिक रूप देने में मदद की?</v>
      </c>
      <c r="H252" s="5" t="str">
        <f>IFERROR(__xludf.DUMMYFUNCTION("GOOGLETRANSLATE(C252, ""en"", ""hi"")"),"ए) शिवाजी महाराज, बी) महादजी शिंदे, सी) जय सिंह, डी) रणजीत सिंह")</f>
        <v>ए) शिवाजी महाराज, बी) महादजी शिंदे, सी) जय सिंह, डी) रणजीत सिंह</v>
      </c>
      <c r="I252" s="5" t="str">
        <f>IFERROR(__xludf.DUMMYFUNCTION("GOOGLETRANSLATE(D252, ""en"", ""hi"")"),"B) महादजी शिंदे")</f>
        <v>B) महादजी शिंदे</v>
      </c>
    </row>
    <row r="253" ht="22.5" customHeight="1">
      <c r="A253" s="10">
        <v>252.0</v>
      </c>
      <c r="B253" s="8" t="s">
        <v>10830</v>
      </c>
      <c r="C253" s="8" t="s">
        <v>10519</v>
      </c>
      <c r="D253" s="8" t="s">
        <v>10431</v>
      </c>
      <c r="F253" s="5" t="str">
        <f>IFERROR(__xludf.DUMMYFUNCTION("GOOGLETRANSLATE(A253, ""en"", ""hi"")"),"252")</f>
        <v>252</v>
      </c>
      <c r="G253" s="5" t="str">
        <f>IFERROR(__xludf.DUMMYFUNCTION("GOOGLETRANSLATE(B253, ""en"", ""hi"")"),"कौन सा ऐतिहासिक ग्रंथ मलखम्ब के समान शारीरिक प्रशिक्षण विधियों का प्रारंभिक संदर्भ प्रदान करता है?")</f>
        <v>कौन सा ऐतिहासिक ग्रंथ मलखम्ब के समान शारीरिक प्रशिक्षण विधियों का प्रारंभिक संदर्भ प्रदान करता है?</v>
      </c>
      <c r="H253" s="5" t="str">
        <f>IFERROR(__xludf.DUMMYFUNCTION("GOOGLETRANSLATE(C253, ""en"", ""hi"")"),"ए) योग सूत्र, बी) मनुस्मृति, सी) वेद, डी) रामायण")</f>
        <v>ए) योग सूत्र, बी) मनुस्मृति, सी) वेद, डी) रामायण</v>
      </c>
      <c r="I253" s="5" t="str">
        <f>IFERROR(__xludf.DUMMYFUNCTION("GOOGLETRANSLATE(D253, ""en"", ""hi"")"),"C) वेद")</f>
        <v>C) वेद</v>
      </c>
    </row>
    <row r="254" ht="22.5" customHeight="1">
      <c r="A254" s="10">
        <v>253.0</v>
      </c>
      <c r="B254" s="8" t="s">
        <v>10831</v>
      </c>
      <c r="C254" s="8" t="s">
        <v>10832</v>
      </c>
      <c r="D254" s="8" t="s">
        <v>10772</v>
      </c>
      <c r="F254" s="5" t="str">
        <f>IFERROR(__xludf.DUMMYFUNCTION("GOOGLETRANSLATE(A254, ""en"", ""hi"")"),"253")</f>
        <v>253</v>
      </c>
      <c r="G254" s="5" t="str">
        <f>IFERROR(__xludf.DUMMYFUNCTION("GOOGLETRANSLATE(B254, ""en"", ""hi"")"),"20वीं सदी में पारंपरिक मलखंभ प्रथाओं को पुनर्जीवित करने के लिए किस ऐतिहासिक व्यक्ति को जाना जाता है?")</f>
        <v>20वीं सदी में पारंपरिक मलखंभ प्रथाओं को पुनर्जीवित करने के लिए किस ऐतिहासिक व्यक्ति को जाना जाता है?</v>
      </c>
      <c r="H254" s="5" t="str">
        <f>IFERROR(__xludf.DUMMYFUNCTION("GOOGLETRANSLATE(C254, ""en"", ""hi"")"),"ए) लक्ष्मण राव किर्लोस्कर, बी) भाऊ दाजी लाड, सी) महात्मा गांधी, डी) जवाहरलाल नेहरू")</f>
        <v>ए) लक्ष्मण राव किर्लोस्कर, बी) भाऊ दाजी लाड, सी) महात्मा गांधी, डी) जवाहरलाल नेहरू</v>
      </c>
      <c r="I254" s="5" t="str">
        <f>IFERROR(__xludf.DUMMYFUNCTION("GOOGLETRANSLATE(D254, ""en"", ""hi"")"),"A) लक्ष्मण राव किर्लोस्कर")</f>
        <v>A) लक्ष्मण राव किर्लोस्कर</v>
      </c>
    </row>
    <row r="255" ht="22.5" customHeight="1">
      <c r="A255" s="10">
        <v>254.0</v>
      </c>
      <c r="B255" s="8" t="s">
        <v>10833</v>
      </c>
      <c r="C255" s="8" t="s">
        <v>10834</v>
      </c>
      <c r="D255" s="8" t="s">
        <v>10835</v>
      </c>
      <c r="F255" s="5" t="str">
        <f>IFERROR(__xludf.DUMMYFUNCTION("GOOGLETRANSLATE(A255, ""en"", ""hi"")"),"254")</f>
        <v>254</v>
      </c>
      <c r="G255" s="5" t="str">
        <f>IFERROR(__xludf.DUMMYFUNCTION("GOOGLETRANSLATE(B255, ""en"", ""hi"")"),"18वीं शताब्दी की किस घटना ने मलखम्ब के अभ्यास और विकास को महत्वपूर्ण रूप से प्रभावित किया?")</f>
        <v>18वीं शताब्दी की किस घटना ने मलखम्ब के अभ्यास और विकास को महत्वपूर्ण रूप से प्रभावित किया?</v>
      </c>
      <c r="H255" s="5" t="str">
        <f>IFERROR(__xludf.DUMMYFUNCTION("GOOGLETRANSLATE(C255, ""en"", ""hi"")"),"A) मराठा साम्राज्य का विस्तार, B) ब्रिटिश औपनिवेशिक शासन, C) मुगल साम्राज्य का पतन, D) 1857 का भारतीय विद्रोह")</f>
        <v>A) मराठा साम्राज्य का विस्तार, B) ब्रिटिश औपनिवेशिक शासन, C) मुगल साम्राज्य का पतन, D) 1857 का भारतीय विद्रोह</v>
      </c>
      <c r="I255" s="5" t="str">
        <f>IFERROR(__xludf.DUMMYFUNCTION("GOOGLETRANSLATE(D255, ""en"", ""hi"")"),"C) मुगल साम्राज्य का पतन")</f>
        <v>C) मुगल साम्राज्य का पतन</v>
      </c>
    </row>
    <row r="256" ht="22.5" customHeight="1">
      <c r="A256" s="10">
        <v>255.0</v>
      </c>
      <c r="B256" s="8" t="s">
        <v>10836</v>
      </c>
      <c r="C256" s="8" t="s">
        <v>10804</v>
      </c>
      <c r="D256" s="8" t="s">
        <v>3365</v>
      </c>
      <c r="F256" s="5" t="str">
        <f>IFERROR(__xludf.DUMMYFUNCTION("GOOGLETRANSLATE(A256, ""en"", ""hi"")"),"255")</f>
        <v>255</v>
      </c>
      <c r="G256" s="5" t="str">
        <f>IFERROR(__xludf.DUMMYFUNCTION("GOOGLETRANSLATE(B256, ""en"", ""hi"")"),"कौन सा प्राचीन भारतीय ग्रंथ मलखंभ के समान तकनीकों और प्रथाओं का विवरण देता है?")</f>
        <v>कौन सा प्राचीन भारतीय ग्रंथ मलखंभ के समान तकनीकों और प्रथाओं का विवरण देता है?</v>
      </c>
      <c r="H256" s="5" t="str">
        <f>IFERROR(__xludf.DUMMYFUNCTION("GOOGLETRANSLATE(C256, ""en"", ""hi"")"),"ए) योग सूत्र, बी) मनुस्मृति, सी) अर्थशास्त्र, डी) रामायण")</f>
        <v>ए) योग सूत्र, बी) मनुस्मृति, सी) अर्थशास्त्र, डी) रामायण</v>
      </c>
      <c r="I256" s="5" t="str">
        <f>IFERROR(__xludf.DUMMYFUNCTION("GOOGLETRANSLATE(D256, ""en"", ""hi"")"),"C) अर्थशास्त्र")</f>
        <v>C) अर्थशास्त्र</v>
      </c>
    </row>
    <row r="257" ht="22.5" customHeight="1">
      <c r="A257" s="10">
        <v>256.0</v>
      </c>
      <c r="B257" s="8" t="s">
        <v>10837</v>
      </c>
      <c r="C257" s="8" t="s">
        <v>10503</v>
      </c>
      <c r="D257" s="8" t="s">
        <v>4164</v>
      </c>
      <c r="F257" s="5" t="str">
        <f>IFERROR(__xludf.DUMMYFUNCTION("GOOGLETRANSLATE(A257, ""en"", ""hi"")"),"256")</f>
        <v>256</v>
      </c>
      <c r="G257" s="5" t="str">
        <f>IFERROR(__xludf.DUMMYFUNCTION("GOOGLETRANSLATE(B257, ""en"", ""hi"")"),"17वीं शताब्दी का कौन सा शासक सैन्य प्रशिक्षण में मलखम्ब को शामिल करने से जुड़ा है?")</f>
        <v>17वीं शताब्दी का कौन सा शासक सैन्य प्रशिक्षण में मलखम्ब को शामिल करने से जुड़ा है?</v>
      </c>
      <c r="H257" s="5" t="str">
        <f>IFERROR(__xludf.DUMMYFUNCTION("GOOGLETRANSLATE(C257, ""en"", ""hi"")"),"ए) शिवाजी महाराज, बी) अकबर, सी) औरंगजेब, डी) चंद्रगुप्त मौर्य")</f>
        <v>ए) शिवाजी महाराज, बी) अकबर, सी) औरंगजेब, डी) चंद्रगुप्त मौर्य</v>
      </c>
      <c r="I257" s="5" t="str">
        <f>IFERROR(__xludf.DUMMYFUNCTION("GOOGLETRANSLATE(D257, ""en"", ""hi"")"),"A) शिवाजी महाराज")</f>
        <v>A) शिवाजी महाराज</v>
      </c>
    </row>
    <row r="258" ht="22.5" customHeight="1">
      <c r="A258" s="10">
        <v>257.0</v>
      </c>
      <c r="B258" s="8" t="s">
        <v>10838</v>
      </c>
      <c r="C258" s="8" t="s">
        <v>10839</v>
      </c>
      <c r="D258" s="8" t="s">
        <v>10840</v>
      </c>
      <c r="F258" s="5" t="str">
        <f>IFERROR(__xludf.DUMMYFUNCTION("GOOGLETRANSLATE(A258, ""en"", ""hi"")"),"257")</f>
        <v>257</v>
      </c>
      <c r="G258" s="5" t="str">
        <f>IFERROR(__xludf.DUMMYFUNCTION("GOOGLETRANSLATE(B258, ""en"", ""hi"")"),"पारंपरिक मलखम्ब के संरक्षण के लिए 19वीं सदी का कौन सा विकास महत्वपूर्ण था?")</f>
        <v>पारंपरिक मलखम्ब के संरक्षण के लिए 19वीं सदी का कौन सा विकास महत्वपूर्ण था?</v>
      </c>
      <c r="H258" s="5" t="str">
        <f>IFERROR(__xludf.DUMMYFUNCTION("GOOGLETRANSLATE(C258, ""en"", ""hi"")"),"A) सांस्कृतिक पुनरुत्थान, B) सरकारी नियम, C) अंतर्राष्ट्रीय प्रतियोगिताएं, D) शैक्षिक सुधार")</f>
        <v>A) सांस्कृतिक पुनरुत्थान, B) सरकारी नियम, C) अंतर्राष्ट्रीय प्रतियोगिताएं, D) शैक्षिक सुधार</v>
      </c>
      <c r="I258" s="5" t="str">
        <f>IFERROR(__xludf.DUMMYFUNCTION("GOOGLETRANSLATE(D258, ""en"", ""hi"")"),"ए) सांस्कृतिक पुनरुत्थान")</f>
        <v>ए) सांस्कृतिक पुनरुत्थान</v>
      </c>
    </row>
    <row r="259" ht="22.5" customHeight="1">
      <c r="A259" s="10">
        <v>258.0</v>
      </c>
      <c r="B259" s="8" t="s">
        <v>10841</v>
      </c>
      <c r="C259" s="8" t="s">
        <v>10503</v>
      </c>
      <c r="D259" s="8" t="s">
        <v>4164</v>
      </c>
      <c r="F259" s="5" t="str">
        <f>IFERROR(__xludf.DUMMYFUNCTION("GOOGLETRANSLATE(A259, ""en"", ""hi"")"),"258")</f>
        <v>258</v>
      </c>
      <c r="G259" s="5" t="str">
        <f>IFERROR(__xludf.DUMMYFUNCTION("GOOGLETRANSLATE(B259, ""en"", ""hi"")"),"17वीं शताब्दी के दौरान किस राजा के शासनकाल में मलखम्ब तकनीक में महत्वपूर्ण प्रगति हुई?")</f>
        <v>17वीं शताब्दी के दौरान किस राजा के शासनकाल में मलखम्ब तकनीक में महत्वपूर्ण प्रगति हुई?</v>
      </c>
      <c r="H259" s="5" t="str">
        <f>IFERROR(__xludf.DUMMYFUNCTION("GOOGLETRANSLATE(C259, ""en"", ""hi"")"),"ए) शिवाजी महाराज, बी) अकबर, सी) औरंगजेब, डी) चंद्रगुप्त मौर्य")</f>
        <v>ए) शिवाजी महाराज, बी) अकबर, सी) औरंगजेब, डी) चंद्रगुप्त मौर्य</v>
      </c>
      <c r="I259" s="5" t="str">
        <f>IFERROR(__xludf.DUMMYFUNCTION("GOOGLETRANSLATE(D259, ""en"", ""hi"")"),"A) शिवाजी महाराज")</f>
        <v>A) शिवाजी महाराज</v>
      </c>
    </row>
    <row r="260" ht="22.5" customHeight="1">
      <c r="A260" s="10">
        <v>259.0</v>
      </c>
      <c r="B260" s="8" t="s">
        <v>10842</v>
      </c>
      <c r="C260" s="8" t="s">
        <v>10519</v>
      </c>
      <c r="D260" s="8" t="s">
        <v>10431</v>
      </c>
      <c r="F260" s="5" t="str">
        <f>IFERROR(__xludf.DUMMYFUNCTION("GOOGLETRANSLATE(A260, ""en"", ""hi"")"),"259")</f>
        <v>259</v>
      </c>
      <c r="G260" s="5" t="str">
        <f>IFERROR(__xludf.DUMMYFUNCTION("GOOGLETRANSLATE(B260, ""en"", ""hi"")"),"प्राचीन भारत के किस ऐतिहासिक ग्रंथ में मलखंभ जैसी शारीरिक प्रथाओं का वर्णन है?")</f>
        <v>प्राचीन भारत के किस ऐतिहासिक ग्रंथ में मलखंभ जैसी शारीरिक प्रथाओं का वर्णन है?</v>
      </c>
      <c r="H260" s="5" t="str">
        <f>IFERROR(__xludf.DUMMYFUNCTION("GOOGLETRANSLATE(C260, ""en"", ""hi"")"),"ए) योग सूत्र, बी) मनुस्मृति, सी) वेद, डी) रामायण")</f>
        <v>ए) योग सूत्र, बी) मनुस्मृति, सी) वेद, डी) रामायण</v>
      </c>
      <c r="I260" s="5" t="str">
        <f>IFERROR(__xludf.DUMMYFUNCTION("GOOGLETRANSLATE(D260, ""en"", ""hi"")"),"C) वेद")</f>
        <v>C) वेद</v>
      </c>
    </row>
    <row r="261" ht="22.5" customHeight="1">
      <c r="A261" s="10">
        <v>260.0</v>
      </c>
      <c r="B261" s="8" t="s">
        <v>10843</v>
      </c>
      <c r="C261" s="8" t="s">
        <v>10791</v>
      </c>
      <c r="D261" s="8" t="s">
        <v>10772</v>
      </c>
      <c r="F261" s="5" t="str">
        <f>IFERROR(__xludf.DUMMYFUNCTION("GOOGLETRANSLATE(A261, ""en"", ""hi"")"),"260")</f>
        <v>260</v>
      </c>
      <c r="G261" s="5" t="str">
        <f>IFERROR(__xludf.DUMMYFUNCTION("GOOGLETRANSLATE(B261, ""en"", ""hi"")"),"20वीं सदी की कौन सी हस्ती पारंपरिक मलखम्ब तकनीकों और प्रथाओं को पुनर्जीवित करने के अपने प्रयासों के लिए जानी जाती है?")</f>
        <v>20वीं सदी की कौन सी हस्ती पारंपरिक मलखम्ब तकनीकों और प्रथाओं को पुनर्जीवित करने के अपने प्रयासों के लिए जानी जाती है?</v>
      </c>
      <c r="H261" s="5" t="str">
        <f>IFERROR(__xludf.DUMMYFUNCTION("GOOGLETRANSLATE(C261, ""en"", ""hi"")"),"ए) लक्ष्मण राव किर्लोस्कर, बी) महात्मा गांधी, सी) जवाहरलाल नेहरू, डी) भाऊ दाजी लाड")</f>
        <v>ए) लक्ष्मण राव किर्लोस्कर, बी) महात्मा गांधी, सी) जवाहरलाल नेहरू, डी) भाऊ दाजी लाड</v>
      </c>
      <c r="I261" s="5" t="str">
        <f>IFERROR(__xludf.DUMMYFUNCTION("GOOGLETRANSLATE(D261, ""en"", ""hi"")"),"A) लक्ष्मण राव किर्लोस्कर")</f>
        <v>A) लक्ष्मण राव किर्लोस्कर</v>
      </c>
    </row>
    <row r="262" ht="22.5" customHeight="1">
      <c r="A262" s="10">
        <v>261.0</v>
      </c>
      <c r="B262" s="8" t="s">
        <v>10844</v>
      </c>
      <c r="C262" s="8" t="s">
        <v>10748</v>
      </c>
      <c r="D262" s="8" t="s">
        <v>10439</v>
      </c>
      <c r="F262" s="5" t="str">
        <f>IFERROR(__xludf.DUMMYFUNCTION("GOOGLETRANSLATE(A262, ""en"", ""hi"")"),"261")</f>
        <v>261</v>
      </c>
      <c r="G262" s="5" t="str">
        <f>IFERROR(__xludf.DUMMYFUNCTION("GOOGLETRANSLATE(B262,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262" s="5" t="str">
        <f>IFERROR(__xludf.DUMMYFUNCTION("GOOGLETRANSLATE(C262, ""en"", ""hi"")"),"ए) महादजी शिंदे, बी) शिवाजी महाराज, सी) जय सिंह, डी) रणजीत सिंह")</f>
        <v>ए) महादजी शिंदे, बी) शिवाजी महाराज, सी) जय सिंह, डी) रणजीत सिंह</v>
      </c>
      <c r="I262" s="5" t="str">
        <f>IFERROR(__xludf.DUMMYFUNCTION("GOOGLETRANSLATE(D262, ""en"", ""hi"")"),"A) महादजी शिंदे")</f>
        <v>A) महादजी शिंदे</v>
      </c>
    </row>
    <row r="263" ht="22.5" customHeight="1">
      <c r="A263" s="10">
        <v>262.0</v>
      </c>
      <c r="B263" s="8" t="s">
        <v>10845</v>
      </c>
      <c r="C263" s="8" t="s">
        <v>10846</v>
      </c>
      <c r="D263" s="8" t="s">
        <v>10847</v>
      </c>
      <c r="F263" s="5" t="str">
        <f>IFERROR(__xludf.DUMMYFUNCTION("GOOGLETRANSLATE(A263, ""en"", ""hi"")"),"262")</f>
        <v>262</v>
      </c>
      <c r="G263" s="5" t="str">
        <f>IFERROR(__xludf.DUMMYFUNCTION("GOOGLETRANSLATE(B263, ""en"", ""hi"")"),"मलखम्ब के विकास में मराठा साम्राज्य की क्या भूमिका थी?")</f>
        <v>मलखम्ब के विकास में मराठा साम्राज्य की क्या भूमिका थी?</v>
      </c>
      <c r="H263" s="5" t="str">
        <f>IFERROR(__xludf.DUMMYFUNCTION("GOOGLETRANSLATE(C263, ""en"", ""hi"")"),"A) इसने सैन्य प्रशिक्षण उपकरण के रूप में इसके विकास को सुगम बनाया, B) इसने इसके पतन का कारण बना, C) इसने नई तकनीकों को प्रस्तुत किया, D) इसने इसे धार्मिक अनुष्ठानों में एकीकृत किया")</f>
        <v>A) इसने सैन्य प्रशिक्षण उपकरण के रूप में इसके विकास को सुगम बनाया, B) इसने इसके पतन का कारण बना, C) इसने नई तकनीकों को प्रस्तुत किया, D) इसने इसे धार्मिक अनुष्ठानों में एकीकृत किया</v>
      </c>
      <c r="I263" s="5" t="str">
        <f>IFERROR(__xludf.DUMMYFUNCTION("GOOGLETRANSLATE(D263, ""en"", ""hi"")"),"A) इसने सैन्य प्रशिक्षण उपकरण के रूप में इसके विकास को सुगम बनाया")</f>
        <v>A) इसने सैन्य प्रशिक्षण उपकरण के रूप में इसके विकास को सुगम बनाया</v>
      </c>
    </row>
    <row r="264" ht="22.5" customHeight="1">
      <c r="A264" s="10">
        <v>263.0</v>
      </c>
      <c r="B264" s="8" t="s">
        <v>10848</v>
      </c>
      <c r="C264" s="8" t="s">
        <v>10769</v>
      </c>
      <c r="D264" s="8" t="s">
        <v>3365</v>
      </c>
      <c r="F264" s="5" t="str">
        <f>IFERROR(__xludf.DUMMYFUNCTION("GOOGLETRANSLATE(A264, ""en"", ""hi"")"),"263")</f>
        <v>263</v>
      </c>
      <c r="G264" s="5" t="str">
        <f>IFERROR(__xludf.DUMMYFUNCTION("GOOGLETRANSLATE(B264, ""en"", ""hi"")"),"किस प्राचीन भारतीय ग्रंथ में मलखंभ जैसी शारीरिक कंडीशनिंग प्रथाओं का उल्लेख है?")</f>
        <v>किस प्राचीन भारतीय ग्रंथ में मलखंभ जैसी शारीरिक कंडीशनिंग प्रथाओं का उल्लेख है?</v>
      </c>
      <c r="H264" s="5" t="str">
        <f>IFERROR(__xludf.DUMMYFUNCTION("GOOGLETRANSLATE(C264, ""en"", ""hi"")"),"ए) योग सूत्र, बी) मनुस्मृति, सी) अर्थशास्त्र, डी) भगवद गीता")</f>
        <v>ए) योग सूत्र, बी) मनुस्मृति, सी) अर्थशास्त्र, डी) भगवद गीता</v>
      </c>
      <c r="I264" s="5" t="str">
        <f>IFERROR(__xludf.DUMMYFUNCTION("GOOGLETRANSLATE(D264, ""en"", ""hi"")"),"C) अर्थशास्त्र")</f>
        <v>C) अर्थशास्त्र</v>
      </c>
    </row>
    <row r="265" ht="22.5" customHeight="1">
      <c r="A265" s="10">
        <v>264.0</v>
      </c>
      <c r="B265" s="8" t="s">
        <v>10849</v>
      </c>
      <c r="C265" s="8" t="s">
        <v>10778</v>
      </c>
      <c r="D265" s="8" t="s">
        <v>10733</v>
      </c>
      <c r="F265" s="5" t="str">
        <f>IFERROR(__xludf.DUMMYFUNCTION("GOOGLETRANSLATE(A265, ""en"", ""hi"")"),"264")</f>
        <v>264</v>
      </c>
      <c r="G265" s="5" t="str">
        <f>IFERROR(__xludf.DUMMYFUNCTION("GOOGLETRANSLATE(B265, ""en"", ""hi"")"),"18वीं शताब्दी के किस महाराजा का संबंध मलखंभ तकनीक के प्रचार और मानकीकरण से है?")</f>
        <v>18वीं शताब्दी के किस महाराजा का संबंध मलखंभ तकनीक के प्रचार और मानकीकरण से है?</v>
      </c>
      <c r="H265" s="5" t="str">
        <f>IFERROR(__xludf.DUMMYFUNCTION("GOOGLETRANSLATE(C265, ""en"", ""hi"")"),"ए) शिवाजी महाराज, बी) महादजी शिंदे, सी) जय सिंह, डी) रणजीत सिंह")</f>
        <v>ए) शिवाजी महाराज, बी) महादजी शिंदे, सी) जय सिंह, डी) रणजीत सिंह</v>
      </c>
      <c r="I265" s="5" t="str">
        <f>IFERROR(__xludf.DUMMYFUNCTION("GOOGLETRANSLATE(D265, ""en"", ""hi"")"),"B) महादजी शिंदे")</f>
        <v>B) महादजी शिंदे</v>
      </c>
    </row>
    <row r="266" ht="22.5" customHeight="1">
      <c r="A266" s="10">
        <v>265.0</v>
      </c>
      <c r="B266" s="8" t="s">
        <v>10850</v>
      </c>
      <c r="C266" s="8" t="s">
        <v>10498</v>
      </c>
      <c r="D266" s="8" t="s">
        <v>4164</v>
      </c>
      <c r="F266" s="5" t="str">
        <f>IFERROR(__xludf.DUMMYFUNCTION("GOOGLETRANSLATE(A266, ""en"", ""hi"")"),"265")</f>
        <v>265</v>
      </c>
      <c r="G266" s="5" t="str">
        <f>IFERROR(__xludf.DUMMYFUNCTION("GOOGLETRANSLATE(B266, ""en"", ""hi"")"),"किस भारतीय राजा की सैन्य प्रशिक्षण पद्धति में मलखम्ब को मुख्य घटक के रूप में शामिल किया गया था?")</f>
        <v>किस भारतीय राजा की सैन्य प्रशिक्षण पद्धति में मलखम्ब को मुख्य घटक के रूप में शामिल किया गया था?</v>
      </c>
      <c r="H266" s="5" t="str">
        <f>IFERROR(__xludf.DUMMYFUNCTION("GOOGLETRANSLATE(C266, ""en"", ""hi"")"),"ए) शिवाजी महाराज, बी) अकबर, सी) चंद्रगुप्त मौर्य, डी) अशोक")</f>
        <v>ए) शिवाजी महाराज, बी) अकबर, सी) चंद्रगुप्त मौर्य, डी) अशोक</v>
      </c>
      <c r="I266" s="5" t="str">
        <f>IFERROR(__xludf.DUMMYFUNCTION("GOOGLETRANSLATE(D266, ""en"", ""hi"")"),"A) शिवाजी महाराज")</f>
        <v>A) शिवाजी महाराज</v>
      </c>
    </row>
    <row r="267" ht="22.5" customHeight="1">
      <c r="A267" s="10">
        <v>266.0</v>
      </c>
      <c r="B267" s="8" t="s">
        <v>10851</v>
      </c>
      <c r="C267" s="8" t="s">
        <v>10852</v>
      </c>
      <c r="D267" s="8" t="s">
        <v>10853</v>
      </c>
      <c r="F267" s="5" t="str">
        <f>IFERROR(__xludf.DUMMYFUNCTION("GOOGLETRANSLATE(A267, ""en"", ""hi"")"),"266")</f>
        <v>266</v>
      </c>
      <c r="G267" s="5" t="str">
        <f>IFERROR(__xludf.DUMMYFUNCTION("GOOGLETRANSLATE(B267, ""en"", ""hi"")"),"मलखम्ब परम्पराओं के संरक्षण में 19वीं शताब्दी का कौन सा विकास महत्वपूर्ण था?")</f>
        <v>मलखम्ब परम्पराओं के संरक्षण में 19वीं शताब्दी का कौन सा विकास महत्वपूर्ण था?</v>
      </c>
      <c r="H267" s="5" t="str">
        <f>IFERROR(__xludf.DUMMYFUNCTION("GOOGLETRANSLATE(C267, ""en"", ""hi"")"),"A) सांस्कृतिक उत्सव, B) सरकारी सहायता, C) अंतर्राष्ट्रीय मान्यता, D) शैक्षिक सुधार")</f>
        <v>A) सांस्कृतिक उत्सव, B) सरकारी सहायता, C) अंतर्राष्ट्रीय मान्यता, D) शैक्षिक सुधार</v>
      </c>
      <c r="I267" s="5" t="str">
        <f>IFERROR(__xludf.DUMMYFUNCTION("GOOGLETRANSLATE(D267, ""en"", ""hi"")"),"ए) सांस्कृतिक उत्सव")</f>
        <v>ए) सांस्कृतिक उत्सव</v>
      </c>
    </row>
    <row r="268" ht="22.5" customHeight="1">
      <c r="A268" s="10">
        <v>267.0</v>
      </c>
      <c r="B268" s="8" t="s">
        <v>10854</v>
      </c>
      <c r="C268" s="8" t="s">
        <v>10778</v>
      </c>
      <c r="D268" s="8" t="s">
        <v>10733</v>
      </c>
      <c r="F268" s="5" t="str">
        <f>IFERROR(__xludf.DUMMYFUNCTION("GOOGLETRANSLATE(A268, ""en"", ""hi"")"),"267")</f>
        <v>267</v>
      </c>
      <c r="G268" s="5" t="str">
        <f>IFERROR(__xludf.DUMMYFUNCTION("GOOGLETRANSLATE(B268, ""en"", ""hi"")"),"19वीं शताब्दी में किस महाराजा के शासनकाल में मलखम्ब नियमों और तकनीकों को औपचारिक रूप दिया गया?")</f>
        <v>19वीं शताब्दी में किस महाराजा के शासनकाल में मलखम्ब नियमों और तकनीकों को औपचारिक रूप दिया गया?</v>
      </c>
      <c r="H268" s="5" t="str">
        <f>IFERROR(__xludf.DUMMYFUNCTION("GOOGLETRANSLATE(C268, ""en"", ""hi"")"),"ए) शिवाजी महाराज, बी) महादजी शिंदे, सी) जय सिंह, डी) रणजीत सिंह")</f>
        <v>ए) शिवाजी महाराज, बी) महादजी शिंदे, सी) जय सिंह, डी) रणजीत सिंह</v>
      </c>
      <c r="I268" s="5" t="str">
        <f>IFERROR(__xludf.DUMMYFUNCTION("GOOGLETRANSLATE(D268, ""en"", ""hi"")"),"B) महादजी शिंदे")</f>
        <v>B) महादजी शिंदे</v>
      </c>
    </row>
    <row r="269" ht="22.5" customHeight="1">
      <c r="A269" s="10">
        <v>268.0</v>
      </c>
      <c r="B269" s="8" t="s">
        <v>10826</v>
      </c>
      <c r="C269" s="8" t="s">
        <v>10827</v>
      </c>
      <c r="D269" s="8" t="s">
        <v>10828</v>
      </c>
      <c r="F269" s="5" t="str">
        <f>IFERROR(__xludf.DUMMYFUNCTION("GOOGLETRANSLATE(A269, ""en"", ""hi"")"),"268")</f>
        <v>268</v>
      </c>
      <c r="G269" s="5" t="str">
        <f>IFERROR(__xludf.DUMMYFUNCTION("GOOGLETRANSLATE(B269, ""en"", ""hi"")"),"कौन सी प्राचीन भारतीय प्रथा मलखंभ का पूर्ववर्ती मानी जाती है?")</f>
        <v>कौन सी प्राचीन भारतीय प्रथा मलखंभ का पूर्ववर्ती मानी जाती है?</v>
      </c>
      <c r="H269" s="5" t="str">
        <f>IFERROR(__xludf.DUMMYFUNCTION("GOOGLETRANSLATE(C269, ""en"", ""hi"")"),"A) योग, B) मार्शल आर्ट, C) कलाबाजी, D) नृत्य")</f>
        <v>A) योग, B) मार्शल आर्ट, C) कलाबाजी, D) नृत्य</v>
      </c>
      <c r="I269" s="5" t="str">
        <f>IFERROR(__xludf.DUMMYFUNCTION("GOOGLETRANSLATE(D269, ""en"", ""hi"")"),"सी) कलाबाजी")</f>
        <v>सी) कलाबाजी</v>
      </c>
    </row>
    <row r="270" ht="22.5" customHeight="1">
      <c r="A270" s="10">
        <v>269.0</v>
      </c>
      <c r="B270" s="8" t="s">
        <v>10855</v>
      </c>
      <c r="C270" s="8" t="s">
        <v>10503</v>
      </c>
      <c r="D270" s="8" t="s">
        <v>4164</v>
      </c>
      <c r="F270" s="5" t="str">
        <f>IFERROR(__xludf.DUMMYFUNCTION("GOOGLETRANSLATE(A270, ""en"", ""hi"")"),"269")</f>
        <v>269</v>
      </c>
      <c r="G270" s="5" t="str">
        <f>IFERROR(__xludf.DUMMYFUNCTION("GOOGLETRANSLATE(B270, ""en"", ""hi"")"),"17वीं शताब्दी में मलखम्ब तकनीक को औपचारिक रूप देने के लिए किस राजा का समर्थन महत्वपूर्ण था?")</f>
        <v>17वीं शताब्दी में मलखम्ब तकनीक को औपचारिक रूप देने के लिए किस राजा का समर्थन महत्वपूर्ण था?</v>
      </c>
      <c r="H270" s="5" t="str">
        <f>IFERROR(__xludf.DUMMYFUNCTION("GOOGLETRANSLATE(C270, ""en"", ""hi"")"),"ए) शिवाजी महाराज, बी) अकबर, सी) औरंगजेब, डी) चंद्रगुप्त मौर्य")</f>
        <v>ए) शिवाजी महाराज, बी) अकबर, सी) औरंगजेब, डी) चंद्रगुप्त मौर्य</v>
      </c>
      <c r="I270" s="5" t="str">
        <f>IFERROR(__xludf.DUMMYFUNCTION("GOOGLETRANSLATE(D270, ""en"", ""hi"")"),"A) शिवाजी महाराज")</f>
        <v>A) शिवाजी महाराज</v>
      </c>
    </row>
    <row r="271" ht="22.5" customHeight="1">
      <c r="A271" s="10">
        <v>270.0</v>
      </c>
      <c r="B271" s="8" t="s">
        <v>10856</v>
      </c>
      <c r="C271" s="8" t="s">
        <v>10793</v>
      </c>
      <c r="D271" s="8" t="s">
        <v>2616</v>
      </c>
      <c r="F271" s="5" t="str">
        <f>IFERROR(__xludf.DUMMYFUNCTION("GOOGLETRANSLATE(A271, ""en"", ""hi"")"),"270")</f>
        <v>270</v>
      </c>
      <c r="G271" s="5" t="str">
        <f>IFERROR(__xludf.DUMMYFUNCTION("GOOGLETRANSLATE(B271, ""en"", ""hi"")"),"17वीं शताब्दी का कौन सा ऐतिहासिक ग्रंथ मलखंभ जैसी प्रथाओं के वर्णन के लिए जाना जाता है?")</f>
        <v>17वीं शताब्दी का कौन सा ऐतिहासिक ग्रंथ मलखंभ जैसी प्रथाओं के वर्णन के लिए जाना जाता है?</v>
      </c>
      <c r="H271" s="5" t="str">
        <f>IFERROR(__xludf.DUMMYFUNCTION("GOOGLETRANSLATE(C271, ""en"", ""hi"")"),"ए) अर्थशास्त्र, बी) मनुस्मृति, सी) योग सूत्र, डी) रामायण")</f>
        <v>ए) अर्थशास्त्र, बी) मनुस्मृति, सी) योग सूत्र, डी) रामायण</v>
      </c>
      <c r="I271" s="5" t="str">
        <f>IFERROR(__xludf.DUMMYFUNCTION("GOOGLETRANSLATE(D271, ""en"", ""hi"")"),"A) अर्थशास्त्र")</f>
        <v>A) अर्थशास्त्र</v>
      </c>
    </row>
    <row r="272" ht="22.5" customHeight="1">
      <c r="A272" s="10">
        <v>271.0</v>
      </c>
      <c r="B272" s="8" t="s">
        <v>10857</v>
      </c>
      <c r="C272" s="8" t="s">
        <v>10858</v>
      </c>
      <c r="D272" s="8" t="s">
        <v>10859</v>
      </c>
      <c r="F272" s="5" t="str">
        <f>IFERROR(__xludf.DUMMYFUNCTION("GOOGLETRANSLATE(A272, ""en"", ""hi"")"),"271")</f>
        <v>271</v>
      </c>
      <c r="G272" s="5" t="str">
        <f>IFERROR(__xludf.DUMMYFUNCTION("GOOGLETRANSLATE(B272, ""en"", ""hi"")"),"20वीं शताब्दी में मलखम्ब के पुनरुत्थान का प्रमुख कारक क्या था?")</f>
        <v>20वीं शताब्दी में मलखम्ब के पुनरुत्थान का प्रमुख कारक क्या था?</v>
      </c>
      <c r="H272" s="5" t="str">
        <f>IFERROR(__xludf.DUMMYFUNCTION("GOOGLETRANSLATE(C272, ""en"", ""hi"")"),"A) सांस्कृतिक पुनरुत्थान आंदोलन, B) सरकारी हस्तक्षेप, C) अंतर्राष्ट्रीय प्रतियोगिताएं, D) शैक्षिक सुधार")</f>
        <v>A) सांस्कृतिक पुनरुत्थान आंदोलन, B) सरकारी हस्तक्षेप, C) अंतर्राष्ट्रीय प्रतियोगिताएं, D) शैक्षिक सुधार</v>
      </c>
      <c r="I272" s="5" t="str">
        <f>IFERROR(__xludf.DUMMYFUNCTION("GOOGLETRANSLATE(D272, ""en"", ""hi"")"),"A) सांस्कृतिक पुनरुत्थान आंदोलन")</f>
        <v>A) सांस्कृतिक पुनरुत्थान आंदोलन</v>
      </c>
    </row>
    <row r="273" ht="22.5" customHeight="1">
      <c r="A273" s="10">
        <v>272.0</v>
      </c>
      <c r="B273" s="8" t="s">
        <v>10860</v>
      </c>
      <c r="C273" s="8" t="s">
        <v>10778</v>
      </c>
      <c r="D273" s="8" t="s">
        <v>10733</v>
      </c>
      <c r="F273" s="5" t="str">
        <f>IFERROR(__xludf.DUMMYFUNCTION("GOOGLETRANSLATE(A273, ""en"", ""hi"")"),"272")</f>
        <v>272</v>
      </c>
      <c r="G273" s="5" t="str">
        <f>IFERROR(__xludf.DUMMYFUNCTION("GOOGLETRANSLATE(B273, ""en"", ""hi"")"),"18वीं शताब्दी के किस महाराजा को सैन्य प्रशिक्षण के एक भाग के रूप में मलखम्ब को बढ़ावा देने के लिए जाना जाता है?")</f>
        <v>18वीं शताब्दी के किस महाराजा को सैन्य प्रशिक्षण के एक भाग के रूप में मलखम्ब को बढ़ावा देने के लिए जाना जाता है?</v>
      </c>
      <c r="H273" s="5" t="str">
        <f>IFERROR(__xludf.DUMMYFUNCTION("GOOGLETRANSLATE(C273, ""en"", ""hi"")"),"ए) शिवाजी महाराज, बी) महादजी शिंदे, सी) जय सिंह, डी) रणजीत सिंह")</f>
        <v>ए) शिवाजी महाराज, बी) महादजी शिंदे, सी) जय सिंह, डी) रणजीत सिंह</v>
      </c>
      <c r="I273" s="5" t="str">
        <f>IFERROR(__xludf.DUMMYFUNCTION("GOOGLETRANSLATE(D273, ""en"", ""hi"")"),"B) महादजी शिंदे")</f>
        <v>B) महादजी शिंदे</v>
      </c>
    </row>
    <row r="274" ht="22.5" customHeight="1">
      <c r="A274" s="10">
        <v>273.0</v>
      </c>
      <c r="B274" s="8" t="s">
        <v>10861</v>
      </c>
      <c r="C274" s="8" t="s">
        <v>10503</v>
      </c>
      <c r="D274" s="8" t="s">
        <v>4164</v>
      </c>
      <c r="F274" s="5" t="str">
        <f>IFERROR(__xludf.DUMMYFUNCTION("GOOGLETRANSLATE(A274, ""en"", ""hi"")"),"273")</f>
        <v>273</v>
      </c>
      <c r="G274" s="5" t="str">
        <f>IFERROR(__xludf.DUMMYFUNCTION("GOOGLETRANSLATE(B274, ""en"", ""hi"")"),"17वीं शताब्दी के दौरान किस राजा के शासनकाल में मलखम्ब को एक खेल के रूप में औपचारिक रूप दिया गया?")</f>
        <v>17वीं शताब्दी के दौरान किस राजा के शासनकाल में मलखम्ब को एक खेल के रूप में औपचारिक रूप दिया गया?</v>
      </c>
      <c r="H274" s="5" t="str">
        <f>IFERROR(__xludf.DUMMYFUNCTION("GOOGLETRANSLATE(C274, ""en"", ""hi"")"),"ए) शिवाजी महाराज, बी) अकबर, सी) औरंगजेब, डी) चंद्रगुप्त मौर्य")</f>
        <v>ए) शिवाजी महाराज, बी) अकबर, सी) औरंगजेब, डी) चंद्रगुप्त मौर्य</v>
      </c>
      <c r="I274" s="5" t="str">
        <f>IFERROR(__xludf.DUMMYFUNCTION("GOOGLETRANSLATE(D274, ""en"", ""hi"")"),"A) शिवाजी महाराज")</f>
        <v>A) शिवाजी महाराज</v>
      </c>
    </row>
    <row r="275" ht="22.5" customHeight="1">
      <c r="A275" s="10">
        <v>274.0</v>
      </c>
      <c r="B275" s="8" t="s">
        <v>10862</v>
      </c>
      <c r="C275" s="8" t="s">
        <v>10519</v>
      </c>
      <c r="D275" s="8" t="s">
        <v>10431</v>
      </c>
      <c r="F275" s="5" t="str">
        <f>IFERROR(__xludf.DUMMYFUNCTION("GOOGLETRANSLATE(A275, ""en"", ""hi"")"),"274")</f>
        <v>274</v>
      </c>
      <c r="G275" s="5" t="str">
        <f>IFERROR(__xludf.DUMMYFUNCTION("GOOGLETRANSLATE(B275, ""en"", ""hi"")"),"कौन सा ऐतिहासिक ग्रंथ मलखम्ब के समान शारीरिक कंडीशनिंग विधियों का वर्णन करता है?")</f>
        <v>कौन सा ऐतिहासिक ग्रंथ मलखम्ब के समान शारीरिक कंडीशनिंग विधियों का वर्णन करता है?</v>
      </c>
      <c r="H275" s="5" t="str">
        <f>IFERROR(__xludf.DUMMYFUNCTION("GOOGLETRANSLATE(C275, ""en"", ""hi"")"),"ए) योग सूत्र, बी) मनुस्मृति, सी) वेद, डी) रामायण")</f>
        <v>ए) योग सूत्र, बी) मनुस्मृति, सी) वेद, डी) रामायण</v>
      </c>
      <c r="I275" s="5" t="str">
        <f>IFERROR(__xludf.DUMMYFUNCTION("GOOGLETRANSLATE(D275, ""en"", ""hi"")"),"C) वेद")</f>
        <v>C) वेद</v>
      </c>
    </row>
    <row r="276" ht="22.5" customHeight="1">
      <c r="A276" s="10">
        <v>275.0</v>
      </c>
      <c r="B276" s="8" t="s">
        <v>10863</v>
      </c>
      <c r="C276" s="8" t="s">
        <v>10832</v>
      </c>
      <c r="D276" s="8" t="s">
        <v>10772</v>
      </c>
      <c r="F276" s="5" t="str">
        <f>IFERROR(__xludf.DUMMYFUNCTION("GOOGLETRANSLATE(A276, ""en"", ""hi"")"),"275")</f>
        <v>275</v>
      </c>
      <c r="G276" s="5" t="str">
        <f>IFERROR(__xludf.DUMMYFUNCTION("GOOGLETRANSLATE(B276, ""en"", ""hi"")"),"20वीं सदी की कौन सी हस्ती मलखम्ब परम्पराओं के संरक्षण और संवर्धन के प्रयासों के लिए जानी जाती है?")</f>
        <v>20वीं सदी की कौन सी हस्ती मलखम्ब परम्पराओं के संरक्षण और संवर्धन के प्रयासों के लिए जानी जाती है?</v>
      </c>
      <c r="H276" s="5" t="str">
        <f>IFERROR(__xludf.DUMMYFUNCTION("GOOGLETRANSLATE(C276, ""en"", ""hi"")"),"ए) लक्ष्मण राव किर्लोस्कर, बी) भाऊ दाजी लाड, सी) महात्मा गांधी, डी) जवाहरलाल नेहरू")</f>
        <v>ए) लक्ष्मण राव किर्लोस्कर, बी) भाऊ दाजी लाड, सी) महात्मा गांधी, डी) जवाहरलाल नेहरू</v>
      </c>
      <c r="I276" s="5" t="str">
        <f>IFERROR(__xludf.DUMMYFUNCTION("GOOGLETRANSLATE(D276, ""en"", ""hi"")"),"A) लक्ष्मण राव किर्लोस्कर")</f>
        <v>A) लक्ष्मण राव किर्लोस्कर</v>
      </c>
    </row>
    <row r="277" ht="22.5" customHeight="1">
      <c r="A277" s="10">
        <v>276.0</v>
      </c>
      <c r="B277" s="8" t="s">
        <v>10864</v>
      </c>
      <c r="C277" s="8" t="s">
        <v>10865</v>
      </c>
      <c r="D277" s="8" t="s">
        <v>10866</v>
      </c>
      <c r="F277" s="5" t="str">
        <f>IFERROR(__xludf.DUMMYFUNCTION("GOOGLETRANSLATE(A277, ""en"", ""hi"")"),"276")</f>
        <v>276</v>
      </c>
      <c r="G277" s="5" t="str">
        <f>IFERROR(__xludf.DUMMYFUNCTION("GOOGLETRANSLATE(B277, ""en"", ""hi"")"),"18वीं शताब्दी में किस ऐतिहासिक घटना ने मलखम्ब के पतन में योगदान दिया?")</f>
        <v>18वीं शताब्दी में किस ऐतिहासिक घटना ने मलखम्ब के पतन में योगदान दिया?</v>
      </c>
      <c r="H277" s="5" t="str">
        <f>IFERROR(__xludf.DUMMYFUNCTION("GOOGLETRANSLATE(C277, ""en"", ""hi"")"),"A) मुगल साम्राज्य का पतन, B) ब्रिटिश औपनिवेशिक विस्तार, C) मराठा साम्राज्य का पुनरुत्थान, D) 1857 का भारतीय विद्रोह")</f>
        <v>A) मुगल साम्राज्य का पतन, B) ब्रिटिश औपनिवेशिक विस्तार, C) मराठा साम्राज्य का पुनरुत्थान, D) 1857 का भारतीय विद्रोह</v>
      </c>
      <c r="I277" s="5" t="str">
        <f>IFERROR(__xludf.DUMMYFUNCTION("GOOGLETRANSLATE(D277, ""en"", ""hi"")"),"A) मुगल साम्राज्य का पतन")</f>
        <v>A) मुगल साम्राज्य का पतन</v>
      </c>
    </row>
    <row r="278" ht="22.5" customHeight="1">
      <c r="A278" s="10">
        <v>277.0</v>
      </c>
      <c r="B278" s="8" t="s">
        <v>10867</v>
      </c>
      <c r="C278" s="8" t="s">
        <v>10804</v>
      </c>
      <c r="D278" s="8" t="s">
        <v>3365</v>
      </c>
      <c r="F278" s="5" t="str">
        <f>IFERROR(__xludf.DUMMYFUNCTION("GOOGLETRANSLATE(A278, ""en"", ""hi"")"),"277")</f>
        <v>277</v>
      </c>
      <c r="G278" s="5" t="str">
        <f>IFERROR(__xludf.DUMMYFUNCTION("GOOGLETRANSLATE(B278, ""en"", ""hi"")"),"कौन सा प्राचीन भारतीय ग्रंथ मलखंभ प्रथाओं के समान तकनीकों का विवरण देता है?")</f>
        <v>कौन सा प्राचीन भारतीय ग्रंथ मलखंभ प्रथाओं के समान तकनीकों का विवरण देता है?</v>
      </c>
      <c r="H278" s="5" t="str">
        <f>IFERROR(__xludf.DUMMYFUNCTION("GOOGLETRANSLATE(C278, ""en"", ""hi"")"),"ए) योग सूत्र, बी) मनुस्मृति, सी) अर्थशास्त्र, डी) रामायण")</f>
        <v>ए) योग सूत्र, बी) मनुस्मृति, सी) अर्थशास्त्र, डी) रामायण</v>
      </c>
      <c r="I278" s="5" t="str">
        <f>IFERROR(__xludf.DUMMYFUNCTION("GOOGLETRANSLATE(D278, ""en"", ""hi"")"),"C) अर्थशास्त्र")</f>
        <v>C) अर्थशास्त्र</v>
      </c>
    </row>
    <row r="279" ht="22.5" customHeight="1">
      <c r="A279" s="10">
        <v>278.0</v>
      </c>
      <c r="B279" s="8" t="s">
        <v>10868</v>
      </c>
      <c r="C279" s="8" t="s">
        <v>10503</v>
      </c>
      <c r="D279" s="8" t="s">
        <v>4164</v>
      </c>
      <c r="F279" s="5" t="str">
        <f>IFERROR(__xludf.DUMMYFUNCTION("GOOGLETRANSLATE(A279, ""en"", ""hi"")"),"278")</f>
        <v>278</v>
      </c>
      <c r="G279" s="5" t="str">
        <f>IFERROR(__xludf.DUMMYFUNCTION("GOOGLETRANSLATE(B279, ""en"", ""hi"")"),"17वीं शताब्दी के किस शासक के सैन्य प्रशिक्षण में मलखम्ब तकनीक शामिल थी?")</f>
        <v>17वीं शताब्दी के किस शासक के सैन्य प्रशिक्षण में मलखम्ब तकनीक शामिल थी?</v>
      </c>
      <c r="H279" s="5" t="str">
        <f>IFERROR(__xludf.DUMMYFUNCTION("GOOGLETRANSLATE(C279, ""en"", ""hi"")"),"ए) शिवाजी महाराज, बी) अकबर, सी) औरंगजेब, डी) चंद्रगुप्त मौर्य")</f>
        <v>ए) शिवाजी महाराज, बी) अकबर, सी) औरंगजेब, डी) चंद्रगुप्त मौर्य</v>
      </c>
      <c r="I279" s="5" t="str">
        <f>IFERROR(__xludf.DUMMYFUNCTION("GOOGLETRANSLATE(D279, ""en"", ""hi"")"),"A) शिवाजी महाराज")</f>
        <v>A) शिवाजी महाराज</v>
      </c>
    </row>
    <row r="280" ht="22.5" customHeight="1">
      <c r="A280" s="10">
        <v>279.0</v>
      </c>
      <c r="B280" s="8" t="s">
        <v>10869</v>
      </c>
      <c r="C280" s="8" t="s">
        <v>10870</v>
      </c>
      <c r="D280" s="8" t="s">
        <v>10859</v>
      </c>
      <c r="F280" s="5" t="str">
        <f>IFERROR(__xludf.DUMMYFUNCTION("GOOGLETRANSLATE(A280, ""en"", ""hi"")"),"279")</f>
        <v>279</v>
      </c>
      <c r="G280" s="5" t="str">
        <f>IFERROR(__xludf.DUMMYFUNCTION("GOOGLETRANSLATE(B280, ""en"", ""hi"")"),"मलखम्ब के संरक्षण के लिए 19वीं सदी का कौन सा विकास महत्वपूर्ण था?")</f>
        <v>मलखम्ब के संरक्षण के लिए 19वीं सदी का कौन सा विकास महत्वपूर्ण था?</v>
      </c>
      <c r="H280" s="5" t="str">
        <f>IFERROR(__xludf.DUMMYFUNCTION("GOOGLETRANSLATE(C280,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280" s="5" t="str">
        <f>IFERROR(__xludf.DUMMYFUNCTION("GOOGLETRANSLATE(D280, ""en"", ""hi"")"),"A) सांस्कृतिक पुनरुत्थान आंदोलन")</f>
        <v>A) सांस्कृतिक पुनरुत्थान आंदोलन</v>
      </c>
    </row>
    <row r="281" ht="22.5" customHeight="1">
      <c r="A281" s="10">
        <v>280.0</v>
      </c>
      <c r="B281" s="8" t="s">
        <v>10854</v>
      </c>
      <c r="C281" s="8" t="s">
        <v>10778</v>
      </c>
      <c r="D281" s="8" t="s">
        <v>10733</v>
      </c>
      <c r="F281" s="5" t="str">
        <f>IFERROR(__xludf.DUMMYFUNCTION("GOOGLETRANSLATE(A281, ""en"", ""hi"")"),"280")</f>
        <v>280</v>
      </c>
      <c r="G281" s="5" t="str">
        <f>IFERROR(__xludf.DUMMYFUNCTION("GOOGLETRANSLATE(B281, ""en"", ""hi"")"),"19वीं शताब्दी में किस महाराजा के शासनकाल में मलखम्ब नियमों और तकनीकों को औपचारिक रूप दिया गया?")</f>
        <v>19वीं शताब्दी में किस महाराजा के शासनकाल में मलखम्ब नियमों और तकनीकों को औपचारिक रूप दिया गया?</v>
      </c>
      <c r="H281" s="5" t="str">
        <f>IFERROR(__xludf.DUMMYFUNCTION("GOOGLETRANSLATE(C281, ""en"", ""hi"")"),"ए) शिवाजी महाराज, बी) महादजी शिंदे, सी) जय सिंह, डी) रणजीत सिंह")</f>
        <v>ए) शिवाजी महाराज, बी) महादजी शिंदे, सी) जय सिंह, डी) रणजीत सिंह</v>
      </c>
      <c r="I281" s="5" t="str">
        <f>IFERROR(__xludf.DUMMYFUNCTION("GOOGLETRANSLATE(D281, ""en"", ""hi"")"),"B) महादजी शिंदे")</f>
        <v>B) महादजी शिंदे</v>
      </c>
    </row>
    <row r="282" ht="22.5" customHeight="1">
      <c r="A282" s="10">
        <v>281.0</v>
      </c>
      <c r="B282" s="8" t="s">
        <v>10826</v>
      </c>
      <c r="C282" s="8" t="s">
        <v>10827</v>
      </c>
      <c r="D282" s="8" t="s">
        <v>10828</v>
      </c>
      <c r="F282" s="5" t="str">
        <f>IFERROR(__xludf.DUMMYFUNCTION("GOOGLETRANSLATE(A282, ""en"", ""hi"")"),"281")</f>
        <v>281</v>
      </c>
      <c r="G282" s="5" t="str">
        <f>IFERROR(__xludf.DUMMYFUNCTION("GOOGLETRANSLATE(B282, ""en"", ""hi"")"),"कौन सी प्राचीन भारतीय प्रथा मलखंभ का पूर्ववर्ती मानी जाती है?")</f>
        <v>कौन सी प्राचीन भारतीय प्रथा मलखंभ का पूर्ववर्ती मानी जाती है?</v>
      </c>
      <c r="H282" s="5" t="str">
        <f>IFERROR(__xludf.DUMMYFUNCTION("GOOGLETRANSLATE(C282, ""en"", ""hi"")"),"A) योग, B) मार्शल आर्ट, C) कलाबाजी, D) नृत्य")</f>
        <v>A) योग, B) मार्शल आर्ट, C) कलाबाजी, D) नृत्य</v>
      </c>
      <c r="I282" s="5" t="str">
        <f>IFERROR(__xludf.DUMMYFUNCTION("GOOGLETRANSLATE(D282, ""en"", ""hi"")"),"सी) कलाबाजी")</f>
        <v>सी) कलाबाजी</v>
      </c>
    </row>
    <row r="283" ht="22.5" customHeight="1">
      <c r="A283" s="10">
        <v>282.0</v>
      </c>
      <c r="B283" s="8" t="s">
        <v>10871</v>
      </c>
      <c r="C283" s="8" t="s">
        <v>10503</v>
      </c>
      <c r="D283" s="8" t="s">
        <v>4164</v>
      </c>
      <c r="F283" s="5" t="str">
        <f>IFERROR(__xludf.DUMMYFUNCTION("GOOGLETRANSLATE(A283, ""en"", ""hi"")"),"282")</f>
        <v>282</v>
      </c>
      <c r="G283" s="5" t="str">
        <f>IFERROR(__xludf.DUMMYFUNCTION("GOOGLETRANSLATE(B283, ""en"", ""hi"")"),"17वीं शताब्दी में मलखम्ब तकनीक को औपचारिक रूप देने के लिए किस राजा का समर्थन आवश्यक था?")</f>
        <v>17वीं शताब्दी में मलखम्ब तकनीक को औपचारिक रूप देने के लिए किस राजा का समर्थन आवश्यक था?</v>
      </c>
      <c r="H283" s="5" t="str">
        <f>IFERROR(__xludf.DUMMYFUNCTION("GOOGLETRANSLATE(C283, ""en"", ""hi"")"),"ए) शिवाजी महाराज, बी) अकबर, सी) औरंगजेब, डी) चंद्रगुप्त मौर्य")</f>
        <v>ए) शिवाजी महाराज, बी) अकबर, सी) औरंगजेब, डी) चंद्रगुप्त मौर्य</v>
      </c>
      <c r="I283" s="5" t="str">
        <f>IFERROR(__xludf.DUMMYFUNCTION("GOOGLETRANSLATE(D283, ""en"", ""hi"")"),"A) शिवाजी महाराज")</f>
        <v>A) शिवाजी महाराज</v>
      </c>
    </row>
    <row r="284" ht="22.5" customHeight="1">
      <c r="A284" s="10">
        <v>283.0</v>
      </c>
      <c r="B284" s="8" t="s">
        <v>10872</v>
      </c>
      <c r="C284" s="8" t="s">
        <v>10793</v>
      </c>
      <c r="D284" s="8" t="s">
        <v>2616</v>
      </c>
      <c r="F284" s="5" t="str">
        <f>IFERROR(__xludf.DUMMYFUNCTION("GOOGLETRANSLATE(A284, ""en"", ""hi"")"),"283")</f>
        <v>283</v>
      </c>
      <c r="G284" s="5" t="str">
        <f>IFERROR(__xludf.DUMMYFUNCTION("GOOGLETRANSLATE(B284, ""en"", ""hi"")"),"17वीं शताब्दी के किस ऐतिहासिक ग्रंथ में मलखंभ जैसी प्रथाओं का विस्तृत वर्णन मिलता है?")</f>
        <v>17वीं शताब्दी के किस ऐतिहासिक ग्रंथ में मलखंभ जैसी प्रथाओं का विस्तृत वर्णन मिलता है?</v>
      </c>
      <c r="H284" s="5" t="str">
        <f>IFERROR(__xludf.DUMMYFUNCTION("GOOGLETRANSLATE(C284, ""en"", ""hi"")"),"ए) अर्थशास्त्र, बी) मनुस्मृति, सी) योग सूत्र, डी) रामायण")</f>
        <v>ए) अर्थशास्त्र, बी) मनुस्मृति, सी) योग सूत्र, डी) रामायण</v>
      </c>
      <c r="I284" s="5" t="str">
        <f>IFERROR(__xludf.DUMMYFUNCTION("GOOGLETRANSLATE(D284, ""en"", ""hi"")"),"A) अर्थशास्त्र")</f>
        <v>A) अर्थशास्त्र</v>
      </c>
    </row>
    <row r="285" ht="22.5" customHeight="1">
      <c r="A285" s="10">
        <v>284.0</v>
      </c>
      <c r="B285" s="8" t="s">
        <v>10857</v>
      </c>
      <c r="C285" s="8" t="s">
        <v>10858</v>
      </c>
      <c r="D285" s="8" t="s">
        <v>10859</v>
      </c>
      <c r="F285" s="5" t="str">
        <f>IFERROR(__xludf.DUMMYFUNCTION("GOOGLETRANSLATE(A285, ""en"", ""hi"")"),"284")</f>
        <v>284</v>
      </c>
      <c r="G285" s="5" t="str">
        <f>IFERROR(__xludf.DUMMYFUNCTION("GOOGLETRANSLATE(B285, ""en"", ""hi"")"),"20वीं शताब्दी में मलखम्ब के पुनरुत्थान का प्रमुख कारक क्या था?")</f>
        <v>20वीं शताब्दी में मलखम्ब के पुनरुत्थान का प्रमुख कारक क्या था?</v>
      </c>
      <c r="H285" s="5" t="str">
        <f>IFERROR(__xludf.DUMMYFUNCTION("GOOGLETRANSLATE(C285, ""en"", ""hi"")"),"A) सांस्कृतिक पुनरुत्थान आंदोलन, B) सरकारी हस्तक्षेप, C) अंतर्राष्ट्रीय प्रतियोगिताएं, D) शैक्षिक सुधार")</f>
        <v>A) सांस्कृतिक पुनरुत्थान आंदोलन, B) सरकारी हस्तक्षेप, C) अंतर्राष्ट्रीय प्रतियोगिताएं, D) शैक्षिक सुधार</v>
      </c>
      <c r="I285" s="5" t="str">
        <f>IFERROR(__xludf.DUMMYFUNCTION("GOOGLETRANSLATE(D285, ""en"", ""hi"")"),"A) सांस्कृतिक पुनरुत्थान आंदोलन")</f>
        <v>A) सांस्कृतिक पुनरुत्थान आंदोलन</v>
      </c>
    </row>
    <row r="286" ht="22.5" customHeight="1">
      <c r="A286" s="10">
        <v>285.0</v>
      </c>
      <c r="B286" s="8" t="s">
        <v>10873</v>
      </c>
      <c r="C286" s="8" t="s">
        <v>10874</v>
      </c>
      <c r="D286" s="8" t="s">
        <v>10431</v>
      </c>
      <c r="F286" s="5" t="str">
        <f>IFERROR(__xludf.DUMMYFUNCTION("GOOGLETRANSLATE(A286, ""en"", ""hi"")"),"285")</f>
        <v>285</v>
      </c>
      <c r="G286" s="5" t="str">
        <f>IFERROR(__xludf.DUMMYFUNCTION("GOOGLETRANSLATE(B286, ""en"", ""hi"")"),"किस प्राचीन भारतीय ग्रंथ में पहली बार मलखंभ जैसे व्यायामों का दस्तावेजीकरण किया गया?")</f>
        <v>किस प्राचीन भारतीय ग्रंथ में पहली बार मलखंभ जैसे व्यायामों का दस्तावेजीकरण किया गया?</v>
      </c>
      <c r="H286" s="5" t="str">
        <f>IFERROR(__xludf.DUMMYFUNCTION("GOOGLETRANSLATE(C286, ""en"", ""hi"")"),"ए) योग सूत्र, बी) मनुस्मृति, सी) वेद, डी) अर्थशास्त्र")</f>
        <v>ए) योग सूत्र, बी) मनुस्मृति, सी) वेद, डी) अर्थशास्त्र</v>
      </c>
      <c r="I286" s="5" t="str">
        <f>IFERROR(__xludf.DUMMYFUNCTION("GOOGLETRANSLATE(D286, ""en"", ""hi"")"),"C) वेद")</f>
        <v>C) वेद</v>
      </c>
    </row>
    <row r="287" ht="22.5" customHeight="1">
      <c r="A287" s="10">
        <v>286.0</v>
      </c>
      <c r="B287" s="8" t="s">
        <v>10875</v>
      </c>
      <c r="C287" s="8" t="s">
        <v>10503</v>
      </c>
      <c r="D287" s="8" t="s">
        <v>4164</v>
      </c>
      <c r="F287" s="5" t="str">
        <f>IFERROR(__xludf.DUMMYFUNCTION("GOOGLETRANSLATE(A287, ""en"", ""hi"")"),"286")</f>
        <v>286</v>
      </c>
      <c r="G287" s="5" t="str">
        <f>IFERROR(__xludf.DUMMYFUNCTION("GOOGLETRANSLATE(B287, ""en"", ""hi"")"),"17वीं शताब्दी में किस राजा ने मलखम्ब को अपने सैन्य प्रशिक्षण के भाग के रूप में स्थापित किया था?")</f>
        <v>17वीं शताब्दी में किस राजा ने मलखम्ब को अपने सैन्य प्रशिक्षण के भाग के रूप में स्थापित किया था?</v>
      </c>
      <c r="H287" s="5" t="str">
        <f>IFERROR(__xludf.DUMMYFUNCTION("GOOGLETRANSLATE(C287, ""en"", ""hi"")"),"ए) शिवाजी महाराज, बी) अकबर, सी) औरंगजेब, डी) चंद्रगुप्त मौर्य")</f>
        <v>ए) शिवाजी महाराज, बी) अकबर, सी) औरंगजेब, डी) चंद्रगुप्त मौर्य</v>
      </c>
      <c r="I287" s="5" t="str">
        <f>IFERROR(__xludf.DUMMYFUNCTION("GOOGLETRANSLATE(D287, ""en"", ""hi"")"),"A) शिवाजी महाराज")</f>
        <v>A) शिवाजी महाराज</v>
      </c>
    </row>
    <row r="288" ht="22.5" customHeight="1">
      <c r="A288" s="10">
        <v>287.0</v>
      </c>
      <c r="B288" s="8" t="s">
        <v>10876</v>
      </c>
      <c r="C288" s="8" t="s">
        <v>7680</v>
      </c>
      <c r="D288" s="8" t="s">
        <v>10877</v>
      </c>
      <c r="F288" s="5" t="str">
        <f>IFERROR(__xludf.DUMMYFUNCTION("GOOGLETRANSLATE(A288, ""en"", ""hi"")"),"287")</f>
        <v>287</v>
      </c>
      <c r="G288" s="5" t="str">
        <f>IFERROR(__xludf.DUMMYFUNCTION("GOOGLETRANSLATE(B288, ""en"", ""hi"")"),"मलखम्ब का महत्वपूर्ण औपचारिकीकरण और मानकीकरण किस युग में हुआ?")</f>
        <v>मलखम्ब का महत्वपूर्ण औपचारिकीकरण और मानकीकरण किस युग में हुआ?</v>
      </c>
      <c r="H288" s="5" t="str">
        <f>IFERROR(__xludf.DUMMYFUNCTION("GOOGLETRANSLATE(C288, ""en"", ""hi"")"),"A) 16वीं शताब्दी, B) 17वीं शताब्दी, C) 18वीं शताब्दी, D) 19वीं शताब्दी")</f>
        <v>A) 16वीं शताब्दी, B) 17वीं शताब्दी, C) 18वीं शताब्दी, D) 19वीं शताब्दी</v>
      </c>
      <c r="I288" s="5" t="str">
        <f>IFERROR(__xludf.DUMMYFUNCTION("GOOGLETRANSLATE(D288, ""en"", ""hi"")"),"बी) 17वीं शताब्दी")</f>
        <v>बी) 17वीं शताब्दी</v>
      </c>
    </row>
    <row r="289" ht="22.5" customHeight="1">
      <c r="A289" s="10">
        <v>288.0</v>
      </c>
      <c r="B289" s="8" t="s">
        <v>10878</v>
      </c>
      <c r="C289" s="8" t="s">
        <v>10832</v>
      </c>
      <c r="D289" s="8" t="s">
        <v>10772</v>
      </c>
      <c r="F289" s="5" t="str">
        <f>IFERROR(__xludf.DUMMYFUNCTION("GOOGLETRANSLATE(A289, ""en"", ""hi"")"),"288")</f>
        <v>288</v>
      </c>
      <c r="G289" s="5" t="str">
        <f>IFERROR(__xludf.DUMMYFUNCTION("GOOGLETRANSLATE(B289, ""en"", ""hi"")"),"20वीं सदी में मलखम्ब के पुनरुद्धार का श्रेय किस ऐतिहासिक व्यक्ति को दिया जाता है?")</f>
        <v>20वीं सदी में मलखम्ब के पुनरुद्धार का श्रेय किस ऐतिहासिक व्यक्ति को दिया जाता है?</v>
      </c>
      <c r="H289" s="5" t="str">
        <f>IFERROR(__xludf.DUMMYFUNCTION("GOOGLETRANSLATE(C289, ""en"", ""hi"")"),"ए) लक्ष्मण राव किर्लोस्कर, बी) भाऊ दाजी लाड, सी) महात्मा गांधी, डी) जवाहरलाल नेहरू")</f>
        <v>ए) लक्ष्मण राव किर्लोस्कर, बी) भाऊ दाजी लाड, सी) महात्मा गांधी, डी) जवाहरलाल नेहरू</v>
      </c>
      <c r="I289" s="5" t="str">
        <f>IFERROR(__xludf.DUMMYFUNCTION("GOOGLETRANSLATE(D289, ""en"", ""hi"")"),"A) लक्ष्मण राव किर्लोस्कर")</f>
        <v>A) लक्ष्मण राव किर्लोस्कर</v>
      </c>
    </row>
    <row r="290" ht="22.5" customHeight="1">
      <c r="A290" s="10">
        <v>289.0</v>
      </c>
      <c r="B290" s="8" t="s">
        <v>10879</v>
      </c>
      <c r="C290" s="8" t="s">
        <v>10739</v>
      </c>
      <c r="D290" s="8" t="s">
        <v>10740</v>
      </c>
      <c r="F290" s="5" t="str">
        <f>IFERROR(__xludf.DUMMYFUNCTION("GOOGLETRANSLATE(A290, ""en"", ""hi"")"),"289")</f>
        <v>289</v>
      </c>
      <c r="G290" s="5" t="str">
        <f>IFERROR(__xludf.DUMMYFUNCTION("GOOGLETRANSLATE(B290, ""en"", ""hi"")"),"किस राजवंश के पतन ने मलखम्ब के अस्थायी पतन में योगदान दिया?")</f>
        <v>किस राजवंश के पतन ने मलखम्ब के अस्थायी पतन में योगदान दिया?</v>
      </c>
      <c r="H290" s="5" t="str">
        <f>IFERROR(__xludf.DUMMYFUNCTION("GOOGLETRANSLATE(C290, ""en"", ""hi"")"),"A) मराठा वंश, B) मुगल वंश, C) गुप्त वंश, D) मौर्य वंश")</f>
        <v>A) मराठा वंश, B) मुगल वंश, C) गुप्त वंश, D) मौर्य वंश</v>
      </c>
      <c r="I290" s="5" t="str">
        <f>IFERROR(__xludf.DUMMYFUNCTION("GOOGLETRANSLATE(D290, ""en"", ""hi"")"),"बी) मुगल वंश")</f>
        <v>बी) मुगल वंश</v>
      </c>
    </row>
    <row r="291" ht="22.5" customHeight="1">
      <c r="A291" s="10">
        <v>290.0</v>
      </c>
      <c r="B291" s="8" t="s">
        <v>10880</v>
      </c>
      <c r="C291" s="8" t="s">
        <v>10827</v>
      </c>
      <c r="D291" s="8" t="s">
        <v>10828</v>
      </c>
      <c r="F291" s="5" t="str">
        <f>IFERROR(__xludf.DUMMYFUNCTION("GOOGLETRANSLATE(A291, ""en"", ""hi"")"),"290")</f>
        <v>290</v>
      </c>
      <c r="G291" s="5" t="str">
        <f>IFERROR(__xludf.DUMMYFUNCTION("GOOGLETRANSLATE(B291, ""en"", ""hi"")"),"कौन सी प्राचीन प्रथा मलखम्ब का पूर्ववर्ती मानी जाती है?")</f>
        <v>कौन सी प्राचीन प्रथा मलखम्ब का पूर्ववर्ती मानी जाती है?</v>
      </c>
      <c r="H291" s="5" t="str">
        <f>IFERROR(__xludf.DUMMYFUNCTION("GOOGLETRANSLATE(C291, ""en"", ""hi"")"),"A) योग, B) मार्शल आर्ट, C) कलाबाजी, D) नृत्य")</f>
        <v>A) योग, B) मार्शल आर्ट, C) कलाबाजी, D) नृत्य</v>
      </c>
      <c r="I291" s="5" t="str">
        <f>IFERROR(__xludf.DUMMYFUNCTION("GOOGLETRANSLATE(D291, ""en"", ""hi"")"),"सी) कलाबाजी")</f>
        <v>सी) कलाबाजी</v>
      </c>
    </row>
    <row r="292" ht="22.5" customHeight="1">
      <c r="A292" s="10">
        <v>291.0</v>
      </c>
      <c r="B292" s="8" t="s">
        <v>10881</v>
      </c>
      <c r="C292" s="8" t="s">
        <v>10778</v>
      </c>
      <c r="D292" s="8" t="s">
        <v>10733</v>
      </c>
      <c r="F292" s="5" t="str">
        <f>IFERROR(__xludf.DUMMYFUNCTION("GOOGLETRANSLATE(A292, ""en"", ""hi"")"),"291")</f>
        <v>291</v>
      </c>
      <c r="G292" s="5" t="str">
        <f>IFERROR(__xludf.DUMMYFUNCTION("GOOGLETRANSLATE(B292, ""en"", ""hi"")"),"19वीं सदी के किस महाराजा के सहयोग से मलखम्ब तकनीक को औपचारिक रूप देने में मदद मिली?")</f>
        <v>19वीं सदी के किस महाराजा के सहयोग से मलखम्ब तकनीक को औपचारिक रूप देने में मदद मिली?</v>
      </c>
      <c r="H292" s="5" t="str">
        <f>IFERROR(__xludf.DUMMYFUNCTION("GOOGLETRANSLATE(C292, ""en"", ""hi"")"),"ए) शिवाजी महाराज, बी) महादजी शिंदे, सी) जय सिंह, डी) रणजीत सिंह")</f>
        <v>ए) शिवाजी महाराज, बी) महादजी शिंदे, सी) जय सिंह, डी) रणजीत सिंह</v>
      </c>
      <c r="I292" s="5" t="str">
        <f>IFERROR(__xludf.DUMMYFUNCTION("GOOGLETRANSLATE(D292, ""en"", ""hi"")"),"B) महादजी शिंदे")</f>
        <v>B) महादजी शिंदे</v>
      </c>
    </row>
    <row r="293" ht="22.5" customHeight="1">
      <c r="A293" s="10">
        <v>292.0</v>
      </c>
      <c r="B293" s="8" t="s">
        <v>10798</v>
      </c>
      <c r="C293" s="8" t="s">
        <v>10475</v>
      </c>
      <c r="D293" s="8" t="s">
        <v>10476</v>
      </c>
      <c r="F293" s="5" t="str">
        <f>IFERROR(__xludf.DUMMYFUNCTION("GOOGLETRANSLATE(A293, ""en"", ""hi"")"),"292")</f>
        <v>292</v>
      </c>
      <c r="G293" s="5" t="str">
        <f>IFERROR(__xludf.DUMMYFUNCTION("GOOGLETRANSLATE(B293, ""en"", ""hi"")"),"ऐतिहासिक रूप से किस त्यौहार में मलखम्ब प्रदर्शन और प्रतियोगिताएं होती थीं?")</f>
        <v>ऐतिहासिक रूप से किस त्यौहार में मलखम्ब प्रदर्शन और प्रतियोगिताएं होती थीं?</v>
      </c>
      <c r="H293" s="5" t="str">
        <f>IFERROR(__xludf.DUMMYFUNCTION("GOOGLETRANSLATE(C293, ""en"", ""hi"")"),"ए) गणेश चतुर्थी, बी) दिवाली, सी) होली, डी) पोंगल")</f>
        <v>ए) गणेश चतुर्थी, बी) दिवाली, सी) होली, डी) पोंगल</v>
      </c>
      <c r="I293" s="5" t="str">
        <f>IFERROR(__xludf.DUMMYFUNCTION("GOOGLETRANSLATE(D293, ""en"", ""hi"")"),"A) गणेश चतुर्थी")</f>
        <v>A) गणेश चतुर्थी</v>
      </c>
    </row>
    <row r="294" ht="22.5" customHeight="1">
      <c r="A294" s="10">
        <v>293.0</v>
      </c>
      <c r="B294" s="8" t="s">
        <v>10882</v>
      </c>
      <c r="C294" s="8" t="s">
        <v>10471</v>
      </c>
      <c r="D294" s="8" t="s">
        <v>10472</v>
      </c>
      <c r="F294" s="5" t="str">
        <f>IFERROR(__xludf.DUMMYFUNCTION("GOOGLETRANSLATE(A294, ""en"", ""hi"")"),"293")</f>
        <v>293</v>
      </c>
      <c r="G294" s="5" t="str">
        <f>IFERROR(__xludf.DUMMYFUNCTION("GOOGLETRANSLATE(B294, ""en"", ""hi"")"),"18वीं शताब्दी में किस राजा के शासनकाल में मलखम्ब अभ्यास और प्रतियोगिताओं का चरम देखा गया?")</f>
        <v>18वीं शताब्दी में किस राजा के शासनकाल में मलखम्ब अभ्यास और प्रतियोगिताओं का चरम देखा गया?</v>
      </c>
      <c r="H294" s="5" t="str">
        <f>IFERROR(__xludf.DUMMYFUNCTION("GOOGLETRANSLATE(C294, ""en"", ""hi"")"),"ए) शिवाजी महाराज, बी) जय सिंह, सी) रणजीत सिंह, डी) महादजी शिंदे")</f>
        <v>ए) शिवाजी महाराज, बी) जय सिंह, सी) रणजीत सिंह, डी) महादजी शिंदे</v>
      </c>
      <c r="I294" s="5" t="str">
        <f>IFERROR(__xludf.DUMMYFUNCTION("GOOGLETRANSLATE(D294, ""en"", ""hi"")"),"D) महादजी शिंदे")</f>
        <v>D) महादजी शिंदे</v>
      </c>
    </row>
    <row r="295" ht="22.5" customHeight="1">
      <c r="A295" s="10">
        <v>294.0</v>
      </c>
      <c r="B295" s="8" t="s">
        <v>10785</v>
      </c>
      <c r="C295" s="8" t="s">
        <v>10786</v>
      </c>
      <c r="D295" s="8" t="s">
        <v>10787</v>
      </c>
      <c r="F295" s="5" t="str">
        <f>IFERROR(__xludf.DUMMYFUNCTION("GOOGLETRANSLATE(A295, ""en"", ""hi"")"),"294")</f>
        <v>294</v>
      </c>
      <c r="G295" s="5" t="str">
        <f>IFERROR(__xludf.DUMMYFUNCTION("GOOGLETRANSLATE(B295, ""en"", ""hi"")"),"मलखम्ब पर मराठा साम्राज्य का मुख्य प्रभाव क्या था?")</f>
        <v>मलखम्ब पर मराठा साम्राज्य का मुख्य प्रभाव क्या था?</v>
      </c>
      <c r="H295" s="5" t="str">
        <f>IFERROR(__xludf.DUMMYFUNCTION("GOOGLETRANSLATE(C295, ""en"", ""hi"")"),"A) इसने मलखम्ब को औपचारिक रूप दिया, B) इसने मलखम्ब के पतन का कारण बना, C) इसने नई तकनीकों की शुरुआत की, D) इसने मलखम्ब को सैन्य प्रशिक्षण में एकीकृत किया")</f>
        <v>A) इसने मलखम्ब को औपचारिक रूप दिया, B) इसने मलखम्ब के पतन का कारण बना, C) इसने नई तकनीकों की शुरुआत की, D) इसने मलखम्ब को सैन्य प्रशिक्षण में एकीकृत किया</v>
      </c>
      <c r="I295" s="5" t="str">
        <f>IFERROR(__xludf.DUMMYFUNCTION("GOOGLETRANSLATE(D295, ""en"", ""hi"")"),"D) इसने मलखंभ को सैन्य प्रशिक्षण में एकीकृत किया")</f>
        <v>D) इसने मलखंभ को सैन्य प्रशिक्षण में एकीकृत किया</v>
      </c>
    </row>
    <row r="296" ht="22.5" customHeight="1">
      <c r="A296" s="10">
        <v>295.0</v>
      </c>
      <c r="B296" s="8" t="s">
        <v>10814</v>
      </c>
      <c r="C296" s="8" t="s">
        <v>10538</v>
      </c>
      <c r="D296" s="8" t="s">
        <v>10485</v>
      </c>
      <c r="F296" s="5" t="str">
        <f>IFERROR(__xludf.DUMMYFUNCTION("GOOGLETRANSLATE(A296, ""en"", ""hi"")"),"295")</f>
        <v>295</v>
      </c>
      <c r="G296" s="5" t="str">
        <f>IFERROR(__xludf.DUMMYFUNCTION("GOOGLETRANSLATE(B296, ""en"", ""hi"")"),"प्राचीन काल का कौन सा भारतीय ग्रंथ मलखंभ की प्रथा को प्रभावित करने के लिए जाना जाता है?")</f>
        <v>प्राचीन काल का कौन सा भारतीय ग्रंथ मलखंभ की प्रथा को प्रभावित करने के लिए जाना जाता है?</v>
      </c>
      <c r="H296" s="5" t="str">
        <f>IFERROR(__xludf.DUMMYFUNCTION("GOOGLETRANSLATE(C296, ""en"", ""hi"")"),"ए) मनुस्मृति, बी) वेद, सी) योग सूत्र, डी) रामायण")</f>
        <v>ए) मनुस्मृति, बी) वेद, सी) योग सूत्र, डी) रामायण</v>
      </c>
      <c r="I296" s="5" t="str">
        <f>IFERROR(__xludf.DUMMYFUNCTION("GOOGLETRANSLATE(D296, ""en"", ""hi"")"),"बी) वेद")</f>
        <v>बी) वेद</v>
      </c>
    </row>
    <row r="297" ht="22.5" customHeight="1">
      <c r="A297" s="10">
        <v>296.0</v>
      </c>
      <c r="B297" s="8" t="s">
        <v>10883</v>
      </c>
      <c r="C297" s="8" t="s">
        <v>10503</v>
      </c>
      <c r="D297" s="8" t="s">
        <v>4164</v>
      </c>
      <c r="F297" s="5" t="str">
        <f>IFERROR(__xludf.DUMMYFUNCTION("GOOGLETRANSLATE(A297, ""en"", ""hi"")"),"296")</f>
        <v>296</v>
      </c>
      <c r="G297" s="5" t="str">
        <f>IFERROR(__xludf.DUMMYFUNCTION("GOOGLETRANSLATE(B297, ""en"", ""hi"")"),"17वीं शताब्दी में किस शासक के सैन्य प्रशिक्षण में मलखम्ब को मुख्य घटक के रूप में शामिल किया गया था?")</f>
        <v>17वीं शताब्दी में किस शासक के सैन्य प्रशिक्षण में मलखम्ब को मुख्य घटक के रूप में शामिल किया गया था?</v>
      </c>
      <c r="H297" s="5" t="str">
        <f>IFERROR(__xludf.DUMMYFUNCTION("GOOGLETRANSLATE(C297, ""en"", ""hi"")"),"ए) शिवाजी महाराज, बी) अकबर, सी) औरंगजेब, डी) चंद्रगुप्त मौर्य")</f>
        <v>ए) शिवाजी महाराज, बी) अकबर, सी) औरंगजेब, डी) चंद्रगुप्त मौर्य</v>
      </c>
      <c r="I297" s="5" t="str">
        <f>IFERROR(__xludf.DUMMYFUNCTION("GOOGLETRANSLATE(D297, ""en"", ""hi"")"),"A) शिवाजी महाराज")</f>
        <v>A) शिवाजी महाराज</v>
      </c>
    </row>
    <row r="298" ht="22.5" customHeight="1">
      <c r="A298" s="10">
        <v>297.0</v>
      </c>
      <c r="B298" s="8" t="s">
        <v>10792</v>
      </c>
      <c r="C298" s="8" t="s">
        <v>10793</v>
      </c>
      <c r="D298" s="8" t="s">
        <v>2616</v>
      </c>
      <c r="F298" s="5" t="str">
        <f>IFERROR(__xludf.DUMMYFUNCTION("GOOGLETRANSLATE(A298, ""en"", ""hi"")"),"297")</f>
        <v>297</v>
      </c>
      <c r="G298" s="5" t="str">
        <f>IFERROR(__xludf.DUMMYFUNCTION("GOOGLETRANSLATE(B298, ""en"", ""hi"")"),"17वीं शताब्दी के किस ऐतिहासिक ग्रंथ में आधुनिक मलखम्ब के समान तकनीकों का वर्णन किया गया है?")</f>
        <v>17वीं शताब्दी के किस ऐतिहासिक ग्रंथ में आधुनिक मलखम्ब के समान तकनीकों का वर्णन किया गया है?</v>
      </c>
      <c r="H298" s="5" t="str">
        <f>IFERROR(__xludf.DUMMYFUNCTION("GOOGLETRANSLATE(C298, ""en"", ""hi"")"),"ए) अर्थशास्त्र, बी) मनुस्मृति, सी) योग सूत्र, डी) रामायण")</f>
        <v>ए) अर्थशास्त्र, बी) मनुस्मृति, सी) योग सूत्र, डी) रामायण</v>
      </c>
      <c r="I298" s="5" t="str">
        <f>IFERROR(__xludf.DUMMYFUNCTION("GOOGLETRANSLATE(D298, ""en"", ""hi"")"),"A) अर्थशास्त्र")</f>
        <v>A) अर्थशास्त्र</v>
      </c>
    </row>
    <row r="299" ht="22.5" customHeight="1">
      <c r="A299" s="10">
        <v>298.0</v>
      </c>
      <c r="B299" s="8" t="s">
        <v>10799</v>
      </c>
      <c r="C299" s="8" t="s">
        <v>10800</v>
      </c>
      <c r="D299" s="8" t="s">
        <v>10801</v>
      </c>
      <c r="F299" s="5" t="str">
        <f>IFERROR(__xludf.DUMMYFUNCTION("GOOGLETRANSLATE(A299, ""en"", ""hi"")"),"298")</f>
        <v>298</v>
      </c>
      <c r="G299" s="5" t="str">
        <f>IFERROR(__xludf.DUMMYFUNCTION("GOOGLETRANSLATE(B299, ""en"", ""hi"")"),"मलखम्ब के इतिहास में मराठा साम्राज्य की क्या भूमिका थी?")</f>
        <v>मलखम्ब के इतिहास में मराठा साम्राज्य की क्या भूमिका थी?</v>
      </c>
      <c r="H299" s="5" t="str">
        <f>IFERROR(__xludf.DUMMYFUNCTION("GOOGLETRANSLATE(C299, ""en"", ""hi"")"),"A)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f>
        <v>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v>
      </c>
      <c r="I299" s="5" t="str">
        <f>IFERROR(__xludf.DUMMYFUNCTION("GOOGLETRANSLATE(D299, ""en"", ""hi"")"),"B) इसने एक खेल के रूप में इसके विकास में मदद की")</f>
        <v>B) इसने एक खेल के रूप में इसके विकास में मदद की</v>
      </c>
    </row>
    <row r="300" ht="22.5" customHeight="1">
      <c r="A300" s="10">
        <v>299.0</v>
      </c>
      <c r="B300" s="8" t="s">
        <v>10884</v>
      </c>
      <c r="C300" s="8" t="s">
        <v>10778</v>
      </c>
      <c r="D300" s="8" t="s">
        <v>10733</v>
      </c>
      <c r="F300" s="5" t="str">
        <f>IFERROR(__xludf.DUMMYFUNCTION("GOOGLETRANSLATE(A300, ""en"", ""hi"")"),"299")</f>
        <v>299</v>
      </c>
      <c r="G300" s="5" t="str">
        <f>IFERROR(__xludf.DUMMYFUNCTION("GOOGLETRANSLATE(B300, ""en"", ""hi"")"),"19वीं शताब्दी में मलखम्ब को औपचारिक रूप देने के लिए किस महाराजा का संरक्षण महत्वपूर्ण था?")</f>
        <v>19वीं शताब्दी में मलखम्ब को औपचारिक रूप देने के लिए किस महाराजा का संरक्षण महत्वपूर्ण था?</v>
      </c>
      <c r="H300" s="5" t="str">
        <f>IFERROR(__xludf.DUMMYFUNCTION("GOOGLETRANSLATE(C300, ""en"", ""hi"")"),"ए) शिवाजी महाराज, बी) महादजी शिंदे, सी) जय सिंह, डी) रणजीत सिंह")</f>
        <v>ए) शिवाजी महाराज, बी) महादजी शिंदे, सी) जय सिंह, डी) रणजीत सिंह</v>
      </c>
      <c r="I300" s="5" t="str">
        <f>IFERROR(__xludf.DUMMYFUNCTION("GOOGLETRANSLATE(D300, ""en"", ""hi"")"),"B) महादजी शिंदे")</f>
        <v>B) महादजी शिंदे</v>
      </c>
    </row>
    <row r="301" ht="22.5" customHeight="1">
      <c r="A301" s="10">
        <v>300.0</v>
      </c>
      <c r="B301" s="8" t="s">
        <v>10808</v>
      </c>
      <c r="C301" s="8" t="s">
        <v>10809</v>
      </c>
      <c r="D301" s="8" t="s">
        <v>10810</v>
      </c>
      <c r="F301" s="5" t="str">
        <f>IFERROR(__xludf.DUMMYFUNCTION("GOOGLETRANSLATE(A301, ""en"", ""hi"")"),"300")</f>
        <v>300</v>
      </c>
      <c r="G301" s="5" t="str">
        <f>IFERROR(__xludf.DUMMYFUNCTION("GOOGLETRANSLATE(B301,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301" s="5" t="str">
        <f>IFERROR(__xludf.DUMMYFUNCTION("GOOGLETRANSLATE(C301,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301" s="5" t="str">
        <f>IFERROR(__xludf.DUMMYFUNCTION("GOOGLETRANSLATE(D301, ""en"", ""hi"")"),"बी) सांस्कृतिक उत्सव")</f>
        <v>बी) सांस्कृतिक उत्सव</v>
      </c>
    </row>
    <row r="302" ht="22.5" customHeight="1">
      <c r="A302" s="10">
        <v>301.0</v>
      </c>
      <c r="B302" s="8" t="s">
        <v>10824</v>
      </c>
      <c r="C302" s="8" t="s">
        <v>10778</v>
      </c>
      <c r="D302" s="8" t="s">
        <v>10733</v>
      </c>
      <c r="F302" s="5" t="str">
        <f>IFERROR(__xludf.DUMMYFUNCTION("GOOGLETRANSLATE(A302, ""en"", ""hi"")"),"301")</f>
        <v>301</v>
      </c>
      <c r="G302" s="5" t="str">
        <f>IFERROR(__xludf.DUMMYFUNCTION("GOOGLETRANSLATE(B302, ""en"", ""hi"")"),"18वीं शताब्दी के किस महाराजा का शासनकाल सैन्य प्रशिक्षण के एक भाग के रूप में मलखम्ब को बढ़ावा देने के लिए जाना जाता है?")</f>
        <v>18वीं शताब्दी के किस महाराजा का शासनकाल सैन्य प्रशिक्षण के एक भाग के रूप में मलखम्ब को बढ़ावा देने के लिए जाना जाता है?</v>
      </c>
      <c r="H302" s="5" t="str">
        <f>IFERROR(__xludf.DUMMYFUNCTION("GOOGLETRANSLATE(C302, ""en"", ""hi"")"),"ए) शिवाजी महाराज, बी) महादजी शिंदे, सी) जय सिंह, डी) रणजीत सिंह")</f>
        <v>ए) शिवाजी महाराज, बी) महादजी शिंदे, सी) जय सिंह, डी) रणजीत सिंह</v>
      </c>
      <c r="I302" s="5" t="str">
        <f>IFERROR(__xludf.DUMMYFUNCTION("GOOGLETRANSLATE(D302, ""en"", ""hi"")"),"B) महादजी शिंदे")</f>
        <v>B) महादजी शिंदे</v>
      </c>
    </row>
    <row r="303" ht="22.5" customHeight="1">
      <c r="A303" s="10">
        <v>302.0</v>
      </c>
      <c r="B303" s="8" t="s">
        <v>10817</v>
      </c>
      <c r="C303" s="8" t="s">
        <v>10818</v>
      </c>
      <c r="D303" s="8" t="s">
        <v>10819</v>
      </c>
      <c r="F303" s="5" t="str">
        <f>IFERROR(__xludf.DUMMYFUNCTION("GOOGLETRANSLATE(A303, ""en"", ""hi"")"),"302")</f>
        <v>302</v>
      </c>
      <c r="G303" s="5" t="str">
        <f>IFERROR(__xludf.DUMMYFUNCTION("GOOGLETRANSLATE(B303, ""en"", ""hi"")"),"19वीं शताब्दी में किस ऐतिहासिक घटना ने मलखम्ब में नए सिरे से रुचि पैदा की?")</f>
        <v>19वीं शताब्दी में किस ऐतिहासिक घटना ने मलखम्ब में नए सिरे से रुचि पैदा की?</v>
      </c>
      <c r="H303" s="5" t="str">
        <f>IFERROR(__xludf.DUMMYFUNCTION("GOOGLETRANSLATE(C303, ""en"", ""hi"")"),"A) मराठा साम्राज्य का पुनरुत्थान, B) ब्रिटिश औपनिवेशिक विस्तार, C) 1857 का भारतीय विद्रोह, D) स्वतंत्रता आंदोलन")</f>
        <v>A) मराठा साम्राज्य का पुनरुत्थान, B) ब्रिटिश औपनिवेशिक विस्तार, C) 1857 का भारतीय विद्रोह, D) स्वतंत्रता आंदोलन</v>
      </c>
      <c r="I303" s="5" t="str">
        <f>IFERROR(__xludf.DUMMYFUNCTION("GOOGLETRANSLATE(D303, ""en"", ""hi"")"),"बी) ब्रिटिश औपनिवेशिक विस्तार")</f>
        <v>बी) ब्रिटिश औपनिवेशिक विस्तार</v>
      </c>
    </row>
    <row r="304" ht="22.5" customHeight="1">
      <c r="A304" s="10">
        <v>303.0</v>
      </c>
      <c r="B304" s="8" t="s">
        <v>10820</v>
      </c>
      <c r="C304" s="8" t="s">
        <v>10498</v>
      </c>
      <c r="D304" s="8" t="s">
        <v>4164</v>
      </c>
      <c r="F304" s="5" t="str">
        <f>IFERROR(__xludf.DUMMYFUNCTION("GOOGLETRANSLATE(A304, ""en"", ""hi"")"),"303")</f>
        <v>303</v>
      </c>
      <c r="G304" s="5" t="str">
        <f>IFERROR(__xludf.DUMMYFUNCTION("GOOGLETRANSLATE(B304, ""en"", ""hi"")"),"17वीं शताब्दी में किस राजा की सैन्य प्रशिक्षण पुस्तिका में मलखम्ब तकनीक शामिल थी?")</f>
        <v>17वीं शताब्दी में किस राजा की सैन्य प्रशिक्षण पुस्तिका में मलखम्ब तकनीक शामिल थी?</v>
      </c>
      <c r="H304" s="5" t="str">
        <f>IFERROR(__xludf.DUMMYFUNCTION("GOOGLETRANSLATE(C304, ""en"", ""hi"")"),"ए) शिवाजी महाराज, बी) अकबर, सी) चंद्रगुप्त मौर्य, डी) अशोक")</f>
        <v>ए) शिवाजी महाराज, बी) अकबर, सी) चंद्रगुप्त मौर्य, डी) अशोक</v>
      </c>
      <c r="I304" s="5" t="str">
        <f>IFERROR(__xludf.DUMMYFUNCTION("GOOGLETRANSLATE(D304, ""en"", ""hi"")"),"A) शिवाजी महाराज")</f>
        <v>A) शिवाजी महाराज</v>
      </c>
    </row>
    <row r="305" ht="22.5" customHeight="1">
      <c r="A305" s="10">
        <v>304.0</v>
      </c>
      <c r="B305" s="8" t="s">
        <v>10844</v>
      </c>
      <c r="C305" s="8" t="s">
        <v>10748</v>
      </c>
      <c r="D305" s="8" t="s">
        <v>10439</v>
      </c>
      <c r="F305" s="5" t="str">
        <f>IFERROR(__xludf.DUMMYFUNCTION("GOOGLETRANSLATE(A305, ""en"", ""hi"")"),"304")</f>
        <v>304</v>
      </c>
      <c r="G305" s="5" t="str">
        <f>IFERROR(__xludf.DUMMYFUNCTION("GOOGLETRANSLATE(B305,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305" s="5" t="str">
        <f>IFERROR(__xludf.DUMMYFUNCTION("GOOGLETRANSLATE(C305, ""en"", ""hi"")"),"ए) महादजी शिंदे, बी) शिवाजी महाराज, सी) जय सिंह, डी) रणजीत सिंह")</f>
        <v>ए) महादजी शिंदे, बी) शिवाजी महाराज, सी) जय सिंह, डी) रणजीत सिंह</v>
      </c>
      <c r="I305" s="5" t="str">
        <f>IFERROR(__xludf.DUMMYFUNCTION("GOOGLETRANSLATE(D305, ""en"", ""hi"")"),"A) महादजी शिंदे")</f>
        <v>A) महादजी शिंदे</v>
      </c>
    </row>
    <row r="306" ht="22.5" customHeight="1">
      <c r="A306" s="10">
        <v>305.0</v>
      </c>
      <c r="B306" s="8" t="s">
        <v>10826</v>
      </c>
      <c r="C306" s="8" t="s">
        <v>10827</v>
      </c>
      <c r="D306" s="8" t="s">
        <v>10828</v>
      </c>
      <c r="F306" s="5" t="str">
        <f>IFERROR(__xludf.DUMMYFUNCTION("GOOGLETRANSLATE(A306, ""en"", ""hi"")"),"305")</f>
        <v>305</v>
      </c>
      <c r="G306" s="5" t="str">
        <f>IFERROR(__xludf.DUMMYFUNCTION("GOOGLETRANSLATE(B306, ""en"", ""hi"")"),"कौन सी प्राचीन भारतीय प्रथा मलखंभ का पूर्ववर्ती मानी जाती है?")</f>
        <v>कौन सी प्राचीन भारतीय प्रथा मलखंभ का पूर्ववर्ती मानी जाती है?</v>
      </c>
      <c r="H306" s="5" t="str">
        <f>IFERROR(__xludf.DUMMYFUNCTION("GOOGLETRANSLATE(C306, ""en"", ""hi"")"),"A) योग, B) मार्शल आर्ट, C) कलाबाजी, D) नृत्य")</f>
        <v>A) योग, B) मार्शल आर्ट, C) कलाबाजी, D) नृत्य</v>
      </c>
      <c r="I306" s="5" t="str">
        <f>IFERROR(__xludf.DUMMYFUNCTION("GOOGLETRANSLATE(D306, ""en"", ""hi"")"),"सी) कलाबाजी")</f>
        <v>सी) कलाबाजी</v>
      </c>
    </row>
    <row r="307" ht="22.5" customHeight="1">
      <c r="A307" s="10">
        <v>306.0</v>
      </c>
      <c r="B307" s="8" t="s">
        <v>10885</v>
      </c>
      <c r="C307" s="8" t="s">
        <v>10503</v>
      </c>
      <c r="D307" s="8" t="s">
        <v>4164</v>
      </c>
      <c r="F307" s="5" t="str">
        <f>IFERROR(__xludf.DUMMYFUNCTION("GOOGLETRANSLATE(A307, ""en"", ""hi"")"),"306")</f>
        <v>306</v>
      </c>
      <c r="G307" s="5" t="str">
        <f>IFERROR(__xludf.DUMMYFUNCTION("GOOGLETRANSLATE(B307, ""en"", ""hi"")"),"17वीं शताब्दी में मलखम्ब तकनीक को औपचारिक रूप देने के लिए किस महाराजा का समर्थन आवश्यक था?")</f>
        <v>17वीं शताब्दी में मलखम्ब तकनीक को औपचारिक रूप देने के लिए किस महाराजा का समर्थन आवश्यक था?</v>
      </c>
      <c r="H307" s="5" t="str">
        <f>IFERROR(__xludf.DUMMYFUNCTION("GOOGLETRANSLATE(C307, ""en"", ""hi"")"),"ए) शिवाजी महाराज, बी) अकबर, सी) औरंगजेब, डी) चंद्रगुप्त मौर्य")</f>
        <v>ए) शिवाजी महाराज, बी) अकबर, सी) औरंगजेब, डी) चंद्रगुप्त मौर्य</v>
      </c>
      <c r="I307" s="5" t="str">
        <f>IFERROR(__xludf.DUMMYFUNCTION("GOOGLETRANSLATE(D307, ""en"", ""hi"")"),"A) शिवाजी महाराज")</f>
        <v>A) शिवाजी महाराज</v>
      </c>
    </row>
    <row r="308" ht="22.5" customHeight="1">
      <c r="A308" s="10">
        <v>307.0</v>
      </c>
      <c r="B308" s="8" t="s">
        <v>10789</v>
      </c>
      <c r="C308" s="8" t="s">
        <v>10739</v>
      </c>
      <c r="D308" s="8" t="s">
        <v>10740</v>
      </c>
      <c r="F308" s="5" t="str">
        <f>IFERROR(__xludf.DUMMYFUNCTION("GOOGLETRANSLATE(A308, ""en"", ""hi"")"),"307")</f>
        <v>307</v>
      </c>
      <c r="G308" s="5" t="str">
        <f>IFERROR(__xludf.DUMMYFUNCTION("GOOGLETRANSLATE(B308, ""en"", ""hi"")"),"किस भारतीय राजवंश के पतन के कारण मलखम्ब का अस्थायी पतन हुआ?")</f>
        <v>किस भारतीय राजवंश के पतन के कारण मलखम्ब का अस्थायी पतन हुआ?</v>
      </c>
      <c r="H308" s="5" t="str">
        <f>IFERROR(__xludf.DUMMYFUNCTION("GOOGLETRANSLATE(C308, ""en"", ""hi"")"),"A) मराठा वंश, B) मुगल वंश, C) गुप्त वंश, D) मौर्य वंश")</f>
        <v>A) मराठा वंश, B) मुगल वंश, C) गुप्त वंश, D) मौर्य वंश</v>
      </c>
      <c r="I308" s="5" t="str">
        <f>IFERROR(__xludf.DUMMYFUNCTION("GOOGLETRANSLATE(D308, ""en"", ""hi"")"),"बी) मुगल वंश")</f>
        <v>बी) मुगल वंश</v>
      </c>
    </row>
    <row r="309" ht="22.5" customHeight="1">
      <c r="A309" s="10">
        <v>308.0</v>
      </c>
      <c r="B309" s="8" t="s">
        <v>10886</v>
      </c>
      <c r="C309" s="8" t="s">
        <v>10793</v>
      </c>
      <c r="D309" s="8" t="s">
        <v>2616</v>
      </c>
      <c r="F309" s="5" t="str">
        <f>IFERROR(__xludf.DUMMYFUNCTION("GOOGLETRANSLATE(A309, ""en"", ""hi"")"),"308")</f>
        <v>308</v>
      </c>
      <c r="G309" s="5" t="str">
        <f>IFERROR(__xludf.DUMMYFUNCTION("GOOGLETRANSLATE(B309, ""en"", ""hi"")"),"17वीं शताब्दी का कौन सा ग्रंथ मलखंभ जैसी प्रथाओं के विस्तृत वर्णन के लिए जाना जाता है?")</f>
        <v>17वीं शताब्दी का कौन सा ग्रंथ मलखंभ जैसी प्रथाओं के विस्तृत वर्णन के लिए जाना जाता है?</v>
      </c>
      <c r="H309" s="5" t="str">
        <f>IFERROR(__xludf.DUMMYFUNCTION("GOOGLETRANSLATE(C309, ""en"", ""hi"")"),"ए) अर्थशास्त्र, बी) मनुस्मृति, सी) योग सूत्र, डी) रामायण")</f>
        <v>ए) अर्थशास्त्र, बी) मनुस्मृति, सी) योग सूत्र, डी) रामायण</v>
      </c>
      <c r="I309" s="5" t="str">
        <f>IFERROR(__xludf.DUMMYFUNCTION("GOOGLETRANSLATE(D309, ""en"", ""hi"")"),"A) अर्थशास्त्र")</f>
        <v>A) अर्थशास्त्र</v>
      </c>
    </row>
    <row r="310" ht="22.5" customHeight="1">
      <c r="A310" s="10">
        <v>309.0</v>
      </c>
      <c r="B310" s="8" t="s">
        <v>10887</v>
      </c>
      <c r="C310" s="8" t="s">
        <v>10503</v>
      </c>
      <c r="D310" s="8" t="s">
        <v>4164</v>
      </c>
      <c r="F310" s="5" t="str">
        <f>IFERROR(__xludf.DUMMYFUNCTION("GOOGLETRANSLATE(A310, ""en"", ""hi"")"),"309")</f>
        <v>309</v>
      </c>
      <c r="G310" s="5" t="str">
        <f>IFERROR(__xludf.DUMMYFUNCTION("GOOGLETRANSLATE(B310, ""en"", ""hi"")"),"किस शासक को अपने शासनकाल के दौरान मलखम्ब को सैन्य प्रशिक्षण में शामिल करने का श्रेय दिया जाता है?")</f>
        <v>किस शासक को अपने शासनकाल के दौरान मलखम्ब को सैन्य प्रशिक्षण में शामिल करने का श्रेय दिया जाता है?</v>
      </c>
      <c r="H310" s="5" t="str">
        <f>IFERROR(__xludf.DUMMYFUNCTION("GOOGLETRANSLATE(C310, ""en"", ""hi"")"),"ए) शिवाजी महाराज, बी) अकबर, सी) औरंगजेब, डी) चंद्रगुप्त मौर्य")</f>
        <v>ए) शिवाजी महाराज, बी) अकबर, सी) औरंगजेब, डी) चंद्रगुप्त मौर्य</v>
      </c>
      <c r="I310" s="5" t="str">
        <f>IFERROR(__xludf.DUMMYFUNCTION("GOOGLETRANSLATE(D310, ""en"", ""hi"")"),"A) शिवाजी महाराज")</f>
        <v>A) शिवाजी महाराज</v>
      </c>
    </row>
    <row r="311" ht="22.5" customHeight="1">
      <c r="A311" s="10">
        <v>310.0</v>
      </c>
      <c r="B311" s="8" t="s">
        <v>10888</v>
      </c>
      <c r="C311" s="8" t="s">
        <v>10870</v>
      </c>
      <c r="D311" s="8" t="s">
        <v>10859</v>
      </c>
      <c r="F311" s="5" t="str">
        <f>IFERROR(__xludf.DUMMYFUNCTION("GOOGLETRANSLATE(A311, ""en"", ""hi"")"),"310")</f>
        <v>310</v>
      </c>
      <c r="G311" s="5" t="str">
        <f>IFERROR(__xludf.DUMMYFUNCTION("GOOGLETRANSLATE(B311, ""en"", ""hi"")"),"मलखम्ब परम्पराओं के संरक्षण के लिए 19वीं शताब्दी का कौन सा विकास महत्वपूर्ण था?")</f>
        <v>मलखम्ब परम्पराओं के संरक्षण के लिए 19वीं शताब्दी का कौन सा विकास महत्वपूर्ण था?</v>
      </c>
      <c r="H311" s="5" t="str">
        <f>IFERROR(__xludf.DUMMYFUNCTION("GOOGLETRANSLATE(C311,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311" s="5" t="str">
        <f>IFERROR(__xludf.DUMMYFUNCTION("GOOGLETRANSLATE(D311, ""en"", ""hi"")"),"A) सांस्कृतिक पुनरुत्थान आंदोलन")</f>
        <v>A) सांस्कृतिक पुनरुत्थान आंदोलन</v>
      </c>
    </row>
    <row r="312" ht="22.5" customHeight="1">
      <c r="A312" s="10">
        <v>311.0</v>
      </c>
      <c r="B312" s="8" t="s">
        <v>10889</v>
      </c>
      <c r="C312" s="8" t="s">
        <v>10778</v>
      </c>
      <c r="D312" s="8" t="s">
        <v>10733</v>
      </c>
      <c r="F312" s="5" t="str">
        <f>IFERROR(__xludf.DUMMYFUNCTION("GOOGLETRANSLATE(A312, ""en"", ""hi"")"),"311")</f>
        <v>311</v>
      </c>
      <c r="G312" s="5" t="str">
        <f>IFERROR(__xludf.DUMMYFUNCTION("GOOGLETRANSLATE(B312, ""en"", ""hi"")"),"मलखम्ब तकनीक को औपचारिक रूप देने के लिए किस ऐतिहासिक व्यक्ति का संरक्षण महत्वपूर्ण था?")</f>
        <v>मलखम्ब तकनीक को औपचारिक रूप देने के लिए किस ऐतिहासिक व्यक्ति का संरक्षण महत्वपूर्ण था?</v>
      </c>
      <c r="H312" s="5" t="str">
        <f>IFERROR(__xludf.DUMMYFUNCTION("GOOGLETRANSLATE(C312, ""en"", ""hi"")"),"ए) शिवाजी महाराज, बी) महादजी शिंदे, सी) जय सिंह, डी) रणजीत सिंह")</f>
        <v>ए) शिवाजी महाराज, बी) महादजी शिंदे, सी) जय सिंह, डी) रणजीत सिंह</v>
      </c>
      <c r="I312" s="5" t="str">
        <f>IFERROR(__xludf.DUMMYFUNCTION("GOOGLETRANSLATE(D312, ""en"", ""hi"")"),"B) महादजी शिंदे")</f>
        <v>B) महादजी शिंदे</v>
      </c>
    </row>
    <row r="313" ht="22.5" customHeight="1">
      <c r="A313" s="10">
        <v>312.0</v>
      </c>
      <c r="B313" s="8" t="s">
        <v>10890</v>
      </c>
      <c r="C313" s="8" t="s">
        <v>10519</v>
      </c>
      <c r="D313" s="8" t="s">
        <v>10431</v>
      </c>
      <c r="F313" s="5" t="str">
        <f>IFERROR(__xludf.DUMMYFUNCTION("GOOGLETRANSLATE(A313, ""en"", ""hi"")"),"312")</f>
        <v>312</v>
      </c>
      <c r="G313" s="5" t="str">
        <f>IFERROR(__xludf.DUMMYFUNCTION("GOOGLETRANSLATE(B313, ""en"", ""hi"")"),"कौन सा प्राचीन भारतीय ग्रंथ मलखंभ के समान शारीरिक प्रथाओं का संदर्भ प्रदान करता है?")</f>
        <v>कौन सा प्राचीन भारतीय ग्रंथ मलखंभ के समान शारीरिक प्रथाओं का संदर्भ प्रदान करता है?</v>
      </c>
      <c r="H313" s="5" t="str">
        <f>IFERROR(__xludf.DUMMYFUNCTION("GOOGLETRANSLATE(C313, ""en"", ""hi"")"),"ए) योग सूत्र, बी) मनुस्मृति, सी) वेद, डी) रामायण")</f>
        <v>ए) योग सूत्र, बी) मनुस्मृति, सी) वेद, डी) रामायण</v>
      </c>
      <c r="I313" s="5" t="str">
        <f>IFERROR(__xludf.DUMMYFUNCTION("GOOGLETRANSLATE(D313, ""en"", ""hi"")"),"C) वेद")</f>
        <v>C) वेद</v>
      </c>
    </row>
    <row r="314" ht="22.5" customHeight="1">
      <c r="A314" s="10">
        <v>313.0</v>
      </c>
      <c r="B314" s="8" t="s">
        <v>10891</v>
      </c>
      <c r="C314" s="8" t="s">
        <v>10832</v>
      </c>
      <c r="D314" s="8" t="s">
        <v>10772</v>
      </c>
      <c r="F314" s="5" t="str">
        <f>IFERROR(__xludf.DUMMYFUNCTION("GOOGLETRANSLATE(A314, ""en"", ""hi"")"),"313")</f>
        <v>313</v>
      </c>
      <c r="G314" s="5" t="str">
        <f>IFERROR(__xludf.DUMMYFUNCTION("GOOGLETRANSLATE(B314, ""en"", ""hi"")"),"20वीं सदी की कौन सी हस्ती मलखम्ब के संरक्षण और संवर्धन के प्रयासों के लिए जानी जाती है?")</f>
        <v>20वीं सदी की कौन सी हस्ती मलखम्ब के संरक्षण और संवर्धन के प्रयासों के लिए जानी जाती है?</v>
      </c>
      <c r="H314" s="5" t="str">
        <f>IFERROR(__xludf.DUMMYFUNCTION("GOOGLETRANSLATE(C314, ""en"", ""hi"")"),"ए) लक्ष्मण राव किर्लोस्कर, बी) भाऊ दाजी लाड, सी) महात्मा गांधी, डी) जवाहरलाल नेहरू")</f>
        <v>ए) लक्ष्मण राव किर्लोस्कर, बी) भाऊ दाजी लाड, सी) महात्मा गांधी, डी) जवाहरलाल नेहरू</v>
      </c>
      <c r="I314" s="5" t="str">
        <f>IFERROR(__xludf.DUMMYFUNCTION("GOOGLETRANSLATE(D314, ""en"", ""hi"")"),"A) लक्ष्मण राव किर्लोस्कर")</f>
        <v>A) लक्ष्मण राव किर्लोस्कर</v>
      </c>
    </row>
    <row r="315" ht="22.5" customHeight="1">
      <c r="A315" s="10">
        <v>314.0</v>
      </c>
      <c r="B315" s="8" t="s">
        <v>10892</v>
      </c>
      <c r="C315" s="8" t="s">
        <v>10778</v>
      </c>
      <c r="D315" s="8" t="s">
        <v>10733</v>
      </c>
      <c r="F315" s="5" t="str">
        <f>IFERROR(__xludf.DUMMYFUNCTION("GOOGLETRANSLATE(A315, ""en"", ""hi"")"),"314")</f>
        <v>314</v>
      </c>
      <c r="G315" s="5" t="str">
        <f>IFERROR(__xludf.DUMMYFUNCTION("GOOGLETRANSLATE(B315, ""en"", ""hi"")"),"18वीं शताब्दी का कौन सा शासक सैन्य प्रशिक्षण के एक भाग के रूप में मलखम्ब को बढ़ावा देने के लिए जाना जाता है?")</f>
        <v>18वीं शताब्दी का कौन सा शासक सैन्य प्रशिक्षण के एक भाग के रूप में मलखम्ब को बढ़ावा देने के लिए जाना जाता है?</v>
      </c>
      <c r="H315" s="5" t="str">
        <f>IFERROR(__xludf.DUMMYFUNCTION("GOOGLETRANSLATE(C315, ""en"", ""hi"")"),"ए) शिवाजी महाराज, बी) महादजी शिंदे, सी) जय सिंह, डी) रणजीत सिंह")</f>
        <v>ए) शिवाजी महाराज, बी) महादजी शिंदे, सी) जय सिंह, डी) रणजीत सिंह</v>
      </c>
      <c r="I315" s="5" t="str">
        <f>IFERROR(__xludf.DUMMYFUNCTION("GOOGLETRANSLATE(D315, ""en"", ""hi"")"),"B) महादजी शिंदे")</f>
        <v>B) महादजी शिंदे</v>
      </c>
    </row>
    <row r="316" ht="22.5" customHeight="1">
      <c r="A316" s="10">
        <v>315.0</v>
      </c>
      <c r="B316" s="8" t="s">
        <v>10871</v>
      </c>
      <c r="C316" s="8" t="s">
        <v>10503</v>
      </c>
      <c r="D316" s="8" t="s">
        <v>4164</v>
      </c>
      <c r="F316" s="5" t="str">
        <f>IFERROR(__xludf.DUMMYFUNCTION("GOOGLETRANSLATE(A316, ""en"", ""hi"")"),"315")</f>
        <v>315</v>
      </c>
      <c r="G316" s="5" t="str">
        <f>IFERROR(__xludf.DUMMYFUNCTION("GOOGLETRANSLATE(B316, ""en"", ""hi"")"),"17वीं शताब्दी में मलखम्ब तकनीक को औपचारिक रूप देने के लिए किस राजा का समर्थन आवश्यक था?")</f>
        <v>17वीं शताब्दी में मलखम्ब तकनीक को औपचारिक रूप देने के लिए किस राजा का समर्थन आवश्यक था?</v>
      </c>
      <c r="H316" s="5" t="str">
        <f>IFERROR(__xludf.DUMMYFUNCTION("GOOGLETRANSLATE(C316, ""en"", ""hi"")"),"ए) शिवाजी महाराज, बी) अकबर, सी) औरंगजेब, डी) चंद्रगुप्त मौर्य")</f>
        <v>ए) शिवाजी महाराज, बी) अकबर, सी) औरंगजेब, डी) चंद्रगुप्त मौर्य</v>
      </c>
      <c r="I316" s="5" t="str">
        <f>IFERROR(__xludf.DUMMYFUNCTION("GOOGLETRANSLATE(D316, ""en"", ""hi"")"),"A) शिवाजी महाराज")</f>
        <v>A) शिवाजी महाराज</v>
      </c>
    </row>
    <row r="317" ht="22.5" customHeight="1">
      <c r="A317" s="10">
        <v>316.0</v>
      </c>
      <c r="B317" s="8" t="s">
        <v>10826</v>
      </c>
      <c r="C317" s="8" t="s">
        <v>10827</v>
      </c>
      <c r="D317" s="8" t="s">
        <v>10828</v>
      </c>
      <c r="F317" s="5" t="str">
        <f>IFERROR(__xludf.DUMMYFUNCTION("GOOGLETRANSLATE(A317, ""en"", ""hi"")"),"316")</f>
        <v>316</v>
      </c>
      <c r="G317" s="5" t="str">
        <f>IFERROR(__xludf.DUMMYFUNCTION("GOOGLETRANSLATE(B317, ""en"", ""hi"")"),"कौन सी प्राचीन भारतीय प्रथा मलखंभ का पूर्ववर्ती मानी जाती है?")</f>
        <v>कौन सी प्राचीन भारतीय प्रथा मलखंभ का पूर्ववर्ती मानी जाती है?</v>
      </c>
      <c r="H317" s="5" t="str">
        <f>IFERROR(__xludf.DUMMYFUNCTION("GOOGLETRANSLATE(C317, ""en"", ""hi"")"),"A) योग, B) मार्शल आर्ट, C) कलाबाजी, D) नृत्य")</f>
        <v>A) योग, B) मार्शल आर्ट, C) कलाबाजी, D) नृत्य</v>
      </c>
      <c r="I317" s="5" t="str">
        <f>IFERROR(__xludf.DUMMYFUNCTION("GOOGLETRANSLATE(D317, ""en"", ""hi"")"),"सी) कलाबाजी")</f>
        <v>सी) कलाबाजी</v>
      </c>
    </row>
    <row r="318" ht="22.5" customHeight="1">
      <c r="A318" s="10">
        <v>317.0</v>
      </c>
      <c r="B318" s="8" t="s">
        <v>10893</v>
      </c>
      <c r="C318" s="8" t="s">
        <v>10471</v>
      </c>
      <c r="D318" s="8" t="s">
        <v>10472</v>
      </c>
      <c r="F318" s="5" t="str">
        <f>IFERROR(__xludf.DUMMYFUNCTION("GOOGLETRANSLATE(A318, ""en"", ""hi"")"),"317")</f>
        <v>317</v>
      </c>
      <c r="G318" s="5" t="str">
        <f>IFERROR(__xludf.DUMMYFUNCTION("GOOGLETRANSLATE(B318, ""en"", ""hi"")"),"19वीं शताब्दी में किस राजा के शासनकाल में मलखम्ब अभ्यास और प्रतियोगिताओं का चरम देखा गया?")</f>
        <v>19वीं शताब्दी में किस राजा के शासनकाल में मलखम्ब अभ्यास और प्रतियोगिताओं का चरम देखा गया?</v>
      </c>
      <c r="H318" s="5" t="str">
        <f>IFERROR(__xludf.DUMMYFUNCTION("GOOGLETRANSLATE(C318, ""en"", ""hi"")"),"ए) शिवाजी महाराज, बी) जय सिंह, सी) रणजीत सिंह, डी) महादजी शिंदे")</f>
        <v>ए) शिवाजी महाराज, बी) जय सिंह, सी) रणजीत सिंह, डी) महादजी शिंदे</v>
      </c>
      <c r="I318" s="5" t="str">
        <f>IFERROR(__xludf.DUMMYFUNCTION("GOOGLETRANSLATE(D318, ""en"", ""hi"")"),"D) महादजी शिंदे")</f>
        <v>D) महादजी शिंदे</v>
      </c>
    </row>
    <row r="319" ht="22.5" customHeight="1">
      <c r="A319" s="10">
        <v>318.0</v>
      </c>
      <c r="B319" s="8" t="s">
        <v>10864</v>
      </c>
      <c r="C319" s="8" t="s">
        <v>10865</v>
      </c>
      <c r="D319" s="8" t="s">
        <v>10866</v>
      </c>
      <c r="F319" s="5" t="str">
        <f>IFERROR(__xludf.DUMMYFUNCTION("GOOGLETRANSLATE(A319, ""en"", ""hi"")"),"318")</f>
        <v>318</v>
      </c>
      <c r="G319" s="5" t="str">
        <f>IFERROR(__xludf.DUMMYFUNCTION("GOOGLETRANSLATE(B319, ""en"", ""hi"")"),"18वीं शताब्दी में किस ऐतिहासिक घटना ने मलखम्ब के पतन में योगदान दिया?")</f>
        <v>18वीं शताब्दी में किस ऐतिहासिक घटना ने मलखम्ब के पतन में योगदान दिया?</v>
      </c>
      <c r="H319" s="5" t="str">
        <f>IFERROR(__xludf.DUMMYFUNCTION("GOOGLETRANSLATE(C319, ""en"", ""hi"")"),"A) मुगल साम्राज्य का पतन, B) ब्रिटिश औपनिवेशिक विस्तार, C) मराठा साम्राज्य का पुनरुत्थान, D) 1857 का भारतीय विद्रोह")</f>
        <v>A) मुगल साम्राज्य का पतन, B) ब्रिटिश औपनिवेशिक विस्तार, C) मराठा साम्राज्य का पुनरुत्थान, D) 1857 का भारतीय विद्रोह</v>
      </c>
      <c r="I319" s="5" t="str">
        <f>IFERROR(__xludf.DUMMYFUNCTION("GOOGLETRANSLATE(D319, ""en"", ""hi"")"),"A) मुगल साम्राज्य का पतन")</f>
        <v>A) मुगल साम्राज्य का पतन</v>
      </c>
    </row>
    <row r="320" ht="22.5" customHeight="1">
      <c r="A320" s="10">
        <v>319.0</v>
      </c>
      <c r="B320" s="8" t="s">
        <v>10894</v>
      </c>
      <c r="C320" s="8" t="s">
        <v>10778</v>
      </c>
      <c r="D320" s="8" t="s">
        <v>10733</v>
      </c>
      <c r="F320" s="5" t="str">
        <f>IFERROR(__xludf.DUMMYFUNCTION("GOOGLETRANSLATE(A320, ""en"", ""hi"")"),"319")</f>
        <v>319</v>
      </c>
      <c r="G320" s="5" t="str">
        <f>IFERROR(__xludf.DUMMYFUNCTION("GOOGLETRANSLATE(B320, ""en"", ""hi"")"),"मलखम्ब को औपचारिक रूप देने के लिए 19वीं सदी के किस महाराजा का संरक्षण महत्वपूर्ण था?")</f>
        <v>मलखम्ब को औपचारिक रूप देने के लिए 19वीं सदी के किस महाराजा का संरक्षण महत्वपूर्ण था?</v>
      </c>
      <c r="H320" s="5" t="str">
        <f>IFERROR(__xludf.DUMMYFUNCTION("GOOGLETRANSLATE(C320, ""en"", ""hi"")"),"ए) शिवाजी महाराज, बी) महादजी शिंदे, सी) जय सिंह, डी) रणजीत सिंह")</f>
        <v>ए) शिवाजी महाराज, बी) महादजी शिंदे, सी) जय सिंह, डी) रणजीत सिंह</v>
      </c>
      <c r="I320" s="5" t="str">
        <f>IFERROR(__xludf.DUMMYFUNCTION("GOOGLETRANSLATE(D320, ""en"", ""hi"")"),"B) महादजी शिंदे")</f>
        <v>B) महादजी शिंदे</v>
      </c>
    </row>
    <row r="321" ht="22.5" customHeight="1">
      <c r="A321" s="10">
        <v>320.0</v>
      </c>
      <c r="B321" s="8" t="s">
        <v>10895</v>
      </c>
      <c r="C321" s="8" t="s">
        <v>10498</v>
      </c>
      <c r="D321" s="8" t="s">
        <v>4164</v>
      </c>
      <c r="F321" s="5" t="str">
        <f>IFERROR(__xludf.DUMMYFUNCTION("GOOGLETRANSLATE(A321, ""en"", ""hi"")"),"320")</f>
        <v>320</v>
      </c>
      <c r="G321" s="5" t="str">
        <f>IFERROR(__xludf.DUMMYFUNCTION("GOOGLETRANSLATE(B321, ""en"", ""hi"")"),"किस ऐतिहासिक व्यक्ति की सैन्य प्रशिक्षण पुस्तिका में मलखम्ब तकनीक शामिल थी?")</f>
        <v>किस ऐतिहासिक व्यक्ति की सैन्य प्रशिक्षण पुस्तिका में मलखम्ब तकनीक शामिल थी?</v>
      </c>
      <c r="H321" s="5" t="str">
        <f>IFERROR(__xludf.DUMMYFUNCTION("GOOGLETRANSLATE(C321, ""en"", ""hi"")"),"ए) शिवाजी महाराज, बी) अकबर, सी) चंद्रगुप्त मौर्य, डी) अशोक")</f>
        <v>ए) शिवाजी महाराज, बी) अकबर, सी) चंद्रगुप्त मौर्य, डी) अशोक</v>
      </c>
      <c r="I321" s="5" t="str">
        <f>IFERROR(__xludf.DUMMYFUNCTION("GOOGLETRANSLATE(D321, ""en"", ""hi"")"),"A) शिवाजी महाराज")</f>
        <v>A) शिवाजी महाराज</v>
      </c>
    </row>
    <row r="322" ht="22.5" customHeight="1">
      <c r="A322" s="10">
        <v>321.0</v>
      </c>
      <c r="B322" s="8" t="s">
        <v>10896</v>
      </c>
      <c r="C322" s="8" t="s">
        <v>10519</v>
      </c>
      <c r="D322" s="8" t="s">
        <v>10431</v>
      </c>
      <c r="F322" s="5" t="str">
        <f>IFERROR(__xludf.DUMMYFUNCTION("GOOGLETRANSLATE(A322, ""en"", ""hi"")"),"321")</f>
        <v>321</v>
      </c>
      <c r="G322" s="5" t="str">
        <f>IFERROR(__xludf.DUMMYFUNCTION("GOOGLETRANSLATE(B322, ""en"", ""hi"")"),"कौन सा प्राचीन भारतीय ग्रंथ मलखंभ के समान शारीरिक कंडीशनिंग विधियों का वर्णन करता है?")</f>
        <v>कौन सा प्राचीन भारतीय ग्रंथ मलखंभ के समान शारीरिक कंडीशनिंग विधियों का वर्णन करता है?</v>
      </c>
      <c r="H322" s="5" t="str">
        <f>IFERROR(__xludf.DUMMYFUNCTION("GOOGLETRANSLATE(C322, ""en"", ""hi"")"),"ए) योग सूत्र, बी) मनुस्मृति, सी) वेद, डी) रामायण")</f>
        <v>ए) योग सूत्र, बी) मनुस्मृति, सी) वेद, डी) रामायण</v>
      </c>
      <c r="I322" s="5" t="str">
        <f>IFERROR(__xludf.DUMMYFUNCTION("GOOGLETRANSLATE(D322, ""en"", ""hi"")"),"C) वेद")</f>
        <v>C) वेद</v>
      </c>
    </row>
    <row r="323" ht="22.5" customHeight="1">
      <c r="A323" s="10">
        <v>322.0</v>
      </c>
      <c r="B323" s="8" t="s">
        <v>10808</v>
      </c>
      <c r="C323" s="8" t="s">
        <v>10809</v>
      </c>
      <c r="D323" s="8" t="s">
        <v>10810</v>
      </c>
      <c r="F323" s="5" t="str">
        <f>IFERROR(__xludf.DUMMYFUNCTION("GOOGLETRANSLATE(A323, ""en"", ""hi"")"),"322")</f>
        <v>322</v>
      </c>
      <c r="G323" s="5" t="str">
        <f>IFERROR(__xludf.DUMMYFUNCTION("GOOGLETRANSLATE(B323,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323" s="5" t="str">
        <f>IFERROR(__xludf.DUMMYFUNCTION("GOOGLETRANSLATE(C323,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323" s="5" t="str">
        <f>IFERROR(__xludf.DUMMYFUNCTION("GOOGLETRANSLATE(D323, ""en"", ""hi"")"),"बी) सांस्कृतिक उत्सव")</f>
        <v>बी) सांस्कृतिक उत्सव</v>
      </c>
    </row>
    <row r="324" ht="22.5" customHeight="1">
      <c r="A324" s="10">
        <v>323.0</v>
      </c>
      <c r="B324" s="8" t="s">
        <v>10860</v>
      </c>
      <c r="C324" s="8" t="s">
        <v>10778</v>
      </c>
      <c r="D324" s="8" t="s">
        <v>10733</v>
      </c>
      <c r="F324" s="5" t="str">
        <f>IFERROR(__xludf.DUMMYFUNCTION("GOOGLETRANSLATE(A324, ""en"", ""hi"")"),"323")</f>
        <v>323</v>
      </c>
      <c r="G324" s="5" t="str">
        <f>IFERROR(__xludf.DUMMYFUNCTION("GOOGLETRANSLATE(B324, ""en"", ""hi"")"),"18वीं शताब्दी के किस महाराजा को सैन्य प्रशिक्षण के एक भाग के रूप में मलखम्ब को बढ़ावा देने के लिए जाना जाता है?")</f>
        <v>18वीं शताब्दी के किस महाराजा को सैन्य प्रशिक्षण के एक भाग के रूप में मलखम्ब को बढ़ावा देने के लिए जाना जाता है?</v>
      </c>
      <c r="H324" s="5" t="str">
        <f>IFERROR(__xludf.DUMMYFUNCTION("GOOGLETRANSLATE(C324, ""en"", ""hi"")"),"ए) शिवाजी महाराज, बी) महादजी शिंदे, सी) जय सिंह, डी) रणजीत सिंह")</f>
        <v>ए) शिवाजी महाराज, बी) महादजी शिंदे, सी) जय सिंह, डी) रणजीत सिंह</v>
      </c>
      <c r="I324" s="5" t="str">
        <f>IFERROR(__xludf.DUMMYFUNCTION("GOOGLETRANSLATE(D324, ""en"", ""hi"")"),"B) महादजी शिंदे")</f>
        <v>B) महादजी शिंदे</v>
      </c>
    </row>
    <row r="325" ht="22.5" customHeight="1">
      <c r="A325" s="10">
        <v>324.0</v>
      </c>
      <c r="B325" s="8" t="s">
        <v>10897</v>
      </c>
      <c r="C325" s="8" t="s">
        <v>10498</v>
      </c>
      <c r="D325" s="8" t="s">
        <v>4164</v>
      </c>
      <c r="F325" s="5" t="str">
        <f>IFERROR(__xludf.DUMMYFUNCTION("GOOGLETRANSLATE(A325, ""en"", ""hi"")"),"324")</f>
        <v>324</v>
      </c>
      <c r="G325" s="5" t="str">
        <f>IFERROR(__xludf.DUMMYFUNCTION("GOOGLETRANSLATE(B325, ""en"", ""hi"")"),"17वीं शताब्दी में किस राजा की सैन्य प्रशिक्षण पद्धति में मलखम्ब को मुख्य घटक के रूप में शामिल किया गया था?")</f>
        <v>17वीं शताब्दी में किस राजा की सैन्य प्रशिक्षण पद्धति में मलखम्ब को मुख्य घटक के रूप में शामिल किया गया था?</v>
      </c>
      <c r="H325" s="5" t="str">
        <f>IFERROR(__xludf.DUMMYFUNCTION("GOOGLETRANSLATE(C325, ""en"", ""hi"")"),"ए) शिवाजी महाराज, बी) अकबर, सी) चंद्रगुप्त मौर्य, डी) अशोक")</f>
        <v>ए) शिवाजी महाराज, बी) अकबर, सी) चंद्रगुप्त मौर्य, डी) अशोक</v>
      </c>
      <c r="I325" s="5" t="str">
        <f>IFERROR(__xludf.DUMMYFUNCTION("GOOGLETRANSLATE(D325, ""en"", ""hi"")"),"A) शिवाजी महाराज")</f>
        <v>A) शिवाजी महाराज</v>
      </c>
    </row>
    <row r="326" ht="22.5" customHeight="1">
      <c r="A326" s="10">
        <v>325.0</v>
      </c>
      <c r="B326" s="8" t="s">
        <v>10898</v>
      </c>
      <c r="C326" s="8" t="s">
        <v>10503</v>
      </c>
      <c r="D326" s="8" t="s">
        <v>4164</v>
      </c>
      <c r="F326" s="5" t="str">
        <f>IFERROR(__xludf.DUMMYFUNCTION("GOOGLETRANSLATE(A326, ""en"", ""hi"")"),"325")</f>
        <v>325</v>
      </c>
      <c r="G326" s="5" t="str">
        <f>IFERROR(__xludf.DUMMYFUNCTION("GOOGLETRANSLATE(B326, ""en"", ""hi"")"),"किस ऐतिहासिक व्यक्ति को अपने शासनकाल के दौरान मलखम्ब को सैन्य प्रशिक्षण में शामिल करने का श्रेय दिया जाता है?")</f>
        <v>किस ऐतिहासिक व्यक्ति को अपने शासनकाल के दौरान मलखम्ब को सैन्य प्रशिक्षण में शामिल करने का श्रेय दिया जाता है?</v>
      </c>
      <c r="H326" s="5" t="str">
        <f>IFERROR(__xludf.DUMMYFUNCTION("GOOGLETRANSLATE(C326, ""en"", ""hi"")"),"ए) शिवाजी महाराज, बी) अकबर, सी) औरंगजेब, डी) चंद्रगुप्त मौर्य")</f>
        <v>ए) शिवाजी महाराज, बी) अकबर, सी) औरंगजेब, डी) चंद्रगुप्त मौर्य</v>
      </c>
      <c r="I326" s="5" t="str">
        <f>IFERROR(__xludf.DUMMYFUNCTION("GOOGLETRANSLATE(D326, ""en"", ""hi"")"),"A) शिवाजी महाराज")</f>
        <v>A) शिवाजी महाराज</v>
      </c>
    </row>
    <row r="327" ht="22.5" customHeight="1">
      <c r="A327" s="10">
        <v>326.0</v>
      </c>
      <c r="B327" s="8" t="s">
        <v>10888</v>
      </c>
      <c r="C327" s="8" t="s">
        <v>10870</v>
      </c>
      <c r="D327" s="8" t="s">
        <v>10859</v>
      </c>
      <c r="F327" s="5" t="str">
        <f>IFERROR(__xludf.DUMMYFUNCTION("GOOGLETRANSLATE(A327, ""en"", ""hi"")"),"326")</f>
        <v>326</v>
      </c>
      <c r="G327" s="5" t="str">
        <f>IFERROR(__xludf.DUMMYFUNCTION("GOOGLETRANSLATE(B327, ""en"", ""hi"")"),"मलखम्ब परम्पराओं के संरक्षण के लिए 19वीं शताब्दी का कौन सा विकास महत्वपूर्ण था?")</f>
        <v>मलखम्ब परम्पराओं के संरक्षण के लिए 19वीं शताब्दी का कौन सा विकास महत्वपूर्ण था?</v>
      </c>
      <c r="H327" s="5" t="str">
        <f>IFERROR(__xludf.DUMMYFUNCTION("GOOGLETRANSLATE(C327,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327" s="5" t="str">
        <f>IFERROR(__xludf.DUMMYFUNCTION("GOOGLETRANSLATE(D327, ""en"", ""hi"")"),"A) सांस्कृतिक पुनरुत्थान आंदोलन")</f>
        <v>A) सांस्कृतिक पुनरुत्थान आंदोलन</v>
      </c>
    </row>
    <row r="328" ht="22.5" customHeight="1">
      <c r="A328" s="10">
        <v>327.0</v>
      </c>
      <c r="B328" s="8" t="s">
        <v>10844</v>
      </c>
      <c r="C328" s="8" t="s">
        <v>10748</v>
      </c>
      <c r="D328" s="8" t="s">
        <v>10439</v>
      </c>
      <c r="F328" s="5" t="str">
        <f>IFERROR(__xludf.DUMMYFUNCTION("GOOGLETRANSLATE(A328, ""en"", ""hi"")"),"327")</f>
        <v>327</v>
      </c>
      <c r="G328" s="5" t="str">
        <f>IFERROR(__xludf.DUMMYFUNCTION("GOOGLETRANSLATE(B328,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328" s="5" t="str">
        <f>IFERROR(__xludf.DUMMYFUNCTION("GOOGLETRANSLATE(C328, ""en"", ""hi"")"),"ए) महादजी शिंदे, बी) शिवाजी महाराज, सी) जय सिंह, डी) रणजीत सिंह")</f>
        <v>ए) महादजी शिंदे, बी) शिवाजी महाराज, सी) जय सिंह, डी) रणजीत सिंह</v>
      </c>
      <c r="I328" s="5" t="str">
        <f>IFERROR(__xludf.DUMMYFUNCTION("GOOGLETRANSLATE(D328, ""en"", ""hi"")"),"A) महादजी शिंदे")</f>
        <v>A) महादजी शिंदे</v>
      </c>
    </row>
    <row r="329" ht="22.5" customHeight="1">
      <c r="A329" s="10">
        <v>328.0</v>
      </c>
      <c r="B329" s="8" t="s">
        <v>10873</v>
      </c>
      <c r="C329" s="8" t="s">
        <v>10874</v>
      </c>
      <c r="D329" s="8" t="s">
        <v>10431</v>
      </c>
      <c r="F329" s="5" t="str">
        <f>IFERROR(__xludf.DUMMYFUNCTION("GOOGLETRANSLATE(A329, ""en"", ""hi"")"),"328")</f>
        <v>328</v>
      </c>
      <c r="G329" s="5" t="str">
        <f>IFERROR(__xludf.DUMMYFUNCTION("GOOGLETRANSLATE(B329, ""en"", ""hi"")"),"किस प्राचीन भारतीय ग्रंथ में पहली बार मलखंभ जैसे व्यायामों का दस्तावेजीकरण किया गया?")</f>
        <v>किस प्राचीन भारतीय ग्रंथ में पहली बार मलखंभ जैसे व्यायामों का दस्तावेजीकरण किया गया?</v>
      </c>
      <c r="H329" s="5" t="str">
        <f>IFERROR(__xludf.DUMMYFUNCTION("GOOGLETRANSLATE(C329, ""en"", ""hi"")"),"ए) योग सूत्र, बी) मनुस्मृति, सी) वेद, डी) अर्थशास्त्र")</f>
        <v>ए) योग सूत्र, बी) मनुस्मृति, सी) वेद, डी) अर्थशास्त्र</v>
      </c>
      <c r="I329" s="5" t="str">
        <f>IFERROR(__xludf.DUMMYFUNCTION("GOOGLETRANSLATE(D329, ""en"", ""hi"")"),"C) वेद")</f>
        <v>C) वेद</v>
      </c>
    </row>
    <row r="330" ht="22.5" customHeight="1">
      <c r="A330" s="10">
        <v>329.0</v>
      </c>
      <c r="B330" s="8" t="s">
        <v>10899</v>
      </c>
      <c r="C330" s="8" t="s">
        <v>10503</v>
      </c>
      <c r="D330" s="8" t="s">
        <v>4164</v>
      </c>
      <c r="F330" s="5" t="str">
        <f>IFERROR(__xludf.DUMMYFUNCTION("GOOGLETRANSLATE(A330, ""en"", ""hi"")"),"329")</f>
        <v>329</v>
      </c>
      <c r="G330" s="5" t="str">
        <f>IFERROR(__xludf.DUMMYFUNCTION("GOOGLETRANSLATE(B330, ""en"", ""hi"")"),"17वीं शताब्दी के किस शासक को सैन्य प्रशिक्षण के भाग के रूप में मलखम्ब तकनीक को औपचारिक रूप देने का श्रेय दिया जाता है?")</f>
        <v>17वीं शताब्दी के किस शासक को सैन्य प्रशिक्षण के भाग के रूप में मलखम्ब तकनीक को औपचारिक रूप देने का श्रेय दिया जाता है?</v>
      </c>
      <c r="H330" s="5" t="str">
        <f>IFERROR(__xludf.DUMMYFUNCTION("GOOGLETRANSLATE(C330, ""en"", ""hi"")"),"ए) शिवाजी महाराज, बी) अकबर, सी) औरंगजेब, डी) चंद्रगुप्त मौर्य")</f>
        <v>ए) शिवाजी महाराज, बी) अकबर, सी) औरंगजेब, डी) चंद्रगुप्त मौर्य</v>
      </c>
      <c r="I330" s="5" t="str">
        <f>IFERROR(__xludf.DUMMYFUNCTION("GOOGLETRANSLATE(D330, ""en"", ""hi"")"),"A) शिवाजी महाराज")</f>
        <v>A) शिवाजी महाराज</v>
      </c>
    </row>
    <row r="331" ht="22.5" customHeight="1">
      <c r="A331" s="10">
        <v>330.0</v>
      </c>
      <c r="B331" s="8" t="s">
        <v>10900</v>
      </c>
      <c r="C331" s="8" t="s">
        <v>10865</v>
      </c>
      <c r="D331" s="8" t="s">
        <v>10866</v>
      </c>
      <c r="F331" s="5" t="str">
        <f>IFERROR(__xludf.DUMMYFUNCTION("GOOGLETRANSLATE(A331, ""en"", ""hi"")"),"330")</f>
        <v>330</v>
      </c>
      <c r="G331" s="5" t="str">
        <f>IFERROR(__xludf.DUMMYFUNCTION("GOOGLETRANSLATE(B331, ""en"", ""hi"")"),"18वीं शताब्दी में मलखम्ब के पतन का प्रमुख कारण क्या था?")</f>
        <v>18वीं शताब्दी में मलखम्ब के पतन का प्रमुख कारण क्या था?</v>
      </c>
      <c r="H331" s="5" t="str">
        <f>IFERROR(__xludf.DUMMYFUNCTION("GOOGLETRANSLATE(C331, ""en"", ""hi"")"),"A) मुगल साम्राज्य का पतन, B) ब्रिटिश औपनिवेशिक विस्तार, C) मराठा साम्राज्य का पुनरुत्थान, D) 1857 का भारतीय विद्रोह")</f>
        <v>A) मुगल साम्राज्य का पतन, B) ब्रिटिश औपनिवेशिक विस्तार, C) मराठा साम्राज्य का पुनरुत्थान, D) 1857 का भारतीय विद्रोह</v>
      </c>
      <c r="I331" s="5" t="str">
        <f>IFERROR(__xludf.DUMMYFUNCTION("GOOGLETRANSLATE(D331, ""en"", ""hi"")"),"A) मुगल साम्राज्य का पतन")</f>
        <v>A) मुगल साम्राज्य का पतन</v>
      </c>
    </row>
    <row r="332" ht="22.5" customHeight="1">
      <c r="A332" s="10">
        <v>331.0</v>
      </c>
      <c r="B332" s="8" t="s">
        <v>10863</v>
      </c>
      <c r="C332" s="8" t="s">
        <v>10832</v>
      </c>
      <c r="D332" s="8" t="s">
        <v>10772</v>
      </c>
      <c r="F332" s="5" t="str">
        <f>IFERROR(__xludf.DUMMYFUNCTION("GOOGLETRANSLATE(A332, ""en"", ""hi"")"),"331")</f>
        <v>331</v>
      </c>
      <c r="G332" s="5" t="str">
        <f>IFERROR(__xludf.DUMMYFUNCTION("GOOGLETRANSLATE(B332, ""en"", ""hi"")"),"20वीं सदी की कौन सी हस्ती मलखम्ब परम्पराओं के संरक्षण और संवर्धन के प्रयासों के लिए जानी जाती है?")</f>
        <v>20वीं सदी की कौन सी हस्ती मलखम्ब परम्पराओं के संरक्षण और संवर्धन के प्रयासों के लिए जानी जाती है?</v>
      </c>
      <c r="H332" s="5" t="str">
        <f>IFERROR(__xludf.DUMMYFUNCTION("GOOGLETRANSLATE(C332, ""en"", ""hi"")"),"ए) लक्ष्मण राव किर्लोस्कर, बी) भाऊ दाजी लाड, सी) महात्मा गांधी, डी) जवाहरलाल नेहरू")</f>
        <v>ए) लक्ष्मण राव किर्लोस्कर, बी) भाऊ दाजी लाड, सी) महात्मा गांधी, डी) जवाहरलाल नेहरू</v>
      </c>
      <c r="I332" s="5" t="str">
        <f>IFERROR(__xludf.DUMMYFUNCTION("GOOGLETRANSLATE(D332, ""en"", ""hi"")"),"A) लक्ष्मण राव किर्लोस्कर")</f>
        <v>A) लक्ष्मण राव किर्लोस्कर</v>
      </c>
    </row>
    <row r="333" ht="22.5" customHeight="1">
      <c r="A333" s="10">
        <v>332.0</v>
      </c>
      <c r="B333" s="8" t="s">
        <v>10892</v>
      </c>
      <c r="C333" s="8" t="s">
        <v>10778</v>
      </c>
      <c r="D333" s="8" t="s">
        <v>10733</v>
      </c>
      <c r="F333" s="5" t="str">
        <f>IFERROR(__xludf.DUMMYFUNCTION("GOOGLETRANSLATE(A333, ""en"", ""hi"")"),"332")</f>
        <v>332</v>
      </c>
      <c r="G333" s="5" t="str">
        <f>IFERROR(__xludf.DUMMYFUNCTION("GOOGLETRANSLATE(B333, ""en"", ""hi"")"),"18वीं शताब्दी का कौन सा शासक सैन्य प्रशिक्षण के एक भाग के रूप में मलखम्ब को बढ़ावा देने के लिए जाना जाता है?")</f>
        <v>18वीं शताब्दी का कौन सा शासक सैन्य प्रशिक्षण के एक भाग के रूप में मलखम्ब को बढ़ावा देने के लिए जाना जाता है?</v>
      </c>
      <c r="H333" s="5" t="str">
        <f>IFERROR(__xludf.DUMMYFUNCTION("GOOGLETRANSLATE(C333, ""en"", ""hi"")"),"ए) शिवाजी महाराज, बी) महादजी शिंदे, सी) जय सिंह, डी) रणजीत सिंह")</f>
        <v>ए) शिवाजी महाराज, बी) महादजी शिंदे, सी) जय सिंह, डी) रणजीत सिंह</v>
      </c>
      <c r="I333" s="5" t="str">
        <f>IFERROR(__xludf.DUMMYFUNCTION("GOOGLETRANSLATE(D333, ""en"", ""hi"")"),"B) महादजी शिंदे")</f>
        <v>B) महादजी शिंदे</v>
      </c>
    </row>
    <row r="334" ht="22.5" customHeight="1">
      <c r="A334" s="10">
        <v>333.0</v>
      </c>
      <c r="B334" s="8" t="s">
        <v>10901</v>
      </c>
      <c r="C334" s="8" t="s">
        <v>10498</v>
      </c>
      <c r="D334" s="8" t="s">
        <v>4164</v>
      </c>
      <c r="F334" s="5" t="str">
        <f>IFERROR(__xludf.DUMMYFUNCTION("GOOGLETRANSLATE(A334, ""en"", ""hi"")"),"333")</f>
        <v>333</v>
      </c>
      <c r="G334" s="5" t="str">
        <f>IFERROR(__xludf.DUMMYFUNCTION("GOOGLETRANSLATE(B334, ""en"", ""hi"")"),"17वीं शताब्दी में किस राजा के सैन्य प्रशिक्षण में मलखम्ब को मुख्य घटक के रूप में शामिल किया गया था?")</f>
        <v>17वीं शताब्दी में किस राजा के सैन्य प्रशिक्षण में मलखम्ब को मुख्य घटक के रूप में शामिल किया गया था?</v>
      </c>
      <c r="H334" s="5" t="str">
        <f>IFERROR(__xludf.DUMMYFUNCTION("GOOGLETRANSLATE(C334, ""en"", ""hi"")"),"ए) शिवाजी महाराज, बी) अकबर, सी) चंद्रगुप्त मौर्य, डी) अशोक")</f>
        <v>ए) शिवाजी महाराज, बी) अकबर, सी) चंद्रगुप्त मौर्य, डी) अशोक</v>
      </c>
      <c r="I334" s="5" t="str">
        <f>IFERROR(__xludf.DUMMYFUNCTION("GOOGLETRANSLATE(D334, ""en"", ""hi"")"),"A) शिवाजी महाराज")</f>
        <v>A) शिवाजी महाराज</v>
      </c>
    </row>
    <row r="335" ht="22.5" customHeight="1">
      <c r="A335" s="10">
        <v>334.0</v>
      </c>
      <c r="B335" s="8" t="s">
        <v>10902</v>
      </c>
      <c r="C335" s="8" t="s">
        <v>10503</v>
      </c>
      <c r="D335" s="8" t="s">
        <v>4164</v>
      </c>
      <c r="F335" s="5" t="str">
        <f>IFERROR(__xludf.DUMMYFUNCTION("GOOGLETRANSLATE(A335, ""en"", ""hi"")"),"334")</f>
        <v>334</v>
      </c>
      <c r="G335" s="5" t="str">
        <f>IFERROR(__xludf.DUMMYFUNCTION("GOOGLETRANSLATE(B335, ""en"", ""hi"")"),"17वीं शताब्दी में मलखम्ब तकनीक को औपचारिक रूप देने के लिए किस ऐतिहासिक व्यक्ति का समर्थन महत्वपूर्ण था?")</f>
        <v>17वीं शताब्दी में मलखम्ब तकनीक को औपचारिक रूप देने के लिए किस ऐतिहासिक व्यक्ति का समर्थन महत्वपूर्ण था?</v>
      </c>
      <c r="H335" s="5" t="str">
        <f>IFERROR(__xludf.DUMMYFUNCTION("GOOGLETRANSLATE(C335, ""en"", ""hi"")"),"ए) शिवाजी महाराज, बी) अकबर, सी) औरंगजेब, डी) चंद्रगुप्त मौर्य")</f>
        <v>ए) शिवाजी महाराज, बी) अकबर, सी) औरंगजेब, डी) चंद्रगुप्त मौर्य</v>
      </c>
      <c r="I335" s="5" t="str">
        <f>IFERROR(__xludf.DUMMYFUNCTION("GOOGLETRANSLATE(D335, ""en"", ""hi"")"),"A) शिवाजी महाराज")</f>
        <v>A) शिवाजी महाराज</v>
      </c>
    </row>
    <row r="336" ht="22.5" customHeight="1">
      <c r="A336" s="10">
        <v>335.0</v>
      </c>
      <c r="B336" s="8" t="s">
        <v>10896</v>
      </c>
      <c r="C336" s="8" t="s">
        <v>10519</v>
      </c>
      <c r="D336" s="8" t="s">
        <v>10431</v>
      </c>
      <c r="F336" s="5" t="str">
        <f>IFERROR(__xludf.DUMMYFUNCTION("GOOGLETRANSLATE(A336, ""en"", ""hi"")"),"335")</f>
        <v>335</v>
      </c>
      <c r="G336" s="5" t="str">
        <f>IFERROR(__xludf.DUMMYFUNCTION("GOOGLETRANSLATE(B336, ""en"", ""hi"")"),"कौन सा प्राचीन भारतीय ग्रंथ मलखंभ के समान शारीरिक कंडीशनिंग विधियों का वर्णन करता है?")</f>
        <v>कौन सा प्राचीन भारतीय ग्रंथ मलखंभ के समान शारीरिक कंडीशनिंग विधियों का वर्णन करता है?</v>
      </c>
      <c r="H336" s="5" t="str">
        <f>IFERROR(__xludf.DUMMYFUNCTION("GOOGLETRANSLATE(C336, ""en"", ""hi"")"),"ए) योग सूत्र, बी) मनुस्मृति, सी) वेद, डी) रामायण")</f>
        <v>ए) योग सूत्र, बी) मनुस्मृति, सी) वेद, डी) रामायण</v>
      </c>
      <c r="I336" s="5" t="str">
        <f>IFERROR(__xludf.DUMMYFUNCTION("GOOGLETRANSLATE(D336, ""en"", ""hi"")"),"C) वेद")</f>
        <v>C) वेद</v>
      </c>
    </row>
    <row r="337" ht="22.5" customHeight="1">
      <c r="A337" s="10">
        <v>336.0</v>
      </c>
      <c r="B337" s="8" t="s">
        <v>10808</v>
      </c>
      <c r="C337" s="8" t="s">
        <v>10809</v>
      </c>
      <c r="D337" s="8" t="s">
        <v>10810</v>
      </c>
      <c r="F337" s="5" t="str">
        <f>IFERROR(__xludf.DUMMYFUNCTION("GOOGLETRANSLATE(A337, ""en"", ""hi"")"),"336")</f>
        <v>336</v>
      </c>
      <c r="G337" s="5" t="str">
        <f>IFERROR(__xludf.DUMMYFUNCTION("GOOGLETRANSLATE(B337,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337" s="5" t="str">
        <f>IFERROR(__xludf.DUMMYFUNCTION("GOOGLETRANSLATE(C337,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337" s="5" t="str">
        <f>IFERROR(__xludf.DUMMYFUNCTION("GOOGLETRANSLATE(D337, ""en"", ""hi"")"),"बी) सांस्कृतिक उत्सव")</f>
        <v>बी) सांस्कृतिक उत्सव</v>
      </c>
    </row>
    <row r="338" ht="22.5" customHeight="1">
      <c r="A338" s="10">
        <v>337.0</v>
      </c>
      <c r="B338" s="8" t="s">
        <v>10860</v>
      </c>
      <c r="C338" s="8" t="s">
        <v>10778</v>
      </c>
      <c r="D338" s="8" t="s">
        <v>10733</v>
      </c>
      <c r="F338" s="5" t="str">
        <f>IFERROR(__xludf.DUMMYFUNCTION("GOOGLETRANSLATE(A338, ""en"", ""hi"")"),"337")</f>
        <v>337</v>
      </c>
      <c r="G338" s="5" t="str">
        <f>IFERROR(__xludf.DUMMYFUNCTION("GOOGLETRANSLATE(B338, ""en"", ""hi"")"),"18वीं शताब्दी के किस महाराजा को सैन्य प्रशिक्षण के एक भाग के रूप में मलखम्ब को बढ़ावा देने के लिए जाना जाता है?")</f>
        <v>18वीं शताब्दी के किस महाराजा को सैन्य प्रशिक्षण के एक भाग के रूप में मलखम्ब को बढ़ावा देने के लिए जाना जाता है?</v>
      </c>
      <c r="H338" s="5" t="str">
        <f>IFERROR(__xludf.DUMMYFUNCTION("GOOGLETRANSLATE(C338, ""en"", ""hi"")"),"ए) शिवाजी महाराज, बी) महादजी शिंदे, सी) जय सिंह, डी) रणजीत सिंह")</f>
        <v>ए) शिवाजी महाराज, बी) महादजी शिंदे, सी) जय सिंह, डी) रणजीत सिंह</v>
      </c>
      <c r="I338" s="5" t="str">
        <f>IFERROR(__xludf.DUMMYFUNCTION("GOOGLETRANSLATE(D338, ""en"", ""hi"")"),"B) महादजी शिंदे")</f>
        <v>B) महादजी शिंदे</v>
      </c>
    </row>
    <row r="339" ht="22.5" customHeight="1">
      <c r="A339" s="10">
        <v>338.0</v>
      </c>
      <c r="B339" s="8" t="s">
        <v>10871</v>
      </c>
      <c r="C339" s="8" t="s">
        <v>10503</v>
      </c>
      <c r="D339" s="8" t="s">
        <v>4164</v>
      </c>
      <c r="F339" s="5" t="str">
        <f>IFERROR(__xludf.DUMMYFUNCTION("GOOGLETRANSLATE(A339, ""en"", ""hi"")"),"338")</f>
        <v>338</v>
      </c>
      <c r="G339" s="5" t="str">
        <f>IFERROR(__xludf.DUMMYFUNCTION("GOOGLETRANSLATE(B339, ""en"", ""hi"")"),"17वीं शताब्दी में मलखम्ब तकनीक को औपचारिक रूप देने के लिए किस राजा का समर्थन आवश्यक था?")</f>
        <v>17वीं शताब्दी में मलखम्ब तकनीक को औपचारिक रूप देने के लिए किस राजा का समर्थन आवश्यक था?</v>
      </c>
      <c r="H339" s="5" t="str">
        <f>IFERROR(__xludf.DUMMYFUNCTION("GOOGLETRANSLATE(C339, ""en"", ""hi"")"),"ए) शिवाजी महाराज, बी) अकबर, सी) औरंगजेब, डी) चंद्रगुप्त मौर्य")</f>
        <v>ए) शिवाजी महाराज, बी) अकबर, सी) औरंगजेब, डी) चंद्रगुप्त मौर्य</v>
      </c>
      <c r="I339" s="5" t="str">
        <f>IFERROR(__xludf.DUMMYFUNCTION("GOOGLETRANSLATE(D339, ""en"", ""hi"")"),"A) शिवाजी महाराज")</f>
        <v>A) शिवाजी महाराज</v>
      </c>
    </row>
    <row r="340" ht="22.5" customHeight="1">
      <c r="A340" s="10">
        <v>339.0</v>
      </c>
      <c r="B340" s="8" t="s">
        <v>10826</v>
      </c>
      <c r="C340" s="8" t="s">
        <v>10827</v>
      </c>
      <c r="D340" s="8" t="s">
        <v>10828</v>
      </c>
      <c r="F340" s="5" t="str">
        <f>IFERROR(__xludf.DUMMYFUNCTION("GOOGLETRANSLATE(A340, ""en"", ""hi"")"),"339")</f>
        <v>339</v>
      </c>
      <c r="G340" s="5" t="str">
        <f>IFERROR(__xludf.DUMMYFUNCTION("GOOGLETRANSLATE(B340, ""en"", ""hi"")"),"कौन सी प्राचीन भारतीय प्रथा मलखंभ का पूर्ववर्ती मानी जाती है?")</f>
        <v>कौन सी प्राचीन भारतीय प्रथा मलखंभ का पूर्ववर्ती मानी जाती है?</v>
      </c>
      <c r="H340" s="5" t="str">
        <f>IFERROR(__xludf.DUMMYFUNCTION("GOOGLETRANSLATE(C340, ""en"", ""hi"")"),"A) योग, B) मार्शल आर्ट, C) कलाबाजी, D) नृत्य")</f>
        <v>A) योग, B) मार्शल आर्ट, C) कलाबाजी, D) नृत्य</v>
      </c>
      <c r="I340" s="5" t="str">
        <f>IFERROR(__xludf.DUMMYFUNCTION("GOOGLETRANSLATE(D340, ""en"", ""hi"")"),"सी) कलाबाजी")</f>
        <v>सी) कलाबाजी</v>
      </c>
    </row>
    <row r="341" ht="22.5" customHeight="1">
      <c r="A341" s="10">
        <v>340.0</v>
      </c>
      <c r="B341" s="8" t="s">
        <v>10897</v>
      </c>
      <c r="C341" s="8" t="s">
        <v>10498</v>
      </c>
      <c r="D341" s="8" t="s">
        <v>4164</v>
      </c>
      <c r="F341" s="5" t="str">
        <f>IFERROR(__xludf.DUMMYFUNCTION("GOOGLETRANSLATE(A341, ""en"", ""hi"")"),"340")</f>
        <v>340</v>
      </c>
      <c r="G341" s="5" t="str">
        <f>IFERROR(__xludf.DUMMYFUNCTION("GOOGLETRANSLATE(B341, ""en"", ""hi"")"),"17वीं शताब्दी में किस राजा की सैन्य प्रशिक्षण पद्धति में मलखम्ब को मुख्य घटक के रूप में शामिल किया गया था?")</f>
        <v>17वीं शताब्दी में किस राजा की सैन्य प्रशिक्षण पद्धति में मलखम्ब को मुख्य घटक के रूप में शामिल किया गया था?</v>
      </c>
      <c r="H341" s="5" t="str">
        <f>IFERROR(__xludf.DUMMYFUNCTION("GOOGLETRANSLATE(C341, ""en"", ""hi"")"),"ए) शिवाजी महाराज, बी) अकबर, सी) चंद्रगुप्त मौर्य, डी) अशोक")</f>
        <v>ए) शिवाजी महाराज, बी) अकबर, सी) चंद्रगुप्त मौर्य, डी) अशोक</v>
      </c>
      <c r="I341" s="5" t="str">
        <f>IFERROR(__xludf.DUMMYFUNCTION("GOOGLETRANSLATE(D341, ""en"", ""hi"")"),"A) शिवाजी महाराज")</f>
        <v>A) शिवाजी महाराज</v>
      </c>
    </row>
    <row r="342" ht="22.5" customHeight="1">
      <c r="A342" s="10">
        <v>341.0</v>
      </c>
      <c r="B342" s="8" t="s">
        <v>10898</v>
      </c>
      <c r="C342" s="8" t="s">
        <v>10503</v>
      </c>
      <c r="D342" s="8" t="s">
        <v>4164</v>
      </c>
      <c r="F342" s="5" t="str">
        <f>IFERROR(__xludf.DUMMYFUNCTION("GOOGLETRANSLATE(A342, ""en"", ""hi"")"),"341")</f>
        <v>341</v>
      </c>
      <c r="G342" s="5" t="str">
        <f>IFERROR(__xludf.DUMMYFUNCTION("GOOGLETRANSLATE(B342, ""en"", ""hi"")"),"किस ऐतिहासिक व्यक्ति को अपने शासनकाल के दौरान मलखम्ब को सैन्य प्रशिक्षण में शामिल करने का श्रेय दिया जाता है?")</f>
        <v>किस ऐतिहासिक व्यक्ति को अपने शासनकाल के दौरान मलखम्ब को सैन्य प्रशिक्षण में शामिल करने का श्रेय दिया जाता है?</v>
      </c>
      <c r="H342" s="5" t="str">
        <f>IFERROR(__xludf.DUMMYFUNCTION("GOOGLETRANSLATE(C342, ""en"", ""hi"")"),"ए) शिवाजी महाराज, बी) अकबर, सी) औरंगजेब, डी) चंद्रगुप्त मौर्य")</f>
        <v>ए) शिवाजी महाराज, बी) अकबर, सी) औरंगजेब, डी) चंद्रगुप्त मौर्य</v>
      </c>
      <c r="I342" s="5" t="str">
        <f>IFERROR(__xludf.DUMMYFUNCTION("GOOGLETRANSLATE(D342, ""en"", ""hi"")"),"A) शिवाजी महाराज")</f>
        <v>A) शिवाजी महाराज</v>
      </c>
    </row>
    <row r="343" ht="22.5" customHeight="1">
      <c r="A343" s="10">
        <v>342.0</v>
      </c>
      <c r="B343" s="8" t="s">
        <v>10888</v>
      </c>
      <c r="C343" s="8" t="s">
        <v>10870</v>
      </c>
      <c r="D343" s="8" t="s">
        <v>10859</v>
      </c>
      <c r="F343" s="5" t="str">
        <f>IFERROR(__xludf.DUMMYFUNCTION("GOOGLETRANSLATE(A343, ""en"", ""hi"")"),"342")</f>
        <v>342</v>
      </c>
      <c r="G343" s="5" t="str">
        <f>IFERROR(__xludf.DUMMYFUNCTION("GOOGLETRANSLATE(B343, ""en"", ""hi"")"),"मलखम्ब परम्पराओं के संरक्षण के लिए 19वीं शताब्दी का कौन सा विकास महत्वपूर्ण था?")</f>
        <v>मलखम्ब परम्पराओं के संरक्षण के लिए 19वीं शताब्दी का कौन सा विकास महत्वपूर्ण था?</v>
      </c>
      <c r="H343" s="5" t="str">
        <f>IFERROR(__xludf.DUMMYFUNCTION("GOOGLETRANSLATE(C343,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343" s="5" t="str">
        <f>IFERROR(__xludf.DUMMYFUNCTION("GOOGLETRANSLATE(D343, ""en"", ""hi"")"),"A) सांस्कृतिक पुनरुत्थान आंदोलन")</f>
        <v>A) सांस्कृतिक पुनरुत्थान आंदोलन</v>
      </c>
    </row>
    <row r="344" ht="22.5" customHeight="1">
      <c r="A344" s="10">
        <v>343.0</v>
      </c>
      <c r="B344" s="8" t="s">
        <v>10844</v>
      </c>
      <c r="C344" s="8" t="s">
        <v>10748</v>
      </c>
      <c r="D344" s="8" t="s">
        <v>10439</v>
      </c>
      <c r="F344" s="5" t="str">
        <f>IFERROR(__xludf.DUMMYFUNCTION("GOOGLETRANSLATE(A344, ""en"", ""hi"")"),"343")</f>
        <v>343</v>
      </c>
      <c r="G344" s="5" t="str">
        <f>IFERROR(__xludf.DUMMYFUNCTION("GOOGLETRANSLATE(B344,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344" s="5" t="str">
        <f>IFERROR(__xludf.DUMMYFUNCTION("GOOGLETRANSLATE(C344, ""en"", ""hi"")"),"ए) महादजी शिंदे, बी) शिवाजी महाराज, सी) जय सिंह, डी) रणजीत सिंह")</f>
        <v>ए) महादजी शिंदे, बी) शिवाजी महाराज, सी) जय सिंह, डी) रणजीत सिंह</v>
      </c>
      <c r="I344" s="5" t="str">
        <f>IFERROR(__xludf.DUMMYFUNCTION("GOOGLETRANSLATE(D344, ""en"", ""hi"")"),"A) महादजी शिंदे")</f>
        <v>A) महादजी शिंदे</v>
      </c>
    </row>
    <row r="345" ht="22.5" customHeight="1">
      <c r="A345" s="10">
        <v>344.0</v>
      </c>
      <c r="B345" s="8" t="s">
        <v>10873</v>
      </c>
      <c r="C345" s="8" t="s">
        <v>10874</v>
      </c>
      <c r="D345" s="8" t="s">
        <v>10431</v>
      </c>
      <c r="F345" s="5" t="str">
        <f>IFERROR(__xludf.DUMMYFUNCTION("GOOGLETRANSLATE(A345, ""en"", ""hi"")"),"344")</f>
        <v>344</v>
      </c>
      <c r="G345" s="5" t="str">
        <f>IFERROR(__xludf.DUMMYFUNCTION("GOOGLETRANSLATE(B345, ""en"", ""hi"")"),"किस प्राचीन भारतीय ग्रंथ में पहली बार मलखंभ जैसे व्यायामों का दस्तावेजीकरण किया गया?")</f>
        <v>किस प्राचीन भारतीय ग्रंथ में पहली बार मलखंभ जैसे व्यायामों का दस्तावेजीकरण किया गया?</v>
      </c>
      <c r="H345" s="5" t="str">
        <f>IFERROR(__xludf.DUMMYFUNCTION("GOOGLETRANSLATE(C345, ""en"", ""hi"")"),"ए) योग सूत्र, बी) मनुस्मृति, सी) वेद, डी) अर्थशास्त्र")</f>
        <v>ए) योग सूत्र, बी) मनुस्मृति, सी) वेद, डी) अर्थशास्त्र</v>
      </c>
      <c r="I345" s="5" t="str">
        <f>IFERROR(__xludf.DUMMYFUNCTION("GOOGLETRANSLATE(D345, ""en"", ""hi"")"),"C) वेद")</f>
        <v>C) वेद</v>
      </c>
    </row>
    <row r="346" ht="22.5" customHeight="1">
      <c r="A346" s="10">
        <v>345.0</v>
      </c>
      <c r="B346" s="8" t="s">
        <v>10899</v>
      </c>
      <c r="C346" s="8" t="s">
        <v>10503</v>
      </c>
      <c r="D346" s="8" t="s">
        <v>4164</v>
      </c>
      <c r="F346" s="5" t="str">
        <f>IFERROR(__xludf.DUMMYFUNCTION("GOOGLETRANSLATE(A346, ""en"", ""hi"")"),"345")</f>
        <v>345</v>
      </c>
      <c r="G346" s="5" t="str">
        <f>IFERROR(__xludf.DUMMYFUNCTION("GOOGLETRANSLATE(B346, ""en"", ""hi"")"),"17वीं शताब्दी के किस शासक को सैन्य प्रशिक्षण के भाग के रूप में मलखम्ब तकनीक को औपचारिक रूप देने का श्रेय दिया जाता है?")</f>
        <v>17वीं शताब्दी के किस शासक को सैन्य प्रशिक्षण के भाग के रूप में मलखम्ब तकनीक को औपचारिक रूप देने का श्रेय दिया जाता है?</v>
      </c>
      <c r="H346" s="5" t="str">
        <f>IFERROR(__xludf.DUMMYFUNCTION("GOOGLETRANSLATE(C346, ""en"", ""hi"")"),"ए) शिवाजी महाराज, बी) अकबर, सी) औरंगजेब, डी) चंद्रगुप्त मौर्य")</f>
        <v>ए) शिवाजी महाराज, बी) अकबर, सी) औरंगजेब, डी) चंद्रगुप्त मौर्य</v>
      </c>
      <c r="I346" s="5" t="str">
        <f>IFERROR(__xludf.DUMMYFUNCTION("GOOGLETRANSLATE(D346, ""en"", ""hi"")"),"A) शिवाजी महाराज")</f>
        <v>A) शिवाजी महाराज</v>
      </c>
    </row>
    <row r="347" ht="22.5" customHeight="1">
      <c r="A347" s="10">
        <v>346.0</v>
      </c>
      <c r="B347" s="8" t="s">
        <v>10900</v>
      </c>
      <c r="C347" s="8" t="s">
        <v>10865</v>
      </c>
      <c r="D347" s="8" t="s">
        <v>10866</v>
      </c>
      <c r="F347" s="5" t="str">
        <f>IFERROR(__xludf.DUMMYFUNCTION("GOOGLETRANSLATE(A347, ""en"", ""hi"")"),"346")</f>
        <v>346</v>
      </c>
      <c r="G347" s="5" t="str">
        <f>IFERROR(__xludf.DUMMYFUNCTION("GOOGLETRANSLATE(B347, ""en"", ""hi"")"),"18वीं शताब्दी में मलखम्ब के पतन का प्रमुख कारण क्या था?")</f>
        <v>18वीं शताब्दी में मलखम्ब के पतन का प्रमुख कारण क्या था?</v>
      </c>
      <c r="H347" s="5" t="str">
        <f>IFERROR(__xludf.DUMMYFUNCTION("GOOGLETRANSLATE(C347, ""en"", ""hi"")"),"A) मुगल साम्राज्य का पतन, B) ब्रिटिश औपनिवेशिक विस्तार, C) मराठा साम्राज्य का पुनरुत्थान, D) 1857 का भारतीय विद्रोह")</f>
        <v>A) मुगल साम्राज्य का पतन, B) ब्रिटिश औपनिवेशिक विस्तार, C) मराठा साम्राज्य का पुनरुत्थान, D) 1857 का भारतीय विद्रोह</v>
      </c>
      <c r="I347" s="5" t="str">
        <f>IFERROR(__xludf.DUMMYFUNCTION("GOOGLETRANSLATE(D347, ""en"", ""hi"")"),"A) मुगल साम्राज्य का पतन")</f>
        <v>A) मुगल साम्राज्य का पतन</v>
      </c>
    </row>
    <row r="348" ht="22.5" customHeight="1">
      <c r="A348" s="10">
        <v>347.0</v>
      </c>
      <c r="B348" s="8" t="s">
        <v>10863</v>
      </c>
      <c r="C348" s="8" t="s">
        <v>10832</v>
      </c>
      <c r="D348" s="8" t="s">
        <v>10772</v>
      </c>
      <c r="F348" s="5" t="str">
        <f>IFERROR(__xludf.DUMMYFUNCTION("GOOGLETRANSLATE(A348, ""en"", ""hi"")"),"347")</f>
        <v>347</v>
      </c>
      <c r="G348" s="5" t="str">
        <f>IFERROR(__xludf.DUMMYFUNCTION("GOOGLETRANSLATE(B348, ""en"", ""hi"")"),"20वीं सदी की कौन सी हस्ती मलखम्ब परम्पराओं के संरक्षण और संवर्धन के प्रयासों के लिए जानी जाती है?")</f>
        <v>20वीं सदी की कौन सी हस्ती मलखम्ब परम्पराओं के संरक्षण और संवर्धन के प्रयासों के लिए जानी जाती है?</v>
      </c>
      <c r="H348" s="5" t="str">
        <f>IFERROR(__xludf.DUMMYFUNCTION("GOOGLETRANSLATE(C348, ""en"", ""hi"")"),"ए) लक्ष्मण राव किर्लोस्कर, बी) भाऊ दाजी लाड, सी) महात्मा गांधी, डी) जवाहरलाल नेहरू")</f>
        <v>ए) लक्ष्मण राव किर्लोस्कर, बी) भाऊ दाजी लाड, सी) महात्मा गांधी, डी) जवाहरलाल नेहरू</v>
      </c>
      <c r="I348" s="5" t="str">
        <f>IFERROR(__xludf.DUMMYFUNCTION("GOOGLETRANSLATE(D348, ""en"", ""hi"")"),"A) लक्ष्मण राव किर्लोस्कर")</f>
        <v>A) लक्ष्मण राव किर्लोस्कर</v>
      </c>
    </row>
    <row r="349" ht="22.5" customHeight="1">
      <c r="A349" s="10">
        <v>348.0</v>
      </c>
      <c r="B349" s="8" t="s">
        <v>10892</v>
      </c>
      <c r="C349" s="8" t="s">
        <v>10778</v>
      </c>
      <c r="D349" s="8" t="s">
        <v>10733</v>
      </c>
      <c r="F349" s="5" t="str">
        <f>IFERROR(__xludf.DUMMYFUNCTION("GOOGLETRANSLATE(A349, ""en"", ""hi"")"),"348")</f>
        <v>348</v>
      </c>
      <c r="G349" s="5" t="str">
        <f>IFERROR(__xludf.DUMMYFUNCTION("GOOGLETRANSLATE(B349, ""en"", ""hi"")"),"18वीं शताब्दी का कौन सा शासक सैन्य प्रशिक्षण के एक भाग के रूप में मलखम्ब को बढ़ावा देने के लिए जाना जाता है?")</f>
        <v>18वीं शताब्दी का कौन सा शासक सैन्य प्रशिक्षण के एक भाग के रूप में मलखम्ब को बढ़ावा देने के लिए जाना जाता है?</v>
      </c>
      <c r="H349" s="5" t="str">
        <f>IFERROR(__xludf.DUMMYFUNCTION("GOOGLETRANSLATE(C349, ""en"", ""hi"")"),"ए) शिवाजी महाराज, बी) महादजी शिंदे, सी) जय सिंह, डी) रणजीत सिंह")</f>
        <v>ए) शिवाजी महाराज, बी) महादजी शिंदे, सी) जय सिंह, डी) रणजीत सिंह</v>
      </c>
      <c r="I349" s="5" t="str">
        <f>IFERROR(__xludf.DUMMYFUNCTION("GOOGLETRANSLATE(D349, ""en"", ""hi"")"),"B) महादजी शिंदे")</f>
        <v>B) महादजी शिंदे</v>
      </c>
    </row>
    <row r="350" ht="22.5" customHeight="1">
      <c r="A350" s="10">
        <v>349.0</v>
      </c>
      <c r="B350" s="8" t="s">
        <v>10901</v>
      </c>
      <c r="C350" s="8" t="s">
        <v>10498</v>
      </c>
      <c r="D350" s="8" t="s">
        <v>4164</v>
      </c>
      <c r="F350" s="5" t="str">
        <f>IFERROR(__xludf.DUMMYFUNCTION("GOOGLETRANSLATE(A350, ""en"", ""hi"")"),"349")</f>
        <v>349</v>
      </c>
      <c r="G350" s="5" t="str">
        <f>IFERROR(__xludf.DUMMYFUNCTION("GOOGLETRANSLATE(B350, ""en"", ""hi"")"),"17वीं शताब्दी में किस राजा के सैन्य प्रशिक्षण में मलखम्ब को मुख्य घटक के रूप में शामिल किया गया था?")</f>
        <v>17वीं शताब्दी में किस राजा के सैन्य प्रशिक्षण में मलखम्ब को मुख्य घटक के रूप में शामिल किया गया था?</v>
      </c>
      <c r="H350" s="5" t="str">
        <f>IFERROR(__xludf.DUMMYFUNCTION("GOOGLETRANSLATE(C350, ""en"", ""hi"")"),"ए) शिवाजी महाराज, बी) अकबर, सी) चंद्रगुप्त मौर्य, डी) अशोक")</f>
        <v>ए) शिवाजी महाराज, बी) अकबर, सी) चंद्रगुप्त मौर्य, डी) अशोक</v>
      </c>
      <c r="I350" s="5" t="str">
        <f>IFERROR(__xludf.DUMMYFUNCTION("GOOGLETRANSLATE(D350, ""en"", ""hi"")"),"A) शिवाजी महाराज")</f>
        <v>A) शिवाजी महाराज</v>
      </c>
    </row>
    <row r="351" ht="22.5" customHeight="1">
      <c r="A351" s="10">
        <v>350.0</v>
      </c>
      <c r="B351" s="8" t="s">
        <v>10902</v>
      </c>
      <c r="C351" s="8" t="s">
        <v>10503</v>
      </c>
      <c r="D351" s="8" t="s">
        <v>4164</v>
      </c>
      <c r="F351" s="5" t="str">
        <f>IFERROR(__xludf.DUMMYFUNCTION("GOOGLETRANSLATE(A351, ""en"", ""hi"")"),"350")</f>
        <v>350</v>
      </c>
      <c r="G351" s="5" t="str">
        <f>IFERROR(__xludf.DUMMYFUNCTION("GOOGLETRANSLATE(B351, ""en"", ""hi"")"),"17वीं शताब्दी में मलखम्ब तकनीक को औपचारिक रूप देने के लिए किस ऐतिहासिक व्यक्ति का समर्थन महत्वपूर्ण था?")</f>
        <v>17वीं शताब्दी में मलखम्ब तकनीक को औपचारिक रूप देने के लिए किस ऐतिहासिक व्यक्ति का समर्थन महत्वपूर्ण था?</v>
      </c>
      <c r="H351" s="5" t="str">
        <f>IFERROR(__xludf.DUMMYFUNCTION("GOOGLETRANSLATE(C351, ""en"", ""hi"")"),"ए) शिवाजी महाराज, बी) अकबर, सी) औरंगजेब, डी) चंद्रगुप्त मौर्य")</f>
        <v>ए) शिवाजी महाराज, बी) अकबर, सी) औरंगजेब, डी) चंद्रगुप्त मौर्य</v>
      </c>
      <c r="I351" s="5" t="str">
        <f>IFERROR(__xludf.DUMMYFUNCTION("GOOGLETRANSLATE(D351, ""en"", ""hi"")"),"A) शिवाजी महाराज")</f>
        <v>A) शिवाजी महाराज</v>
      </c>
    </row>
    <row r="352" ht="22.5" customHeight="1">
      <c r="A352" s="10">
        <v>351.0</v>
      </c>
      <c r="B352" s="8" t="s">
        <v>10896</v>
      </c>
      <c r="C352" s="8" t="s">
        <v>10519</v>
      </c>
      <c r="D352" s="8" t="s">
        <v>10431</v>
      </c>
      <c r="F352" s="5" t="str">
        <f>IFERROR(__xludf.DUMMYFUNCTION("GOOGLETRANSLATE(A352, ""en"", ""hi"")"),"351")</f>
        <v>351</v>
      </c>
      <c r="G352" s="5" t="str">
        <f>IFERROR(__xludf.DUMMYFUNCTION("GOOGLETRANSLATE(B352, ""en"", ""hi"")"),"कौन सा प्राचीन भारतीय ग्रंथ मलखंभ के समान शारीरिक कंडीशनिंग विधियों का वर्णन करता है?")</f>
        <v>कौन सा प्राचीन भारतीय ग्रंथ मलखंभ के समान शारीरिक कंडीशनिंग विधियों का वर्णन करता है?</v>
      </c>
      <c r="H352" s="5" t="str">
        <f>IFERROR(__xludf.DUMMYFUNCTION("GOOGLETRANSLATE(C352, ""en"", ""hi"")"),"ए) योग सूत्र, बी) मनुस्मृति, सी) वेद, डी) रामायण")</f>
        <v>ए) योग सूत्र, बी) मनुस्मृति, सी) वेद, डी) रामायण</v>
      </c>
      <c r="I352" s="5" t="str">
        <f>IFERROR(__xludf.DUMMYFUNCTION("GOOGLETRANSLATE(D352, ""en"", ""hi"")"),"C) वेद")</f>
        <v>C) वेद</v>
      </c>
    </row>
    <row r="353" ht="22.5" customHeight="1">
      <c r="A353" s="10">
        <v>352.0</v>
      </c>
      <c r="B353" s="8" t="s">
        <v>10808</v>
      </c>
      <c r="C353" s="8" t="s">
        <v>10809</v>
      </c>
      <c r="D353" s="8" t="s">
        <v>10810</v>
      </c>
      <c r="F353" s="5" t="str">
        <f>IFERROR(__xludf.DUMMYFUNCTION("GOOGLETRANSLATE(A353, ""en"", ""hi"")"),"352")</f>
        <v>352</v>
      </c>
      <c r="G353" s="5" t="str">
        <f>IFERROR(__xludf.DUMMYFUNCTION("GOOGLETRANSLATE(B353,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353" s="5" t="str">
        <f>IFERROR(__xludf.DUMMYFUNCTION("GOOGLETRANSLATE(C353,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353" s="5" t="str">
        <f>IFERROR(__xludf.DUMMYFUNCTION("GOOGLETRANSLATE(D353, ""en"", ""hi"")"),"बी) सांस्कृतिक उत्सव")</f>
        <v>बी) सांस्कृतिक उत्सव</v>
      </c>
    </row>
    <row r="354" ht="22.5" customHeight="1">
      <c r="A354" s="10">
        <v>353.0</v>
      </c>
      <c r="B354" s="8" t="s">
        <v>10860</v>
      </c>
      <c r="C354" s="8" t="s">
        <v>10778</v>
      </c>
      <c r="D354" s="8" t="s">
        <v>10733</v>
      </c>
      <c r="F354" s="5" t="str">
        <f>IFERROR(__xludf.DUMMYFUNCTION("GOOGLETRANSLATE(A354, ""en"", ""hi"")"),"353")</f>
        <v>353</v>
      </c>
      <c r="G354" s="5" t="str">
        <f>IFERROR(__xludf.DUMMYFUNCTION("GOOGLETRANSLATE(B354, ""en"", ""hi"")"),"18वीं शताब्दी के किस महाराजा को सैन्य प्रशिक्षण के एक भाग के रूप में मलखम्ब को बढ़ावा देने के लिए जाना जाता है?")</f>
        <v>18वीं शताब्दी के किस महाराजा को सैन्य प्रशिक्षण के एक भाग के रूप में मलखम्ब को बढ़ावा देने के लिए जाना जाता है?</v>
      </c>
      <c r="H354" s="5" t="str">
        <f>IFERROR(__xludf.DUMMYFUNCTION("GOOGLETRANSLATE(C354, ""en"", ""hi"")"),"ए) शिवाजी महाराज, बी) महादजी शिंदे, सी) जय सिंह, डी) रणजीत सिंह")</f>
        <v>ए) शिवाजी महाराज, बी) महादजी शिंदे, सी) जय सिंह, डी) रणजीत सिंह</v>
      </c>
      <c r="I354" s="5" t="str">
        <f>IFERROR(__xludf.DUMMYFUNCTION("GOOGLETRANSLATE(D354, ""en"", ""hi"")"),"B) महादजी शिंदे")</f>
        <v>B) महादजी शिंदे</v>
      </c>
    </row>
    <row r="355" ht="22.5" customHeight="1">
      <c r="A355" s="10">
        <v>354.0</v>
      </c>
      <c r="B355" s="8" t="s">
        <v>10871</v>
      </c>
      <c r="C355" s="8" t="s">
        <v>10503</v>
      </c>
      <c r="D355" s="8" t="s">
        <v>4164</v>
      </c>
      <c r="F355" s="5" t="str">
        <f>IFERROR(__xludf.DUMMYFUNCTION("GOOGLETRANSLATE(A355, ""en"", ""hi"")"),"354")</f>
        <v>354</v>
      </c>
      <c r="G355" s="5" t="str">
        <f>IFERROR(__xludf.DUMMYFUNCTION("GOOGLETRANSLATE(B355, ""en"", ""hi"")"),"17वीं शताब्दी में मलखम्ब तकनीक को औपचारिक रूप देने के लिए किस राजा का समर्थन आवश्यक था?")</f>
        <v>17वीं शताब्दी में मलखम्ब तकनीक को औपचारिक रूप देने के लिए किस राजा का समर्थन आवश्यक था?</v>
      </c>
      <c r="H355" s="5" t="str">
        <f>IFERROR(__xludf.DUMMYFUNCTION("GOOGLETRANSLATE(C355, ""en"", ""hi"")"),"ए) शिवाजी महाराज, बी) अकबर, सी) औरंगजेब, डी) चंद्रगुप्त मौर्य")</f>
        <v>ए) शिवाजी महाराज, बी) अकबर, सी) औरंगजेब, डी) चंद्रगुप्त मौर्य</v>
      </c>
      <c r="I355" s="5" t="str">
        <f>IFERROR(__xludf.DUMMYFUNCTION("GOOGLETRANSLATE(D355, ""en"", ""hi"")"),"A) शिवाजी महाराज")</f>
        <v>A) शिवाजी महाराज</v>
      </c>
    </row>
    <row r="356" ht="22.5" customHeight="1">
      <c r="A356" s="10">
        <v>355.0</v>
      </c>
      <c r="B356" s="8" t="s">
        <v>10826</v>
      </c>
      <c r="C356" s="8" t="s">
        <v>10827</v>
      </c>
      <c r="D356" s="8" t="s">
        <v>10828</v>
      </c>
      <c r="F356" s="5" t="str">
        <f>IFERROR(__xludf.DUMMYFUNCTION("GOOGLETRANSLATE(A356, ""en"", ""hi"")"),"355")</f>
        <v>355</v>
      </c>
      <c r="G356" s="5" t="str">
        <f>IFERROR(__xludf.DUMMYFUNCTION("GOOGLETRANSLATE(B356, ""en"", ""hi"")"),"कौन सी प्राचीन भारतीय प्रथा मलखंभ का पूर्ववर्ती मानी जाती है?")</f>
        <v>कौन सी प्राचीन भारतीय प्रथा मलखंभ का पूर्ववर्ती मानी जाती है?</v>
      </c>
      <c r="H356" s="5" t="str">
        <f>IFERROR(__xludf.DUMMYFUNCTION("GOOGLETRANSLATE(C356, ""en"", ""hi"")"),"A) योग, B) मार्शल आर्ट, C) कलाबाजी, D) नृत्य")</f>
        <v>A) योग, B) मार्शल आर्ट, C) कलाबाजी, D) नृत्य</v>
      </c>
      <c r="I356" s="5" t="str">
        <f>IFERROR(__xludf.DUMMYFUNCTION("GOOGLETRANSLATE(D356, ""en"", ""hi"")"),"सी) कलाबाजी")</f>
        <v>सी) कलाबाजी</v>
      </c>
    </row>
    <row r="357" ht="22.5" customHeight="1">
      <c r="A357" s="10">
        <v>356.0</v>
      </c>
      <c r="B357" s="8" t="s">
        <v>10897</v>
      </c>
      <c r="C357" s="8" t="s">
        <v>10498</v>
      </c>
      <c r="D357" s="8" t="s">
        <v>4164</v>
      </c>
      <c r="F357" s="5" t="str">
        <f>IFERROR(__xludf.DUMMYFUNCTION("GOOGLETRANSLATE(A357, ""en"", ""hi"")"),"356")</f>
        <v>356</v>
      </c>
      <c r="G357" s="5" t="str">
        <f>IFERROR(__xludf.DUMMYFUNCTION("GOOGLETRANSLATE(B357, ""en"", ""hi"")"),"17वीं शताब्दी में किस राजा की सैन्य प्रशिक्षण पद्धति में मलखम्ब को मुख्य घटक के रूप में शामिल किया गया था?")</f>
        <v>17वीं शताब्दी में किस राजा की सैन्य प्रशिक्षण पद्धति में मलखम्ब को मुख्य घटक के रूप में शामिल किया गया था?</v>
      </c>
      <c r="H357" s="5" t="str">
        <f>IFERROR(__xludf.DUMMYFUNCTION("GOOGLETRANSLATE(C357, ""en"", ""hi"")"),"ए) शिवाजी महाराज, बी) अकबर, सी) चंद्रगुप्त मौर्य, डी) अशोक")</f>
        <v>ए) शिवाजी महाराज, बी) अकबर, सी) चंद्रगुप्त मौर्य, डी) अशोक</v>
      </c>
      <c r="I357" s="5" t="str">
        <f>IFERROR(__xludf.DUMMYFUNCTION("GOOGLETRANSLATE(D357, ""en"", ""hi"")"),"A) शिवाजी महाराज")</f>
        <v>A) शिवाजी महाराज</v>
      </c>
    </row>
    <row r="358" ht="22.5" customHeight="1">
      <c r="A358" s="10">
        <v>357.0</v>
      </c>
      <c r="B358" s="8" t="s">
        <v>10898</v>
      </c>
      <c r="C358" s="8" t="s">
        <v>10503</v>
      </c>
      <c r="D358" s="8" t="s">
        <v>4164</v>
      </c>
      <c r="F358" s="5" t="str">
        <f>IFERROR(__xludf.DUMMYFUNCTION("GOOGLETRANSLATE(A358, ""en"", ""hi"")"),"357")</f>
        <v>357</v>
      </c>
      <c r="G358" s="5" t="str">
        <f>IFERROR(__xludf.DUMMYFUNCTION("GOOGLETRANSLATE(B358, ""en"", ""hi"")"),"किस ऐतिहासिक व्यक्ति को अपने शासनकाल के दौरान मलखम्ब को सैन्य प्रशिक्षण में शामिल करने का श्रेय दिया जाता है?")</f>
        <v>किस ऐतिहासिक व्यक्ति को अपने शासनकाल के दौरान मलखम्ब को सैन्य प्रशिक्षण में शामिल करने का श्रेय दिया जाता है?</v>
      </c>
      <c r="H358" s="5" t="str">
        <f>IFERROR(__xludf.DUMMYFUNCTION("GOOGLETRANSLATE(C358, ""en"", ""hi"")"),"ए) शिवाजी महाराज, बी) अकबर, सी) औरंगजेब, डी) चंद्रगुप्त मौर्य")</f>
        <v>ए) शिवाजी महाराज, बी) अकबर, सी) औरंगजेब, डी) चंद्रगुप्त मौर्य</v>
      </c>
      <c r="I358" s="5" t="str">
        <f>IFERROR(__xludf.DUMMYFUNCTION("GOOGLETRANSLATE(D358, ""en"", ""hi"")"),"A) शिवाजी महाराज")</f>
        <v>A) शिवाजी महाराज</v>
      </c>
    </row>
    <row r="359" ht="22.5" customHeight="1">
      <c r="A359" s="10">
        <v>358.0</v>
      </c>
      <c r="B359" s="8" t="s">
        <v>10888</v>
      </c>
      <c r="C359" s="8" t="s">
        <v>10870</v>
      </c>
      <c r="D359" s="8" t="s">
        <v>10859</v>
      </c>
      <c r="F359" s="5" t="str">
        <f>IFERROR(__xludf.DUMMYFUNCTION("GOOGLETRANSLATE(A359, ""en"", ""hi"")"),"358")</f>
        <v>358</v>
      </c>
      <c r="G359" s="5" t="str">
        <f>IFERROR(__xludf.DUMMYFUNCTION("GOOGLETRANSLATE(B359, ""en"", ""hi"")"),"मलखम्ब परम्पराओं के संरक्षण के लिए 19वीं शताब्दी का कौन सा विकास महत्वपूर्ण था?")</f>
        <v>मलखम्ब परम्पराओं के संरक्षण के लिए 19वीं शताब्दी का कौन सा विकास महत्वपूर्ण था?</v>
      </c>
      <c r="H359" s="5" t="str">
        <f>IFERROR(__xludf.DUMMYFUNCTION("GOOGLETRANSLATE(C359,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359" s="5" t="str">
        <f>IFERROR(__xludf.DUMMYFUNCTION("GOOGLETRANSLATE(D359, ""en"", ""hi"")"),"A) सांस्कृतिक पुनरुत्थान आंदोलन")</f>
        <v>A) सांस्कृतिक पुनरुत्थान आंदोलन</v>
      </c>
    </row>
    <row r="360" ht="22.5" customHeight="1">
      <c r="A360" s="10">
        <v>359.0</v>
      </c>
      <c r="B360" s="8" t="s">
        <v>10844</v>
      </c>
      <c r="C360" s="8" t="s">
        <v>10748</v>
      </c>
      <c r="D360" s="8" t="s">
        <v>10439</v>
      </c>
      <c r="F360" s="5" t="str">
        <f>IFERROR(__xludf.DUMMYFUNCTION("GOOGLETRANSLATE(A360, ""en"", ""hi"")"),"359")</f>
        <v>359</v>
      </c>
      <c r="G360" s="5" t="str">
        <f>IFERROR(__xludf.DUMMYFUNCTION("GOOGLETRANSLATE(B360,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360" s="5" t="str">
        <f>IFERROR(__xludf.DUMMYFUNCTION("GOOGLETRANSLATE(C360, ""en"", ""hi"")"),"ए) महादजी शिंदे, बी) शिवाजी महाराज, सी) जय सिंह, डी) रणजीत सिंह")</f>
        <v>ए) महादजी शिंदे, बी) शिवाजी महाराज, सी) जय सिंह, डी) रणजीत सिंह</v>
      </c>
      <c r="I360" s="5" t="str">
        <f>IFERROR(__xludf.DUMMYFUNCTION("GOOGLETRANSLATE(D360, ""en"", ""hi"")"),"A) महादजी शिंदे")</f>
        <v>A) महादजी शिंदे</v>
      </c>
    </row>
    <row r="361" ht="22.5" customHeight="1">
      <c r="A361" s="10">
        <v>360.0</v>
      </c>
      <c r="B361" s="8" t="s">
        <v>10873</v>
      </c>
      <c r="C361" s="8" t="s">
        <v>10874</v>
      </c>
      <c r="D361" s="8" t="s">
        <v>10431</v>
      </c>
      <c r="F361" s="5" t="str">
        <f>IFERROR(__xludf.DUMMYFUNCTION("GOOGLETRANSLATE(A361, ""en"", ""hi"")"),"360")</f>
        <v>360</v>
      </c>
      <c r="G361" s="5" t="str">
        <f>IFERROR(__xludf.DUMMYFUNCTION("GOOGLETRANSLATE(B361, ""en"", ""hi"")"),"किस प्राचीन भारतीय ग्रंथ में पहली बार मलखंभ जैसे व्यायामों का दस्तावेजीकरण किया गया?")</f>
        <v>किस प्राचीन भारतीय ग्रंथ में पहली बार मलखंभ जैसे व्यायामों का दस्तावेजीकरण किया गया?</v>
      </c>
      <c r="H361" s="5" t="str">
        <f>IFERROR(__xludf.DUMMYFUNCTION("GOOGLETRANSLATE(C361, ""en"", ""hi"")"),"ए) योग सूत्र, बी) मनुस्मृति, सी) वेद, डी) अर्थशास्त्र")</f>
        <v>ए) योग सूत्र, बी) मनुस्मृति, सी) वेद, डी) अर्थशास्त्र</v>
      </c>
      <c r="I361" s="5" t="str">
        <f>IFERROR(__xludf.DUMMYFUNCTION("GOOGLETRANSLATE(D361, ""en"", ""hi"")"),"C) वेद")</f>
        <v>C) वेद</v>
      </c>
    </row>
    <row r="362" ht="22.5" customHeight="1">
      <c r="A362" s="10">
        <v>361.0</v>
      </c>
      <c r="B362" s="8" t="s">
        <v>10899</v>
      </c>
      <c r="C362" s="8" t="s">
        <v>10503</v>
      </c>
      <c r="D362" s="8" t="s">
        <v>4164</v>
      </c>
      <c r="F362" s="5" t="str">
        <f>IFERROR(__xludf.DUMMYFUNCTION("GOOGLETRANSLATE(A362, ""en"", ""hi"")"),"361")</f>
        <v>361</v>
      </c>
      <c r="G362" s="5" t="str">
        <f>IFERROR(__xludf.DUMMYFUNCTION("GOOGLETRANSLATE(B362, ""en"", ""hi"")"),"17वीं शताब्दी के किस शासक को सैन्य प्रशिक्षण के भाग के रूप में मलखम्ब तकनीक को औपचारिक रूप देने का श्रेय दिया जाता है?")</f>
        <v>17वीं शताब्दी के किस शासक को सैन्य प्रशिक्षण के भाग के रूप में मलखम्ब तकनीक को औपचारिक रूप देने का श्रेय दिया जाता है?</v>
      </c>
      <c r="H362" s="5" t="str">
        <f>IFERROR(__xludf.DUMMYFUNCTION("GOOGLETRANSLATE(C362, ""en"", ""hi"")"),"ए) शिवाजी महाराज, बी) अकबर, सी) औरंगजेब, डी) चंद्रगुप्त मौर्य")</f>
        <v>ए) शिवाजी महाराज, बी) अकबर, सी) औरंगजेब, डी) चंद्रगुप्त मौर्य</v>
      </c>
      <c r="I362" s="5" t="str">
        <f>IFERROR(__xludf.DUMMYFUNCTION("GOOGLETRANSLATE(D362, ""en"", ""hi"")"),"A) शिवाजी महाराज")</f>
        <v>A) शिवाजी महाराज</v>
      </c>
    </row>
    <row r="363" ht="22.5" customHeight="1">
      <c r="A363" s="10">
        <v>362.0</v>
      </c>
      <c r="B363" s="8" t="s">
        <v>10900</v>
      </c>
      <c r="C363" s="8" t="s">
        <v>10865</v>
      </c>
      <c r="D363" s="8" t="s">
        <v>10866</v>
      </c>
      <c r="F363" s="5" t="str">
        <f>IFERROR(__xludf.DUMMYFUNCTION("GOOGLETRANSLATE(A363, ""en"", ""hi"")"),"362")</f>
        <v>362</v>
      </c>
      <c r="G363" s="5" t="str">
        <f>IFERROR(__xludf.DUMMYFUNCTION("GOOGLETRANSLATE(B363, ""en"", ""hi"")"),"18वीं शताब्दी में मलखम्ब के पतन का प्रमुख कारण क्या था?")</f>
        <v>18वीं शताब्दी में मलखम्ब के पतन का प्रमुख कारण क्या था?</v>
      </c>
      <c r="H363" s="5" t="str">
        <f>IFERROR(__xludf.DUMMYFUNCTION("GOOGLETRANSLATE(C363, ""en"", ""hi"")"),"A) मुगल साम्राज्य का पतन, B) ब्रिटिश औपनिवेशिक विस्तार, C) मराठा साम्राज्य का पुनरुत्थान, D) 1857 का भारतीय विद्रोह")</f>
        <v>A) मुगल साम्राज्य का पतन, B) ब्रिटिश औपनिवेशिक विस्तार, C) मराठा साम्राज्य का पुनरुत्थान, D) 1857 का भारतीय विद्रोह</v>
      </c>
      <c r="I363" s="5" t="str">
        <f>IFERROR(__xludf.DUMMYFUNCTION("GOOGLETRANSLATE(D363, ""en"", ""hi"")"),"A) मुगल साम्राज्य का पतन")</f>
        <v>A) मुगल साम्राज्य का पतन</v>
      </c>
    </row>
    <row r="364" ht="22.5" customHeight="1">
      <c r="A364" s="10">
        <v>363.0</v>
      </c>
      <c r="B364" s="8" t="s">
        <v>10863</v>
      </c>
      <c r="C364" s="8" t="s">
        <v>10832</v>
      </c>
      <c r="D364" s="8" t="s">
        <v>10772</v>
      </c>
      <c r="F364" s="5" t="str">
        <f>IFERROR(__xludf.DUMMYFUNCTION("GOOGLETRANSLATE(A364, ""en"", ""hi"")"),"363")</f>
        <v>363</v>
      </c>
      <c r="G364" s="5" t="str">
        <f>IFERROR(__xludf.DUMMYFUNCTION("GOOGLETRANSLATE(B364, ""en"", ""hi"")"),"20वीं सदी की कौन सी हस्ती मलखम्ब परम्पराओं के संरक्षण और संवर्धन के प्रयासों के लिए जानी जाती है?")</f>
        <v>20वीं सदी की कौन सी हस्ती मलखम्ब परम्पराओं के संरक्षण और संवर्धन के प्रयासों के लिए जानी जाती है?</v>
      </c>
      <c r="H364" s="5" t="str">
        <f>IFERROR(__xludf.DUMMYFUNCTION("GOOGLETRANSLATE(C364, ""en"", ""hi"")"),"ए) लक्ष्मण राव किर्लोस्कर, बी) भाऊ दाजी लाड, सी) महात्मा गांधी, डी) जवाहरलाल नेहरू")</f>
        <v>ए) लक्ष्मण राव किर्लोस्कर, बी) भाऊ दाजी लाड, सी) महात्मा गांधी, डी) जवाहरलाल नेहरू</v>
      </c>
      <c r="I364" s="5" t="str">
        <f>IFERROR(__xludf.DUMMYFUNCTION("GOOGLETRANSLATE(D364, ""en"", ""hi"")"),"A) लक्ष्मण राव किर्लोस्कर")</f>
        <v>A) लक्ष्मण राव किर्लोस्कर</v>
      </c>
    </row>
    <row r="365" ht="22.5" customHeight="1">
      <c r="A365" s="10">
        <v>364.0</v>
      </c>
      <c r="B365" s="8" t="s">
        <v>10892</v>
      </c>
      <c r="C365" s="8" t="s">
        <v>10778</v>
      </c>
      <c r="D365" s="8" t="s">
        <v>10733</v>
      </c>
      <c r="F365" s="5" t="str">
        <f>IFERROR(__xludf.DUMMYFUNCTION("GOOGLETRANSLATE(A365, ""en"", ""hi"")"),"364")</f>
        <v>364</v>
      </c>
      <c r="G365" s="5" t="str">
        <f>IFERROR(__xludf.DUMMYFUNCTION("GOOGLETRANSLATE(B365, ""en"", ""hi"")"),"18वीं शताब्दी का कौन सा शासक सैन्य प्रशिक्षण के एक भाग के रूप में मलखम्ब को बढ़ावा देने के लिए जाना जाता है?")</f>
        <v>18वीं शताब्दी का कौन सा शासक सैन्य प्रशिक्षण के एक भाग के रूप में मलखम्ब को बढ़ावा देने के लिए जाना जाता है?</v>
      </c>
      <c r="H365" s="5" t="str">
        <f>IFERROR(__xludf.DUMMYFUNCTION("GOOGLETRANSLATE(C365, ""en"", ""hi"")"),"ए) शिवाजी महाराज, बी) महादजी शिंदे, सी) जय सिंह, डी) रणजीत सिंह")</f>
        <v>ए) शिवाजी महाराज, बी) महादजी शिंदे, सी) जय सिंह, डी) रणजीत सिंह</v>
      </c>
      <c r="I365" s="5" t="str">
        <f>IFERROR(__xludf.DUMMYFUNCTION("GOOGLETRANSLATE(D365, ""en"", ""hi"")"),"B) महादजी शिंदे")</f>
        <v>B) महादजी शिंदे</v>
      </c>
    </row>
    <row r="366" ht="22.5" customHeight="1">
      <c r="A366" s="10">
        <v>365.0</v>
      </c>
      <c r="B366" s="8" t="s">
        <v>10901</v>
      </c>
      <c r="C366" s="8" t="s">
        <v>10498</v>
      </c>
      <c r="D366" s="8" t="s">
        <v>4164</v>
      </c>
      <c r="F366" s="5" t="str">
        <f>IFERROR(__xludf.DUMMYFUNCTION("GOOGLETRANSLATE(A366, ""en"", ""hi"")"),"365")</f>
        <v>365</v>
      </c>
      <c r="G366" s="5" t="str">
        <f>IFERROR(__xludf.DUMMYFUNCTION("GOOGLETRANSLATE(B366, ""en"", ""hi"")"),"17वीं शताब्दी में किस राजा के सैन्य प्रशिक्षण में मलखम्ब को मुख्य घटक के रूप में शामिल किया गया था?")</f>
        <v>17वीं शताब्दी में किस राजा के सैन्य प्रशिक्षण में मलखम्ब को मुख्य घटक के रूप में शामिल किया गया था?</v>
      </c>
      <c r="H366" s="5" t="str">
        <f>IFERROR(__xludf.DUMMYFUNCTION("GOOGLETRANSLATE(C366, ""en"", ""hi"")"),"ए) शिवाजी महाराज, बी) अकबर, सी) चंद्रगुप्त मौर्य, डी) अशोक")</f>
        <v>ए) शिवाजी महाराज, बी) अकबर, सी) चंद्रगुप्त मौर्य, डी) अशोक</v>
      </c>
      <c r="I366" s="5" t="str">
        <f>IFERROR(__xludf.DUMMYFUNCTION("GOOGLETRANSLATE(D366, ""en"", ""hi"")"),"A) शिवाजी महाराज")</f>
        <v>A) शिवाजी महाराज</v>
      </c>
    </row>
    <row r="367" ht="22.5" customHeight="1">
      <c r="A367" s="10">
        <v>366.0</v>
      </c>
      <c r="B367" s="8" t="s">
        <v>10902</v>
      </c>
      <c r="C367" s="8" t="s">
        <v>10503</v>
      </c>
      <c r="D367" s="8" t="s">
        <v>4164</v>
      </c>
      <c r="F367" s="5" t="str">
        <f>IFERROR(__xludf.DUMMYFUNCTION("GOOGLETRANSLATE(A367, ""en"", ""hi"")"),"366")</f>
        <v>366</v>
      </c>
      <c r="G367" s="5" t="str">
        <f>IFERROR(__xludf.DUMMYFUNCTION("GOOGLETRANSLATE(B367, ""en"", ""hi"")"),"17वीं शताब्दी में मलखम्ब तकनीक को औपचारिक रूप देने के लिए किस ऐतिहासिक व्यक्ति का समर्थन महत्वपूर्ण था?")</f>
        <v>17वीं शताब्दी में मलखम्ब तकनीक को औपचारिक रूप देने के लिए किस ऐतिहासिक व्यक्ति का समर्थन महत्वपूर्ण था?</v>
      </c>
      <c r="H367" s="5" t="str">
        <f>IFERROR(__xludf.DUMMYFUNCTION("GOOGLETRANSLATE(C367, ""en"", ""hi"")"),"ए) शिवाजी महाराज, बी) अकबर, सी) औरंगजेब, डी) चंद्रगुप्त मौर्य")</f>
        <v>ए) शिवाजी महाराज, बी) अकबर, सी) औरंगजेब, डी) चंद्रगुप्त मौर्य</v>
      </c>
      <c r="I367" s="5" t="str">
        <f>IFERROR(__xludf.DUMMYFUNCTION("GOOGLETRANSLATE(D367, ""en"", ""hi"")"),"A) शिवाजी महाराज")</f>
        <v>A) शिवाजी महाराज</v>
      </c>
    </row>
    <row r="368" ht="22.5" customHeight="1">
      <c r="A368" s="10">
        <v>367.0</v>
      </c>
      <c r="B368" s="8" t="s">
        <v>10896</v>
      </c>
      <c r="C368" s="8" t="s">
        <v>10519</v>
      </c>
      <c r="D368" s="8" t="s">
        <v>10431</v>
      </c>
      <c r="F368" s="5" t="str">
        <f>IFERROR(__xludf.DUMMYFUNCTION("GOOGLETRANSLATE(A368, ""en"", ""hi"")"),"367")</f>
        <v>367</v>
      </c>
      <c r="G368" s="5" t="str">
        <f>IFERROR(__xludf.DUMMYFUNCTION("GOOGLETRANSLATE(B368, ""en"", ""hi"")"),"कौन सा प्राचीन भारतीय ग्रंथ मलखंभ के समान शारीरिक कंडीशनिंग विधियों का वर्णन करता है?")</f>
        <v>कौन सा प्राचीन भारतीय ग्रंथ मलखंभ के समान शारीरिक कंडीशनिंग विधियों का वर्णन करता है?</v>
      </c>
      <c r="H368" s="5" t="str">
        <f>IFERROR(__xludf.DUMMYFUNCTION("GOOGLETRANSLATE(C368, ""en"", ""hi"")"),"ए) योग सूत्र, बी) मनुस्मृति, सी) वेद, डी) रामायण")</f>
        <v>ए) योग सूत्र, बी) मनुस्मृति, सी) वेद, डी) रामायण</v>
      </c>
      <c r="I368" s="5" t="str">
        <f>IFERROR(__xludf.DUMMYFUNCTION("GOOGLETRANSLATE(D368, ""en"", ""hi"")"),"C) वेद")</f>
        <v>C) वेद</v>
      </c>
    </row>
    <row r="369" ht="22.5" customHeight="1">
      <c r="A369" s="10">
        <v>368.0</v>
      </c>
      <c r="B369" s="8" t="s">
        <v>10808</v>
      </c>
      <c r="C369" s="8" t="s">
        <v>10809</v>
      </c>
      <c r="D369" s="8" t="s">
        <v>10810</v>
      </c>
      <c r="F369" s="5" t="str">
        <f>IFERROR(__xludf.DUMMYFUNCTION("GOOGLETRANSLATE(A369, ""en"", ""hi"")"),"368")</f>
        <v>368</v>
      </c>
      <c r="G369" s="5" t="str">
        <f>IFERROR(__xludf.DUMMYFUNCTION("GOOGLETRANSLATE(B369, ""en"", ""hi"")"),"मलखम्ब के संरक्षण और संवर्धन के लिए 20वीं सदी की कौन सी पहल महत्वपूर्ण थी?")</f>
        <v>मलखम्ब के संरक्षण और संवर्धन के लिए 20वीं सदी की कौन सी पहल महत्वपूर्ण थी?</v>
      </c>
      <c r="H369" s="5" t="str">
        <f>IFERROR(__xludf.DUMMYFUNCTION("GOOGLETRANSLATE(C369, ""en"", ""hi"")"),"A) सरकार द्वारा प्रायोजित टूर्नामेंट, B) सांस्कृतिक उत्सव, C) शैक्षिक सुधार, D) अंतर्राष्ट्रीय प्रतियोगिताएं")</f>
        <v>A) सरकार द्वारा प्रायोजित टूर्नामेंट, B) सांस्कृतिक उत्सव, C) शैक्षिक सुधार, D) अंतर्राष्ट्रीय प्रतियोगिताएं</v>
      </c>
      <c r="I369" s="5" t="str">
        <f>IFERROR(__xludf.DUMMYFUNCTION("GOOGLETRANSLATE(D369, ""en"", ""hi"")"),"बी) सांस्कृतिक उत्सव")</f>
        <v>बी) सांस्कृतिक उत्सव</v>
      </c>
    </row>
    <row r="370" ht="22.5" customHeight="1">
      <c r="A370" s="10">
        <v>369.0</v>
      </c>
      <c r="B370" s="8" t="s">
        <v>10860</v>
      </c>
      <c r="C370" s="8" t="s">
        <v>10778</v>
      </c>
      <c r="D370" s="8" t="s">
        <v>10733</v>
      </c>
      <c r="F370" s="5" t="str">
        <f>IFERROR(__xludf.DUMMYFUNCTION("GOOGLETRANSLATE(A370, ""en"", ""hi"")"),"369")</f>
        <v>369</v>
      </c>
      <c r="G370" s="5" t="str">
        <f>IFERROR(__xludf.DUMMYFUNCTION("GOOGLETRANSLATE(B370, ""en"", ""hi"")"),"18वीं शताब्दी के किस महाराजा को सैन्य प्रशिक्षण के एक भाग के रूप में मलखम्ब को बढ़ावा देने के लिए जाना जाता है?")</f>
        <v>18वीं शताब्दी के किस महाराजा को सैन्य प्रशिक्षण के एक भाग के रूप में मलखम्ब को बढ़ावा देने के लिए जाना जाता है?</v>
      </c>
      <c r="H370" s="5" t="str">
        <f>IFERROR(__xludf.DUMMYFUNCTION("GOOGLETRANSLATE(C370, ""en"", ""hi"")"),"ए) शिवाजी महाराज, बी) महादजी शिंदे, सी) जय सिंह, डी) रणजीत सिंह")</f>
        <v>ए) शिवाजी महाराज, बी) महादजी शिंदे, सी) जय सिंह, डी) रणजीत सिंह</v>
      </c>
      <c r="I370" s="5" t="str">
        <f>IFERROR(__xludf.DUMMYFUNCTION("GOOGLETRANSLATE(D370, ""en"", ""hi"")"),"B) महादजी शिंदे")</f>
        <v>B) महादजी शिंदे</v>
      </c>
    </row>
    <row r="371" ht="22.5" customHeight="1">
      <c r="A371" s="10">
        <v>370.0</v>
      </c>
      <c r="B371" s="8" t="s">
        <v>10871</v>
      </c>
      <c r="C371" s="8" t="s">
        <v>10503</v>
      </c>
      <c r="D371" s="8" t="s">
        <v>4164</v>
      </c>
      <c r="F371" s="5" t="str">
        <f>IFERROR(__xludf.DUMMYFUNCTION("GOOGLETRANSLATE(A371, ""en"", ""hi"")"),"370")</f>
        <v>370</v>
      </c>
      <c r="G371" s="5" t="str">
        <f>IFERROR(__xludf.DUMMYFUNCTION("GOOGLETRANSLATE(B371, ""en"", ""hi"")"),"17वीं शताब्दी में मलखम्ब तकनीक को औपचारिक रूप देने के लिए किस राजा का समर्थन आवश्यक था?")</f>
        <v>17वीं शताब्दी में मलखम्ब तकनीक को औपचारिक रूप देने के लिए किस राजा का समर्थन आवश्यक था?</v>
      </c>
      <c r="H371" s="5" t="str">
        <f>IFERROR(__xludf.DUMMYFUNCTION("GOOGLETRANSLATE(C371, ""en"", ""hi"")"),"ए) शिवाजी महाराज, बी) अकबर, सी) औरंगजेब, डी) चंद्रगुप्त मौर्य")</f>
        <v>ए) शिवाजी महाराज, बी) अकबर, सी) औरंगजेब, डी) चंद्रगुप्त मौर्य</v>
      </c>
      <c r="I371" s="5" t="str">
        <f>IFERROR(__xludf.DUMMYFUNCTION("GOOGLETRANSLATE(D371, ""en"", ""hi"")"),"A) शिवाजी महाराज")</f>
        <v>A) शिवाजी महाराज</v>
      </c>
    </row>
    <row r="372" ht="22.5" customHeight="1">
      <c r="A372" s="10">
        <v>371.0</v>
      </c>
      <c r="B372" s="8" t="s">
        <v>10826</v>
      </c>
      <c r="C372" s="8" t="s">
        <v>10827</v>
      </c>
      <c r="D372" s="8" t="s">
        <v>10828</v>
      </c>
      <c r="F372" s="5" t="str">
        <f>IFERROR(__xludf.DUMMYFUNCTION("GOOGLETRANSLATE(A372, ""en"", ""hi"")"),"371")</f>
        <v>371</v>
      </c>
      <c r="G372" s="5" t="str">
        <f>IFERROR(__xludf.DUMMYFUNCTION("GOOGLETRANSLATE(B372, ""en"", ""hi"")"),"कौन सी प्राचीन भारतीय प्रथा मलखंभ का पूर्ववर्ती मानी जाती है?")</f>
        <v>कौन सी प्राचीन भारतीय प्रथा मलखंभ का पूर्ववर्ती मानी जाती है?</v>
      </c>
      <c r="H372" s="5" t="str">
        <f>IFERROR(__xludf.DUMMYFUNCTION("GOOGLETRANSLATE(C372, ""en"", ""hi"")"),"A) योग, B) मार्शल आर्ट, C) कलाबाजी, D) नृत्य")</f>
        <v>A) योग, B) मार्शल आर्ट, C) कलाबाजी, D) नृत्य</v>
      </c>
      <c r="I372" s="5" t="str">
        <f>IFERROR(__xludf.DUMMYFUNCTION("GOOGLETRANSLATE(D372, ""en"", ""hi"")"),"सी) कलाबाजी")</f>
        <v>सी) कलाबाजी</v>
      </c>
    </row>
    <row r="373" ht="22.5" customHeight="1">
      <c r="A373" s="10">
        <v>372.0</v>
      </c>
      <c r="B373" s="8" t="s">
        <v>10897</v>
      </c>
      <c r="C373" s="8" t="s">
        <v>10498</v>
      </c>
      <c r="D373" s="8" t="s">
        <v>4164</v>
      </c>
      <c r="F373" s="5" t="str">
        <f>IFERROR(__xludf.DUMMYFUNCTION("GOOGLETRANSLATE(A373, ""en"", ""hi"")"),"372")</f>
        <v>372</v>
      </c>
      <c r="G373" s="5" t="str">
        <f>IFERROR(__xludf.DUMMYFUNCTION("GOOGLETRANSLATE(B373, ""en"", ""hi"")"),"17वीं शताब्दी में किस राजा की सैन्य प्रशिक्षण पद्धति में मलखम्ब को मुख्य घटक के रूप में शामिल किया गया था?")</f>
        <v>17वीं शताब्दी में किस राजा की सैन्य प्रशिक्षण पद्धति में मलखम्ब को मुख्य घटक के रूप में शामिल किया गया था?</v>
      </c>
      <c r="H373" s="5" t="str">
        <f>IFERROR(__xludf.DUMMYFUNCTION("GOOGLETRANSLATE(C373, ""en"", ""hi"")"),"ए) शिवाजी महाराज, बी) अकबर, सी) चंद्रगुप्त मौर्य, डी) अशोक")</f>
        <v>ए) शिवाजी महाराज, बी) अकबर, सी) चंद्रगुप्त मौर्य, डी) अशोक</v>
      </c>
      <c r="I373" s="5" t="str">
        <f>IFERROR(__xludf.DUMMYFUNCTION("GOOGLETRANSLATE(D373, ""en"", ""hi"")"),"A) शिवाजी महाराज")</f>
        <v>A) शिवाजी महाराज</v>
      </c>
    </row>
    <row r="374" ht="22.5" customHeight="1">
      <c r="A374" s="10">
        <v>373.0</v>
      </c>
      <c r="B374" s="8" t="s">
        <v>10898</v>
      </c>
      <c r="C374" s="8" t="s">
        <v>10503</v>
      </c>
      <c r="D374" s="8" t="s">
        <v>4164</v>
      </c>
      <c r="F374" s="5" t="str">
        <f>IFERROR(__xludf.DUMMYFUNCTION("GOOGLETRANSLATE(A374, ""en"", ""hi"")"),"373")</f>
        <v>373</v>
      </c>
      <c r="G374" s="5" t="str">
        <f>IFERROR(__xludf.DUMMYFUNCTION("GOOGLETRANSLATE(B374, ""en"", ""hi"")"),"किस ऐतिहासिक व्यक्ति को अपने शासनकाल के दौरान मलखम्ब को सैन्य प्रशिक्षण में शामिल करने का श्रेय दिया जाता है?")</f>
        <v>किस ऐतिहासिक व्यक्ति को अपने शासनकाल के दौरान मलखम्ब को सैन्य प्रशिक्षण में शामिल करने का श्रेय दिया जाता है?</v>
      </c>
      <c r="H374" s="5" t="str">
        <f>IFERROR(__xludf.DUMMYFUNCTION("GOOGLETRANSLATE(C374, ""en"", ""hi"")"),"ए) शिवाजी महाराज, बी) अकबर, सी) औरंगजेब, डी) चंद्रगुप्त मौर्य")</f>
        <v>ए) शिवाजी महाराज, बी) अकबर, सी) औरंगजेब, डी) चंद्रगुप्त मौर्य</v>
      </c>
      <c r="I374" s="5" t="str">
        <f>IFERROR(__xludf.DUMMYFUNCTION("GOOGLETRANSLATE(D374, ""en"", ""hi"")"),"A) शिवाजी महाराज")</f>
        <v>A) शिवाजी महाराज</v>
      </c>
    </row>
    <row r="375" ht="22.5" customHeight="1">
      <c r="A375" s="10">
        <v>374.0</v>
      </c>
      <c r="B375" s="8" t="s">
        <v>10888</v>
      </c>
      <c r="C375" s="8" t="s">
        <v>10870</v>
      </c>
      <c r="D375" s="8" t="s">
        <v>10859</v>
      </c>
      <c r="F375" s="5" t="str">
        <f>IFERROR(__xludf.DUMMYFUNCTION("GOOGLETRANSLATE(A375, ""en"", ""hi"")"),"374")</f>
        <v>374</v>
      </c>
      <c r="G375" s="5" t="str">
        <f>IFERROR(__xludf.DUMMYFUNCTION("GOOGLETRANSLATE(B375, ""en"", ""hi"")"),"मलखम्ब परम्पराओं के संरक्षण के लिए 19वीं शताब्दी का कौन सा विकास महत्वपूर्ण था?")</f>
        <v>मलखम्ब परम्पराओं के संरक्षण के लिए 19वीं शताब्दी का कौन सा विकास महत्वपूर्ण था?</v>
      </c>
      <c r="H375" s="5" t="str">
        <f>IFERROR(__xludf.DUMMYFUNCTION("GOOGLETRANSLATE(C375, ""en"", ""hi"")"),"A) सांस्कृतिक पुनरुत्थान आंदोलन, B) सरकारी हस्तक्षेप, C) अंतर्राष्ट्रीय मान्यता, D) शैक्षिक सुधार")</f>
        <v>A) सांस्कृतिक पुनरुत्थान आंदोलन, B) सरकारी हस्तक्षेप, C) अंतर्राष्ट्रीय मान्यता, D) शैक्षिक सुधार</v>
      </c>
      <c r="I375" s="5" t="str">
        <f>IFERROR(__xludf.DUMMYFUNCTION("GOOGLETRANSLATE(D375, ""en"", ""hi"")"),"A) सांस्कृतिक पुनरुत्थान आंदोलन")</f>
        <v>A) सांस्कृतिक पुनरुत्थान आंदोलन</v>
      </c>
    </row>
    <row r="376" ht="22.5" customHeight="1">
      <c r="A376" s="10">
        <v>375.0</v>
      </c>
      <c r="B376" s="8" t="s">
        <v>10844</v>
      </c>
      <c r="C376" s="8" t="s">
        <v>10748</v>
      </c>
      <c r="D376" s="8" t="s">
        <v>10439</v>
      </c>
      <c r="F376" s="5" t="str">
        <f>IFERROR(__xludf.DUMMYFUNCTION("GOOGLETRANSLATE(A376, ""en"", ""hi"")"),"375")</f>
        <v>375</v>
      </c>
      <c r="G376" s="5" t="str">
        <f>IFERROR(__xludf.DUMMYFUNCTION("GOOGLETRANSLATE(B376, ""en"", ""hi"")"),"19वीं सदी के अंत में मलखम्ब के पुनरुत्थान में किस ऐतिहासिक व्यक्ति ने महत्वपूर्ण भूमिका निभाई?")</f>
        <v>19वीं सदी के अंत में मलखम्ब के पुनरुत्थान में किस ऐतिहासिक व्यक्ति ने महत्वपूर्ण भूमिका निभाई?</v>
      </c>
      <c r="H376" s="5" t="str">
        <f>IFERROR(__xludf.DUMMYFUNCTION("GOOGLETRANSLATE(C376, ""en"", ""hi"")"),"ए) महादजी शिंदे, बी) शिवाजी महाराज, सी) जय सिंह, डी) रणजीत सिंह")</f>
        <v>ए) महादजी शिंदे, बी) शिवाजी महाराज, सी) जय सिंह, डी) रणजीत सिंह</v>
      </c>
      <c r="I376" s="5" t="str">
        <f>IFERROR(__xludf.DUMMYFUNCTION("GOOGLETRANSLATE(D376, ""en"", ""hi"")"),"A) महादजी शिंदे")</f>
        <v>A) महादजी शिंदे</v>
      </c>
    </row>
    <row r="377" ht="22.5" customHeight="1">
      <c r="A377" s="10">
        <v>376.0</v>
      </c>
      <c r="B377" s="8" t="s">
        <v>10873</v>
      </c>
      <c r="C377" s="8" t="s">
        <v>10874</v>
      </c>
      <c r="D377" s="8" t="s">
        <v>10431</v>
      </c>
      <c r="F377" s="5" t="str">
        <f>IFERROR(__xludf.DUMMYFUNCTION("GOOGLETRANSLATE(A377, ""en"", ""hi"")"),"376")</f>
        <v>376</v>
      </c>
      <c r="G377" s="5" t="str">
        <f>IFERROR(__xludf.DUMMYFUNCTION("GOOGLETRANSLATE(B377, ""en"", ""hi"")"),"किस प्राचीन भारतीय ग्रंथ में पहली बार मलखंभ जैसे व्यायामों का दस्तावेजीकरण किया गया?")</f>
        <v>किस प्राचीन भारतीय ग्रंथ में पहली बार मलखंभ जैसे व्यायामों का दस्तावेजीकरण किया गया?</v>
      </c>
      <c r="H377" s="5" t="str">
        <f>IFERROR(__xludf.DUMMYFUNCTION("GOOGLETRANSLATE(C377, ""en"", ""hi"")"),"ए) योग सूत्र, बी) मनुस्मृति, सी) वेद, डी) अर्थशास्त्र")</f>
        <v>ए) योग सूत्र, बी) मनुस्मृति, सी) वेद, डी) अर्थशास्त्र</v>
      </c>
      <c r="I377" s="5" t="str">
        <f>IFERROR(__xludf.DUMMYFUNCTION("GOOGLETRANSLATE(D377, ""en"", ""hi"")"),"C) वेद")</f>
        <v>C) वेद</v>
      </c>
    </row>
    <row r="378" ht="22.5" customHeight="1">
      <c r="A378" s="10">
        <v>377.0</v>
      </c>
      <c r="B378" s="4" t="s">
        <v>10903</v>
      </c>
      <c r="C378" s="4" t="s">
        <v>10904</v>
      </c>
      <c r="D378" s="4" t="s">
        <v>10905</v>
      </c>
      <c r="F378" s="5" t="str">
        <f>IFERROR(__xludf.DUMMYFUNCTION("GOOGLETRANSLATE(A378, ""en"", ""hi"")"),"377")</f>
        <v>377</v>
      </c>
      <c r="G378" s="5" t="str">
        <f>IFERROR(__xludf.DUMMYFUNCTION("GOOGLETRANSLATE(B378, ""en"", ""hi"")"),"आधुनिक मलखम्ब का जनक किसे माना जाता है?")</f>
        <v>आधुनिक मलखम्ब का जनक किसे माना जाता है?</v>
      </c>
      <c r="H378" s="5" t="str">
        <f>IFERROR(__xludf.DUMMYFUNCTION("GOOGLETRANSLATE(C378, ""en"", ""hi"")"),"ए) बालमभट्ट दादा देवधर, बी) भास्कर राव, सी) विट्ठलराव देवलेकर, डी) शिवाजी महाराज")</f>
        <v>ए) बालमभट्ट दादा देवधर, बी) भास्कर राव, सी) विट्ठलराव देवलेकर, डी) शिवाजी महाराज</v>
      </c>
      <c r="I378" s="5" t="str">
        <f>IFERROR(__xludf.DUMMYFUNCTION("GOOGLETRANSLATE(D378, ""en"", ""hi"")"),"A) बलमभट्ट दादा देवधर")</f>
        <v>A) बलमभट्ट दादा देवधर</v>
      </c>
    </row>
    <row r="379" ht="22.5" customHeight="1">
      <c r="A379" s="10">
        <v>378.0</v>
      </c>
      <c r="B379" s="4" t="s">
        <v>10906</v>
      </c>
      <c r="C379" s="4" t="s">
        <v>10907</v>
      </c>
      <c r="D379" s="4" t="s">
        <v>10908</v>
      </c>
      <c r="F379" s="5" t="str">
        <f>IFERROR(__xludf.DUMMYFUNCTION("GOOGLETRANSLATE(A379, ""en"", ""hi"")"),"378")</f>
        <v>378</v>
      </c>
      <c r="G379" s="5" t="str">
        <f>IFERROR(__xludf.DUMMYFUNCTION("GOOGLETRANSLATE(B379, ""en"", ""hi"")"),"मलखम्ब को प्रतिस्पर्धात्मक खेल के रूप में किस वर्ष शुरू किया गया था?")</f>
        <v>मलखम्ब को प्रतिस्पर्धात्मक खेल के रूप में किस वर्ष शुरू किया गया था?</v>
      </c>
      <c r="H379" s="5" t="str">
        <f>IFERROR(__xludf.DUMMYFUNCTION("GOOGLETRANSLATE(C379, ""en"", ""hi"")"),"ए) 1905, बी) 1947, सी) 1970, डी) 1936")</f>
        <v>ए) 1905, बी) 1947, सी) 1970, डी) 1936</v>
      </c>
      <c r="I379" s="5" t="str">
        <f>IFERROR(__xludf.DUMMYFUNCTION("GOOGLETRANSLATE(D379, ""en"", ""hi"")"),"डी) 1936")</f>
        <v>डी) 1936</v>
      </c>
    </row>
    <row r="380" ht="22.5" customHeight="1">
      <c r="A380" s="10">
        <v>379.0</v>
      </c>
      <c r="B380" s="4" t="s">
        <v>10909</v>
      </c>
      <c r="C380" s="4" t="s">
        <v>10910</v>
      </c>
      <c r="D380" s="4" t="s">
        <v>10911</v>
      </c>
      <c r="F380" s="5" t="str">
        <f>IFERROR(__xludf.DUMMYFUNCTION("GOOGLETRANSLATE(A380, ""en"", ""hi"")"),"379")</f>
        <v>379</v>
      </c>
      <c r="G380" s="5" t="str">
        <f>IFERROR(__xludf.DUMMYFUNCTION("GOOGLETRANSLATE(B380, ""en"", ""hi"")"),"मलखम्ब का प्रयोग ऐतिहासिक रूप से किस प्रकार के योद्धाओं को प्रशिक्षित करने के लिए किया जाता था?")</f>
        <v>मलखम्ब का प्रयोग ऐतिहासिक रूप से किस प्रकार के योद्धाओं को प्रशिक्षित करने के लिए किया जाता था?</v>
      </c>
      <c r="H380" s="5" t="str">
        <f>IFERROR(__xludf.DUMMYFUNCTION("GOOGLETRANSLATE(C380, ""en"", ""hi"")"),"A) मराठा योद्धा, B) राजपूत योद्धा, C) मुगल सैनिक, D) ब्रिटिश सैनिक")</f>
        <v>A) मराठा योद्धा, B) राजपूत योद्धा, C) मुगल सैनिक, D) ब्रिटिश सैनिक</v>
      </c>
      <c r="I380" s="5" t="str">
        <f>IFERROR(__xludf.DUMMYFUNCTION("GOOGLETRANSLATE(D380, ""en"", ""hi"")"),"A) मराठा योद्धा")</f>
        <v>A) मराठा योद्धा</v>
      </c>
    </row>
    <row r="381" ht="22.5" customHeight="1">
      <c r="A381" s="10">
        <v>380.0</v>
      </c>
      <c r="B381" s="4" t="s">
        <v>10912</v>
      </c>
      <c r="C381" s="4" t="s">
        <v>10913</v>
      </c>
      <c r="D381" s="4" t="s">
        <v>10914</v>
      </c>
      <c r="F381" s="5" t="str">
        <f>IFERROR(__xludf.DUMMYFUNCTION("GOOGLETRANSLATE(A381, ""en"", ""hi"")"),"380")</f>
        <v>380</v>
      </c>
      <c r="G381" s="5" t="str">
        <f>IFERROR(__xludf.DUMMYFUNCTION("GOOGLETRANSLATE(B381, ""en"", ""hi"")"),"ऐसा माना जाता है कि किस शासक ने महाराष्ट्र में मलखम्ब को लोकप्रिय बनाया?")</f>
        <v>ऐसा माना जाता है कि किस शासक ने महाराष्ट्र में मलखम्ब को लोकप्रिय बनाया?</v>
      </c>
      <c r="H381" s="5" t="str">
        <f>IFERROR(__xludf.DUMMYFUNCTION("GOOGLETRANSLATE(C381, ""en"", ""hi"")"),"ए) शिवाजी महाराज, बी) पेशवा बाजीराव प्रथम, सी) शाहू महाराज, डी) बाजीराव द्वितीय")</f>
        <v>ए) शिवाजी महाराज, बी) पेशवा बाजीराव प्रथम, सी) शाहू महाराज, डी) बाजीराव द्वितीय</v>
      </c>
      <c r="I381" s="5" t="str">
        <f>IFERROR(__xludf.DUMMYFUNCTION("GOOGLETRANSLATE(D381, ""en"", ""hi"")"),"B) पेशवा बाजीराव प्रथम")</f>
        <v>B) पेशवा बाजीराव प्रथम</v>
      </c>
    </row>
    <row r="382" ht="22.5" customHeight="1">
      <c r="A382" s="10">
        <v>381.0</v>
      </c>
      <c r="B382" s="4" t="s">
        <v>10915</v>
      </c>
      <c r="C382" s="4" t="s">
        <v>10916</v>
      </c>
      <c r="D382" s="4" t="s">
        <v>10917</v>
      </c>
      <c r="F382" s="5" t="str">
        <f>IFERROR(__xludf.DUMMYFUNCTION("GOOGLETRANSLATE(A382, ""en"", ""hi"")"),"381")</f>
        <v>381</v>
      </c>
      <c r="G382" s="5" t="str">
        <f>IFERROR(__xludf.DUMMYFUNCTION("GOOGLETRANSLATE(B382, ""en"", ""hi"")"),"मलखम्ब पारंपरिक रूप से किस प्रकार के उपकरण पर किया जाता था?")</f>
        <v>मलखम्ब पारंपरिक रूप से किस प्रकार के उपकरण पर किया जाता था?</v>
      </c>
      <c r="H382" s="5" t="str">
        <f>IFERROR(__xludf.DUMMYFUNCTION("GOOGLETRANSLATE(C382, ""en"", ""hi"")"),"A) पोल, B) रस्सी, C) बैलेंस बीम, D) रिंग्स")</f>
        <v>A) पोल, B) रस्सी, C) बैलेंस बीम, D) रिंग्स</v>
      </c>
      <c r="I382" s="5" t="str">
        <f>IFERROR(__xludf.DUMMYFUNCTION("GOOGLETRANSLATE(D382, ""en"", ""hi"")"),"ए) ध्रुव")</f>
        <v>ए) ध्रुव</v>
      </c>
    </row>
    <row r="383" ht="22.5" customHeight="1">
      <c r="A383" s="10">
        <v>382.0</v>
      </c>
      <c r="B383" s="4" t="s">
        <v>10918</v>
      </c>
      <c r="C383" s="4" t="s">
        <v>10919</v>
      </c>
      <c r="D383" s="4" t="s">
        <v>10920</v>
      </c>
      <c r="F383" s="5" t="str">
        <f>IFERROR(__xludf.DUMMYFUNCTION("GOOGLETRANSLATE(A383, ""en"", ""hi"")"),"382")</f>
        <v>382</v>
      </c>
      <c r="G383" s="5" t="str">
        <f>IFERROR(__xludf.DUMMYFUNCTION("GOOGLETRANSLATE(B383, ""en"", ""hi"")"),"मलखम्ब स्तंभ बनाने के लिए प्रयुक्त पारंपरिक सामग्री क्या है?")</f>
        <v>मलखम्ब स्तंभ बनाने के लिए प्रयुक्त पारंपरिक सामग्री क्या है?</v>
      </c>
      <c r="H383" s="5" t="str">
        <f>IFERROR(__xludf.DUMMYFUNCTION("GOOGLETRANSLATE(C383, ""en"", ""hi"")"),"A) धातु, B) बांस, C) सागौन की लकड़ी, D) ओक की लकड़ी")</f>
        <v>A) धातु, B) बांस, C) सागौन की लकड़ी, D) ओक की लकड़ी</v>
      </c>
      <c r="I383" s="5" t="str">
        <f>IFERROR(__xludf.DUMMYFUNCTION("GOOGLETRANSLATE(D383, ""en"", ""hi"")"),"C) सागौन की लकड़ी")</f>
        <v>C) सागौन की लकड़ी</v>
      </c>
    </row>
    <row r="384" ht="22.5" customHeight="1">
      <c r="A384" s="10">
        <v>383.0</v>
      </c>
      <c r="B384" s="4" t="s">
        <v>10921</v>
      </c>
      <c r="C384" s="4" t="s">
        <v>10922</v>
      </c>
      <c r="D384" s="4" t="s">
        <v>10923</v>
      </c>
      <c r="F384" s="5" t="str">
        <f>IFERROR(__xludf.DUMMYFUNCTION("GOOGLETRANSLATE(A384, ""en"", ""hi"")"),"383")</f>
        <v>383</v>
      </c>
      <c r="G384" s="5" t="str">
        <f>IFERROR(__xludf.DUMMYFUNCTION("GOOGLETRANSLATE(B384, ""en"", ""hi"")"),"निम्नलिखित में से कौन सा मलखम्ब का एक प्रकार है?")</f>
        <v>निम्नलिखित में से कौन सा मलखम्ब का एक प्रकार है?</v>
      </c>
      <c r="H384" s="5" t="str">
        <f>IFERROR(__xludf.DUMMYFUNCTION("GOOGLETRANSLATE(C384, ""en"", ""hi"")"),"ए) रस्सी मलखंब, बी) एरियल मलखंब, सी) ग्राउंड मलखंब, डी) पोल मलखंब")</f>
        <v>ए) रस्सी मलखंब, बी) एरियल मलखंब, सी) ग्राउंड मलखंब, डी) पोल मलखंब</v>
      </c>
      <c r="I384" s="5" t="str">
        <f>IFERROR(__xludf.DUMMYFUNCTION("GOOGLETRANSLATE(D384, ""en"", ""hi"")"),"A) रस्सी मलखम्ब")</f>
        <v>A) रस्सी मलखम्ब</v>
      </c>
    </row>
    <row r="385" ht="22.5" customHeight="1">
      <c r="A385" s="10">
        <v>384.0</v>
      </c>
      <c r="B385" s="4" t="s">
        <v>10924</v>
      </c>
      <c r="C385" s="4" t="s">
        <v>10925</v>
      </c>
      <c r="D385" s="4" t="s">
        <v>3387</v>
      </c>
      <c r="F385" s="5" t="str">
        <f>IFERROR(__xludf.DUMMYFUNCTION("GOOGLETRANSLATE(A385, ""en"", ""hi"")"),"384")</f>
        <v>384</v>
      </c>
      <c r="G385" s="5" t="str">
        <f>IFERROR(__xludf.DUMMYFUNCTION("GOOGLETRANSLATE(B385, ""en"", ""hi"")"),"'मलखम्ब' शब्द किस भाषा से लिया गया है?")</f>
        <v>'मलखम्ब' शब्द किस भाषा से लिया गया है?</v>
      </c>
      <c r="H385" s="5" t="str">
        <f>IFERROR(__xludf.DUMMYFUNCTION("GOOGLETRANSLATE(C385, ""en"", ""hi"")"),"ए) संस्कृत, बी) मराठी, सी) हिंदी, डी) तमिल")</f>
        <v>ए) संस्कृत, बी) मराठी, सी) हिंदी, डी) तमिल</v>
      </c>
      <c r="I385" s="5" t="str">
        <f>IFERROR(__xludf.DUMMYFUNCTION("GOOGLETRANSLATE(D385, ""en"", ""hi"")"),"A) संस्कृत")</f>
        <v>A) संस्कृत</v>
      </c>
    </row>
    <row r="386" ht="22.5" customHeight="1">
      <c r="A386" s="10">
        <v>385.0</v>
      </c>
      <c r="B386" s="4" t="s">
        <v>10926</v>
      </c>
      <c r="C386" s="4" t="s">
        <v>10927</v>
      </c>
      <c r="D386" s="4" t="s">
        <v>98</v>
      </c>
      <c r="F386" s="5" t="str">
        <f>IFERROR(__xludf.DUMMYFUNCTION("GOOGLETRANSLATE(A386, ""en"", ""hi"")"),"385")</f>
        <v>385</v>
      </c>
      <c r="G386" s="5" t="str">
        <f>IFERROR(__xludf.DUMMYFUNCTION("GOOGLETRANSLATE(B386, ""en"", ""hi"")"),"मलखम्ब की उत्पत्ति किस भारतीय राज्य में हुई?")</f>
        <v>मलखम्ब की उत्पत्ति किस भारतीय राज्य में हुई?</v>
      </c>
      <c r="H386" s="5" t="str">
        <f>IFERROR(__xludf.DUMMYFUNCTION("GOOGLETRANSLATE(C386, ""en"", ""hi"")"),"ए) गुजरात, बी) महाराष्ट्र, सी) कर्नाटक, डी) राजस्थान")</f>
        <v>ए) गुजरात, बी) महाराष्ट्र, सी) कर्नाटक, डी) राजस्थान</v>
      </c>
      <c r="I386" s="5" t="str">
        <f>IFERROR(__xludf.DUMMYFUNCTION("GOOGLETRANSLATE(D386, ""en"", ""hi"")"),"बी) महाराष्ट्र")</f>
        <v>बी) महाराष्ट्र</v>
      </c>
    </row>
    <row r="387" ht="22.5" customHeight="1">
      <c r="A387" s="10">
        <v>386.0</v>
      </c>
      <c r="B387" s="4" t="s">
        <v>10928</v>
      </c>
      <c r="C387" s="4" t="s">
        <v>10929</v>
      </c>
      <c r="D387" s="4" t="s">
        <v>10930</v>
      </c>
      <c r="F387" s="5" t="str">
        <f>IFERROR(__xludf.DUMMYFUNCTION("GOOGLETRANSLATE(A387, ""en"", ""hi"")"),"386")</f>
        <v>386</v>
      </c>
      <c r="G387" s="5" t="str">
        <f>IFERROR(__xludf.DUMMYFUNCTION("GOOGLETRANSLATE(B387, ""en"", ""hi"")"),"मलखम्ब को '________ का जिम्नास्टिक' भी कहा जाता है।")</f>
        <v>मलखम्ब को '________ का जिम्नास्टिक' भी कहा जाता है।</v>
      </c>
      <c r="H387" s="5" t="str">
        <f>IFERROR(__xludf.DUMMYFUNCTION("GOOGLETRANSLATE(C387, ""en"", ""hi"")"),"A) भारत, B) योद्धा, C) शक्ति, D) अनुशासन")</f>
        <v>A) भारत, B) योद्धा, C) शक्ति, D) अनुशासन</v>
      </c>
      <c r="I387" s="5" t="str">
        <f>IFERROR(__xludf.DUMMYFUNCTION("GOOGLETRANSLATE(D387, ""en"", ""hi"")"),"बी) योद्धा")</f>
        <v>बी) योद्धा</v>
      </c>
    </row>
    <row r="388" ht="22.5" customHeight="1">
      <c r="A388" s="10">
        <v>387.0</v>
      </c>
      <c r="B388" s="4" t="s">
        <v>10931</v>
      </c>
      <c r="C388" s="4" t="s">
        <v>10932</v>
      </c>
      <c r="D388" s="4" t="s">
        <v>10905</v>
      </c>
      <c r="F388" s="5" t="str">
        <f>IFERROR(__xludf.DUMMYFUNCTION("GOOGLETRANSLATE(A388, ""en"", ""hi"")"),"387")</f>
        <v>387</v>
      </c>
      <c r="G388" s="5" t="str">
        <f>IFERROR(__xludf.DUMMYFUNCTION("GOOGLETRANSLATE(B388, ""en"", ""hi"")"),"19वीं शताब्दी में मलखम्ब को पुनर्जीवित करने में किसने महत्वपूर्ण भूमिका निभाई थी?")</f>
        <v>19वीं शताब्दी में मलखम्ब को पुनर्जीवित करने में किसने महत्वपूर्ण भूमिका निभाई थी?</v>
      </c>
      <c r="H388" s="5" t="str">
        <f>IFERROR(__xludf.DUMMYFUNCTION("GOOGLETRANSLATE(C388, ""en"", ""hi"")"),"ए) बालमभट्ट दादा देवधर, बी) शिवाजी महाराज, सी) नारायणराव पेशवा, डी) विष्णुदास भावे")</f>
        <v>ए) बालमभट्ट दादा देवधर, बी) शिवाजी महाराज, सी) नारायणराव पेशवा, डी) विष्णुदास भावे</v>
      </c>
      <c r="I388" s="5" t="str">
        <f>IFERROR(__xludf.DUMMYFUNCTION("GOOGLETRANSLATE(D388, ""en"", ""hi"")"),"A) बलमभट्ट दादा देवधर")</f>
        <v>A) बलमभट्ट दादा देवधर</v>
      </c>
    </row>
    <row r="389" ht="22.5" customHeight="1">
      <c r="A389" s="10">
        <v>388.0</v>
      </c>
      <c r="B389" s="4" t="s">
        <v>10933</v>
      </c>
      <c r="C389" s="4" t="s">
        <v>10934</v>
      </c>
      <c r="D389" s="4" t="s">
        <v>10935</v>
      </c>
      <c r="F389" s="5" t="str">
        <f>IFERROR(__xludf.DUMMYFUNCTION("GOOGLETRANSLATE(A389, ""en"", ""hi"")"),"388")</f>
        <v>388</v>
      </c>
      <c r="G389" s="5" t="str">
        <f>IFERROR(__xludf.DUMMYFUNCTION("GOOGLETRANSLATE(B389, ""en"", ""hi"")"),"मलखम्ब को पहली बार भारत के राष्ट्रीय खेलों में किस वर्ष शामिल किया गया था?")</f>
        <v>मलखम्ब को पहली बार भारत के राष्ट्रीय खेलों में किस वर्ष शामिल किया गया था?</v>
      </c>
      <c r="H389" s="5" t="str">
        <f>IFERROR(__xludf.DUMMYFUNCTION("GOOGLETRANSLATE(C389, ""en"", ""hi"")"),"ए) 1985, बी) 1962, सी) 1958, डी) 1949")</f>
        <v>ए) 1985, बी) 1962, सी) 1958, डी) 1949</v>
      </c>
      <c r="I389" s="5" t="str">
        <f>IFERROR(__xludf.DUMMYFUNCTION("GOOGLETRANSLATE(D389, ""en"", ""hi"")"),"सी) 1958")</f>
        <v>सी) 1958</v>
      </c>
    </row>
    <row r="390" ht="22.5" customHeight="1">
      <c r="A390" s="10">
        <v>389.0</v>
      </c>
      <c r="B390" s="4" t="s">
        <v>10936</v>
      </c>
      <c r="C390" s="4" t="s">
        <v>10937</v>
      </c>
      <c r="D390" s="4" t="s">
        <v>10914</v>
      </c>
      <c r="F390" s="5" t="str">
        <f>IFERROR(__xludf.DUMMYFUNCTION("GOOGLETRANSLATE(A390, ""en"", ""hi"")"),"389")</f>
        <v>389</v>
      </c>
      <c r="G390" s="5" t="str">
        <f>IFERROR(__xludf.DUMMYFUNCTION("GOOGLETRANSLATE(B390, ""en"", ""hi"")"),"कौन से प्रसिद्ध पेशवा ने अपने सैनिकों के लिए प्रशिक्षण पद्धति के रूप में मलखम्ब का उपयोग किया था?")</f>
        <v>कौन से प्रसिद्ध पेशवा ने अपने सैनिकों के लिए प्रशिक्षण पद्धति के रूप में मलखम्ब का उपयोग किया था?</v>
      </c>
      <c r="H390" s="5" t="str">
        <f>IFERROR(__xludf.DUMMYFUNCTION("GOOGLETRANSLATE(C390, ""en"", ""hi"")"),"A) बालाजी विश्वनाथ, B) पेशवा बाजीराव प्रथम, C) माधवराव प्रथम, D) रघुनाथ राव")</f>
        <v>A) बालाजी विश्वनाथ, B) पेशवा बाजीराव प्रथम, C) माधवराव प्रथम, D) रघुनाथ राव</v>
      </c>
      <c r="I390" s="5" t="str">
        <f>IFERROR(__xludf.DUMMYFUNCTION("GOOGLETRANSLATE(D390, ""en"", ""hi"")"),"B) पेशवा बाजीराव प्रथम")</f>
        <v>B) पेशवा बाजीराव प्रथम</v>
      </c>
    </row>
    <row r="391" ht="22.5" customHeight="1">
      <c r="A391" s="10">
        <v>390.0</v>
      </c>
      <c r="B391" s="4" t="s">
        <v>10938</v>
      </c>
      <c r="C391" s="4" t="s">
        <v>10939</v>
      </c>
      <c r="D391" s="4" t="s">
        <v>10940</v>
      </c>
      <c r="F391" s="5" t="str">
        <f>IFERROR(__xludf.DUMMYFUNCTION("GOOGLETRANSLATE(A391, ""en"", ""hi"")"),"390")</f>
        <v>390</v>
      </c>
      <c r="G391" s="5" t="str">
        <f>IFERROR(__xludf.DUMMYFUNCTION("GOOGLETRANSLATE(B391, ""en"", ""hi"")"),"'मलखम्ब' शब्द को 'मल्ल' अर्थात पहलवान और 'खम्ब' अर्थात क्या, दो भागों में विभाजित किया जा सकता है?")</f>
        <v>'मलखम्ब' शब्द को 'मल्ल' अर्थात पहलवान और 'खम्ब' अर्थात क्या, दो भागों में विभाजित किया जा सकता है?</v>
      </c>
      <c r="H391" s="5" t="str">
        <f>IFERROR(__xludf.DUMMYFUNCTION("GOOGLETRANSLATE(C391, ""en"", ""hi"")"),"A) रस्सी, B) डंडा, C) ताकत, D) विजय")</f>
        <v>A) रस्सी, B) डंडा, C) ताकत, D) विजय</v>
      </c>
      <c r="I391" s="5" t="str">
        <f>IFERROR(__xludf.DUMMYFUNCTION("GOOGLETRANSLATE(D391, ""en"", ""hi"")"),"बी) ध्रुव")</f>
        <v>बी) ध्रुव</v>
      </c>
    </row>
    <row r="392" ht="22.5" customHeight="1">
      <c r="A392" s="10">
        <v>391.0</v>
      </c>
      <c r="B392" s="4" t="s">
        <v>10941</v>
      </c>
      <c r="C392" s="4" t="s">
        <v>10942</v>
      </c>
      <c r="D392" s="4" t="s">
        <v>10943</v>
      </c>
      <c r="F392" s="5" t="str">
        <f>IFERROR(__xludf.DUMMYFUNCTION("GOOGLETRANSLATE(A392, ""en"", ""hi"")"),"391")</f>
        <v>391</v>
      </c>
      <c r="G392" s="5" t="str">
        <f>IFERROR(__xludf.DUMMYFUNCTION("GOOGLETRANSLATE(B392, ""en"", ""hi"")"),"कोल्हापुर के किस राजा ने 20वीं सदी के प्रारंभ में प्रतियोगिताएं आयोजित करके मलखंभ को पुनर्जीवित किया?")</f>
        <v>कोल्हापुर के किस राजा ने 20वीं सदी के प्रारंभ में प्रतियोगिताएं आयोजित करके मलखंभ को पुनर्जीवित किया?</v>
      </c>
      <c r="H392" s="5" t="str">
        <f>IFERROR(__xludf.DUMMYFUNCTION("GOOGLETRANSLATE(C392, ""en"", ""hi"")"),"ए) शिवाजी द्वितीय, बी) शाहू महाराज, सी) बाजीराव द्वितीय, डी) रघुनाथराव")</f>
        <v>ए) शिवाजी द्वितीय, बी) शाहू महाराज, सी) बाजीराव द्वितीय, डी) रघुनाथराव</v>
      </c>
      <c r="I392" s="5" t="str">
        <f>IFERROR(__xludf.DUMMYFUNCTION("GOOGLETRANSLATE(D392, ""en"", ""hi"")"),"B) शाहू महाराज")</f>
        <v>B) शाहू महाराज</v>
      </c>
    </row>
    <row r="393" ht="22.5" customHeight="1">
      <c r="A393" s="10">
        <v>392.0</v>
      </c>
      <c r="B393" s="4" t="s">
        <v>10944</v>
      </c>
      <c r="C393" s="4" t="s">
        <v>10945</v>
      </c>
      <c r="D393" s="4" t="s">
        <v>10946</v>
      </c>
      <c r="F393" s="5" t="str">
        <f>IFERROR(__xludf.DUMMYFUNCTION("GOOGLETRANSLATE(A393, ""en"", ""hi"")"),"392")</f>
        <v>392</v>
      </c>
      <c r="G393" s="5" t="str">
        <f>IFERROR(__xludf.DUMMYFUNCTION("GOOGLETRANSLATE(B393, ""en"", ""hi"")"),"मलखम्ब प्रतियोगिताएं पहली बार राष्ट्रीय स्तर पर किस शहर में आयोजित की गई थीं?")</f>
        <v>मलखम्ब प्रतियोगिताएं पहली बार राष्ट्रीय स्तर पर किस शहर में आयोजित की गई थीं?</v>
      </c>
      <c r="H393" s="5" t="str">
        <f>IFERROR(__xludf.DUMMYFUNCTION("GOOGLETRANSLATE(C393, ""en"", ""hi"")"),"A) मुंबई, B) पुणे, C) नागपुर, D) दिल्ली")</f>
        <v>A) मुंबई, B) पुणे, C) नागपुर, D) दिल्ली</v>
      </c>
      <c r="I393" s="5" t="str">
        <f>IFERROR(__xludf.DUMMYFUNCTION("GOOGLETRANSLATE(D393, ""en"", ""hi"")"),"C) नागपुर")</f>
        <v>C) नागपुर</v>
      </c>
    </row>
    <row r="394" ht="22.5" customHeight="1">
      <c r="A394" s="10">
        <v>393.0</v>
      </c>
      <c r="B394" s="4" t="s">
        <v>10947</v>
      </c>
      <c r="C394" s="4" t="s">
        <v>10948</v>
      </c>
      <c r="D394" s="4" t="s">
        <v>10923</v>
      </c>
      <c r="F394" s="5" t="str">
        <f>IFERROR(__xludf.DUMMYFUNCTION("GOOGLETRANSLATE(A394, ""en"", ""hi"")"),"393")</f>
        <v>393</v>
      </c>
      <c r="G394" s="5" t="str">
        <f>IFERROR(__xludf.DUMMYFUNCTION("GOOGLETRANSLATE(B394, ""en"", ""hi"")"),"मलखम्ब का वह पारंपरिक रूप कौन सा है जिसमें लटकती रस्सी पर संतुलन बनाना शामिल है?")</f>
        <v>मलखम्ब का वह पारंपरिक रूप कौन सा है जिसमें लटकती रस्सी पर संतुलन बनाना शामिल है?</v>
      </c>
      <c r="H394" s="5" t="str">
        <f>IFERROR(__xludf.DUMMYFUNCTION("GOOGLETRANSLATE(C394, ""en"", ""hi"")"),"ए) रस्सी मलखंब, बी) हैंगिंग मलखंब, सी) स्विंग मलखंब, डी) वर्टिकल मलखंब")</f>
        <v>ए) रस्सी मलखंब, बी) हैंगिंग मलखंब, सी) स्विंग मलखंब, डी) वर्टिकल मलखंब</v>
      </c>
      <c r="I394" s="5" t="str">
        <f>IFERROR(__xludf.DUMMYFUNCTION("GOOGLETRANSLATE(D394, ""en"", ""hi"")"),"A) रस्सी मलखम्ब")</f>
        <v>A) रस्सी मलखम्ब</v>
      </c>
    </row>
    <row r="395" ht="22.5" customHeight="1">
      <c r="A395" s="10">
        <v>394.0</v>
      </c>
      <c r="B395" s="4" t="s">
        <v>10949</v>
      </c>
      <c r="C395" s="4" t="s">
        <v>10950</v>
      </c>
      <c r="D395" s="4" t="s">
        <v>10951</v>
      </c>
      <c r="F395" s="5" t="str">
        <f>IFERROR(__xludf.DUMMYFUNCTION("GOOGLETRANSLATE(A395, ""en"", ""hi"")"),"394")</f>
        <v>394</v>
      </c>
      <c r="G395" s="5" t="str">
        <f>IFERROR(__xludf.DUMMYFUNCTION("GOOGLETRANSLATE(B395, ""en"", ""hi"")"),"किस भारतीय राज्य ने मलखम्ब को अपना राज्य खेल घोषित किया?")</f>
        <v>किस भारतीय राज्य ने मलखम्ब को अपना राज्य खेल घोषित किया?</v>
      </c>
      <c r="H395" s="5" t="str">
        <f>IFERROR(__xludf.DUMMYFUNCTION("GOOGLETRANSLATE(C395, ""en"", ""hi"")"),"ए) महाराष्ट्र, बी) मध्य प्रदेश, सी) उत्तर प्रदेश, डी) गुजरात")</f>
        <v>ए) महाराष्ट्र, बी) मध्य प्रदेश, सी) उत्तर प्रदेश, डी) गुजरात</v>
      </c>
      <c r="I395" s="5" t="str">
        <f>IFERROR(__xludf.DUMMYFUNCTION("GOOGLETRANSLATE(D395, ""en"", ""hi"")"),"बी) मध्य प्रदेश")</f>
        <v>बी) मध्य प्रदेश</v>
      </c>
    </row>
    <row r="396" ht="22.5" customHeight="1">
      <c r="A396" s="10">
        <v>395.0</v>
      </c>
      <c r="B396" s="4" t="s">
        <v>10952</v>
      </c>
      <c r="C396" s="4" t="s">
        <v>10953</v>
      </c>
      <c r="D396" s="4" t="s">
        <v>378</v>
      </c>
      <c r="F396" s="5" t="str">
        <f>IFERROR(__xludf.DUMMYFUNCTION("GOOGLETRANSLATE(A396, ""en"", ""hi"")"),"395")</f>
        <v>395</v>
      </c>
      <c r="G396" s="5" t="str">
        <f>IFERROR(__xludf.DUMMYFUNCTION("GOOGLETRANSLATE(B396, ""en"", ""hi"")"),"मलखम्ब का प्रदर्शन पहली बार एशियाई खेलों में किस वर्ष किया गया था?")</f>
        <v>मलखम्ब का प्रदर्शन पहली बार एशियाई खेलों में किस वर्ष किया गया था?</v>
      </c>
      <c r="H396" s="5" t="str">
        <f>IFERROR(__xludf.DUMMYFUNCTION("GOOGLETRANSLATE(C396, ""en"", ""hi"")"),"ए) 1982, बी) 1974, सी) 1990, डी) 2000")</f>
        <v>ए) 1982, बी) 1974, सी) 1990, डी) 2000</v>
      </c>
      <c r="I396" s="5" t="str">
        <f>IFERROR(__xludf.DUMMYFUNCTION("GOOGLETRANSLATE(D396, ""en"", ""hi"")"),"ए) 1982")</f>
        <v>ए) 1982</v>
      </c>
    </row>
    <row r="397" ht="22.5" customHeight="1">
      <c r="A397" s="10">
        <v>396.0</v>
      </c>
      <c r="B397" s="4" t="s">
        <v>10954</v>
      </c>
      <c r="C397" s="4" t="s">
        <v>10955</v>
      </c>
      <c r="D397" s="4" t="s">
        <v>10956</v>
      </c>
      <c r="F397" s="5" t="str">
        <f>IFERROR(__xludf.DUMMYFUNCTION("GOOGLETRANSLATE(A397, ""en"", ""hi"")"),"396")</f>
        <v>396</v>
      </c>
      <c r="G397" s="5" t="str">
        <f>IFERROR(__xludf.DUMMYFUNCTION("GOOGLETRANSLATE(B397, ""en"", ""hi"")"),"प्रतिस्पर्धी मलखम्ब के नियमों को संहिताबद्ध करने वाला पहला व्यक्ति कौन था?")</f>
        <v>प्रतिस्पर्धी मलखम्ब के नियमों को संहिताबद्ध करने वाला पहला व्यक्ति कौन था?</v>
      </c>
      <c r="H397" s="5" t="str">
        <f>IFERROR(__xludf.DUMMYFUNCTION("GOOGLETRANSLATE(C397, ""en"", ""hi"")"),"ए) बालमभट्ट दादा देवधर, बी) उदय देशपांडे, सी) शाहू महाराज, डी) विट्ठलराव देवलेकर")</f>
        <v>ए) बालमभट्ट दादा देवधर, बी) उदय देशपांडे, सी) शाहू महाराज, डी) विट्ठलराव देवलेकर</v>
      </c>
      <c r="I397" s="5" t="str">
        <f>IFERROR(__xludf.DUMMYFUNCTION("GOOGLETRANSLATE(D397, ""en"", ""hi"")"),"D) विट्ठलराव देवलेकर")</f>
        <v>D) विट्ठलराव देवलेकर</v>
      </c>
    </row>
    <row r="398" ht="22.5" customHeight="1">
      <c r="A398" s="10">
        <v>397.0</v>
      </c>
      <c r="B398" s="4" t="s">
        <v>10957</v>
      </c>
      <c r="C398" s="4" t="s">
        <v>10958</v>
      </c>
      <c r="D398" s="4" t="s">
        <v>3393</v>
      </c>
      <c r="F398" s="5" t="str">
        <f>IFERROR(__xludf.DUMMYFUNCTION("GOOGLETRANSLATE(A398, ""en"", ""hi"")"),"397")</f>
        <v>397</v>
      </c>
      <c r="G398" s="5" t="str">
        <f>IFERROR(__xludf.DUMMYFUNCTION("GOOGLETRANSLATE(B398, ""en"", ""hi"")"),"प्राचीन काल में मलखम्ब किस भारतीय शारीरिक प्रशिक्षण प्रणाली का हिस्सा था?")</f>
        <v>प्राचीन काल में मलखम्ब किस भारतीय शारीरिक प्रशिक्षण प्रणाली का हिस्सा था?</v>
      </c>
      <c r="H398" s="5" t="str">
        <f>IFERROR(__xludf.DUMMYFUNCTION("GOOGLETRANSLATE(C398, ""en"", ""hi"")"),"ए) योग, बी) कलारीपयट्टु, सी) व्यायाम, डी) कुश्ती")</f>
        <v>ए) योग, बी) कलारीपयट्टु, सी) व्यायाम, डी) कुश्ती</v>
      </c>
      <c r="I398" s="5" t="str">
        <f>IFERROR(__xludf.DUMMYFUNCTION("GOOGLETRANSLATE(D398, ""en"", ""hi"")"),"C) व्यायाम")</f>
        <v>C) व्यायाम</v>
      </c>
    </row>
    <row r="399" ht="22.5" customHeight="1">
      <c r="A399" s="10">
        <v>398.0</v>
      </c>
      <c r="B399" s="4" t="s">
        <v>10959</v>
      </c>
      <c r="C399" s="4" t="s">
        <v>10960</v>
      </c>
      <c r="D399" s="4" t="s">
        <v>3736</v>
      </c>
      <c r="F399" s="5" t="str">
        <f>IFERROR(__xludf.DUMMYFUNCTION("GOOGLETRANSLATE(A399, ""en"", ""hi"")"),"398")</f>
        <v>398</v>
      </c>
      <c r="G399" s="5" t="str">
        <f>IFERROR(__xludf.DUMMYFUNCTION("GOOGLETRANSLATE(B399, ""en"", ""hi"")"),"मलखंभ के आधुनिक खेल को किस शताब्दी में मान्यता मिली?")</f>
        <v>मलखंभ के आधुनिक खेल को किस शताब्दी में मान्यता मिली?</v>
      </c>
      <c r="H399" s="5" t="str">
        <f>IFERROR(__xludf.DUMMYFUNCTION("GOOGLETRANSLATE(C399, ""en"", ""hi"")"),"A) 15वीं शताब्दी, B) 18वीं शताब्दी, C) 19वीं शताब्दी, D) 20वीं शताब्दी")</f>
        <v>A) 15वीं शताब्दी, B) 18वीं शताब्दी, C) 19वीं शताब्दी, D) 20वीं शताब्दी</v>
      </c>
      <c r="I399" s="5" t="str">
        <f>IFERROR(__xludf.DUMMYFUNCTION("GOOGLETRANSLATE(D399, ""en"", ""hi"")"),"सी) 19वीं शताब्दी")</f>
        <v>सी) 19वीं शताब्दी</v>
      </c>
    </row>
    <row r="400" ht="22.5" customHeight="1">
      <c r="A400" s="10">
        <v>399.0</v>
      </c>
      <c r="B400" s="4" t="s">
        <v>10961</v>
      </c>
      <c r="C400" s="4" t="s">
        <v>10962</v>
      </c>
      <c r="D400" s="4" t="s">
        <v>8683</v>
      </c>
      <c r="F400" s="5" t="str">
        <f>IFERROR(__xludf.DUMMYFUNCTION("GOOGLETRANSLATE(A400, ""en"", ""hi"")"),"399")</f>
        <v>399</v>
      </c>
      <c r="G400" s="5" t="str">
        <f>IFERROR(__xludf.DUMMYFUNCTION("GOOGLETRANSLATE(B400, ""en"", ""hi"")"),"मलखम्ब में संतुलन अभ्यास किस पारंपरिक अभ्यास से मिलते जुलते हैं?")</f>
        <v>मलखम्ब में संतुलन अभ्यास किस पारंपरिक अभ्यास से मिलते जुलते हैं?</v>
      </c>
      <c r="H400" s="5" t="str">
        <f>IFERROR(__xludf.DUMMYFUNCTION("GOOGLETRANSLATE(C400, ""en"", ""hi"")"),"A) योग, B) मार्शल आर्ट, C) नृत्य, D) एथलेटिक्स")</f>
        <v>A) योग, B) मार्शल आर्ट, C) नृत्य, D) एथलेटिक्स</v>
      </c>
      <c r="I400" s="5" t="str">
        <f>IFERROR(__xludf.DUMMYFUNCTION("GOOGLETRANSLATE(D400, ""en"", ""hi"")"),"ए) योग")</f>
        <v>ए) योग</v>
      </c>
    </row>
    <row r="401" ht="22.5" customHeight="1">
      <c r="A401" s="10">
        <v>400.0</v>
      </c>
      <c r="B401" s="4" t="s">
        <v>10963</v>
      </c>
      <c r="C401" s="4" t="s">
        <v>10964</v>
      </c>
      <c r="D401" s="4" t="s">
        <v>1657</v>
      </c>
      <c r="F401" s="5" t="str">
        <f>IFERROR(__xludf.DUMMYFUNCTION("GOOGLETRANSLATE(A401, ""en"", ""hi"")"),"400")</f>
        <v>400</v>
      </c>
      <c r="G401" s="5" t="str">
        <f>IFERROR(__xludf.DUMMYFUNCTION("GOOGLETRANSLATE(B401, ""en"", ""hi"")"),"भारत में राष्ट्रीय शारीरिक शिक्षा पाठ्यक्रम में मलखम्ब को आधिकारिक रूप से किस वर्ष शामिल किया गया?")</f>
        <v>भारत में राष्ट्रीय शारीरिक शिक्षा पाठ्यक्रम में मलखम्ब को आधिकारिक रूप से किस वर्ष शामिल किया गया?</v>
      </c>
      <c r="H401" s="5" t="str">
        <f>IFERROR(__xludf.DUMMYFUNCTION("GOOGLETRANSLATE(C401, ""en"", ""hi"")"),"ए) 1938, बी) 1948, सी) 1952, डी) 1964")</f>
        <v>ए) 1938, बी) 1948, सी) 1952, डी) 1964</v>
      </c>
      <c r="I401" s="5" t="str">
        <f>IFERROR(__xludf.DUMMYFUNCTION("GOOGLETRANSLATE(D401, ""en"", ""hi"")"),"बी) 1948")</f>
        <v>बी) 1948</v>
      </c>
    </row>
    <row r="402" ht="22.5" customHeight="1">
      <c r="A402" s="10">
        <v>401.0</v>
      </c>
      <c r="B402" s="4" t="s">
        <v>10965</v>
      </c>
      <c r="C402" s="4" t="s">
        <v>10966</v>
      </c>
      <c r="D402" s="4" t="s">
        <v>4069</v>
      </c>
      <c r="F402" s="5" t="str">
        <f>IFERROR(__xludf.DUMMYFUNCTION("GOOGLETRANSLATE(A402, ""en"", ""hi"")"),"401")</f>
        <v>401</v>
      </c>
      <c r="G402" s="5" t="str">
        <f>IFERROR(__xludf.DUMMYFUNCTION("GOOGLETRANSLATE(B402, ""en"", ""hi"")"),"2019 में पहली मलखम्ब विश्व चैम्पियनशिप की मेजबानी किस शहर ने की?")</f>
        <v>2019 में पहली मलखम्ब विश्व चैम्पियनशिप की मेजबानी किस शहर ने की?</v>
      </c>
      <c r="H402" s="5" t="str">
        <f>IFERROR(__xludf.DUMMYFUNCTION("GOOGLETRANSLATE(C402, ""en"", ""hi"")"),"A) पुणे, B) मुंबई, C) नई दिल्ली, D) उज्जैन")</f>
        <v>A) पुणे, B) मुंबई, C) नई दिल्ली, D) उज्जैन</v>
      </c>
      <c r="I402" s="5" t="str">
        <f>IFERROR(__xludf.DUMMYFUNCTION("GOOGLETRANSLATE(D402, ""en"", ""hi"")"),"D) उज्जैन")</f>
        <v>D) उज्जैन</v>
      </c>
    </row>
    <row r="403" ht="22.5" customHeight="1">
      <c r="A403" s="10">
        <v>402.0</v>
      </c>
      <c r="B403" s="4" t="s">
        <v>10967</v>
      </c>
      <c r="C403" s="4" t="s">
        <v>10968</v>
      </c>
      <c r="D403" s="4" t="s">
        <v>1950</v>
      </c>
      <c r="F403" s="5" t="str">
        <f>IFERROR(__xludf.DUMMYFUNCTION("GOOGLETRANSLATE(A403, ""en"", ""hi"")"),"402")</f>
        <v>402</v>
      </c>
      <c r="G403" s="5" t="str">
        <f>IFERROR(__xludf.DUMMYFUNCTION("GOOGLETRANSLATE(B403, ""en"", ""hi"")"),"भारतीय मलखम्ब महासंघ की स्थापना किस वर्ष हुई थी?")</f>
        <v>भारतीय मलखम्ब महासंघ की स्थापना किस वर्ष हुई थी?</v>
      </c>
      <c r="H403" s="5" t="str">
        <f>IFERROR(__xludf.DUMMYFUNCTION("GOOGLETRANSLATE(C403, ""en"", ""hi"")"),"ए) 1958, बी) 1962, सी) 1975, डी) 1981")</f>
        <v>ए) 1958, बी) 1962, सी) 1975, डी) 1981</v>
      </c>
      <c r="I403" s="5" t="str">
        <f>IFERROR(__xludf.DUMMYFUNCTION("GOOGLETRANSLATE(D403, ""en"", ""hi"")"),"सी) 1975")</f>
        <v>सी) 1975</v>
      </c>
    </row>
    <row r="404" ht="22.5" customHeight="1">
      <c r="A404" s="10">
        <v>403.0</v>
      </c>
      <c r="B404" s="4" t="s">
        <v>10969</v>
      </c>
      <c r="C404" s="4" t="s">
        <v>10970</v>
      </c>
      <c r="D404" s="4" t="s">
        <v>10971</v>
      </c>
      <c r="F404" s="5" t="str">
        <f>IFERROR(__xludf.DUMMYFUNCTION("GOOGLETRANSLATE(A404, ""en"", ""hi"")"),"403")</f>
        <v>403</v>
      </c>
      <c r="G404" s="5" t="str">
        <f>IFERROR(__xludf.DUMMYFUNCTION("GOOGLETRANSLATE(B404, ""en"", ""hi"")"),"मराठा साम्राज्य का कौन सा राजा मलखम्ब का उत्साही प्रचारक था?")</f>
        <v>मराठा साम्राज्य का कौन सा राजा मलखम्ब का उत्साही प्रचारक था?</v>
      </c>
      <c r="H404" s="5" t="str">
        <f>IFERROR(__xludf.DUMMYFUNCTION("GOOGLETRANSLATE(C404, ""en"", ""hi"")"),"ए) शिवाजी महाराज, बी) संभाजी महाराज, सी) शाहू महाराज, डी) पेशवा माधवराव")</f>
        <v>ए) शिवाजी महाराज, बी) संभाजी महाराज, सी) शाहू महाराज, डी) पेशवा माधवराव</v>
      </c>
      <c r="I404" s="5" t="str">
        <f>IFERROR(__xludf.DUMMYFUNCTION("GOOGLETRANSLATE(D404, ""en"", ""hi"")"),"C) शाहू महाराज")</f>
        <v>C) शाहू महाराज</v>
      </c>
    </row>
    <row r="405" ht="22.5" customHeight="1">
      <c r="A405" s="10">
        <v>404.0</v>
      </c>
      <c r="B405" s="4" t="s">
        <v>10972</v>
      </c>
      <c r="C405" s="4" t="s">
        <v>10973</v>
      </c>
      <c r="D405" s="4" t="s">
        <v>10974</v>
      </c>
      <c r="F405" s="5" t="str">
        <f>IFERROR(__xludf.DUMMYFUNCTION("GOOGLETRANSLATE(A405, ""en"", ""hi"")"),"404")</f>
        <v>404</v>
      </c>
      <c r="G405" s="5" t="str">
        <f>IFERROR(__xludf.DUMMYFUNCTION("GOOGLETRANSLATE(B405, ""en"", ""hi"")"),"रस्सी मलखम्ब की शुरुआत का श्रेय किस व्यक्ति को दिया जाता है?")</f>
        <v>रस्सी मलखम्ब की शुरुआत का श्रेय किस व्यक्ति को दिया जाता है?</v>
      </c>
      <c r="H405" s="5" t="str">
        <f>IFERROR(__xludf.DUMMYFUNCTION("GOOGLETRANSLATE(C405, ""en"", ""hi"")"),"ए) बालमभट्ट दादा देवधर, बी) उदय देशपांडे, सी) विट्ठलराव देवलेकर, डी) राजेश बागड़े")</f>
        <v>ए) बालमभट्ट दादा देवधर, बी) उदय देशपांडे, सी) विट्ठलराव देवलेकर, डी) राजेश बागड़े</v>
      </c>
      <c r="I405" s="5" t="str">
        <f>IFERROR(__xludf.DUMMYFUNCTION("GOOGLETRANSLATE(D405, ""en"", ""hi"")"),"C) विट्ठलराव देवलेकर")</f>
        <v>C) विट्ठलराव देवलेकर</v>
      </c>
    </row>
    <row r="406" ht="22.5" customHeight="1">
      <c r="A406" s="10">
        <v>405.0</v>
      </c>
      <c r="B406" s="4" t="s">
        <v>10975</v>
      </c>
      <c r="C406" s="4" t="s">
        <v>10976</v>
      </c>
      <c r="D406" s="4" t="s">
        <v>10977</v>
      </c>
      <c r="F406" s="5" t="str">
        <f>IFERROR(__xludf.DUMMYFUNCTION("GOOGLETRANSLATE(A406, ""en"", ""hi"")"),"405")</f>
        <v>405</v>
      </c>
      <c r="G406" s="5" t="str">
        <f>IFERROR(__xludf.DUMMYFUNCTION("GOOGLETRANSLATE(B406, ""en"", ""hi"")"),"मलखम्ब प्रदर्शन ऐतिहासिक रूप से किस प्रकार के आयोजनों के दौरान आयोजित किए जाते थे?")</f>
        <v>मलखम्ब प्रदर्शन ऐतिहासिक रूप से किस प्रकार के आयोजनों के दौरान आयोजित किए जाते थे?</v>
      </c>
      <c r="H406" s="5" t="str">
        <f>IFERROR(__xludf.DUMMYFUNCTION("GOOGLETRANSLATE(C406, ""en"", ""hi"")"),"A) धार्मिक त्यौहार, B) सैन्य परेड, C) विवाह, D) कुश्ती प्रतियोगिताएं")</f>
        <v>A) धार्मिक त्यौहार, B) सैन्य परेड, C) विवाह, D) कुश्ती प्रतियोगिताएं</v>
      </c>
      <c r="I406" s="5" t="str">
        <f>IFERROR(__xludf.DUMMYFUNCTION("GOOGLETRANSLATE(D406, ""en"", ""hi"")"),"डी) कुश्ती टूर्नामेंट")</f>
        <v>डी) कुश्ती टूर्नामेंट</v>
      </c>
    </row>
    <row r="407" ht="22.5" customHeight="1">
      <c r="A407" s="10">
        <v>406.0</v>
      </c>
      <c r="B407" s="4" t="s">
        <v>10978</v>
      </c>
      <c r="C407" s="4" t="s">
        <v>10979</v>
      </c>
      <c r="D407" s="4" t="s">
        <v>7771</v>
      </c>
      <c r="F407" s="5" t="str">
        <f>IFERROR(__xludf.DUMMYFUNCTION("GOOGLETRANSLATE(A407, ""en"", ""hi"")"),"406")</f>
        <v>406</v>
      </c>
      <c r="G407" s="5" t="str">
        <f>IFERROR(__xludf.DUMMYFUNCTION("GOOGLETRANSLATE(B407, ""en"", ""hi"")"),"पहली अंतर्राष्ट्रीय मलखम्ब प्रतियोगिता किस देश में आयोजित हुई थी?")</f>
        <v>पहली अंतर्राष्ट्रीय मलखम्ब प्रतियोगिता किस देश में आयोजित हुई थी?</v>
      </c>
      <c r="H407" s="5" t="str">
        <f>IFERROR(__xludf.DUMMYFUNCTION("GOOGLETRANSLATE(C407, ""en"", ""hi"")"),"A) जर्मनी, B) जापान, C) भारत, D) रूस")</f>
        <v>A) जर्मनी, B) जापान, C) भारत, D) रूस</v>
      </c>
      <c r="I407" s="5" t="str">
        <f>IFERROR(__xludf.DUMMYFUNCTION("GOOGLETRANSLATE(D407, ""en"", ""hi"")"),"ए) जर्मनी")</f>
        <v>ए) जर्मनी</v>
      </c>
    </row>
    <row r="408" ht="22.5" customHeight="1">
      <c r="A408" s="10">
        <v>407.0</v>
      </c>
      <c r="B408" s="4" t="s">
        <v>10980</v>
      </c>
      <c r="C408" s="4" t="s">
        <v>10981</v>
      </c>
      <c r="D408" s="4" t="s">
        <v>10982</v>
      </c>
      <c r="F408" s="5" t="str">
        <f>IFERROR(__xludf.DUMMYFUNCTION("GOOGLETRANSLATE(A408, ""en"", ""hi"")"),"407")</f>
        <v>407</v>
      </c>
      <c r="G408" s="5" t="str">
        <f>IFERROR(__xludf.DUMMYFUNCTION("GOOGLETRANSLATE(B408, ""en"", ""hi"")"),"मलखम्ब को किस अंतर्राष्ट्रीय खेल संगठन द्वारा मान्यता प्राप्त है?")</f>
        <v>मलखम्ब को किस अंतर्राष्ट्रीय खेल संगठन द्वारा मान्यता प्राप्त है?</v>
      </c>
      <c r="H408" s="5" t="str">
        <f>IFERROR(__xludf.DUMMYFUNCTION("GOOGLETRANSLATE(C408, ""en"", ""hi"")"),"A) आईओसी, B) विश्व जिम्नास्टिक महासंघ, C) राष्ट्रमंडल खेल, D) यूनेस्को")</f>
        <v>A) आईओसी, B) विश्व जिम्नास्टिक महासंघ, C) राष्ट्रमंडल खेल, D) यूनेस्को</v>
      </c>
      <c r="I408" s="5" t="str">
        <f>IFERROR(__xludf.DUMMYFUNCTION("GOOGLETRANSLATE(D408, ""en"", ""hi"")"),"बी) विश्व जिम्नास्टिक महासंघ")</f>
        <v>बी) विश्व जिम्नास्टिक महासंघ</v>
      </c>
    </row>
    <row r="409" ht="22.5" customHeight="1">
      <c r="A409" s="10">
        <v>408.0</v>
      </c>
      <c r="B409" s="4" t="s">
        <v>10983</v>
      </c>
      <c r="C409" s="4" t="s">
        <v>10984</v>
      </c>
      <c r="D409" s="4" t="s">
        <v>1889</v>
      </c>
      <c r="F409" s="5" t="str">
        <f>IFERROR(__xludf.DUMMYFUNCTION("GOOGLETRANSLATE(A409, ""en"", ""hi"")"),"408")</f>
        <v>408</v>
      </c>
      <c r="G409" s="5" t="str">
        <f>IFERROR(__xludf.DUMMYFUNCTION("GOOGLETRANSLATE(B409, ""en"", ""hi"")"),"भारत में किस क्षेत्र को मलखम्ब का जन्मस्थान माना जाता है?")</f>
        <v>भारत में किस क्षेत्र को मलखम्ब का जन्मस्थान माना जाता है?</v>
      </c>
      <c r="H409" s="5" t="str">
        <f>IFERROR(__xludf.DUMMYFUNCTION("GOOGLETRANSLATE(C409, ""en"", ""hi"")"),"A) कोंकण, B) विदर्भ, C) पुणे, D) नासिक")</f>
        <v>A) कोंकण, B) विदर्भ, C) पुणे, D) नासिक</v>
      </c>
      <c r="I409" s="5" t="str">
        <f>IFERROR(__xludf.DUMMYFUNCTION("GOOGLETRANSLATE(D409, ""en"", ""hi"")"),"C) पुणे")</f>
        <v>C) पुणे</v>
      </c>
    </row>
    <row r="410" ht="22.5" customHeight="1">
      <c r="A410" s="10">
        <v>409.0</v>
      </c>
      <c r="B410" s="4" t="s">
        <v>10985</v>
      </c>
      <c r="C410" s="4" t="s">
        <v>10986</v>
      </c>
      <c r="D410" s="4" t="s">
        <v>10987</v>
      </c>
      <c r="F410" s="5" t="str">
        <f>IFERROR(__xludf.DUMMYFUNCTION("GOOGLETRANSLATE(A410, ""en"", ""hi"")"),"409")</f>
        <v>409</v>
      </c>
      <c r="G410" s="5" t="str">
        <f>IFERROR(__xludf.DUMMYFUNCTION("GOOGLETRANSLATE(B410, ""en"", ""hi"")"),"किस पेशवा ने अपने सैनिकों को युद्ध के लिए प्रशिक्षित करने हेतु मलखम्ब का प्रयोग किया था?")</f>
        <v>किस पेशवा ने अपने सैनिकों को युद्ध के लिए प्रशिक्षित करने हेतु मलखम्ब का प्रयोग किया था?</v>
      </c>
      <c r="H410" s="5" t="str">
        <f>IFERROR(__xludf.DUMMYFUNCTION("GOOGLETRANSLATE(C410, ""en"", ""hi"")"),"ए) बालाजी विश्वनाथ, बी) बाजीराव प्रथम, सी) माधवराव प्रथम, डी) शाहू महाराज")</f>
        <v>ए) बालाजी विश्वनाथ, बी) बाजीराव प्रथम, सी) माधवराव प्रथम, डी) शाहू महाराज</v>
      </c>
      <c r="I410" s="5" t="str">
        <f>IFERROR(__xludf.DUMMYFUNCTION("GOOGLETRANSLATE(D410, ""en"", ""hi"")"),"बी) बाजी राव प्रथम")</f>
        <v>बी) बाजी राव प्रथम</v>
      </c>
    </row>
    <row r="411" ht="22.5" customHeight="1">
      <c r="A411" s="10">
        <v>410.0</v>
      </c>
      <c r="B411" s="4" t="s">
        <v>10988</v>
      </c>
      <c r="C411" s="4" t="s">
        <v>10989</v>
      </c>
      <c r="D411" s="4" t="s">
        <v>10990</v>
      </c>
      <c r="F411" s="5" t="str">
        <f>IFERROR(__xludf.DUMMYFUNCTION("GOOGLETRANSLATE(A411, ""en"", ""hi"")"),"410")</f>
        <v>410</v>
      </c>
      <c r="G411" s="5" t="str">
        <f>IFERROR(__xludf.DUMMYFUNCTION("GOOGLETRANSLATE(B411, ""en"", ""hi"")"),"मलखम्ब को भारत में प्रतिस्पर्धात्मक खेल के रूप में किस शताब्दी में पुनर्जीवित किया गया?")</f>
        <v>मलखम्ब को भारत में प्रतिस्पर्धात्मक खेल के रूप में किस शताब्दी में पुनर्जीवित किया गया?</v>
      </c>
      <c r="H411" s="5" t="str">
        <f>IFERROR(__xludf.DUMMYFUNCTION("GOOGLETRANSLATE(C411, ""en"", ""hi"")"),"A) 18वीं शताब्दी, B) 19वीं शताब्दी, C) 20वीं शताब्दी, D) 21वीं शताब्दी")</f>
        <v>A) 18वीं शताब्दी, B) 19वीं शताब्दी, C) 20वीं शताब्दी, D) 21वीं शताब्दी</v>
      </c>
      <c r="I411" s="5" t="str">
        <f>IFERROR(__xludf.DUMMYFUNCTION("GOOGLETRANSLATE(D411, ""en"", ""hi"")"),"बी) 19वीं शताब्दी")</f>
        <v>बी) 19वीं शताब्दी</v>
      </c>
    </row>
    <row r="412" ht="22.5" customHeight="1">
      <c r="A412" s="10">
        <v>411.0</v>
      </c>
      <c r="B412" s="4" t="s">
        <v>10991</v>
      </c>
      <c r="C412" s="4" t="s">
        <v>10992</v>
      </c>
      <c r="D412" s="4" t="s">
        <v>10946</v>
      </c>
      <c r="F412" s="5" t="str">
        <f>IFERROR(__xludf.DUMMYFUNCTION("GOOGLETRANSLATE(A412, ""en"", ""hi"")"),"411")</f>
        <v>411</v>
      </c>
      <c r="G412" s="5" t="str">
        <f>IFERROR(__xludf.DUMMYFUNCTION("GOOGLETRANSLATE(B412, ""en"", ""hi"")"),"भारतीय मलखम्ब महासंघ की स्थापना किस शहर में की गई थी?")</f>
        <v>भारतीय मलखम्ब महासंघ की स्थापना किस शहर में की गई थी?</v>
      </c>
      <c r="H412" s="5" t="str">
        <f>IFERROR(__xludf.DUMMYFUNCTION("GOOGLETRANSLATE(C412, ""en"", ""hi"")"),"A) पुणे, B) उज्जैन, C) नागपुर, D) मुंबई")</f>
        <v>A) पुणे, B) उज्जैन, C) नागपुर, D) मुंबई</v>
      </c>
      <c r="I412" s="5" t="str">
        <f>IFERROR(__xludf.DUMMYFUNCTION("GOOGLETRANSLATE(D412, ""en"", ""hi"")"),"C) नागपुर")</f>
        <v>C) नागपुर</v>
      </c>
    </row>
    <row r="413" ht="22.5" customHeight="1">
      <c r="A413" s="10">
        <v>412.0</v>
      </c>
      <c r="B413" s="4" t="s">
        <v>10993</v>
      </c>
      <c r="C413" s="4" t="s">
        <v>10994</v>
      </c>
      <c r="D413" s="4" t="s">
        <v>37</v>
      </c>
      <c r="F413" s="5" t="str">
        <f>IFERROR(__xludf.DUMMYFUNCTION("GOOGLETRANSLATE(A413, ""en"", ""hi"")"),"412")</f>
        <v>412</v>
      </c>
      <c r="G413" s="5" t="str">
        <f>IFERROR(__xludf.DUMMYFUNCTION("GOOGLETRANSLATE(B413, ""en"", ""hi"")"),"राष्ट्रीय मलखम्ब चैम्पियनशिप प्रतिवर्ष किस देश में आयोजित की जाती है?")</f>
        <v>राष्ट्रीय मलखम्ब चैम्पियनशिप प्रतिवर्ष किस देश में आयोजित की जाती है?</v>
      </c>
      <c r="H413" s="5" t="str">
        <f>IFERROR(__xludf.DUMMYFUNCTION("GOOGLETRANSLATE(C413, ""en"", ""hi"")"),"A) भारत, B) नेपाल, C) बांग्लादेश, D) श्रीलंका")</f>
        <v>A) भारत, B) नेपाल, C) बांग्लादेश, D) श्रीलंका</v>
      </c>
      <c r="I413" s="5" t="str">
        <f>IFERROR(__xludf.DUMMYFUNCTION("GOOGLETRANSLATE(D413, ""en"", ""hi"")"),"ए) भारत")</f>
        <v>ए) भारत</v>
      </c>
    </row>
    <row r="414" ht="22.5" customHeight="1">
      <c r="A414" s="10">
        <v>413.0</v>
      </c>
      <c r="B414" s="4" t="s">
        <v>10995</v>
      </c>
      <c r="C414" s="4" t="s">
        <v>10996</v>
      </c>
      <c r="D414" s="4" t="s">
        <v>10997</v>
      </c>
      <c r="F414" s="5" t="str">
        <f>IFERROR(__xludf.DUMMYFUNCTION("GOOGLETRANSLATE(A414, ""en"", ""hi"")"),"413")</f>
        <v>413</v>
      </c>
      <c r="G414" s="5" t="str">
        <f>IFERROR(__xludf.DUMMYFUNCTION("GOOGLETRANSLATE(B414, ""en"", ""hi"")"),"मलखम्ब प्रतियोगिताओं के लिए आधुनिक नियम स्थापित करने का श्रेय किसे दिया जाता है?")</f>
        <v>मलखम्ब प्रतियोगिताओं के लिए आधुनिक नियम स्थापित करने का श्रेय किसे दिया जाता है?</v>
      </c>
      <c r="H414" s="5" t="str">
        <f>IFERROR(__xludf.DUMMYFUNCTION("GOOGLETRANSLATE(C414, ""en"", ""hi"")"),"ए) विट्ठलराव देवलेकर, बी) उदय देशपांडे, सी) बालमभट्ट दादा देवधर, डी) शाहू महाराज")</f>
        <v>ए) विट्ठलराव देवलेकर, बी) उदय देशपांडे, सी) बालमभट्ट दादा देवधर, डी) शाहू महाराज</v>
      </c>
      <c r="I414" s="5" t="str">
        <f>IFERROR(__xludf.DUMMYFUNCTION("GOOGLETRANSLATE(D414, ""en"", ""hi"")"),"A) विट्ठलराव देवलेकर")</f>
        <v>A) विट्ठलराव देवलेकर</v>
      </c>
    </row>
    <row r="415" ht="22.5" customHeight="1">
      <c r="A415" s="10">
        <v>414.0</v>
      </c>
      <c r="B415" s="4" t="s">
        <v>10998</v>
      </c>
      <c r="C415" s="4" t="s">
        <v>10999</v>
      </c>
      <c r="D415" s="4" t="s">
        <v>11000</v>
      </c>
      <c r="F415" s="5" t="str">
        <f>IFERROR(__xludf.DUMMYFUNCTION("GOOGLETRANSLATE(A415, ""en"", ""hi"")"),"414")</f>
        <v>414</v>
      </c>
      <c r="G415" s="5" t="str">
        <f>IFERROR(__xludf.DUMMYFUNCTION("GOOGLETRANSLATE(B415, ""en"", ""hi"")"),"किस प्रसिद्ध पहलवान ने मलखम्ब को अपने प्रशिक्षण के भाग के रूप में प्रयोग किया?")</f>
        <v>किस प्रसिद्ध पहलवान ने मलखम्ब को अपने प्रशिक्षण के भाग के रूप में प्रयोग किया?</v>
      </c>
      <c r="H415" s="5" t="str">
        <f>IFERROR(__xludf.DUMMYFUNCTION("GOOGLETRANSLATE(C415, ""en"", ""hi"")"),"ए) गामा पहलवान, बी) दारा सिंह, सी) खाशाबा जाधव, डी) भीमराव बागड़े")</f>
        <v>ए) गामा पहलवान, बी) दारा सिंह, सी) खाशाबा जाधव, डी) भीमराव बागड़े</v>
      </c>
      <c r="I415" s="5" t="str">
        <f>IFERROR(__xludf.DUMMYFUNCTION("GOOGLETRANSLATE(D415, ""en"", ""hi"")"),"बी) दारा सिंह")</f>
        <v>बी) दारा सिंह</v>
      </c>
    </row>
    <row r="416" ht="22.5" customHeight="1">
      <c r="A416" s="10">
        <v>415.0</v>
      </c>
      <c r="B416" s="4" t="s">
        <v>11001</v>
      </c>
      <c r="C416" s="4" t="s">
        <v>11002</v>
      </c>
      <c r="D416" s="4" t="s">
        <v>10951</v>
      </c>
      <c r="F416" s="5" t="str">
        <f>IFERROR(__xludf.DUMMYFUNCTION("GOOGLETRANSLATE(A416, ""en"", ""hi"")"),"415")</f>
        <v>415</v>
      </c>
      <c r="G416" s="5" t="str">
        <f>IFERROR(__xludf.DUMMYFUNCTION("GOOGLETRANSLATE(B416, ""en"", ""hi"")"),"किस राज्य ने पहली आधिकारिक मलखम्ब विश्व चैम्पियनशिप की मेजबानी की?")</f>
        <v>किस राज्य ने पहली आधिकारिक मलखम्ब विश्व चैम्पियनशिप की मेजबानी की?</v>
      </c>
      <c r="H416" s="5" t="str">
        <f>IFERROR(__xludf.DUMMYFUNCTION("GOOGLETRANSLATE(C416, ""en"", ""hi"")"),"ए) महाराष्ट्र, बी) मध्य प्रदेश, सी) कर्नाटक, डी) गुजरात")</f>
        <v>ए) महाराष्ट्र, बी) मध्य प्रदेश, सी) कर्नाटक, डी) गुजरात</v>
      </c>
      <c r="I416" s="5" t="str">
        <f>IFERROR(__xludf.DUMMYFUNCTION("GOOGLETRANSLATE(D416, ""en"", ""hi"")"),"बी) मध्य प्रदेश")</f>
        <v>बी) मध्य प्रदेश</v>
      </c>
    </row>
    <row r="417" ht="22.5" customHeight="1">
      <c r="A417" s="10">
        <v>416.0</v>
      </c>
      <c r="B417" s="4" t="s">
        <v>10700</v>
      </c>
      <c r="C417" s="4" t="s">
        <v>11003</v>
      </c>
      <c r="D417" s="4" t="s">
        <v>3145</v>
      </c>
      <c r="F417" s="5" t="str">
        <f>IFERROR(__xludf.DUMMYFUNCTION("GOOGLETRANSLATE(A417, ""en"", ""hi"")"),"416")</f>
        <v>416</v>
      </c>
      <c r="G417" s="5" t="str">
        <f>IFERROR(__xludf.DUMMYFUNCTION("GOOGLETRANSLATE(B417, ""en"", ""hi"")"),"मलखम्ब प्रशिक्षण का प्राथमिक फोकस क्या है?")</f>
        <v>मलखम्ब प्रशिक्षण का प्राथमिक फोकस क्या है?</v>
      </c>
      <c r="H417" s="5" t="str">
        <f>IFERROR(__xludf.DUMMYFUNCTION("GOOGLETRANSLATE(C417, ""en"", ""hi"")"),"A) लचीलापन, B) संतुलन, C) शक्ति, D) सहनशक्ति")</f>
        <v>A) लचीलापन, B) संतुलन, C) शक्ति, D) सहनशक्ति</v>
      </c>
      <c r="I417" s="5" t="str">
        <f>IFERROR(__xludf.DUMMYFUNCTION("GOOGLETRANSLATE(D417, ""en"", ""hi"")"),"सी) ताकत")</f>
        <v>सी) ताकत</v>
      </c>
    </row>
    <row r="418" ht="22.5" customHeight="1">
      <c r="A418" s="10">
        <v>417.0</v>
      </c>
      <c r="B418" s="4" t="s">
        <v>11004</v>
      </c>
      <c r="C418" s="4" t="s">
        <v>11005</v>
      </c>
      <c r="D418" s="4" t="s">
        <v>11006</v>
      </c>
      <c r="F418" s="5" t="str">
        <f>IFERROR(__xludf.DUMMYFUNCTION("GOOGLETRANSLATE(A418, ""en"", ""hi"")"),"417")</f>
        <v>417</v>
      </c>
      <c r="G418" s="5" t="str">
        <f>IFERROR(__xludf.DUMMYFUNCTION("GOOGLETRANSLATE(B418, ""en"", ""hi"")"),"मलखम्ब को किस राष्ट्रीय खेल में प्रदर्शन खेल के रूप में शामिल किया गया था?")</f>
        <v>मलखम्ब को किस राष्ट्रीय खेल में प्रदर्शन खेल के रूप में शामिल किया गया था?</v>
      </c>
      <c r="H418" s="5" t="str">
        <f>IFERROR(__xludf.DUMMYFUNCTION("GOOGLETRANSLATE(C418, ""en"", ""hi"")"),"A) 1958 राष्ट्रीय खेल, B) 1982 राष्ट्रीय खेल, C) 1990 राष्ट्रीय खेल, D) 1964 राष्ट्रीय खेल")</f>
        <v>A) 1958 राष्ट्रीय खेल, B) 1982 राष्ट्रीय खेल, C) 1990 राष्ट्रीय खेल, D) 1964 राष्ट्रीय खेल</v>
      </c>
      <c r="I418" s="5" t="str">
        <f>IFERROR(__xludf.DUMMYFUNCTION("GOOGLETRANSLATE(D418, ""en"", ""hi"")"),"ए) 1958 राष्ट्रीय खेल")</f>
        <v>ए) 1958 राष्ट्रीय खेल</v>
      </c>
    </row>
    <row r="419" ht="22.5" customHeight="1">
      <c r="A419" s="10">
        <v>418.0</v>
      </c>
      <c r="B419" s="4" t="s">
        <v>11007</v>
      </c>
      <c r="C419" s="4" t="s">
        <v>11008</v>
      </c>
      <c r="D419" s="4" t="s">
        <v>11009</v>
      </c>
      <c r="F419" s="5" t="str">
        <f>IFERROR(__xludf.DUMMYFUNCTION("GOOGLETRANSLATE(A419, ""en"", ""hi"")"),"418")</f>
        <v>418</v>
      </c>
      <c r="G419" s="5" t="str">
        <f>IFERROR(__xludf.DUMMYFUNCTION("GOOGLETRANSLATE(B419, ""en"", ""hi"")"),"किस अंतर्राष्ट्रीय संगठन ने मलखम्ब को पारंपरिक खेल के रूप में मान्यता दी?")</f>
        <v>किस अंतर्राष्ट्रीय संगठन ने मलखम्ब को पारंपरिक खेल के रूप में मान्यता दी?</v>
      </c>
      <c r="H419" s="5" t="str">
        <f>IFERROR(__xludf.DUMMYFUNCTION("GOOGLETRANSLATE(C419, ""en"", ""hi"")"),"A) यूनेस्को, B) आईओसी, C) राष्ट्रमंडल खेल महासंघ, D) विश्व पारंपरिक खेल महासंघ")</f>
        <v>A) यूनेस्को, B) आईओसी, C) राष्ट्रमंडल खेल महासंघ, D) विश्व पारंपरिक खेल महासंघ</v>
      </c>
      <c r="I419" s="5" t="str">
        <f>IFERROR(__xludf.DUMMYFUNCTION("GOOGLETRANSLATE(D419, ""en"", ""hi"")"),"ए) यूनेस्को")</f>
        <v>ए) यूनेस्को</v>
      </c>
    </row>
    <row r="420" ht="22.5" customHeight="1">
      <c r="A420" s="10">
        <v>419.0</v>
      </c>
      <c r="B420" s="4" t="s">
        <v>11010</v>
      </c>
      <c r="C420" s="4" t="s">
        <v>11011</v>
      </c>
      <c r="D420" s="4" t="s">
        <v>11012</v>
      </c>
      <c r="F420" s="5" t="str">
        <f>IFERROR(__xludf.DUMMYFUNCTION("GOOGLETRANSLATE(A420, ""en"", ""hi"")"),"419")</f>
        <v>419</v>
      </c>
      <c r="G420" s="5" t="str">
        <f>IFERROR(__xludf.DUMMYFUNCTION("GOOGLETRANSLATE(B420, ""en"", ""hi"")"),"आधुनिक जिम्नास्टिक में मलखम्ब का क्या महत्व है?")</f>
        <v>आधुनिक जिम्नास्टिक में मलखम्ब का क्या महत्व है?</v>
      </c>
      <c r="H420" s="5" t="str">
        <f>IFERROR(__xludf.DUMMYFUNCTION("GOOGLETRANSLATE(C420, ""en"", ""hi"")"),"A) यह आधुनिक जिम्नास्टिक का पूर्ववर्ती है, B) यह असंबंधित है, C) यह जिम्नास्टिक का स्थान लेता है, D) यह जिम्नास्टिक का विस्तार है")</f>
        <v>A) यह आधुनिक जिम्नास्टिक का पूर्ववर्ती है, B) यह असंबंधित है, C) यह जिम्नास्टिक का स्थान लेता है, D) यह जिम्नास्टिक का विस्तार है</v>
      </c>
      <c r="I420" s="5" t="str">
        <f>IFERROR(__xludf.DUMMYFUNCTION("GOOGLETRANSLATE(D420, ""en"", ""hi"")"),"A) यह आधुनिक जिम्नास्टिक का अग्रदूत है")</f>
        <v>A) यह आधुनिक जिम्नास्टिक का अग्रदूत है</v>
      </c>
    </row>
    <row r="421" ht="22.5" customHeight="1">
      <c r="A421" s="10">
        <v>420.0</v>
      </c>
      <c r="B421" s="4" t="s">
        <v>11013</v>
      </c>
      <c r="C421" s="4" t="s">
        <v>630</v>
      </c>
      <c r="D421" s="4" t="s">
        <v>631</v>
      </c>
      <c r="F421" s="5" t="str">
        <f>IFERROR(__xludf.DUMMYFUNCTION("GOOGLETRANSLATE(A421, ""en"", ""hi"")"),"420")</f>
        <v>420</v>
      </c>
      <c r="G421" s="5" t="str">
        <f>IFERROR(__xludf.DUMMYFUNCTION("GOOGLETRANSLATE(B421, ""en"", ""hi"")"),"मलखम्ब पारंपरिक रूप से एक समय में कितने प्रतिभागियों के साथ किया जाता है?")</f>
        <v>मलखम्ब पारंपरिक रूप से एक समय में कितने प्रतिभागियों के साथ किया जाता है?</v>
      </c>
      <c r="H421" s="5" t="str">
        <f>IFERROR(__xludf.DUMMYFUNCTION("GOOGLETRANSLATE(C421, ""en"", ""hi"")"),"ए) 1, बी) 2, सी) 3, डी) 4")</f>
        <v>ए) 1, बी) 2, सी) 3, डी) 4</v>
      </c>
      <c r="I421" s="5" t="str">
        <f>IFERROR(__xludf.DUMMYFUNCTION("GOOGLETRANSLATE(D421, ""en"", ""hi"")"),"ए) 1")</f>
        <v>ए) 1</v>
      </c>
    </row>
    <row r="422" ht="22.5" customHeight="1">
      <c r="A422" s="10">
        <v>421.0</v>
      </c>
      <c r="B422" s="4" t="s">
        <v>11014</v>
      </c>
      <c r="C422" s="4" t="s">
        <v>11015</v>
      </c>
      <c r="D422" s="4" t="s">
        <v>11016</v>
      </c>
      <c r="F422" s="5" t="str">
        <f>IFERROR(__xludf.DUMMYFUNCTION("GOOGLETRANSLATE(A422, ""en"", ""hi"")"),"421")</f>
        <v>421</v>
      </c>
      <c r="G422" s="5" t="str">
        <f>IFERROR(__xludf.DUMMYFUNCTION("GOOGLETRANSLATE(B422, ""en"", ""hi"")"),"कौन सा प्रमुख मलखम्ब कोच अंतरराष्ट्रीय स्तर पर खेल को बढ़ावा देने के लिए जाना जाता है?")</f>
        <v>कौन सा प्रमुख मलखम्ब कोच अंतरराष्ट्रीय स्तर पर खेल को बढ़ावा देने के लिए जाना जाता है?</v>
      </c>
      <c r="H422" s="5" t="str">
        <f>IFERROR(__xludf.DUMMYFUNCTION("GOOGLETRANSLATE(C422, ""en"", ""hi"")"),"ए) उदय देशपांडे, बी) विट्ठलराव देवलेकर, सी) बालमभट्ट दादा देवधर, डी) शाहू महाराज")</f>
        <v>ए) उदय देशपांडे, बी) विट्ठलराव देवलेकर, सी) बालमभट्ट दादा देवधर, डी) शाहू महाराज</v>
      </c>
      <c r="I422" s="5" t="str">
        <f>IFERROR(__xludf.DUMMYFUNCTION("GOOGLETRANSLATE(D422, ""en"", ""hi"")"),"A) उदय देशपांडे")</f>
        <v>A) उदय देशपांडे</v>
      </c>
    </row>
    <row r="423" ht="22.5" customHeight="1">
      <c r="A423" s="10">
        <v>422.0</v>
      </c>
      <c r="B423" s="4" t="s">
        <v>11017</v>
      </c>
      <c r="C423" s="4" t="s">
        <v>11018</v>
      </c>
      <c r="D423" s="4" t="s">
        <v>6644</v>
      </c>
      <c r="F423" s="5" t="str">
        <f>IFERROR(__xludf.DUMMYFUNCTION("GOOGLETRANSLATE(A423, ""en"", ""hi"")"),"422")</f>
        <v>422</v>
      </c>
      <c r="G423" s="5" t="str">
        <f>IFERROR(__xludf.DUMMYFUNCTION("GOOGLETRANSLATE(B423, ""en"", ""hi"")"),"मलखम्ब की उत्पत्ति किस शताब्दी में हुई थी?")</f>
        <v>मलखम्ब की उत्पत्ति किस शताब्दी में हुई थी?</v>
      </c>
      <c r="H423" s="5" t="str">
        <f>IFERROR(__xludf.DUMMYFUNCTION("GOOGLETRANSLATE(C423, ""en"", ""hi"")"),"A) 11वीं शताब्दी, B) 13वीं शताब्दी, C) 17वीं शताब्दी, D) 19वीं शताब्दी")</f>
        <v>A) 11वीं शताब्दी, B) 13वीं शताब्दी, C) 17वीं शताब्दी, D) 19वीं शताब्दी</v>
      </c>
      <c r="I423" s="5" t="str">
        <f>IFERROR(__xludf.DUMMYFUNCTION("GOOGLETRANSLATE(D423, ""en"", ""hi"")"),"सी) 17वीं शताब्दी")</f>
        <v>सी) 17वीं शताब्दी</v>
      </c>
    </row>
    <row r="424" ht="22.5" customHeight="1">
      <c r="A424" s="10">
        <v>423.0</v>
      </c>
      <c r="B424" s="4" t="s">
        <v>11019</v>
      </c>
      <c r="C424" s="4" t="s">
        <v>11020</v>
      </c>
      <c r="D424" s="4" t="s">
        <v>10987</v>
      </c>
      <c r="F424" s="5" t="str">
        <f>IFERROR(__xludf.DUMMYFUNCTION("GOOGLETRANSLATE(A424, ""en"", ""hi"")"),"423")</f>
        <v>423</v>
      </c>
      <c r="G424" s="5" t="str">
        <f>IFERROR(__xludf.DUMMYFUNCTION("GOOGLETRANSLATE(B424, ""en"", ""hi"")"),"ऐसा माना जाता है कि किस पेशवा ने सैनिकों की चपलता में सुधार के लिए मलखम्ब की शुरुआत की थी?")</f>
        <v>ऐसा माना जाता है कि किस पेशवा ने सैनिकों की चपलता में सुधार के लिए मलखम्ब की शुरुआत की थी?</v>
      </c>
      <c r="H424" s="5" t="str">
        <f>IFERROR(__xludf.DUMMYFUNCTION("GOOGLETRANSLATE(C424, ""en"", ""hi"")"),"ए) बालाजी विश्वनाथ, बी) बाजीराव प्रथम, सी) शाहू महाराज, डी) माधवराव प्रथम")</f>
        <v>ए) बालाजी विश्वनाथ, बी) बाजीराव प्रथम, सी) शाहू महाराज, डी) माधवराव प्रथम</v>
      </c>
      <c r="I424" s="5" t="str">
        <f>IFERROR(__xludf.DUMMYFUNCTION("GOOGLETRANSLATE(D424, ""en"", ""hi"")"),"बी) बाजी राव प्रथम")</f>
        <v>बी) बाजी राव प्रथम</v>
      </c>
    </row>
    <row r="425" ht="22.5" customHeight="1">
      <c r="A425" s="10">
        <v>424.0</v>
      </c>
      <c r="B425" s="4" t="s">
        <v>11021</v>
      </c>
      <c r="C425" s="4" t="s">
        <v>11022</v>
      </c>
      <c r="D425" s="4" t="s">
        <v>11023</v>
      </c>
      <c r="F425" s="5" t="str">
        <f>IFERROR(__xludf.DUMMYFUNCTION("GOOGLETRANSLATE(A425, ""en"", ""hi"")"),"424")</f>
        <v>424</v>
      </c>
      <c r="G425" s="5" t="str">
        <f>IFERROR(__xludf.DUMMYFUNCTION("GOOGLETRANSLATE(B425, ""en"", ""hi"")"),"मलखम्ब मूलतः किस मार्शल प्रशिक्षण प्रणाली का हिस्सा था?")</f>
        <v>मलखम्ब मूलतः किस मार्शल प्रशिक्षण प्रणाली का हिस्सा था?</v>
      </c>
      <c r="H425" s="5" t="str">
        <f>IFERROR(__xludf.DUMMYFUNCTION("GOOGLETRANSLATE(C425, ""en"", ""hi"")"),"ए) कलारी, बी) व्यायाम, सी) सिलंबम, डी) कलारीपयट्टू")</f>
        <v>ए) कलारी, बी) व्यायाम, सी) सिलंबम, डी) कलारीपयट्टू</v>
      </c>
      <c r="I425" s="5" t="str">
        <f>IFERROR(__xludf.DUMMYFUNCTION("GOOGLETRANSLATE(D425, ""en"", ""hi"")"),"बी) व्यायाम")</f>
        <v>बी) व्यायाम</v>
      </c>
    </row>
    <row r="426" ht="22.5" customHeight="1">
      <c r="A426" s="10">
        <v>425.0</v>
      </c>
      <c r="B426" s="4" t="s">
        <v>11024</v>
      </c>
      <c r="C426" s="4" t="s">
        <v>11025</v>
      </c>
      <c r="D426" s="4" t="s">
        <v>10588</v>
      </c>
      <c r="F426" s="5" t="str">
        <f>IFERROR(__xludf.DUMMYFUNCTION("GOOGLETRANSLATE(A426, ""en"", ""hi"")"),"425")</f>
        <v>425</v>
      </c>
      <c r="G426" s="5" t="str">
        <f>IFERROR(__xludf.DUMMYFUNCTION("GOOGLETRANSLATE(B426, ""en"", ""hi"")"),"किस भारतीय त्यौहार में अक्सर मलखम्ब प्रदर्शन किया जाता है?")</f>
        <v>किस भारतीय त्यौहार में अक्सर मलखम्ब प्रदर्शन किया जाता है?</v>
      </c>
      <c r="H426" s="5" t="str">
        <f>IFERROR(__xludf.DUMMYFUNCTION("GOOGLETRANSLATE(C426, ""en"", ""hi"")"),"ए) दिवाली, बी) गणेश चतुर्थी, सी) होली, डी) दशहरा")</f>
        <v>ए) दिवाली, बी) गणेश चतुर्थी, सी) होली, डी) दशहरा</v>
      </c>
      <c r="I426" s="5" t="str">
        <f>IFERROR(__xludf.DUMMYFUNCTION("GOOGLETRANSLATE(D426, ""en"", ""hi"")"),"बी) गणेश चतुर्थी")</f>
        <v>बी) गणेश चतुर्थी</v>
      </c>
    </row>
    <row r="427" ht="22.5" customHeight="1">
      <c r="A427" s="10">
        <v>426.0</v>
      </c>
      <c r="B427" s="4" t="s">
        <v>11026</v>
      </c>
      <c r="C427" s="4" t="s">
        <v>7979</v>
      </c>
      <c r="D427" s="4" t="s">
        <v>8075</v>
      </c>
      <c r="F427" s="5" t="str">
        <f>IFERROR(__xludf.DUMMYFUNCTION("GOOGLETRANSLATE(A427, ""en"", ""hi"")"),"426")</f>
        <v>426</v>
      </c>
      <c r="G427" s="5" t="str">
        <f>IFERROR(__xludf.DUMMYFUNCTION("GOOGLETRANSLATE(B427, ""en"", ""hi"")"),"राष्ट्रीय मलखम्ब चैम्पियनशिप किस दशक में शुरू हुई?")</f>
        <v>राष्ट्रीय मलखम्ब चैम्पियनशिप किस दशक में शुरू हुई?</v>
      </c>
      <c r="H427" s="5" t="str">
        <f>IFERROR(__xludf.DUMMYFUNCTION("GOOGLETRANSLATE(C427, ""en"", ""hi"")"),"ए) 1940 का दशक, बी) 1950 का दशक, सी) 1960 का दशक, डी) 1970 का दशक")</f>
        <v>ए) 1940 का दशक, बी) 1950 का दशक, सी) 1960 का दशक, डी) 1970 का दशक</v>
      </c>
      <c r="I427" s="5" t="str">
        <f>IFERROR(__xludf.DUMMYFUNCTION("GOOGLETRANSLATE(D427, ""en"", ""hi"")"),"बी) 1950 के दशक")</f>
        <v>बी) 1950 के दशक</v>
      </c>
    </row>
    <row r="428" ht="22.5" customHeight="1">
      <c r="A428" s="10">
        <v>427.0</v>
      </c>
      <c r="B428" s="4" t="s">
        <v>11027</v>
      </c>
      <c r="C428" s="4" t="s">
        <v>11028</v>
      </c>
      <c r="D428" s="4" t="s">
        <v>11029</v>
      </c>
      <c r="F428" s="5" t="str">
        <f>IFERROR(__xludf.DUMMYFUNCTION("GOOGLETRANSLATE(A428, ""en"", ""hi"")"),"427")</f>
        <v>427</v>
      </c>
      <c r="G428" s="5" t="str">
        <f>IFERROR(__xludf.DUMMYFUNCTION("GOOGLETRANSLATE(B428, ""en"", ""hi"")"),"मलखम्ब को लोकप्रिय बनाने में किस पेशवा शासक ने महत्वपूर्ण भूमिका निभाई?")</f>
        <v>मलखम्ब को लोकप्रिय बनाने में किस पेशवा शासक ने महत्वपूर्ण भूमिका निभाई?</v>
      </c>
      <c r="H428" s="5" t="str">
        <f>IFERROR(__xludf.DUMMYFUNCTION("GOOGLETRANSLATE(C428, ""en"", ""hi"")"),"A) पेशवा माधवराव, B) पेशवा बाजी राव प्रथम, C) पेशवा रघुनाथराव, D) पेशवा बालाजी बाजी राव")</f>
        <v>A) पेशवा माधवराव, B) पेशवा बाजी राव प्रथम, C) पेशवा रघुनाथराव, D) पेशवा बालाजी बाजी राव</v>
      </c>
      <c r="I428" s="5" t="str">
        <f>IFERROR(__xludf.DUMMYFUNCTION("GOOGLETRANSLATE(D428, ""en"", ""hi"")"),"बी) पेशवा बाजी राव प्रथम")</f>
        <v>बी) पेशवा बाजी राव प्रथम</v>
      </c>
    </row>
    <row r="429" ht="22.5" customHeight="1">
      <c r="A429" s="10">
        <v>428.0</v>
      </c>
      <c r="B429" s="4" t="s">
        <v>11030</v>
      </c>
      <c r="C429" s="4" t="s">
        <v>11031</v>
      </c>
      <c r="D429" s="4" t="s">
        <v>11032</v>
      </c>
      <c r="F429" s="5" t="str">
        <f>IFERROR(__xludf.DUMMYFUNCTION("GOOGLETRANSLATE(A429, ""en"", ""hi"")"),"428")</f>
        <v>428</v>
      </c>
      <c r="G429" s="5" t="str">
        <f>IFERROR(__xludf.DUMMYFUNCTION("GOOGLETRANSLATE(B429, ""en"", ""hi"")"),"कौन सा ऐतिहासिक मराठा व्यक्ति मलखम्ब प्रशिक्षण के लिए जाना जाता था?")</f>
        <v>कौन सा ऐतिहासिक मराठा व्यक्ति मलखम्ब प्रशिक्षण के लिए जाना जाता था?</v>
      </c>
      <c r="H429" s="5" t="str">
        <f>IFERROR(__xludf.DUMMYFUNCTION("GOOGLETRANSLATE(C429, ""en"", ""hi"")"),"ए) रानी लक्ष्मी बाई, बी) शाहू महाराज, सी) तानाजी मालुसरे, डी) पेशवा बाजीराव प्रथम")</f>
        <v>ए) रानी लक्ष्मी बाई, बी) शाहू महाराज, सी) तानाजी मालुसरे, डी) पेशवा बाजीराव प्रथम</v>
      </c>
      <c r="I429" s="5" t="str">
        <f>IFERROR(__xludf.DUMMYFUNCTION("GOOGLETRANSLATE(D429, ""en"", ""hi"")"),"C) तानाजी मालुसरे")</f>
        <v>C) तानाजी मालुसरे</v>
      </c>
    </row>
    <row r="430" ht="22.5" customHeight="1">
      <c r="A430" s="10">
        <v>429.0</v>
      </c>
      <c r="B430" s="4" t="s">
        <v>11033</v>
      </c>
      <c r="C430" s="4" t="s">
        <v>11034</v>
      </c>
      <c r="D430" s="4" t="s">
        <v>10971</v>
      </c>
      <c r="F430" s="5" t="str">
        <f>IFERROR(__xludf.DUMMYFUNCTION("GOOGLETRANSLATE(A430, ""en"", ""hi"")"),"429")</f>
        <v>429</v>
      </c>
      <c r="G430" s="5" t="str">
        <f>IFERROR(__xludf.DUMMYFUNCTION("GOOGLETRANSLATE(B430, ""en"", ""hi"")"),"मलखम्ब को किस भारतीय शासक के शासनकाल में पुनर्जीवित किया गया था?")</f>
        <v>मलखम्ब को किस भारतीय शासक के शासनकाल में पुनर्जीवित किया गया था?</v>
      </c>
      <c r="H430" s="5" t="str">
        <f>IFERROR(__xludf.DUMMYFUNCTION("GOOGLETRANSLATE(C430, ""en"", ""hi"")"),"ए) शिवाजी महाराज, बी) पेशवा बाजीराव द्वितीय, सी) शाहू महाराज, डी) नाना फड़नवीस")</f>
        <v>ए) शिवाजी महाराज, बी) पेशवा बाजीराव द्वितीय, सी) शाहू महाराज, डी) नाना फड़नवीस</v>
      </c>
      <c r="I430" s="5" t="str">
        <f>IFERROR(__xludf.DUMMYFUNCTION("GOOGLETRANSLATE(D430, ""en"", ""hi"")"),"C) शाहू महाराज")</f>
        <v>C) शाहू महाराज</v>
      </c>
    </row>
    <row r="431" ht="22.5" customHeight="1">
      <c r="A431" s="10">
        <v>430.0</v>
      </c>
      <c r="B431" s="4" t="s">
        <v>11035</v>
      </c>
      <c r="C431" s="4" t="s">
        <v>11036</v>
      </c>
      <c r="D431" s="4" t="s">
        <v>11037</v>
      </c>
      <c r="F431" s="5" t="str">
        <f>IFERROR(__xludf.DUMMYFUNCTION("GOOGLETRANSLATE(A431, ""en"", ""hi"")"),"430")</f>
        <v>430</v>
      </c>
      <c r="G431" s="5" t="str">
        <f>IFERROR(__xludf.DUMMYFUNCTION("GOOGLETRANSLATE(B431, ""en"", ""hi"")"),"मलखम्ब को पहली बार राष्ट्रीय स्तर पर प्रसिद्धि भारतीय स्वतंत्रता आंदोलन के किस चरण में मिली?")</f>
        <v>मलखम्ब को पहली बार राष्ट्रीय स्तर पर प्रसिद्धि भारतीय स्वतंत्रता आंदोलन के किस चरण में मिली?</v>
      </c>
      <c r="H431" s="5" t="str">
        <f>IFERROR(__xludf.DUMMYFUNCTION("GOOGLETRANSLATE(C431, ""en"", ""hi"")"),"A) स्वदेशी आंदोलन, B) असहयोग आंदोलन, C) भारत छोड़ो आंदोलन, D) सविनय अवज्ञा आंदोलन")</f>
        <v>A) स्वदेशी आंदोलन, B) असहयोग आंदोलन, C) भारत छोड़ो आंदोलन, D) सविनय अवज्ञा आंदोलन</v>
      </c>
      <c r="I431" s="5" t="str">
        <f>IFERROR(__xludf.DUMMYFUNCTION("GOOGLETRANSLATE(D431, ""en"", ""hi"")"),"बी) असहयोग आंदोलन")</f>
        <v>बी) असहयोग आंदोलन</v>
      </c>
    </row>
    <row r="432" ht="22.5" customHeight="1">
      <c r="A432" s="10">
        <v>431.0</v>
      </c>
      <c r="B432" s="4" t="s">
        <v>11038</v>
      </c>
      <c r="C432" s="4" t="s">
        <v>11039</v>
      </c>
      <c r="D432" s="4" t="s">
        <v>2914</v>
      </c>
      <c r="F432" s="5" t="str">
        <f>IFERROR(__xludf.DUMMYFUNCTION("GOOGLETRANSLATE(A432, ""en"", ""hi"")"),"431")</f>
        <v>431</v>
      </c>
      <c r="G432" s="5" t="str">
        <f>IFERROR(__xludf.DUMMYFUNCTION("GOOGLETRANSLATE(B432, ""en"", ""hi"")"),"कौन सा ऐतिहासिक ग्रंथ मलखम्ब के प्रारंभिक स्वरूपों का वर्णन करता है?")</f>
        <v>कौन सा ऐतिहासिक ग्रंथ मलखम्ब के प्रारंभिक स्वरूपों का वर्णन करता है?</v>
      </c>
      <c r="H432" s="5" t="str">
        <f>IFERROR(__xludf.DUMMYFUNCTION("GOOGLETRANSLATE(C432, ""en"", ""hi"")"),"ए) अर्थशास्त्र, बी) महाभारत, सी) धनुर्वेद, डी) रामायण")</f>
        <v>ए) अर्थशास्त्र, बी) महाभारत, सी) धनुर्वेद, डी) रामायण</v>
      </c>
      <c r="I432" s="5" t="str">
        <f>IFERROR(__xludf.DUMMYFUNCTION("GOOGLETRANSLATE(D432, ""en"", ""hi"")"),"C) धनुर्वेद")</f>
        <v>C) धनुर्वेद</v>
      </c>
    </row>
    <row r="433" ht="22.5" customHeight="1">
      <c r="A433" s="10">
        <v>432.0</v>
      </c>
      <c r="B433" s="4" t="s">
        <v>11040</v>
      </c>
      <c r="C433" s="4" t="s">
        <v>11041</v>
      </c>
      <c r="D433" s="4" t="s">
        <v>11042</v>
      </c>
      <c r="F433" s="5" t="str">
        <f>IFERROR(__xludf.DUMMYFUNCTION("GOOGLETRANSLATE(A433, ""en"", ""hi"")"),"432")</f>
        <v>432</v>
      </c>
      <c r="G433" s="5" t="str">
        <f>IFERROR(__xludf.DUMMYFUNCTION("GOOGLETRANSLATE(B433, ""en"", ""hi"")"),"मलखम्ब प्रशिक्षण किस मराठा सैन्य अकादमी का हिस्सा था?")</f>
        <v>मलखम्ब प्रशिक्षण किस मराठा सैन्य अकादमी का हिस्सा था?</v>
      </c>
      <c r="H433" s="5" t="str">
        <f>IFERROR(__xludf.DUMMYFUNCTION("GOOGLETRANSLATE(C433, ""en"", ""hi"")"),"A) पन्हाला किला अकादमी, B) शिवाजी सैन्य अकादमी, C) बाजीराव सैन्य स्कूल, D) शाहू की व्यायामशाला")</f>
        <v>A) पन्हाला किला अकादमी, B) शिवाजी सैन्य अकादमी, C) बाजीराव सैन्य स्कूल, D) शाहू की व्यायामशाला</v>
      </c>
      <c r="I433" s="5" t="str">
        <f>IFERROR(__xludf.DUMMYFUNCTION("GOOGLETRANSLATE(D433, ""en"", ""hi"")"),"D) शाहू की व्यायामशाला")</f>
        <v>D) शाहू की व्यायामशाला</v>
      </c>
    </row>
    <row r="434" ht="22.5" customHeight="1">
      <c r="A434" s="10">
        <v>433.0</v>
      </c>
      <c r="B434" s="4" t="s">
        <v>11043</v>
      </c>
      <c r="C434" s="4" t="s">
        <v>11044</v>
      </c>
      <c r="D434" s="4" t="s">
        <v>577</v>
      </c>
      <c r="F434" s="5" t="str">
        <f>IFERROR(__xludf.DUMMYFUNCTION("GOOGLETRANSLATE(A434, ""en"", ""hi"")"),"433")</f>
        <v>433</v>
      </c>
      <c r="G434" s="5" t="str">
        <f>IFERROR(__xludf.DUMMYFUNCTION("GOOGLETRANSLATE(B434, ""en"", ""hi"")"),"बलमभट्ट दादा देवधर ने किस भारतीय शहर में मलखम्ब प्रथा को औपचारिक रूप दिया?")</f>
        <v>बलमभट्ट दादा देवधर ने किस भारतीय शहर में मलखम्ब प्रथा को औपचारिक रूप दिया?</v>
      </c>
      <c r="H434" s="5" t="str">
        <f>IFERROR(__xludf.DUMMYFUNCTION("GOOGLETRANSLATE(C434, ""en"", ""hi"")"),"ए) पुणे, बी) मुंबई, सी) कोल्हापुर, डी) नागपुर")</f>
        <v>ए) पुणे, बी) मुंबई, सी) कोल्हापुर, डी) नागपुर</v>
      </c>
      <c r="I434" s="5" t="str">
        <f>IFERROR(__xludf.DUMMYFUNCTION("GOOGLETRANSLATE(D434, ""en"", ""hi"")"),"ए) पुणे")</f>
        <v>ए) पुणे</v>
      </c>
    </row>
    <row r="435" ht="22.5" customHeight="1">
      <c r="A435" s="10">
        <v>434.0</v>
      </c>
      <c r="B435" s="4" t="s">
        <v>11045</v>
      </c>
      <c r="C435" s="4" t="s">
        <v>11046</v>
      </c>
      <c r="D435" s="4" t="s">
        <v>11047</v>
      </c>
      <c r="F435" s="5" t="str">
        <f>IFERROR(__xludf.DUMMYFUNCTION("GOOGLETRANSLATE(A435, ""en"", ""hi"")"),"434")</f>
        <v>434</v>
      </c>
      <c r="G435" s="5" t="str">
        <f>IFERROR(__xludf.DUMMYFUNCTION("GOOGLETRANSLATE(B435, ""en"", ""hi"")"),"मलखम्ब का पहली बार अंतर्राष्ट्रीय स्तर पर प्रदर्शन किस आयोजन के दौरान किया गया था?")</f>
        <v>मलखम्ब का पहली बार अंतर्राष्ट्रीय स्तर पर प्रदर्शन किस आयोजन के दौरान किया गया था?</v>
      </c>
      <c r="H435" s="5" t="str">
        <f>IFERROR(__xludf.DUMMYFUNCTION("GOOGLETRANSLATE(C435, ""en"", ""hi"")"),"A) राष्ट्रमंडल खेल, B) ओलंपिक, C) एशियाई खेल, D) भारतीय राष्ट्रीय कांग्रेस")</f>
        <v>A) राष्ट्रमंडल खेल, B) ओलंपिक, C) एशियाई खेल, D) भारतीय राष्ट्रीय कांग्रेस</v>
      </c>
      <c r="I435" s="5" t="str">
        <f>IFERROR(__xludf.DUMMYFUNCTION("GOOGLETRANSLATE(D435, ""en"", ""hi"")"),"सी) एशियाई खेल")</f>
        <v>सी) एशियाई खेल</v>
      </c>
    </row>
    <row r="436" ht="22.5" customHeight="1">
      <c r="A436" s="10">
        <v>435.0</v>
      </c>
      <c r="B436" s="4" t="s">
        <v>11048</v>
      </c>
      <c r="C436" s="4" t="s">
        <v>11049</v>
      </c>
      <c r="D436" s="4" t="s">
        <v>158</v>
      </c>
      <c r="F436" s="5" t="str">
        <f>IFERROR(__xludf.DUMMYFUNCTION("GOOGLETRANSLATE(A436, ""en"", ""hi"")"),"435")</f>
        <v>435</v>
      </c>
      <c r="G436" s="5" t="str">
        <f>IFERROR(__xludf.DUMMYFUNCTION("GOOGLETRANSLATE(B436, ""en"", ""hi"")"),"20वीं सदी के आरंभ में किस भारतीय राज्य के स्कूलों ने मलखम्ब को शारीरिक शिक्षा के भाग के रूप में अपनाया?")</f>
        <v>20वीं सदी के आरंभ में किस भारतीय राज्य के स्कूलों ने मलखम्ब को शारीरिक शिक्षा के भाग के रूप में अपनाया?</v>
      </c>
      <c r="H436" s="5" t="str">
        <f>IFERROR(__xludf.DUMMYFUNCTION("GOOGLETRANSLATE(C436, ""en"", ""hi"")"),"ए) महाराष्ट्र, बी) कर्नाटक, सी) गुजरात, डी) तमिलनाडु")</f>
        <v>ए) महाराष्ट्र, बी) कर्नाटक, सी) गुजरात, डी) तमिलनाडु</v>
      </c>
      <c r="I436" s="5" t="str">
        <f>IFERROR(__xludf.DUMMYFUNCTION("GOOGLETRANSLATE(D436, ""en"", ""hi"")"),"A) महाराष्ट्र")</f>
        <v>A) महाराष्ट्र</v>
      </c>
    </row>
    <row r="437" ht="22.5" customHeight="1">
      <c r="A437" s="10">
        <v>436.0</v>
      </c>
      <c r="B437" s="4" t="s">
        <v>11050</v>
      </c>
      <c r="C437" s="4" t="s">
        <v>11051</v>
      </c>
      <c r="D437" s="4" t="s">
        <v>2261</v>
      </c>
      <c r="F437" s="5" t="str">
        <f>IFERROR(__xludf.DUMMYFUNCTION("GOOGLETRANSLATE(A437, ""en"", ""hi"")"),"436")</f>
        <v>436</v>
      </c>
      <c r="G437" s="5" t="str">
        <f>IFERROR(__xludf.DUMMYFUNCTION("GOOGLETRANSLATE(B437, ""en"", ""hi"")"),"मलखम्ब को भारतीय ओलंपिक संघ से आधिकारिक मान्यता किस वर्ष मिली?")</f>
        <v>मलखम्ब को भारतीय ओलंपिक संघ से आधिकारिक मान्यता किस वर्ष मिली?</v>
      </c>
      <c r="H437" s="5" t="str">
        <f>IFERROR(__xludf.DUMMYFUNCTION("GOOGLETRANSLATE(C437, ""en"", ""hi"")"),"ए) 1958, बी) 1964, सी) 1970, डी) 1975")</f>
        <v>ए) 1958, बी) 1964, सी) 1970, डी) 1975</v>
      </c>
      <c r="I437" s="5" t="str">
        <f>IFERROR(__xludf.DUMMYFUNCTION("GOOGLETRANSLATE(D437, ""en"", ""hi"")"),"सी) 1970")</f>
        <v>सी) 1970</v>
      </c>
    </row>
    <row r="438" ht="22.5" customHeight="1">
      <c r="A438" s="10">
        <v>437.0</v>
      </c>
      <c r="B438" s="4" t="s">
        <v>11052</v>
      </c>
      <c r="C438" s="4" t="s">
        <v>11053</v>
      </c>
      <c r="D438" s="4" t="s">
        <v>3404</v>
      </c>
      <c r="F438" s="5" t="str">
        <f>IFERROR(__xludf.DUMMYFUNCTION("GOOGLETRANSLATE(A438, ""en"", ""hi"")"),"437")</f>
        <v>437</v>
      </c>
      <c r="G438" s="5" t="str">
        <f>IFERROR(__xludf.DUMMYFUNCTION("GOOGLETRANSLATE(B438, ""en"", ""hi"")"),"कुश्ती का कौन सा प्राचीन रूप मलखम्ब के विकास से निकटता से जुड़ा हुआ था?")</f>
        <v>कुश्ती का कौन सा प्राचीन रूप मलखम्ब के विकास से निकटता से जुड़ा हुआ था?</v>
      </c>
      <c r="H438" s="5" t="str">
        <f>IFERROR(__xludf.DUMMYFUNCTION("GOOGLETRANSLATE(C438, ""en"", ""hi"")"),"ए) पहलवानी, बी) कुश्ती, सी) दंगल, डी) मल्ल युद्ध")</f>
        <v>ए) पहलवानी, बी) कुश्ती, सी) दंगल, डी) मल्ल युद्ध</v>
      </c>
      <c r="I438" s="5" t="str">
        <f>IFERROR(__xludf.DUMMYFUNCTION("GOOGLETRANSLATE(D438, ""en"", ""hi"")"),"D) मल्ल युद्ध")</f>
        <v>D) मल्ल युद्ध</v>
      </c>
    </row>
    <row r="439" ht="22.5" customHeight="1">
      <c r="A439" s="10">
        <v>438.0</v>
      </c>
      <c r="B439" s="4" t="s">
        <v>11054</v>
      </c>
      <c r="C439" s="4" t="s">
        <v>11055</v>
      </c>
      <c r="D439" s="4" t="s">
        <v>2732</v>
      </c>
      <c r="F439" s="5" t="str">
        <f>IFERROR(__xludf.DUMMYFUNCTION("GOOGLETRANSLATE(A439, ""en"", ""hi"")"),"438")</f>
        <v>438</v>
      </c>
      <c r="G439" s="5" t="str">
        <f>IFERROR(__xludf.DUMMYFUNCTION("GOOGLETRANSLATE(B439, ""en"", ""hi"")"),"शारीरिक प्रशिक्षण के संदर्भ में कौन सी भारतीय मार्शल आर्ट मलखम्ब के साथ समानताएं साझा करती है?")</f>
        <v>शारीरिक प्रशिक्षण के संदर्भ में कौन सी भारतीय मार्शल आर्ट मलखम्ब के साथ समानताएं साझा करती है?</v>
      </c>
      <c r="H439" s="5" t="str">
        <f>IFERROR(__xludf.DUMMYFUNCTION("GOOGLETRANSLATE(C439, ""en"", ""hi"")"),"ए) कलारीपयट्टू, बी) सिलंबम, सी) थांग-ता, डी) लाठी खेला")</f>
        <v>ए) कलारीपयट्टू, बी) सिलंबम, सी) थांग-ता, डी) लाठी खेला</v>
      </c>
      <c r="I439" s="5" t="str">
        <f>IFERROR(__xludf.DUMMYFUNCTION("GOOGLETRANSLATE(D439, ""en"", ""hi"")"),"A) कलारीपयट्टू")</f>
        <v>A) कलारीपयट्टू</v>
      </c>
    </row>
    <row r="440" ht="22.5" customHeight="1">
      <c r="A440" s="10">
        <v>439.0</v>
      </c>
      <c r="B440" s="4" t="s">
        <v>11056</v>
      </c>
      <c r="C440" s="4" t="s">
        <v>11057</v>
      </c>
      <c r="D440" s="4" t="s">
        <v>11058</v>
      </c>
      <c r="F440" s="5" t="str">
        <f>IFERROR(__xludf.DUMMYFUNCTION("GOOGLETRANSLATE(A440, ""en"", ""hi"")"),"439")</f>
        <v>439</v>
      </c>
      <c r="G440" s="5" t="str">
        <f>IFERROR(__xludf.DUMMYFUNCTION("GOOGLETRANSLATE(B440, ""en"", ""hi"")"),"सैन्य प्रशिक्षण के लिए मलखम्ब का पहला प्रयोग किस शासक के शासनकाल में दर्ज किया गया था?")</f>
        <v>सैन्य प्रशिक्षण के लिए मलखम्ब का पहला प्रयोग किस शासक के शासनकाल में दर्ज किया गया था?</v>
      </c>
      <c r="H440" s="5" t="str">
        <f>IFERROR(__xludf.DUMMYFUNCTION("GOOGLETRANSLATE(C440, ""en"", ""hi"")"),"ए) बाजीराव प्रथम, बी) शिवाजी महाराज, सी) रघुनाथराव, डी) शाहू महाराज")</f>
        <v>ए) बाजीराव प्रथम, बी) शिवाजी महाराज, सी) रघुनाथराव, डी) शाहू महाराज</v>
      </c>
      <c r="I440" s="5" t="str">
        <f>IFERROR(__xludf.DUMMYFUNCTION("GOOGLETRANSLATE(D440, ""en"", ""hi"")"),"A) बाजी राव प्रथम")</f>
        <v>A) बाजी राव प्रथम</v>
      </c>
    </row>
    <row r="441" ht="22.5" customHeight="1">
      <c r="A441" s="10">
        <v>440.0</v>
      </c>
      <c r="B441" s="4" t="s">
        <v>11059</v>
      </c>
      <c r="C441" s="4" t="s">
        <v>11060</v>
      </c>
      <c r="D441" s="4" t="s">
        <v>1657</v>
      </c>
      <c r="F441" s="5" t="str">
        <f>IFERROR(__xludf.DUMMYFUNCTION("GOOGLETRANSLATE(A441, ""en"", ""hi"")"),"440")</f>
        <v>440</v>
      </c>
      <c r="G441" s="5" t="str">
        <f>IFERROR(__xludf.DUMMYFUNCTION("GOOGLETRANSLATE(B441, ""en"", ""hi"")"),"मलखम्ब को आधिकारिक तौर पर अखिल भारतीय खेलों में किस वर्ष शामिल किया गया था?")</f>
        <v>मलखम्ब को आधिकारिक तौर पर अखिल भारतीय खेलों में किस वर्ष शामिल किया गया था?</v>
      </c>
      <c r="H441" s="5" t="str">
        <f>IFERROR(__xludf.DUMMYFUNCTION("GOOGLETRANSLATE(C441, ""en"", ""hi"")"),"ए) 1941, बी) 1948, सी) 1952, डी) 1955")</f>
        <v>ए) 1941, बी) 1948, सी) 1952, डी) 1955</v>
      </c>
      <c r="I441" s="5" t="str">
        <f>IFERROR(__xludf.DUMMYFUNCTION("GOOGLETRANSLATE(D441, ""en"", ""hi"")"),"बी) 1948")</f>
        <v>बी) 1948</v>
      </c>
    </row>
    <row r="442" ht="22.5" customHeight="1">
      <c r="A442" s="10">
        <v>441.0</v>
      </c>
      <c r="B442" s="4" t="s">
        <v>11061</v>
      </c>
      <c r="C442" s="4" t="s">
        <v>11062</v>
      </c>
      <c r="D442" s="4" t="s">
        <v>10943</v>
      </c>
      <c r="F442" s="5" t="str">
        <f>IFERROR(__xludf.DUMMYFUNCTION("GOOGLETRANSLATE(A442, ""en"", ""hi"")"),"441")</f>
        <v>441</v>
      </c>
      <c r="G442" s="5" t="str">
        <f>IFERROR(__xludf.DUMMYFUNCTION("GOOGLETRANSLATE(B442, ""en"", ""hi"")"),"किस ऐतिहासिक व्यक्ति ने भारत में पहला मलखम्ब स्कूल स्थापित किया?")</f>
        <v>किस ऐतिहासिक व्यक्ति ने भारत में पहला मलखम्ब स्कूल स्थापित किया?</v>
      </c>
      <c r="H442" s="5" t="str">
        <f>IFERROR(__xludf.DUMMYFUNCTION("GOOGLETRANSLATE(C442, ""en"", ""hi"")"),"ए) पेशवा माधवराव, बी) शाहू महाराज, सी) उदय देशपांडे, डी) विट्ठलराव देवलेकर")</f>
        <v>ए) पेशवा माधवराव, बी) शाहू महाराज, सी) उदय देशपांडे, डी) विट्ठलराव देवलेकर</v>
      </c>
      <c r="I442" s="5" t="str">
        <f>IFERROR(__xludf.DUMMYFUNCTION("GOOGLETRANSLATE(D442, ""en"", ""hi"")"),"B) शाहू महाराज")</f>
        <v>B) शाहू महाराज</v>
      </c>
    </row>
  </sheetData>
  <dataValidations>
    <dataValidation type="custom" allowBlank="1" showDropDown="1" sqref="A2:A442">
      <formula1>AND(ISNUMBER(A2),(NOT(OR(NOT(ISERROR(DATEVALUE(A2))), AND(ISNUMBER(A2), LEFT(CELL("format", A2))="D")))))</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0.88"/>
    <col customWidth="1" min="7" max="8" width="37.63"/>
    <col customWidth="1" min="9" max="9" width="25.75"/>
  </cols>
  <sheetData>
    <row r="1" ht="22.5" customHeight="1">
      <c r="A1" s="1" t="s">
        <v>0</v>
      </c>
      <c r="B1" s="1" t="s">
        <v>1</v>
      </c>
      <c r="C1" s="1" t="s">
        <v>2</v>
      </c>
      <c r="D1" s="1" t="s">
        <v>3</v>
      </c>
      <c r="F1" s="2" t="s">
        <v>4</v>
      </c>
      <c r="G1" s="2" t="s">
        <v>5</v>
      </c>
      <c r="H1" s="2" t="s">
        <v>6</v>
      </c>
      <c r="I1" s="2" t="s">
        <v>7</v>
      </c>
    </row>
    <row r="2" ht="22.5" customHeight="1">
      <c r="A2" s="3">
        <v>1.0</v>
      </c>
      <c r="B2" s="4" t="s">
        <v>11063</v>
      </c>
      <c r="C2" s="4" t="s">
        <v>11064</v>
      </c>
      <c r="D2" s="4" t="s">
        <v>2544</v>
      </c>
      <c r="F2" s="5" t="str">
        <f>IFERROR(__xludf.DUMMYFUNCTION("GOOGLETRANSLATE(A2, ""en"", ""hi"")"),"1")</f>
        <v>1</v>
      </c>
      <c r="G2" s="5" t="str">
        <f>IFERROR(__xludf.DUMMYFUNCTION("GOOGLETRANSLATE(B2, ""en"", ""hi"")"),"किस प्राचीन ग्रंथ में भारत में गिल्ली डंडा जैसे खेल का पहली बार उल्लेख मिलता है?")</f>
        <v>किस प्राचीन ग्रंथ में भारत में गिल्ली डंडा जैसे खेल का पहली बार उल्लेख मिलता है?</v>
      </c>
      <c r="H2" s="5" t="str">
        <f>IFERROR(__xludf.DUMMYFUNCTION("GOOGLETRANSLATE(C2, ""en"", ""hi"")"),"ए) वेद, बी) महाभारत, सी) रामायण, डी) उपनिषद")</f>
        <v>ए) वेद, बी) महाभारत, सी) रामायण, डी) उपनिषद</v>
      </c>
      <c r="I2" s="5" t="str">
        <f>IFERROR(__xludf.DUMMYFUNCTION("GOOGLETRANSLATE(D2, ""en"", ""hi"")"),"बी) महाभारत")</f>
        <v>बी) महाभारत</v>
      </c>
    </row>
    <row r="3" ht="22.5" customHeight="1">
      <c r="A3" s="3">
        <v>2.0</v>
      </c>
      <c r="B3" s="4" t="s">
        <v>11065</v>
      </c>
      <c r="C3" s="4" t="s">
        <v>11066</v>
      </c>
      <c r="D3" s="4" t="s">
        <v>11067</v>
      </c>
      <c r="F3" s="5" t="str">
        <f>IFERROR(__xludf.DUMMYFUNCTION("GOOGLETRANSLATE(A3, ""en"", ""hi"")"),"2")</f>
        <v>2</v>
      </c>
      <c r="G3" s="5" t="str">
        <f>IFERROR(__xludf.DUMMYFUNCTION("GOOGLETRANSLATE(B3, ""en"", ""hi"")"),"किस ऐतिहासिक काल में गिल्ली डंडा भारतीय उपमहाद्वीप में लोकप्रिय हुआ?")</f>
        <v>किस ऐतिहासिक काल में गिल्ली डंडा भारतीय उपमहाद्वीप में लोकप्रिय हुआ?</v>
      </c>
      <c r="H3" s="5" t="str">
        <f>IFERROR(__xludf.DUMMYFUNCTION("GOOGLETRANSLATE(C3, ""en"", ""hi"")"),"A) मौर्य साम्राज्य, B) गुप्त साम्राज्य, C) मुगल साम्राज्य, D) ब्रिटिश राज")</f>
        <v>A) मौर्य साम्राज्य, B) गुप्त साम्राज्य, C) मुगल साम्राज्य, D) ब्रिटिश राज</v>
      </c>
      <c r="I3" s="5" t="str">
        <f>IFERROR(__xludf.DUMMYFUNCTION("GOOGLETRANSLATE(D3, ""en"", ""hi"")"),"बी) गुप्त साम्राज्य")</f>
        <v>बी) गुप्त साम्राज्य</v>
      </c>
    </row>
    <row r="4" ht="22.5" customHeight="1">
      <c r="A4" s="3">
        <v>3.0</v>
      </c>
      <c r="B4" s="4" t="s">
        <v>11068</v>
      </c>
      <c r="C4" s="4" t="s">
        <v>11069</v>
      </c>
      <c r="D4" s="4" t="s">
        <v>11070</v>
      </c>
      <c r="F4" s="5" t="str">
        <f>IFERROR(__xludf.DUMMYFUNCTION("GOOGLETRANSLATE(A4, ""en"", ""hi"")"),"3")</f>
        <v>3</v>
      </c>
      <c r="G4" s="5" t="str">
        <f>IFERROR(__xludf.DUMMYFUNCTION("GOOGLETRANSLATE(B4, ""en"", ""hi"")"),"गिल्ली डंडा और अन्य संस्कृतियों के समान खेलों के बीच मुख्य अंतर क्या है?")</f>
        <v>गिल्ली डंडा और अन्य संस्कृतियों के समान खेलों के बीच मुख्य अंतर क्या है?</v>
      </c>
      <c r="H4" s="5" t="str">
        <f>IFERROR(__xludf.DUMMYFUNCTION("GOOGLETRANSLATE(C4, ""en"", ""hi"")"),"A) छड़ी और गेंद का उपयोग, B) खेल की स्कोरिंग प्रणाली, C) मैदान का आकार, D) खिलाड़ियों की संख्या")</f>
        <v>A) छड़ी और गेंद का उपयोग, B) खेल की स्कोरिंग प्रणाली, C) मैदान का आकार, D) खिलाड़ियों की संख्या</v>
      </c>
      <c r="I4" s="5" t="str">
        <f>IFERROR(__xludf.DUMMYFUNCTION("GOOGLETRANSLATE(D4, ""en"", ""hi"")"),"A) एक छड़ी और एक गेंद का उपयोग")</f>
        <v>A) एक छड़ी और एक गेंद का उपयोग</v>
      </c>
    </row>
    <row r="5" ht="22.5" customHeight="1">
      <c r="A5" s="3">
        <v>4.0</v>
      </c>
      <c r="B5" s="4" t="s">
        <v>11071</v>
      </c>
      <c r="C5" s="4" t="s">
        <v>11072</v>
      </c>
      <c r="D5" s="4" t="s">
        <v>3566</v>
      </c>
      <c r="F5" s="5" t="str">
        <f>IFERROR(__xludf.DUMMYFUNCTION("GOOGLETRANSLATE(A5, ""en"", ""hi"")"),"4")</f>
        <v>4</v>
      </c>
      <c r="G5" s="5" t="str">
        <f>IFERROR(__xludf.DUMMYFUNCTION("GOOGLETRANSLATE(B5, ""en"", ""hi"")"),"ऐसा कहा जाता है कि किस प्रसिद्ध भारतीय राजा ने अपने शासनकाल के दौरान गिल्ली डंडा खेला था?")</f>
        <v>ऐसा कहा जाता है कि किस प्रसिद्ध भारतीय राजा ने अपने शासनकाल के दौरान गिल्ली डंडा खेला था?</v>
      </c>
      <c r="H5" s="5" t="str">
        <f>IFERROR(__xludf.DUMMYFUNCTION("GOOGLETRANSLATE(C5, ""en"", ""hi"")"),"ए) अशोक, बी) अकबर, सी) चंद्रगुप्त मौर्य, डी) रणजीत सिंह")</f>
        <v>ए) अशोक, बी) अकबर, सी) चंद्रगुप्त मौर्य, डी) रणजीत सिंह</v>
      </c>
      <c r="I5" s="5" t="str">
        <f>IFERROR(__xludf.DUMMYFUNCTION("GOOGLETRANSLATE(D5, ""en"", ""hi"")"),"बी) अकबर")</f>
        <v>बी) अकबर</v>
      </c>
    </row>
    <row r="6" ht="22.5" customHeight="1">
      <c r="A6" s="3">
        <v>5.0</v>
      </c>
      <c r="B6" s="4" t="s">
        <v>11073</v>
      </c>
      <c r="C6" s="4" t="s">
        <v>11074</v>
      </c>
      <c r="D6" s="4" t="s">
        <v>5523</v>
      </c>
      <c r="F6" s="5" t="str">
        <f>IFERROR(__xludf.DUMMYFUNCTION("GOOGLETRANSLATE(A6, ""en"", ""hi"")"),"5")</f>
        <v>5</v>
      </c>
      <c r="G6" s="5" t="str">
        <f>IFERROR(__xludf.DUMMYFUNCTION("GOOGLETRANSLATE(B6, ""en"", ""hi"")"),"आधुनिक सामग्रियों के प्रचलन में आने से पहले गिल्ली डंडा में 'गिल्ली' बनाने के लिए पारंपरिक रूप से किस सामग्री का उपयोग किया जाता था?")</f>
        <v>आधुनिक सामग्रियों के प्रचलन में आने से पहले गिल्ली डंडा में 'गिल्ली' बनाने के लिए पारंपरिक रूप से किस सामग्री का उपयोग किया जाता था?</v>
      </c>
      <c r="H6" s="5" t="str">
        <f>IFERROR(__xludf.DUMMYFUNCTION("GOOGLETRANSLATE(C6, ""en"", ""hi"")"),"A) लकड़ी, B) मिट्टी, C) पत्थर, D) धातु")</f>
        <v>A) लकड़ी, B) मिट्टी, C) पत्थर, D) धातु</v>
      </c>
      <c r="I6" s="5" t="str">
        <f>IFERROR(__xludf.DUMMYFUNCTION("GOOGLETRANSLATE(D6, ""en"", ""hi"")"),"एक लकड़ी")</f>
        <v>एक लकड़ी</v>
      </c>
    </row>
    <row r="7" ht="22.5" customHeight="1">
      <c r="A7" s="3">
        <v>6.0</v>
      </c>
      <c r="B7" s="4" t="s">
        <v>11075</v>
      </c>
      <c r="C7" s="4" t="s">
        <v>11076</v>
      </c>
      <c r="D7" s="4" t="s">
        <v>11077</v>
      </c>
      <c r="F7" s="5" t="str">
        <f>IFERROR(__xludf.DUMMYFUNCTION("GOOGLETRANSLATE(A7, ""en"", ""hi"")"),"6")</f>
        <v>6</v>
      </c>
      <c r="G7" s="5" t="str">
        <f>IFERROR(__xludf.DUMMYFUNCTION("GOOGLETRANSLATE(B7, ""en"", ""hi"")"),"भारत के किस क्षेत्र में गिल्ली डंडा का सबसे व्यापक पारंपरिक दस्तावेजीकरण किया गया?")</f>
        <v>भारत के किस क्षेत्र में गिल्ली डंडा का सबसे व्यापक पारंपरिक दस्तावेजीकरण किया गया?</v>
      </c>
      <c r="H7" s="5" t="str">
        <f>IFERROR(__xludf.DUMMYFUNCTION("GOOGLETRANSLATE(C7, ""en"", ""hi"")"),"A) दक्षिणी भारत, B) पश्चिमी भारत, C) उत्तरी भारत, D) पूर्वी भारत")</f>
        <v>A) दक्षिणी भारत, B) पश्चिमी भारत, C) उत्तरी भारत, D) पूर्वी भारत</v>
      </c>
      <c r="I7" s="5" t="str">
        <f>IFERROR(__xludf.DUMMYFUNCTION("GOOGLETRANSLATE(D7, ""en"", ""hi"")"),"C) उत्तरी भारत")</f>
        <v>C) उत्तरी भारत</v>
      </c>
    </row>
    <row r="8" ht="22.5" customHeight="1">
      <c r="A8" s="3">
        <v>7.0</v>
      </c>
      <c r="B8" s="4" t="s">
        <v>11078</v>
      </c>
      <c r="C8" s="4" t="s">
        <v>11079</v>
      </c>
      <c r="D8" s="4" t="s">
        <v>11080</v>
      </c>
      <c r="F8" s="5" t="str">
        <f>IFERROR(__xludf.DUMMYFUNCTION("GOOGLETRANSLATE(A8, ""en"", ""hi"")"),"7")</f>
        <v>7</v>
      </c>
      <c r="G8" s="5" t="str">
        <f>IFERROR(__xludf.DUMMYFUNCTION("GOOGLETRANSLATE(B8, ""en"", ""hi"")"),"किस औपनिवेशिक युग के खेल की तुलना अक्सर गेमप्ले में समानता के कारण गिल्ली डंडा से की जाती है?")</f>
        <v>किस औपनिवेशिक युग के खेल की तुलना अक्सर गेमप्ले में समानता के कारण गिल्ली डंडा से की जाती है?</v>
      </c>
      <c r="H8" s="5" t="str">
        <f>IFERROR(__xludf.DUMMYFUNCTION("GOOGLETRANSLATE(C8, ""en"", ""hi"")"),"A) क्रिकेट, B) बेसबॉल, C) टेनिस, D) फुटबॉल")</f>
        <v>A) क्रिकेट, B) बेसबॉल, C) टेनिस, D) फुटबॉल</v>
      </c>
      <c r="I8" s="5" t="str">
        <f>IFERROR(__xludf.DUMMYFUNCTION("GOOGLETRANSLATE(D8, ""en"", ""hi"")"),"बी) बेसबॉल")</f>
        <v>बी) बेसबॉल</v>
      </c>
    </row>
    <row r="9" ht="22.5" customHeight="1">
      <c r="A9" s="3">
        <v>8.0</v>
      </c>
      <c r="B9" s="4" t="s">
        <v>11081</v>
      </c>
      <c r="C9" s="4" t="s">
        <v>11082</v>
      </c>
      <c r="D9" s="4" t="s">
        <v>11083</v>
      </c>
      <c r="F9" s="5" t="str">
        <f>IFERROR(__xludf.DUMMYFUNCTION("GOOGLETRANSLATE(A9, ""en"", ""hi"")"),"8")</f>
        <v>8</v>
      </c>
      <c r="G9" s="5" t="str">
        <f>IFERROR(__xludf.DUMMYFUNCTION("GOOGLETRANSLATE(B9, ""en"", ""hi"")"),"आधुनिक खेलों के आगमन से पहले ग्रामीण भारत के सांस्कृतिक जीवन में गिल्ली डंडा की क्या भूमिका थी?")</f>
        <v>आधुनिक खेलों के आगमन से पहले ग्रामीण भारत के सांस्कृतिक जीवन में गिल्ली डंडा की क्या भूमिका थी?</v>
      </c>
      <c r="H9" s="5" t="str">
        <f>IFERROR(__xludf.DUMMYFUNCTION("GOOGLETRANSLATE(C9, ""en"", ""hi"")"),"A) शारीरिक शिक्षा के रूप में, B) अनुष्ठानिक खेल के रूप में, C) त्योहारों के दौरान मनोरंजन के रूप में, D) सैन्य प्रशिक्षण के साधन के रूप में")</f>
        <v>A) शारीरिक शिक्षा के रूप में, B) अनुष्ठानिक खेल के रूप में, C) त्योहारों के दौरान मनोरंजन के रूप में, D) सैन्य प्रशिक्षण के साधन के रूप में</v>
      </c>
      <c r="I9" s="5" t="str">
        <f>IFERROR(__xludf.DUMMYFUNCTION("GOOGLETRANSLATE(D9, ""en"", ""hi"")"),"C) त्योहारों के दौरान मनोरंजन के रूप में")</f>
        <v>C) त्योहारों के दौरान मनोरंजन के रूप में</v>
      </c>
    </row>
    <row r="10" ht="22.5" customHeight="1">
      <c r="A10" s="3">
        <v>9.0</v>
      </c>
      <c r="B10" s="4" t="s">
        <v>11084</v>
      </c>
      <c r="C10" s="4" t="s">
        <v>11085</v>
      </c>
      <c r="D10" s="4" t="s">
        <v>11086</v>
      </c>
      <c r="F10" s="5" t="str">
        <f>IFERROR(__xludf.DUMMYFUNCTION("GOOGLETRANSLATE(A10, ""en"", ""hi"")"),"9")</f>
        <v>9</v>
      </c>
      <c r="G10" s="5" t="str">
        <f>IFERROR(__xludf.DUMMYFUNCTION("GOOGLETRANSLATE(B10, ""en"", ""hi"")"),"किस ऐतिहासिक व्यक्ति ने प्राचीन भारतीय पांडुलिपियों में गिल्ली डंडा के नियमों का दस्तावेजीकरण किया?")</f>
        <v>किस ऐतिहासिक व्यक्ति ने प्राचीन भारतीय पांडुलिपियों में गिल्ली डंडा के नियमों का दस्तावेजीकरण किया?</v>
      </c>
      <c r="H10" s="5" t="str">
        <f>IFERROR(__xludf.DUMMYFUNCTION("GOOGLETRANSLATE(C10, ""en"", ""hi"")"),"ए) चरक, बी) सुश्रुत, सी) पतंजलि, डी) आर्यभट्ट")</f>
        <v>ए) चरक, बी) सुश्रुत, सी) पतंजलि, डी) आर्यभट्ट</v>
      </c>
      <c r="I10" s="5" t="str">
        <f>IFERROR(__xludf.DUMMYFUNCTION("GOOGLETRANSLATE(D10, ""en"", ""hi"")"),"C) पतंजलि")</f>
        <v>C) पतंजलि</v>
      </c>
    </row>
    <row r="11" ht="22.5" customHeight="1">
      <c r="A11" s="3">
        <v>10.0</v>
      </c>
      <c r="B11" s="4" t="s">
        <v>11087</v>
      </c>
      <c r="C11" s="4" t="s">
        <v>11088</v>
      </c>
      <c r="D11" s="4" t="s">
        <v>2544</v>
      </c>
      <c r="F11" s="5" t="str">
        <f>IFERROR(__xludf.DUMMYFUNCTION("GOOGLETRANSLATE(A11, ""en"", ""hi"")"),"10")</f>
        <v>10</v>
      </c>
      <c r="G11" s="5" t="str">
        <f>IFERROR(__xludf.DUMMYFUNCTION("GOOGLETRANSLATE(B11, ""en"", ""hi"")"),"किस प्रसिद्ध भारतीय महाकाव्य में गिल्ली डंडा जैसे खेल का उल्लेख है?")</f>
        <v>किस प्रसिद्ध भारतीय महाकाव्य में गिल्ली डंडा जैसे खेल का उल्लेख है?</v>
      </c>
      <c r="H11" s="5" t="str">
        <f>IFERROR(__xludf.DUMMYFUNCTION("GOOGLETRANSLATE(C11, ""en"", ""hi"")"),"ए) भगवद गीता, बी) महाभारत, सी) रामायण, डी) मनुस्मृति")</f>
        <v>ए) भगवद गीता, बी) महाभारत, सी) रामायण, डी) मनुस्मृति</v>
      </c>
      <c r="I11" s="5" t="str">
        <f>IFERROR(__xludf.DUMMYFUNCTION("GOOGLETRANSLATE(D11, ""en"", ""hi"")"),"बी) महाभारत")</f>
        <v>बी) महाभारत</v>
      </c>
    </row>
    <row r="12" ht="22.5" customHeight="1">
      <c r="A12" s="3">
        <v>11.0</v>
      </c>
      <c r="B12" s="4" t="s">
        <v>11089</v>
      </c>
      <c r="C12" s="4" t="s">
        <v>11090</v>
      </c>
      <c r="D12" s="4" t="s">
        <v>11091</v>
      </c>
      <c r="F12" s="5" t="str">
        <f>IFERROR(__xludf.DUMMYFUNCTION("GOOGLETRANSLATE(A12, ""en"", ""hi"")"),"11")</f>
        <v>11</v>
      </c>
      <c r="G12" s="5" t="str">
        <f>IFERROR(__xludf.DUMMYFUNCTION("GOOGLETRANSLATE(B12, ""en"", ""hi"")"),"कौन सा प्राचीन भारतीय राजा अपने शाही दरबार की गतिविधियों के हिस्से के रूप में गिल्ली डंडा जैसे पारंपरिक खेलों को बढ़ावा देने के लिए जाना जाता है?")</f>
        <v>कौन सा प्राचीन भारतीय राजा अपने शाही दरबार की गतिविधियों के हिस्से के रूप में गिल्ली डंडा जैसे पारंपरिक खेलों को बढ़ावा देने के लिए जाना जाता है?</v>
      </c>
      <c r="H12" s="5" t="str">
        <f>IFERROR(__xludf.DUMMYFUNCTION("GOOGLETRANSLATE(C12, ""en"", ""hi"")"),"A) राजा हर्ष, B) राजा अशोक, C) राजा विक्रमादित्य, D) राजा चंद्रगुप्त")</f>
        <v>A) राजा हर्ष, B) राजा अशोक, C) राजा विक्रमादित्य, D) राजा चंद्रगुप्त</v>
      </c>
      <c r="I12" s="5" t="str">
        <f>IFERROR(__xludf.DUMMYFUNCTION("GOOGLETRANSLATE(D12, ""en"", ""hi"")"),"C) राजा विक्रमादित्य")</f>
        <v>C) राजा विक्रमादित्य</v>
      </c>
    </row>
    <row r="13" ht="22.5" customHeight="1">
      <c r="A13" s="3">
        <v>12.0</v>
      </c>
      <c r="B13" s="4" t="s">
        <v>11092</v>
      </c>
      <c r="C13" s="4" t="s">
        <v>11093</v>
      </c>
      <c r="D13" s="4" t="s">
        <v>11094</v>
      </c>
      <c r="F13" s="5" t="str">
        <f>IFERROR(__xludf.DUMMYFUNCTION("GOOGLETRANSLATE(A13, ""en"", ""hi"")"),"12")</f>
        <v>12</v>
      </c>
      <c r="G13" s="5" t="str">
        <f>IFERROR(__xludf.DUMMYFUNCTION("GOOGLETRANSLATE(B13, ""en"", ""hi"")"),"किस पुरातात्विक स्थल पर प्राचीन काल में गिल्ली डंडा जैसे खेलों के साक्ष्य मिले हैं?")</f>
        <v>किस पुरातात्विक स्थल पर प्राचीन काल में गिल्ली डंडा जैसे खेलों के साक्ष्य मिले हैं?</v>
      </c>
      <c r="H13" s="5" t="str">
        <f>IFERROR(__xludf.DUMMYFUNCTION("GOOGLETRANSLATE(C13, ""en"", ""hi"")"),"ए) मोहनजो-दारो, बी) हड़प्पा, सी) लोथल, डी) राखीगढ़ी")</f>
        <v>ए) मोहनजो-दारो, बी) हड़प्पा, सी) लोथल, डी) राखीगढ़ी</v>
      </c>
      <c r="I13" s="5" t="str">
        <f>IFERROR(__xludf.DUMMYFUNCTION("GOOGLETRANSLATE(D13, ""en"", ""hi"")"),"ए) मोहनजो-दारो")</f>
        <v>ए) मोहनजो-दारो</v>
      </c>
    </row>
    <row r="14" ht="22.5" customHeight="1">
      <c r="A14" s="3">
        <v>13.0</v>
      </c>
      <c r="B14" s="4" t="s">
        <v>11095</v>
      </c>
      <c r="C14" s="4" t="s">
        <v>11096</v>
      </c>
      <c r="D14" s="4" t="s">
        <v>11097</v>
      </c>
      <c r="F14" s="5" t="str">
        <f>IFERROR(__xludf.DUMMYFUNCTION("GOOGLETRANSLATE(A14, ""en"", ""hi"")"),"13")</f>
        <v>13</v>
      </c>
      <c r="G14" s="5" t="str">
        <f>IFERROR(__xludf.DUMMYFUNCTION("GOOGLETRANSLATE(B14, ""en"", ""hi"")"),"त्योहारों के दौरान गिल्ली डंडा से संबंधित ग्रामीण समुदायों में आम प्रथा क्या थी?")</f>
        <v>त्योहारों के दौरान गिल्ली डंडा से संबंधित ग्रामीण समुदायों में आम प्रथा क्या थी?</v>
      </c>
      <c r="H14" s="5" t="str">
        <f>IFERROR(__xludf.DUMMYFUNCTION("GOOGLETRANSLATE(C14, ""en"", ""hi"")"),"A) टूर्नामेंट आयोजित करना, B) इसे पुरस्कार के रूप में देना, C) इसे धार्मिक अनुष्ठानों में उपयोग करना, D) इसे मंदिरों में प्रदर्शित करना")</f>
        <v>A) टूर्नामेंट आयोजित करना, B) इसे पुरस्कार के रूप में देना, C) इसे धार्मिक अनुष्ठानों में उपयोग करना, D) इसे मंदिरों में प्रदर्शित करना</v>
      </c>
      <c r="I14" s="5" t="str">
        <f>IFERROR(__xludf.DUMMYFUNCTION("GOOGLETRANSLATE(D14, ""en"", ""hi"")"),"ए) टूर्नामेंट का आयोजन")</f>
        <v>ए) टूर्नामेंट का आयोजन</v>
      </c>
    </row>
    <row r="15" ht="22.5" customHeight="1">
      <c r="A15" s="3">
        <v>14.0</v>
      </c>
      <c r="B15" s="4" t="s">
        <v>11098</v>
      </c>
      <c r="C15" s="4" t="s">
        <v>4118</v>
      </c>
      <c r="D15" s="4" t="s">
        <v>4433</v>
      </c>
      <c r="F15" s="5" t="str">
        <f>IFERROR(__xludf.DUMMYFUNCTION("GOOGLETRANSLATE(A15, ""en"", ""hi"")"),"14")</f>
        <v>14</v>
      </c>
      <c r="G15" s="5" t="str">
        <f>IFERROR(__xludf.DUMMYFUNCTION("GOOGLETRANSLATE(B15, ""en"", ""hi"")"),"कौन सा पारंपरिक भारतीय त्यौहार गिल्ली डंडा को अपने उत्सव के एक भाग के रूप में मनाने के लिए जाना जाता है?")</f>
        <v>कौन सा पारंपरिक भारतीय त्यौहार गिल्ली डंडा को अपने उत्सव के एक भाग के रूप में मनाने के लिए जाना जाता है?</v>
      </c>
      <c r="H15" s="5" t="str">
        <f>IFERROR(__xludf.DUMMYFUNCTION("GOOGLETRANSLATE(C15, ""en"", ""hi"")"),"ए) दिवाली, बी) होली, सी) पोंगल, डी) मकर संक्रांति")</f>
        <v>ए) दिवाली, बी) होली, सी) पोंगल, डी) मकर संक्रांति</v>
      </c>
      <c r="I15" s="5" t="str">
        <f>IFERROR(__xludf.DUMMYFUNCTION("GOOGLETRANSLATE(D15, ""en"", ""hi"")"),"बी) होली")</f>
        <v>बी) होली</v>
      </c>
    </row>
    <row r="16" ht="22.5" customHeight="1">
      <c r="A16" s="3">
        <v>15.0</v>
      </c>
      <c r="B16" s="4" t="s">
        <v>11099</v>
      </c>
      <c r="C16" s="4" t="s">
        <v>11100</v>
      </c>
      <c r="D16" s="4" t="s">
        <v>11101</v>
      </c>
      <c r="F16" s="5" t="str">
        <f>IFERROR(__xludf.DUMMYFUNCTION("GOOGLETRANSLATE(A16, ""en"", ""hi"")"),"15")</f>
        <v>15</v>
      </c>
      <c r="G16" s="5" t="str">
        <f>IFERROR(__xludf.DUMMYFUNCTION("GOOGLETRANSLATE(B16, ""en"", ""hi"")"),"ब्रिटिश औपनिवेशिक शासन का भारत में गिल्ली डंडा की लोकप्रियता पर क्या प्रभाव पड़ा?")</f>
        <v>ब्रिटिश औपनिवेशिक शासन का भारत में गिल्ली डंडा की लोकप्रियता पर क्या प्रभाव पड़ा?</v>
      </c>
      <c r="H16" s="5" t="str">
        <f>IFERROR(__xludf.DUMMYFUNCTION("GOOGLETRANSLATE(C16, ""en"", ""hi"")"),"A) लोकप्रियता में वृद्धि, B) लोकप्रियता में कमी, C) कोई प्रभाव नहीं, D) नए नियमों का परिचय")</f>
        <v>A) लोकप्रियता में वृद्धि, B) लोकप्रियता में कमी, C) कोई प्रभाव नहीं, D) नए नियमों का परिचय</v>
      </c>
      <c r="I16" s="5" t="str">
        <f>IFERROR(__xludf.DUMMYFUNCTION("GOOGLETRANSLATE(D16, ""en"", ""hi"")"),"बी) लोकप्रियता में कमी")</f>
        <v>बी) लोकप्रियता में कमी</v>
      </c>
    </row>
    <row r="17" ht="22.5" customHeight="1">
      <c r="A17" s="3">
        <v>16.0</v>
      </c>
      <c r="B17" s="4" t="s">
        <v>11102</v>
      </c>
      <c r="C17" s="4" t="s">
        <v>11103</v>
      </c>
      <c r="D17" s="4" t="s">
        <v>842</v>
      </c>
      <c r="F17" s="5" t="str">
        <f>IFERROR(__xludf.DUMMYFUNCTION("GOOGLETRANSLATE(A17, ""en"", ""hi"")"),"16")</f>
        <v>16</v>
      </c>
      <c r="G17" s="5" t="str">
        <f>IFERROR(__xludf.DUMMYFUNCTION("GOOGLETRANSLATE(B17, ""en"", ""hi"")"),"भारत में किस क्षेत्र को गिल्ली डंडा में रुचि के आधुनिक पुनरुत्थान का श्रेय दिया जाता है?")</f>
        <v>भारत में किस क्षेत्र को गिल्ली डंडा में रुचि के आधुनिक पुनरुत्थान का श्रेय दिया जाता है?</v>
      </c>
      <c r="H17" s="5" t="str">
        <f>IFERROR(__xludf.DUMMYFUNCTION("GOOGLETRANSLATE(C17, ""en"", ""hi"")"),"ए) उत्तर प्रदेश, बी) पंजाब, सी) महाराष्ट्र, डी) कर्नाटक")</f>
        <v>ए) उत्तर प्रदेश, बी) पंजाब, सी) महाराष्ट्र, डी) कर्नाटक</v>
      </c>
      <c r="I17" s="5" t="str">
        <f>IFERROR(__xludf.DUMMYFUNCTION("GOOGLETRANSLATE(D17, ""en"", ""hi"")"),"C) महाराष्ट्र")</f>
        <v>C) महाराष्ट्र</v>
      </c>
    </row>
    <row r="18" ht="22.5" customHeight="1">
      <c r="A18" s="3">
        <v>17.0</v>
      </c>
      <c r="B18" s="4" t="s">
        <v>11104</v>
      </c>
      <c r="C18" s="4" t="s">
        <v>11105</v>
      </c>
      <c r="D18" s="4" t="s">
        <v>11106</v>
      </c>
      <c r="F18" s="5" t="str">
        <f>IFERROR(__xludf.DUMMYFUNCTION("GOOGLETRANSLATE(A18, ""en"", ""hi"")"),"17")</f>
        <v>17</v>
      </c>
      <c r="G18" s="5" t="str">
        <f>IFERROR(__xludf.DUMMYFUNCTION("GOOGLETRANSLATE(B18, ""en"", ""hi"")"),"20वीं सदी के दौरान शहरी क्षेत्रों में गिल्ली डंडा के पतन का मुख्य कारण क्या था?")</f>
        <v>20वीं सदी के दौरान शहरी क्षेत्रों में गिल्ली डंडा के पतन का मुख्य कारण क्या था?</v>
      </c>
      <c r="H18" s="5" t="str">
        <f>IFERROR(__xludf.DUMMYFUNCTION("GOOGLETRANSLATE(C18, ""en"", ""hi"")"),"A) आधुनिक खेलों का उदय, B) रुचि की कमी, C) जीवनशैली में परिवर्तन, D) सरकारी नियम")</f>
        <v>A) आधुनिक खेलों का उदय, B) रुचि की कमी, C) जीवनशैली में परिवर्तन, D) सरकारी नियम</v>
      </c>
      <c r="I18" s="5" t="str">
        <f>IFERROR(__xludf.DUMMYFUNCTION("GOOGLETRANSLATE(D18, ""en"", ""hi"")"),"A) आधुनिक खेलों का उदय")</f>
        <v>A) आधुनिक खेलों का उदय</v>
      </c>
    </row>
    <row r="19" ht="22.5" customHeight="1">
      <c r="A19" s="3">
        <v>18.0</v>
      </c>
      <c r="B19" s="4" t="s">
        <v>11107</v>
      </c>
      <c r="C19" s="4" t="s">
        <v>11108</v>
      </c>
      <c r="D19" s="4" t="s">
        <v>11109</v>
      </c>
      <c r="F19" s="5" t="str">
        <f>IFERROR(__xludf.DUMMYFUNCTION("GOOGLETRANSLATE(A19, ""en"", ""hi"")"),"18")</f>
        <v>18</v>
      </c>
      <c r="G19" s="5" t="str">
        <f>IFERROR(__xludf.DUMMYFUNCTION("GOOGLETRANSLATE(B19, ""en"", ""hi"")"),"किस भारतीय खेल संगठन ने गिल्ली डंडा जैसे पारंपरिक खेलों को संरक्षित और बढ़ावा देने के लिए काम किया है?")</f>
        <v>किस भारतीय खेल संगठन ने गिल्ली डंडा जैसे पारंपरिक खेलों को संरक्षित और बढ़ावा देने के लिए काम किया है?</v>
      </c>
      <c r="H19" s="5" t="str">
        <f>IFERROR(__xludf.DUMMYFUNCTION("GOOGLETRANSLATE(C19, ""en"", ""hi"")"),"A) भारतीय खेल प्राधिकरण, B) भारतीय ओलंपिक संघ, C) राष्ट्रीय स्कूल खेल महासंघ, D) भारतीय पारंपरिक खेल महासंघ")</f>
        <v>A) भारतीय खेल प्राधिकरण, B) भारतीय ओलंपिक संघ, C) राष्ट्रीय स्कूल खेल महासंघ, D) भारतीय पारंपरिक खेल महासंघ</v>
      </c>
      <c r="I19" s="5" t="str">
        <f>IFERROR(__xludf.DUMMYFUNCTION("GOOGLETRANSLATE(D19, ""en"", ""hi"")"),"D) भारतीय पारंपरिक खेल महासंघ")</f>
        <v>D) भारतीय पारंपरिक खेल महासंघ</v>
      </c>
    </row>
    <row r="20" ht="22.5" customHeight="1">
      <c r="A20" s="3">
        <v>19.0</v>
      </c>
      <c r="B20" s="4" t="s">
        <v>11110</v>
      </c>
      <c r="C20" s="4" t="s">
        <v>9562</v>
      </c>
      <c r="D20" s="4" t="s">
        <v>11111</v>
      </c>
      <c r="F20" s="5" t="str">
        <f>IFERROR(__xludf.DUMMYFUNCTION("GOOGLETRANSLATE(A20, ""en"", ""hi"")"),"19")</f>
        <v>19</v>
      </c>
      <c r="G20" s="5" t="str">
        <f>IFERROR(__xludf.DUMMYFUNCTION("GOOGLETRANSLATE(B20, ""en"", ""hi"")"),"गिल्ली डंडा में 'डंडा' बनाने के लिए पारंपरिक रूप से किस प्रकार की लकड़ी का उपयोग किया जाता था?")</f>
        <v>गिल्ली डंडा में 'डंडा' बनाने के लिए पारंपरिक रूप से किस प्रकार की लकड़ी का उपयोग किया जाता था?</v>
      </c>
      <c r="H20" s="5" t="str">
        <f>IFERROR(__xludf.DUMMYFUNCTION("GOOGLETRANSLATE(C20, ""en"", ""hi"")"),"A) बांस, B) सागौन, C) शीशम, D) चंदन")</f>
        <v>A) बांस, B) सागौन, C) शीशम, D) चंदन</v>
      </c>
      <c r="I20" s="5" t="str">
        <f>IFERROR(__xludf.DUMMYFUNCTION("GOOGLETRANSLATE(D20, ""en"", ""hi"")"),"बी) सागौन")</f>
        <v>बी) सागौन</v>
      </c>
    </row>
    <row r="21" ht="22.5" customHeight="1">
      <c r="A21" s="3">
        <v>20.0</v>
      </c>
      <c r="B21" s="4" t="s">
        <v>11112</v>
      </c>
      <c r="C21" s="4" t="s">
        <v>11113</v>
      </c>
      <c r="D21" s="4" t="s">
        <v>2616</v>
      </c>
      <c r="F21" s="5" t="str">
        <f>IFERROR(__xludf.DUMMYFUNCTION("GOOGLETRANSLATE(A21, ""en"", ""hi"")"),"20")</f>
        <v>20</v>
      </c>
      <c r="G21" s="5" t="str">
        <f>IFERROR(__xludf.DUMMYFUNCTION("GOOGLETRANSLATE(B21, ""en"", ""hi"")"),"कौन सा ऐतिहासिक ग्रंथ गिल्ली डंडा सहित पारंपरिक भारतीय खेलों के नियमों और सांस्कृतिक महत्व पर चर्चा करता है?")</f>
        <v>कौन सा ऐतिहासिक ग्रंथ गिल्ली डंडा सहित पारंपरिक भारतीय खेलों के नियमों और सांस्कृतिक महत्व पर चर्चा करता है?</v>
      </c>
      <c r="H21" s="5" t="str">
        <f>IFERROR(__xludf.DUMMYFUNCTION("GOOGLETRANSLATE(C21, ""en"", ""hi"")"),"ए) अर्थशास्त्र, बी) मनुस्मृति, सी) सुश्रुत संहिता, डी) वात्स्यायन का कामसूत्र")</f>
        <v>ए) अर्थशास्त्र, बी) मनुस्मृति, सी) सुश्रुत संहिता, डी) वात्स्यायन का कामसूत्र</v>
      </c>
      <c r="I21" s="5" t="str">
        <f>IFERROR(__xludf.DUMMYFUNCTION("GOOGLETRANSLATE(D21, ""en"", ""hi"")"),"A) अर्थशास्त्र")</f>
        <v>A) अर्थशास्त्र</v>
      </c>
    </row>
    <row r="22" ht="22.5" customHeight="1">
      <c r="A22" s="3">
        <v>21.0</v>
      </c>
      <c r="B22" s="4" t="s">
        <v>11114</v>
      </c>
      <c r="C22" s="4" t="s">
        <v>11115</v>
      </c>
      <c r="D22" s="4" t="s">
        <v>11116</v>
      </c>
      <c r="F22" s="5" t="str">
        <f>IFERROR(__xludf.DUMMYFUNCTION("GOOGLETRANSLATE(A22, ""en"", ""hi"")"),"21")</f>
        <v>21</v>
      </c>
      <c r="G22" s="5" t="str">
        <f>IFERROR(__xludf.DUMMYFUNCTION("GOOGLETRANSLATE(B22, ""en"", ""hi"")"),"किस प्रसिद्ध भारतीय कवि और नाटककार ने गिल्ली डंडा जैसे पारंपरिक खेलों के बारे में लिखा?")</f>
        <v>किस प्रसिद्ध भारतीय कवि और नाटककार ने गिल्ली डंडा जैसे पारंपरिक खेलों के बारे में लिखा?</v>
      </c>
      <c r="H22" s="5" t="str">
        <f>IFERROR(__xludf.DUMMYFUNCTION("GOOGLETRANSLATE(C22, ""en"", ""hi"")"),"ए) कालिदास, बी) कबीर, सी) तुलसीदास, डी) सूरदास")</f>
        <v>ए) कालिदास, बी) कबीर, सी) तुलसीदास, डी) सूरदास</v>
      </c>
      <c r="I22" s="5" t="str">
        <f>IFERROR(__xludf.DUMMYFUNCTION("GOOGLETRANSLATE(D22, ""en"", ""hi"")"),"A) कालिदास")</f>
        <v>A) कालिदास</v>
      </c>
    </row>
    <row r="23" ht="22.5" customHeight="1">
      <c r="A23" s="3">
        <v>22.0</v>
      </c>
      <c r="B23" s="4" t="s">
        <v>11117</v>
      </c>
      <c r="C23" s="4" t="s">
        <v>11118</v>
      </c>
      <c r="D23" s="4" t="s">
        <v>11119</v>
      </c>
      <c r="F23" s="5" t="str">
        <f>IFERROR(__xludf.DUMMYFUNCTION("GOOGLETRANSLATE(A23, ""en"", ""hi"")"),"22")</f>
        <v>22</v>
      </c>
      <c r="G23" s="5" t="str">
        <f>IFERROR(__xludf.DUMMYFUNCTION("GOOGLETRANSLATE(B23, ""en"", ""hi"")"),"ब्रिटिश उपनिवेशवादियों ने गिल्ली डंडा जैसे पारंपरिक खेलों का किस प्रकार दस्तावेजीकरण किया या उनमें संशोधन किया?")</f>
        <v>ब्रिटिश उपनिवेशवादियों ने गिल्ली डंडा जैसे पारंपरिक खेलों का किस प्रकार दस्तावेजीकरण किया या उनमें संशोधन किया?</v>
      </c>
      <c r="H23" s="5" t="str">
        <f>IFERROR(__xludf.DUMMYFUNCTION("GOOGLETRANSLATE(C23, ""en"", ""hi"")"),"A) नियमों को औपचारिक रूप देकर, B) उन्हें स्कूल के पाठ्यक्रम में शामिल करके, C) उन्हें सांस्कृतिक प्रदर्शनियों के रूप में बढ़ावा देकर, D) उन्हें औपनिवेशिक अभिलेखों में दर्ज करके")</f>
        <v>A) नियमों को औपचारिक रूप देकर, B) उन्हें स्कूल के पाठ्यक्रम में शामिल करके, C) उन्हें सांस्कृतिक प्रदर्शनियों के रूप में बढ़ावा देकर, D) उन्हें औपनिवेशिक अभिलेखों में दर्ज करके</v>
      </c>
      <c r="I23" s="5" t="str">
        <f>IFERROR(__xludf.DUMMYFUNCTION("GOOGLETRANSLATE(D23, ""en"", ""hi"")"),"D) औपनिवेशिक अभिलेखों में उनका दस्तावेजीकरण करके")</f>
        <v>D) औपनिवेशिक अभिलेखों में उनका दस्तावेजीकरण करके</v>
      </c>
    </row>
    <row r="24" ht="22.5" customHeight="1">
      <c r="A24" s="3">
        <v>23.0</v>
      </c>
      <c r="B24" s="4" t="s">
        <v>11120</v>
      </c>
      <c r="C24" s="4" t="s">
        <v>11121</v>
      </c>
      <c r="D24" s="4" t="s">
        <v>28</v>
      </c>
      <c r="F24" s="5" t="str">
        <f>IFERROR(__xludf.DUMMYFUNCTION("GOOGLETRANSLATE(A24, ""en"", ""hi"")"),"23")</f>
        <v>23</v>
      </c>
      <c r="G24" s="5" t="str">
        <f>IFERROR(__xludf.DUMMYFUNCTION("GOOGLETRANSLATE(B24, ""en"", ""hi"")"),"भारत के अलावा किस दक्षिण एशियाई देश में गिल्ली डंडा का एक प्रकार 'सतोलिया' के नाम से जाना जाता है?")</f>
        <v>भारत के अलावा किस दक्षिण एशियाई देश में गिल्ली डंडा का एक प्रकार 'सतोलिया' के नाम से जाना जाता है?</v>
      </c>
      <c r="H24" s="5" t="str">
        <f>IFERROR(__xludf.DUMMYFUNCTION("GOOGLETRANSLATE(C24, ""en"", ""hi"")"),"A) बांग्लादेश, B) पाकिस्तान, C) नेपाल, D) श्रीलंका")</f>
        <v>A) बांग्लादेश, B) पाकिस्तान, C) नेपाल, D) श्रीलंका</v>
      </c>
      <c r="I24" s="5" t="str">
        <f>IFERROR(__xludf.DUMMYFUNCTION("GOOGLETRANSLATE(D24, ""en"", ""hi"")"),"बी) पाकिस्तान")</f>
        <v>बी) पाकिस्तान</v>
      </c>
    </row>
    <row r="25" ht="22.5" customHeight="1">
      <c r="A25" s="3">
        <v>24.0</v>
      </c>
      <c r="B25" s="4" t="s">
        <v>11122</v>
      </c>
      <c r="C25" s="4" t="s">
        <v>11123</v>
      </c>
      <c r="D25" s="4" t="s">
        <v>11124</v>
      </c>
      <c r="F25" s="5" t="str">
        <f>IFERROR(__xludf.DUMMYFUNCTION("GOOGLETRANSLATE(A25, ""en"", ""hi"")"),"24")</f>
        <v>24</v>
      </c>
      <c r="G25" s="5" t="str">
        <f>IFERROR(__xludf.DUMMYFUNCTION("GOOGLETRANSLATE(B25, ""en"", ""hi"")"),"खेल बनने से पहले पारंपरिक भारतीय गांवों में गिल्ली और डंडा का प्राथमिक उपयोग क्या था?")</f>
        <v>खेल बनने से पहले पारंपरिक भारतीय गांवों में गिल्ली और डंडा का प्राथमिक उपयोग क्या था?</v>
      </c>
      <c r="H25" s="5" t="str">
        <f>IFERROR(__xludf.DUMMYFUNCTION("GOOGLETRANSLATE(C25, ""en"", ""hi"")"),"A) शैक्षिक उद्देश्य, B) अनुष्ठानिक उपयोग, C) संचार उपकरण, D) सैन्य प्रशिक्षण")</f>
        <v>A) शैक्षिक उद्देश्य, B) अनुष्ठानिक उपयोग, C) संचार उपकरण, D) सैन्य प्रशिक्षण</v>
      </c>
      <c r="I25" s="5" t="str">
        <f>IFERROR(__xludf.DUMMYFUNCTION("GOOGLETRANSLATE(D25, ""en"", ""hi"")"),"बी) अनुष्ठानिक उपयोग")</f>
        <v>बी) अनुष्ठानिक उपयोग</v>
      </c>
    </row>
    <row r="26" ht="22.5" customHeight="1">
      <c r="A26" s="3">
        <v>25.0</v>
      </c>
      <c r="B26" s="4" t="s">
        <v>11125</v>
      </c>
      <c r="C26" s="4" t="s">
        <v>11126</v>
      </c>
      <c r="D26" s="4" t="s">
        <v>11127</v>
      </c>
      <c r="F26" s="5" t="str">
        <f>IFERROR(__xludf.DUMMYFUNCTION("GOOGLETRANSLATE(A26, ""en"", ""hi"")"),"25")</f>
        <v>25</v>
      </c>
      <c r="G26" s="5" t="str">
        <f>IFERROR(__xludf.DUMMYFUNCTION("GOOGLETRANSLATE(B26, ""en"", ""hi"")"),"कौन सा ऐतिहासिक भारतीय राजवंश गिल्ली डंडा सहित विभिन्न खेलों के संरक्षण के लिए जाना जाता है?")</f>
        <v>कौन सा ऐतिहासिक भारतीय राजवंश गिल्ली डंडा सहित विभिन्न खेलों के संरक्षण के लिए जाना जाता है?</v>
      </c>
      <c r="H26" s="5" t="str">
        <f>IFERROR(__xludf.DUMMYFUNCTION("GOOGLETRANSLATE(C26, ""en"", ""hi"")"),"A) चोल वंश, B) मुगल वंश, C) मराठा वंश, D) राजपूत वंश")</f>
        <v>A) चोल वंश, B) मुगल वंश, C) मराठा वंश, D) राजपूत वंश</v>
      </c>
      <c r="I26" s="5" t="str">
        <f>IFERROR(__xludf.DUMMYFUNCTION("GOOGLETRANSLATE(D26, ""en"", ""hi"")"),"बी) मुगल राजवंश")</f>
        <v>बी) मुगल राजवंश</v>
      </c>
    </row>
    <row r="27" ht="22.5" customHeight="1">
      <c r="A27" s="3">
        <v>26.0</v>
      </c>
      <c r="B27" s="4" t="s">
        <v>11128</v>
      </c>
      <c r="C27" s="4" t="s">
        <v>11129</v>
      </c>
      <c r="D27" s="4" t="s">
        <v>11130</v>
      </c>
      <c r="F27" s="5" t="str">
        <f>IFERROR(__xludf.DUMMYFUNCTION("GOOGLETRANSLATE(A27, ""en"", ""hi"")"),"26")</f>
        <v>26</v>
      </c>
      <c r="G27" s="5" t="str">
        <f>IFERROR(__xludf.DUMMYFUNCTION("GOOGLETRANSLATE(B27, ""en"", ""hi"")"),"भारत में गिल्ली डंडा जैसे पारंपरिक खेलों पर औद्योगीकरण का क्या प्रभाव पड़ा?")</f>
        <v>भारत में गिल्ली डंडा जैसे पारंपरिक खेलों पर औद्योगीकरण का क्या प्रभाव पड़ा?</v>
      </c>
      <c r="H27" s="5" t="str">
        <f>IFERROR(__xludf.DUMMYFUNCTION("GOOGLETRANSLATE(C27, ""en"", ""hi"")"),"A) भागीदारी में वृद्धि, B) भागीदारी में कमी, C) नए नियमों का परिचय, D) मीडिया में अधिक दृश्यता")</f>
        <v>A) भागीदारी में वृद्धि, B) भागीदारी में कमी, C) नए नियमों का परिचय, D) मीडिया में अधिक दृश्यता</v>
      </c>
      <c r="I27" s="5" t="str">
        <f>IFERROR(__xludf.DUMMYFUNCTION("GOOGLETRANSLATE(D27, ""en"", ""hi"")"),"बी) भागीदारी में कमी")</f>
        <v>बी) भागीदारी में कमी</v>
      </c>
    </row>
    <row r="28" ht="22.5" customHeight="1">
      <c r="A28" s="3">
        <v>27.0</v>
      </c>
      <c r="B28" s="4" t="s">
        <v>11131</v>
      </c>
      <c r="C28" s="4" t="s">
        <v>11132</v>
      </c>
      <c r="D28" s="4" t="s">
        <v>11133</v>
      </c>
      <c r="F28" s="5" t="str">
        <f>IFERROR(__xludf.DUMMYFUNCTION("GOOGLETRANSLATE(A28, ""en"", ""hi"")"),"27")</f>
        <v>27</v>
      </c>
      <c r="G28" s="5" t="str">
        <f>IFERROR(__xludf.DUMMYFUNCTION("GOOGLETRANSLATE(B28, ""en"", ""hi"")"),"गिल्ली डंडा पहली बार भारतीय लोक साहित्य में किस वर्ष आया?")</f>
        <v>गिल्ली डंडा पहली बार भारतीय लोक साहित्य में किस वर्ष आया?</v>
      </c>
      <c r="H28" s="5" t="str">
        <f>IFERROR(__xludf.DUMMYFUNCTION("GOOGLETRANSLATE(C28, ""en"", ""hi"")"),"A) 500 ईसा पूर्व, B) 200 ईसा पूर्व, C) 500 ईस्वी, D) 1000 ईस्वी")</f>
        <v>A) 500 ईसा पूर्व, B) 200 ईसा पूर्व, C) 500 ईस्वी, D) 1000 ईस्वी</v>
      </c>
      <c r="I28" s="5" t="str">
        <f>IFERROR(__xludf.DUMMYFUNCTION("GOOGLETRANSLATE(D28, ""en"", ""hi"")"),"सी) 500 ईस्वी")</f>
        <v>सी) 500 ईस्वी</v>
      </c>
    </row>
    <row r="29" ht="22.5" customHeight="1">
      <c r="A29" s="3">
        <v>28.0</v>
      </c>
      <c r="B29" s="4" t="s">
        <v>11134</v>
      </c>
      <c r="C29" s="4" t="s">
        <v>11135</v>
      </c>
      <c r="D29" s="4" t="s">
        <v>11136</v>
      </c>
      <c r="F29" s="5" t="str">
        <f>IFERROR(__xludf.DUMMYFUNCTION("GOOGLETRANSLATE(A29, ""en"", ""hi"")"),"28")</f>
        <v>28</v>
      </c>
      <c r="G29" s="5" t="str">
        <f>IFERROR(__xludf.DUMMYFUNCTION("GOOGLETRANSLATE(B29, ""en"", ""hi"")"),"गिल्ली डंडा खेल में 'डंडे' का प्राथमिक कार्य क्या है?")</f>
        <v>गिल्ली डंडा खेल में 'डंडे' का प्राथमिक कार्य क्या है?</v>
      </c>
      <c r="H29" s="5" t="str">
        <f>IFERROR(__xludf.DUMMYFUNCTION("GOOGLETRANSLATE(C29, ""en"", ""hi"")"),"A) गिल्ली मारना, B) गिल्ली फेंकना, C) गिल्ली बचाना, D) दूरी मापना")</f>
        <v>A) गिल्ली मारना, B) गिल्ली फेंकना, C) गिल्ली बचाना, D) दूरी मापना</v>
      </c>
      <c r="I29" s="5" t="str">
        <f>IFERROR(__xludf.DUMMYFUNCTION("GOOGLETRANSLATE(D29, ""en"", ""hi"")"),"A) गिल्ली मारना")</f>
        <v>A) गिल्ली मारना</v>
      </c>
    </row>
    <row r="30" ht="22.5" customHeight="1">
      <c r="A30" s="3">
        <v>29.0</v>
      </c>
      <c r="B30" s="4" t="s">
        <v>11137</v>
      </c>
      <c r="C30" s="4" t="s">
        <v>11138</v>
      </c>
      <c r="D30" s="4" t="s">
        <v>4355</v>
      </c>
      <c r="F30" s="5" t="str">
        <f>IFERROR(__xludf.DUMMYFUNCTION("GOOGLETRANSLATE(A30, ""en"", ""hi"")"),"29")</f>
        <v>29</v>
      </c>
      <c r="G30" s="5" t="str">
        <f>IFERROR(__xludf.DUMMYFUNCTION("GOOGLETRANSLATE(B30, ""en"", ""hi"")"),"गिल्ली डंडा के समान कौन सा भारतीय पारंपरिक खेल समान नियमों के उपयोग के लिए जाना जाता है, लेकिन इसमें उपकरण अलग होते हैं?")</f>
        <v>गिल्ली डंडा के समान कौन सा भारतीय पारंपरिक खेल समान नियमों के उपयोग के लिए जाना जाता है, लेकिन इसमें उपकरण अलग होते हैं?</v>
      </c>
      <c r="H30" s="5" t="str">
        <f>IFERROR(__xludf.DUMMYFUNCTION("GOOGLETRANSLATE(C30, ""en"", ""hi"")"),"ए) पिट्ठू, बी) सातोलिया, सी) कब्बडी, डी) खो-खो")</f>
        <v>ए) पिट्ठू, बी) सातोलिया, सी) कब्बडी, डी) खो-खो</v>
      </c>
      <c r="I30" s="5" t="str">
        <f>IFERROR(__xludf.DUMMYFUNCTION("GOOGLETRANSLATE(D30, ""en"", ""hi"")"),"बी) सतोलिया")</f>
        <v>बी) सतोलिया</v>
      </c>
    </row>
    <row r="31" ht="22.5" customHeight="1">
      <c r="A31" s="3">
        <v>30.0</v>
      </c>
      <c r="B31" s="4" t="s">
        <v>11139</v>
      </c>
      <c r="C31" s="4" t="s">
        <v>11140</v>
      </c>
      <c r="D31" s="4" t="s">
        <v>11141</v>
      </c>
      <c r="F31" s="5" t="str">
        <f>IFERROR(__xludf.DUMMYFUNCTION("GOOGLETRANSLATE(A31, ""en"", ""hi"")"),"30")</f>
        <v>30</v>
      </c>
      <c r="G31" s="5" t="str">
        <f>IFERROR(__xludf.DUMMYFUNCTION("GOOGLETRANSLATE(B31, ""en"", ""hi"")"),"किस ब्रिटिश लेखक ने औपनिवेशिक भारत के अपने वृत्तांत में गिल्ली डंडा खेल का वर्णन किया है?")</f>
        <v>किस ब्रिटिश लेखक ने औपनिवेशिक भारत के अपने वृत्तांत में गिल्ली डंडा खेल का वर्णन किया है?</v>
      </c>
      <c r="H31" s="5" t="str">
        <f>IFERROR(__xludf.DUMMYFUNCTION("GOOGLETRANSLATE(C31, ""en"", ""hi"")"),"A) रुडयार्ड किपलिंग, B) मार्क ट्वेन, C) ई.एम. फोर्स्टर, D) जॉर्ज ऑरवेल")</f>
        <v>A) रुडयार्ड किपलिंग, B) मार्क ट्वेन, C) ई.एम. फोर्स्टर, D) जॉर्ज ऑरवेल</v>
      </c>
      <c r="I31" s="5" t="str">
        <f>IFERROR(__xludf.DUMMYFUNCTION("GOOGLETRANSLATE(D31, ""en"", ""hi"")"),"A) रुडयार्ड किपलिंग")</f>
        <v>A) रुडयार्ड किपलिंग</v>
      </c>
    </row>
    <row r="32" ht="22.5" customHeight="1">
      <c r="A32" s="3">
        <v>31.0</v>
      </c>
      <c r="B32" s="4" t="s">
        <v>11142</v>
      </c>
      <c r="C32" s="4" t="s">
        <v>11143</v>
      </c>
      <c r="D32" s="4" t="s">
        <v>11144</v>
      </c>
      <c r="F32" s="5" t="str">
        <f>IFERROR(__xludf.DUMMYFUNCTION("GOOGLETRANSLATE(A32, ""en"", ""hi"")"),"31")</f>
        <v>31</v>
      </c>
      <c r="G32" s="5" t="str">
        <f>IFERROR(__xludf.DUMMYFUNCTION("GOOGLETRANSLATE(B32, ""en"", ""hi"")"),"प्राचीन भारत में पारंपरिक अनुष्ठानों और समारोहों में 'गिल्ली' का क्या महत्व था?")</f>
        <v>प्राचीन भारत में पारंपरिक अनुष्ठानों और समारोहों में 'गिल्ली' का क्या महत्व था?</v>
      </c>
      <c r="H32" s="5" t="str">
        <f>IFERROR(__xludf.DUMMYFUNCTION("GOOGLETRANSLATE(C32, ""en"", ""hi"")"),"A) समृद्धि का प्रतीक, B) भविष्यवाणी का उपकरण, C) बलि की वस्तु, D) कहानी कहने का तत्व")</f>
        <v>A) समृद्धि का प्रतीक, B) भविष्यवाणी का उपकरण, C) बलि की वस्तु, D) कहानी कहने का तत्व</v>
      </c>
      <c r="I32" s="5" t="str">
        <f>IFERROR(__xludf.DUMMYFUNCTION("GOOGLETRANSLATE(D32, ""en"", ""hi"")"),"बी) भविष्यवाणी के लिए उपकरण")</f>
        <v>बी) भविष्यवाणी के लिए उपकरण</v>
      </c>
    </row>
    <row r="33" ht="22.5" customHeight="1">
      <c r="A33" s="3">
        <v>32.0</v>
      </c>
      <c r="B33" s="4" t="s">
        <v>11145</v>
      </c>
      <c r="C33" s="4" t="s">
        <v>11146</v>
      </c>
      <c r="D33" s="4" t="s">
        <v>3003</v>
      </c>
      <c r="F33" s="5" t="str">
        <f>IFERROR(__xludf.DUMMYFUNCTION("GOOGLETRANSLATE(A33, ""en"", ""hi"")"),"32")</f>
        <v>32</v>
      </c>
      <c r="G33" s="5" t="str">
        <f>IFERROR(__xludf.DUMMYFUNCTION("GOOGLETRANSLATE(B33, ""en"", ""hi"")"),"किस भारतीय राज्य में गिल्ली डंडा की समृद्ध परंपरा है और यह वार्षिक टूर्नामेंट आयोजित करने के लिए जाना जाता है?")</f>
        <v>किस भारतीय राज्य में गिल्ली डंडा की समृद्ध परंपरा है और यह वार्षिक टूर्नामेंट आयोजित करने के लिए जाना जाता है?</v>
      </c>
      <c r="H33" s="5" t="str">
        <f>IFERROR(__xludf.DUMMYFUNCTION("GOOGLETRANSLATE(C33, ""en"", ""hi"")"),"A) गुजरात, B) उत्तर प्रदेश, C) केरल, D) आंध्र प्रदेश")</f>
        <v>A) गुजरात, B) उत्तर प्रदेश, C) केरल, D) आंध्र प्रदेश</v>
      </c>
      <c r="I33" s="5" t="str">
        <f>IFERROR(__xludf.DUMMYFUNCTION("GOOGLETRANSLATE(D33, ""en"", ""hi"")"),"बी) उत्तर प्रदेश")</f>
        <v>बी) उत्तर प्रदेश</v>
      </c>
    </row>
    <row r="34" ht="22.5" customHeight="1">
      <c r="A34" s="3">
        <v>33.0</v>
      </c>
      <c r="B34" s="4" t="s">
        <v>11147</v>
      </c>
      <c r="C34" s="4" t="s">
        <v>11148</v>
      </c>
      <c r="D34" s="4" t="s">
        <v>11149</v>
      </c>
      <c r="F34" s="5" t="str">
        <f>IFERROR(__xludf.DUMMYFUNCTION("GOOGLETRANSLATE(A34, ""en"", ""hi"")"),"33")</f>
        <v>33</v>
      </c>
      <c r="G34" s="5" t="str">
        <f>IFERROR(__xludf.DUMMYFUNCTION("GOOGLETRANSLATE(B34, ""en"", ""hi"")"),"गिल्ली डंडा के समान कौन सा प्राचीन भारतीय खेल है जिसमें एक छोटे पत्थर पर छड़ी से प्रहार किया जाता है?")</f>
        <v>गिल्ली डंडा के समान कौन सा प्राचीन भारतीय खेल है जिसमें एक छोटे पत्थर पर छड़ी से प्रहार किया जाता है?</v>
      </c>
      <c r="H34" s="5" t="str">
        <f>IFERROR(__xludf.DUMMYFUNCTION("GOOGLETRANSLATE(C34, ""en"", ""hi"")"),"ए) लागोरी, बी) गिल्ली डंडा, सी) सातोलिया, डी) खो-खो")</f>
        <v>ए) लागोरी, बी) गिल्ली डंडा, सी) सातोलिया, डी) खो-खो</v>
      </c>
      <c r="I34" s="5" t="str">
        <f>IFERROR(__xludf.DUMMYFUNCTION("GOOGLETRANSLATE(D34, ""en"", ""hi"")"),"ए) लागोरी")</f>
        <v>ए) लागोरी</v>
      </c>
    </row>
    <row r="35" ht="22.5" customHeight="1">
      <c r="A35" s="3">
        <v>34.0</v>
      </c>
      <c r="B35" s="4" t="s">
        <v>11150</v>
      </c>
      <c r="C35" s="4" t="s">
        <v>11151</v>
      </c>
      <c r="D35" s="4" t="s">
        <v>11152</v>
      </c>
      <c r="F35" s="5" t="str">
        <f>IFERROR(__xludf.DUMMYFUNCTION("GOOGLETRANSLATE(A35, ""en"", ""hi"")"),"34")</f>
        <v>34</v>
      </c>
      <c r="G35" s="5" t="str">
        <f>IFERROR(__xludf.DUMMYFUNCTION("GOOGLETRANSLATE(B35, ""en"", ""hi"")"),"प्राचीन काल में 'गिल्ली' को अधिक टिकाऊ बनाने की पारंपरिक विधि क्या थी?")</f>
        <v>प्राचीन काल में 'गिल्ली' को अधिक टिकाऊ बनाने की पारंपरिक विधि क्या थी?</v>
      </c>
      <c r="H35" s="5" t="str">
        <f>IFERROR(__xludf.DUMMYFUNCTION("GOOGLETRANSLATE(C35, ""en"", ""hi"")"),"क) कठोर लकड़ी पर नक्काशी, ख) धातु की कोटिंग का उपयोग, ग) रस्सियों से मजबूती प्रदान करना, घ) सूर्य के प्रकाश में सुखाना")</f>
        <v>क) कठोर लकड़ी पर नक्काशी, ख) धातु की कोटिंग का उपयोग, ग) रस्सियों से मजबूती प्रदान करना, घ) सूर्य के प्रकाश में सुखाना</v>
      </c>
      <c r="I35" s="5" t="str">
        <f>IFERROR(__xludf.DUMMYFUNCTION("GOOGLETRANSLATE(D35, ""en"", ""hi"")"),"A) कठोर लकड़ी से नक्काशी")</f>
        <v>A) कठोर लकड़ी से नक्काशी</v>
      </c>
    </row>
    <row r="36" ht="22.5" customHeight="1">
      <c r="A36" s="3">
        <v>35.0</v>
      </c>
      <c r="B36" s="4" t="s">
        <v>11153</v>
      </c>
      <c r="C36" s="4" t="s">
        <v>11154</v>
      </c>
      <c r="D36" s="4" t="s">
        <v>11155</v>
      </c>
      <c r="F36" s="5" t="str">
        <f>IFERROR(__xludf.DUMMYFUNCTION("GOOGLETRANSLATE(A36, ""en"", ""hi"")"),"35")</f>
        <v>35</v>
      </c>
      <c r="G36" s="5" t="str">
        <f>IFERROR(__xludf.DUMMYFUNCTION("GOOGLETRANSLATE(B36, ""en"", ""hi"")"),"किस प्रसिद्ध भारतीय इतिहासकार ने अपनी रचनाओं में गिल्ली डंडा सहित पारंपरिक खेलों के बारे में लिखा है?")</f>
        <v>किस प्रसिद्ध भारतीय इतिहासकार ने अपनी रचनाओं में गिल्ली डंडा सहित पारंपरिक खेलों के बारे में लिखा है?</v>
      </c>
      <c r="H36" s="5" t="str">
        <f>IFERROR(__xludf.DUMMYFUNCTION("GOOGLETRANSLATE(C36, ""en"", ""hi"")"),"A) रोमिला थापर, B) इरफान हबीब, C) बिपिन चंद्रा, D) आर.सी. मजूमदार")</f>
        <v>A) रोमिला थापर, B) इरफान हबीब, C) बिपिन चंद्रा, D) आर.सी. मजूमदार</v>
      </c>
      <c r="I36" s="5" t="str">
        <f>IFERROR(__xludf.DUMMYFUNCTION("GOOGLETRANSLATE(D36, ""en"", ""hi"")"),"B) इरफान हबीब")</f>
        <v>B) इरफान हबीब</v>
      </c>
    </row>
    <row r="37" ht="22.5" customHeight="1">
      <c r="A37" s="3">
        <v>36.0</v>
      </c>
      <c r="B37" s="4" t="s">
        <v>11156</v>
      </c>
      <c r="C37" s="4" t="s">
        <v>11157</v>
      </c>
      <c r="D37" s="4" t="s">
        <v>6900</v>
      </c>
      <c r="F37" s="5" t="str">
        <f>IFERROR(__xludf.DUMMYFUNCTION("GOOGLETRANSLATE(A37, ""en"", ""hi"")"),"36")</f>
        <v>36</v>
      </c>
      <c r="G37" s="5" t="str">
        <f>IFERROR(__xludf.DUMMYFUNCTION("GOOGLETRANSLATE(B37, ""en"", ""hi"")"),"किस काल में संगठित खेलों के उदय के कारण गिल्ली डंडा जैसे पारंपरिक खेलों में गिरावट देखी गई?")</f>
        <v>किस काल में संगठित खेलों के उदय के कारण गिल्ली डंडा जैसे पारंपरिक खेलों में गिरावट देखी गई?</v>
      </c>
      <c r="H37" s="5" t="str">
        <f>IFERROR(__xludf.DUMMYFUNCTION("GOOGLETRANSLATE(C37, ""en"", ""hi"")"),"A) 19वीं शताब्दी का प्रारंभ, B) 19वीं शताब्दी का मध्य, C) 20वीं शताब्दी का प्रारंभ, D) 20वीं शताब्दी का उत्तरार्ध")</f>
        <v>A) 19वीं शताब्दी का प्रारंभ, B) 19वीं शताब्दी का मध्य, C) 20वीं शताब्दी का प्रारंभ, D) 20वीं शताब्दी का उत्तरार्ध</v>
      </c>
      <c r="I37" s="5" t="str">
        <f>IFERROR(__xludf.DUMMYFUNCTION("GOOGLETRANSLATE(D37, ""en"", ""hi"")"),"सी) 20वीं सदी की शुरुआत")</f>
        <v>सी) 20वीं सदी की शुरुआत</v>
      </c>
    </row>
    <row r="38" ht="22.5" customHeight="1">
      <c r="A38" s="3">
        <v>37.0</v>
      </c>
      <c r="B38" s="4" t="s">
        <v>11158</v>
      </c>
      <c r="C38" s="4" t="s">
        <v>11159</v>
      </c>
      <c r="D38" s="4" t="s">
        <v>11160</v>
      </c>
      <c r="F38" s="5" t="str">
        <f>IFERROR(__xludf.DUMMYFUNCTION("GOOGLETRANSLATE(A38, ""en"", ""hi"")"),"37")</f>
        <v>37</v>
      </c>
      <c r="G38" s="5" t="str">
        <f>IFERROR(__xludf.DUMMYFUNCTION("GOOGLETRANSLATE(B38, ""en"", ""hi"")"),"गिल्ली डंडा किस ग्रामीण त्यौहार के एक भाग के रूप में प्रमुखता से प्रदर्शित किया जाता है?")</f>
        <v>गिल्ली डंडा किस ग्रामीण त्यौहार के एक भाग के रूप में प्रमुखता से प्रदर्शित किया जाता है?</v>
      </c>
      <c r="H38" s="5" t="str">
        <f>IFERROR(__xludf.DUMMYFUNCTION("GOOGLETRANSLATE(C38, ""en"", ""hi"")"),"ए) मकर संक्रांति, बी) बैसाखी, सी) लोहड़ी, डी) दिवाली")</f>
        <v>ए) मकर संक्रांति, बी) बैसाखी, सी) लोहड़ी, डी) दिवाली</v>
      </c>
      <c r="I38" s="5" t="str">
        <f>IFERROR(__xludf.DUMMYFUNCTION("GOOGLETRANSLATE(D38, ""en"", ""hi"")"),"C) लोहड़ी")</f>
        <v>C) लोहड़ी</v>
      </c>
    </row>
    <row r="39" ht="22.5" customHeight="1">
      <c r="A39" s="3">
        <v>38.0</v>
      </c>
      <c r="B39" s="4" t="s">
        <v>11161</v>
      </c>
      <c r="C39" s="4" t="s">
        <v>11162</v>
      </c>
      <c r="D39" s="4" t="s">
        <v>125</v>
      </c>
      <c r="F39" s="5" t="str">
        <f>IFERROR(__xludf.DUMMYFUNCTION("GOOGLETRANSLATE(A39, ""en"", ""hi"")"),"38")</f>
        <v>38</v>
      </c>
      <c r="G39" s="5" t="str">
        <f>IFERROR(__xludf.DUMMYFUNCTION("GOOGLETRANSLATE(B39, ""en"", ""hi"")"),"भारत में कौन सा क्षेत्र सामुदायिक आयोजनों के माध्यम से गिल्ली डंडा के पारंपरिक रूप को संरक्षित करने के लिए जाना जाता है?")</f>
        <v>भारत में कौन सा क्षेत्र सामुदायिक आयोजनों के माध्यम से गिल्ली डंडा के पारंपरिक रूप को संरक्षित करने के लिए जाना जाता है?</v>
      </c>
      <c r="H39" s="5" t="str">
        <f>IFERROR(__xludf.DUMMYFUNCTION("GOOGLETRANSLATE(C39, ""en"", ""hi"")"),"ए) राजस्थान, बी) कर्नाटक, सी) महाराष्ट्र, डी) पश्चिम बंगाल")</f>
        <v>ए) राजस्थान, बी) कर्नाटक, सी) महाराष्ट्र, डी) पश्चिम बंगाल</v>
      </c>
      <c r="I39" s="5" t="str">
        <f>IFERROR(__xludf.DUMMYFUNCTION("GOOGLETRANSLATE(D39, ""en"", ""hi"")"),"A) राजस्थान")</f>
        <v>A) राजस्थान</v>
      </c>
    </row>
    <row r="40" ht="22.5" customHeight="1">
      <c r="A40" s="3">
        <v>39.0</v>
      </c>
      <c r="B40" s="4" t="s">
        <v>11163</v>
      </c>
      <c r="C40" s="4" t="s">
        <v>11164</v>
      </c>
      <c r="D40" s="4" t="s">
        <v>11165</v>
      </c>
      <c r="F40" s="5" t="str">
        <f>IFERROR(__xludf.DUMMYFUNCTION("GOOGLETRANSLATE(A40, ""en"", ""hi"")"),"39")</f>
        <v>39</v>
      </c>
      <c r="G40" s="5" t="str">
        <f>IFERROR(__xludf.DUMMYFUNCTION("GOOGLETRANSLATE(B40, ""en"", ""hi"")"),"किस प्रकार के आयोजन में आमतौर पर गिल्ली डंडा को प्रतिस्पर्धी खेल के रूप में शामिल किया जाता है?")</f>
        <v>किस प्रकार के आयोजन में आमतौर पर गिल्ली डंडा को प्रतिस्पर्धी खेल के रूप में शामिल किया जाता है?</v>
      </c>
      <c r="H40" s="5" t="str">
        <f>IFERROR(__xludf.DUMMYFUNCTION("GOOGLETRANSLATE(C40, ""en"", ""hi"")"),"A) स्थानीय मेले, B) स्कूल टूर्नामेंट, C) राष्ट्रीय चैंपियनशिप, D) अंतर्राष्ट्रीय प्रतियोगिताएं")</f>
        <v>A) स्थानीय मेले, B) स्कूल टूर्नामेंट, C) राष्ट्रीय चैंपियनशिप, D) अंतर्राष्ट्रीय प्रतियोगिताएं</v>
      </c>
      <c r="I40" s="5" t="str">
        <f>IFERROR(__xludf.DUMMYFUNCTION("GOOGLETRANSLATE(D40, ""en"", ""hi"")"),"ए) स्थानीय मेले")</f>
        <v>ए) स्थानीय मेले</v>
      </c>
    </row>
    <row r="41" ht="22.5" customHeight="1">
      <c r="A41" s="3">
        <v>40.0</v>
      </c>
      <c r="B41" s="4" t="s">
        <v>11166</v>
      </c>
      <c r="C41" s="4" t="s">
        <v>11167</v>
      </c>
      <c r="D41" s="4" t="s">
        <v>11168</v>
      </c>
      <c r="F41" s="5" t="str">
        <f>IFERROR(__xludf.DUMMYFUNCTION("GOOGLETRANSLATE(A41, ""en"", ""hi"")"),"40")</f>
        <v>40</v>
      </c>
      <c r="G41" s="5" t="str">
        <f>IFERROR(__xludf.DUMMYFUNCTION("GOOGLETRANSLATE(B41, ""en"", ""hi"")"),"किस ब्रिटिश औपनिवेशिक अधिकारी ने अपनी रिपोर्ट में गिल्ली डंडा सहित विभिन्न पारंपरिक भारतीय खेलों का दस्तावेजीकरण किया?")</f>
        <v>किस ब्रिटिश औपनिवेशिक अधिकारी ने अपनी रिपोर्ट में गिल्ली डंडा सहित विभिन्न पारंपरिक भारतीय खेलों का दस्तावेजीकरण किया?</v>
      </c>
      <c r="H41" s="5" t="str">
        <f>IFERROR(__xludf.DUMMYFUNCTION("GOOGLETRANSLATE(C41, ""en"", ""hi"")"),"A) सर जॉन मैल्कम, B) सर चार्ल्स मेटकाफ, C) सर विलियम जोन्स, D) सर हेनरी लॉरेंस")</f>
        <v>A) सर जॉन मैल्कम, B) सर चार्ल्स मेटकाफ, C) सर विलियम जोन्स, D) सर हेनरी लॉरेंस</v>
      </c>
      <c r="I41" s="5" t="str">
        <f>IFERROR(__xludf.DUMMYFUNCTION("GOOGLETRANSLATE(D41, ""en"", ""hi"")"),"C) सर विलियम जोन्स")</f>
        <v>C) सर विलियम जोन्स</v>
      </c>
    </row>
    <row r="42" ht="22.5" customHeight="1">
      <c r="A42" s="3">
        <v>41.0</v>
      </c>
      <c r="B42" s="4" t="s">
        <v>11169</v>
      </c>
      <c r="C42" s="4" t="s">
        <v>11170</v>
      </c>
      <c r="D42" s="4" t="s">
        <v>11171</v>
      </c>
      <c r="F42" s="5" t="str">
        <f>IFERROR(__xludf.DUMMYFUNCTION("GOOGLETRANSLATE(A42, ""en"", ""hi"")"),"41")</f>
        <v>41</v>
      </c>
      <c r="G42" s="5" t="str">
        <f>IFERROR(__xludf.DUMMYFUNCTION("GOOGLETRANSLATE(B42, ""en"", ""hi"")"),"भारत के ग्रामीण भागों में 'गिल्ली' बनाने के लिए किस पारंपरिक सामग्री का उपयोग किया जाता था?")</f>
        <v>भारत के ग्रामीण भागों में 'गिल्ली' बनाने के लिए किस पारंपरिक सामग्री का उपयोग किया जाता था?</v>
      </c>
      <c r="H42" s="5" t="str">
        <f>IFERROR(__xludf.DUMMYFUNCTION("GOOGLETRANSLATE(C42, ""en"", ""hi"")"),"A) नारियल के गोले, B) बांस, C) मिट्टी, D) चमड़ा")</f>
        <v>A) नारियल के गोले, B) बांस, C) मिट्टी, D) चमड़ा</v>
      </c>
      <c r="I42" s="5" t="str">
        <f>IFERROR(__xludf.DUMMYFUNCTION("GOOGLETRANSLATE(D42, ""en"", ""hi"")"),"A) नारियल के गोले")</f>
        <v>A) नारियल के गोले</v>
      </c>
    </row>
    <row r="43" ht="22.5" customHeight="1">
      <c r="A43" s="3">
        <v>42.0</v>
      </c>
      <c r="B43" s="4" t="s">
        <v>11172</v>
      </c>
      <c r="C43" s="4" t="s">
        <v>11173</v>
      </c>
      <c r="D43" s="4" t="s">
        <v>11174</v>
      </c>
      <c r="F43" s="5" t="str">
        <f>IFERROR(__xludf.DUMMYFUNCTION("GOOGLETRANSLATE(A43, ""en"", ""hi"")"),"42")</f>
        <v>42</v>
      </c>
      <c r="G43" s="5" t="str">
        <f>IFERROR(__xludf.DUMMYFUNCTION("GOOGLETRANSLATE(B43, ""en"", ""hi"")"),"प्राचीन काल में गिल्ली डंडा पारंपरिक भारतीय जीवन के किस पहलू को दर्शाता था?")</f>
        <v>प्राचीन काल में गिल्ली डंडा पारंपरिक भारतीय जीवन के किस पहलू को दर्शाता था?</v>
      </c>
      <c r="H43" s="5" t="str">
        <f>IFERROR(__xludf.DUMMYFUNCTION("GOOGLETRANSLATE(C43, ""en"", ""hi"")"),"A) सैन्य प्रशिक्षण, B) धार्मिक समारोह, C) सामाजिक समारोह, D) कृषि पद्धतियाँ")</f>
        <v>A) सैन्य प्रशिक्षण, B) धार्मिक समारोह, C) सामाजिक समारोह, D) कृषि पद्धतियाँ</v>
      </c>
      <c r="I43" s="5" t="str">
        <f>IFERROR(__xludf.DUMMYFUNCTION("GOOGLETRANSLATE(D43, ""en"", ""hi"")"),"सी) सामाजिक समारोह")</f>
        <v>सी) सामाजिक समारोह</v>
      </c>
    </row>
    <row r="44" ht="22.5" customHeight="1">
      <c r="A44" s="3">
        <v>43.0</v>
      </c>
      <c r="B44" s="4" t="s">
        <v>11175</v>
      </c>
      <c r="C44" s="4" t="s">
        <v>11176</v>
      </c>
      <c r="D44" s="4" t="s">
        <v>11177</v>
      </c>
      <c r="F44" s="5" t="str">
        <f>IFERROR(__xludf.DUMMYFUNCTION("GOOGLETRANSLATE(A44, ""en"", ""hi"")"),"43")</f>
        <v>43</v>
      </c>
      <c r="G44" s="5" t="str">
        <f>IFERROR(__xludf.DUMMYFUNCTION("GOOGLETRANSLATE(B44, ""en"", ""hi"")"),"किस भारतीय साहित्य में गिल्ली डंडा जैसे पारंपरिक खेलों का उल्लेख मिलता है?")</f>
        <v>किस भारतीय साहित्य में गिल्ली डंडा जैसे पारंपरिक खेलों का उल्लेख मिलता है?</v>
      </c>
      <c r="H44" s="5" t="str">
        <f>IFERROR(__xludf.DUMMYFUNCTION("GOOGLETRANSLATE(C44, ""en"", ""hi"")"),"ए) जातक कथाएँ, बी) पंचतंत्र, सी) हितोपदेश, डी) कालिदास की रचनाएँ")</f>
        <v>ए) जातक कथाएँ, बी) पंचतंत्र, सी) हितोपदेश, डी) कालिदास की रचनाएँ</v>
      </c>
      <c r="I44" s="5" t="str">
        <f>IFERROR(__xludf.DUMMYFUNCTION("GOOGLETRANSLATE(D44, ""en"", ""hi"")"),"बी) पंचतंत्र")</f>
        <v>बी) पंचतंत्र</v>
      </c>
    </row>
    <row r="45" ht="22.5" customHeight="1">
      <c r="A45" s="3">
        <v>44.0</v>
      </c>
      <c r="B45" s="4" t="s">
        <v>11178</v>
      </c>
      <c r="C45" s="4" t="s">
        <v>11179</v>
      </c>
      <c r="D45" s="4" t="s">
        <v>11180</v>
      </c>
      <c r="F45" s="5" t="str">
        <f>IFERROR(__xludf.DUMMYFUNCTION("GOOGLETRANSLATE(A45, ""en"", ""hi"")"),"44")</f>
        <v>44</v>
      </c>
      <c r="G45" s="5" t="str">
        <f>IFERROR(__xludf.DUMMYFUNCTION("GOOGLETRANSLATE(B45, ""en"", ""hi"")"),"पारंपरिक रूप से गिल्ली डंडा खेल में 'डंडे' की क्या भूमिका थी?")</f>
        <v>पारंपरिक रूप से गिल्ली डंडा खेल में 'डंडे' की क्या भूमिका थी?</v>
      </c>
      <c r="H45" s="5" t="str">
        <f>IFERROR(__xludf.DUMMYFUNCTION("GOOGLETRANSLATE(C45, ""en"", ""hi"")"),"A) गिल्ली मारना, B) सीमारेखा चिन्हित करना, C) गोलपोस्ट के रूप में कार्य करना, D) दूरियाँ मापना")</f>
        <v>A) गिल्ली मारना, B) सीमारेखा चिन्हित करना, C) गोलपोस्ट के रूप में कार्य करना, D) दूरियाँ मापना</v>
      </c>
      <c r="I45" s="5" t="str">
        <f>IFERROR(__xludf.DUMMYFUNCTION("GOOGLETRANSLATE(D45, ""en"", ""hi"")"),"A) गिल्ली मारना")</f>
        <v>A) गिल्ली मारना</v>
      </c>
    </row>
    <row r="46" ht="22.5" customHeight="1">
      <c r="A46" s="3">
        <v>45.0</v>
      </c>
      <c r="B46" s="4" t="s">
        <v>11181</v>
      </c>
      <c r="C46" s="4" t="s">
        <v>11182</v>
      </c>
      <c r="D46" s="4" t="s">
        <v>11183</v>
      </c>
      <c r="F46" s="5" t="str">
        <f>IFERROR(__xludf.DUMMYFUNCTION("GOOGLETRANSLATE(A46, ""en"", ""hi"")"),"45")</f>
        <v>45</v>
      </c>
      <c r="G46" s="5" t="str">
        <f>IFERROR(__xludf.DUMMYFUNCTION("GOOGLETRANSLATE(B46, ""en"", ""hi"")"),"प्राचीन भारतीय काल में अन्य पारंपरिक खेलों के साथ गिल्ली डंडा खेलने का वर्णन किस ऐतिहासिक विवरण में मिलता है?")</f>
        <v>प्राचीन भारतीय काल में अन्य पारंपरिक खेलों के साथ गिल्ली डंडा खेलने का वर्णन किस ऐतिहासिक विवरण में मिलता है?</v>
      </c>
      <c r="H46" s="5" t="str">
        <f>IFERROR(__xludf.DUMMYFUNCTION("GOOGLETRANSLATE(C46, ""en"", ""hi"")"),"ए) राजतरंगिणी, बी) अर्थशास्त्र, सी) नीलकंठ का इतिहास, डी) गृह्य सूत्र")</f>
        <v>ए) राजतरंगिणी, बी) अर्थशास्त्र, सी) नीलकंठ का इतिहास, डी) गृह्य सूत्र</v>
      </c>
      <c r="I46" s="5" t="str">
        <f>IFERROR(__xludf.DUMMYFUNCTION("GOOGLETRANSLATE(D46, ""en"", ""hi"")"),"A) राजतरंगिणी")</f>
        <v>A) राजतरंगिणी</v>
      </c>
    </row>
    <row r="47" ht="22.5" customHeight="1">
      <c r="A47" s="3">
        <v>46.0</v>
      </c>
      <c r="B47" s="4" t="s">
        <v>11184</v>
      </c>
      <c r="C47" s="4" t="s">
        <v>11185</v>
      </c>
      <c r="D47" s="4" t="s">
        <v>11186</v>
      </c>
      <c r="F47" s="5" t="str">
        <f>IFERROR(__xludf.DUMMYFUNCTION("GOOGLETRANSLATE(A47, ""en"", ""hi"")"),"46")</f>
        <v>46</v>
      </c>
      <c r="G47" s="5" t="str">
        <f>IFERROR(__xludf.DUMMYFUNCTION("GOOGLETRANSLATE(B47, ""en"", ""hi"")"),"औपनिवेशिक भारत में गिल्ली डंडा जैसे पारंपरिक खेलों पर पश्चिमी खेलों के प्रसार का क्या प्रभाव पड़ा?")</f>
        <v>औपनिवेशिक भारत में गिल्ली डंडा जैसे पारंपरिक खेलों पर पश्चिमी खेलों के प्रसार का क्या प्रभाव पड़ा?</v>
      </c>
      <c r="H47" s="5" t="str">
        <f>IFERROR(__xludf.DUMMYFUNCTION("GOOGLETRANSLATE(C47, ""en"", ""hi"")"),"A) भागीदारी में वृद्धि, B) स्कूलों में एकीकरण, C) रुचि में कमी, D) हाइब्रिड खेलों का निर्माण")</f>
        <v>A) भागीदारी में वृद्धि, B) स्कूलों में एकीकरण, C) रुचि में कमी, D) हाइब्रिड खेलों का निर्माण</v>
      </c>
      <c r="I47" s="5" t="str">
        <f>IFERROR(__xludf.DUMMYFUNCTION("GOOGLETRANSLATE(D47, ""en"", ""hi"")"),"C) ब्याज की हानि")</f>
        <v>C) ब्याज की हानि</v>
      </c>
    </row>
    <row r="48" ht="22.5" customHeight="1">
      <c r="A48" s="3">
        <v>47.0</v>
      </c>
      <c r="B48" s="4" t="s">
        <v>11187</v>
      </c>
      <c r="C48" s="4" t="s">
        <v>11188</v>
      </c>
      <c r="D48" s="4" t="s">
        <v>6073</v>
      </c>
      <c r="F48" s="5" t="str">
        <f>IFERROR(__xludf.DUMMYFUNCTION("GOOGLETRANSLATE(A48, ""en"", ""hi"")"),"47")</f>
        <v>47</v>
      </c>
      <c r="G48" s="5" t="str">
        <f>IFERROR(__xludf.DUMMYFUNCTION("GOOGLETRANSLATE(B48, ""en"", ""hi"")"),"किस भारतीय राज्य की लोक परंपराएं विशेष रूप से गिल्ली डंडा जैसे खेलों के लिए प्रसिद्ध हैं?")</f>
        <v>किस भारतीय राज्य की लोक परंपराएं विशेष रूप से गिल्ली डंडा जैसे खेलों के लिए प्रसिद्ध हैं?</v>
      </c>
      <c r="H48" s="5" t="str">
        <f>IFERROR(__xludf.DUMMYFUNCTION("GOOGLETRANSLATE(C48, ""en"", ""hi"")"),"A) असम, B) बंगाल, C) गुजरात, D) पंजाब")</f>
        <v>A) असम, B) बंगाल, C) गुजरात, D) पंजाब</v>
      </c>
      <c r="I48" s="5" t="str">
        <f>IFERROR(__xludf.DUMMYFUNCTION("GOOGLETRANSLATE(D48, ""en"", ""hi"")"),"D) पंजाब")</f>
        <v>D) पंजाब</v>
      </c>
    </row>
    <row r="49" ht="22.5" customHeight="1">
      <c r="A49" s="3">
        <v>48.0</v>
      </c>
      <c r="B49" s="4" t="s">
        <v>11189</v>
      </c>
      <c r="C49" s="4" t="s">
        <v>11190</v>
      </c>
      <c r="D49" s="4" t="s">
        <v>11191</v>
      </c>
      <c r="F49" s="5" t="str">
        <f>IFERROR(__xludf.DUMMYFUNCTION("GOOGLETRANSLATE(A49, ""en"", ""hi"")"),"48")</f>
        <v>48</v>
      </c>
      <c r="G49" s="5" t="str">
        <f>IFERROR(__xludf.DUMMYFUNCTION("GOOGLETRANSLATE(B49, ""en"", ""hi"")"),"किस प्राचीन भारतीय राजा के दरबार में गिल्ली डंडा सहित अनेक पारंपरिक खेलों का आयोजन किया जाता था?")</f>
        <v>किस प्राचीन भारतीय राजा के दरबार में गिल्ली डंडा सहित अनेक पारंपरिक खेलों का आयोजन किया जाता था?</v>
      </c>
      <c r="H49" s="5" t="str">
        <f>IFERROR(__xludf.DUMMYFUNCTION("GOOGLETRANSLATE(C49, ""en"", ""hi"")"),"A) राजा अशोक, B) राजा हर्ष, C) राजा चंद्रगुप्त, D) राजा कृष्णदेव राय")</f>
        <v>A) राजा अशोक, B) राजा हर्ष, C) राजा चंद्रगुप्त, D) राजा कृष्णदेव राय</v>
      </c>
      <c r="I49" s="5" t="str">
        <f>IFERROR(__xludf.DUMMYFUNCTION("GOOGLETRANSLATE(D49, ""en"", ""hi"")"),"D) राजा कृष्णदेव राय")</f>
        <v>D) राजा कृष्णदेव राय</v>
      </c>
    </row>
    <row r="50" ht="22.5" customHeight="1">
      <c r="A50" s="3">
        <v>49.0</v>
      </c>
      <c r="B50" s="4" t="s">
        <v>11192</v>
      </c>
      <c r="C50" s="4" t="s">
        <v>11193</v>
      </c>
      <c r="D50" s="4" t="s">
        <v>11194</v>
      </c>
      <c r="F50" s="5" t="str">
        <f>IFERROR(__xludf.DUMMYFUNCTION("GOOGLETRANSLATE(A50, ""en"", ""hi"")"),"49")</f>
        <v>49</v>
      </c>
      <c r="G50" s="5" t="str">
        <f>IFERROR(__xludf.DUMMYFUNCTION("GOOGLETRANSLATE(B50, ""en"", ""hi"")"),"'गिल्ली' की वह मुख्य विशेषता क्या थी जिसने इसे पारंपरिक खेल के लिए उपयुक्त बनाया?")</f>
        <v>'गिल्ली' की वह मुख्य विशेषता क्या थी जिसने इसे पारंपरिक खेल के लिए उपयुक्त बनाया?</v>
      </c>
      <c r="H50" s="5" t="str">
        <f>IFERROR(__xludf.DUMMYFUNCTION("GOOGLETRANSLATE(C50, ""en"", ""hi"")"),"A) इसका हल्का वजन, B) इसका रंग, C) इसका आकार, D) इसकी आकृति")</f>
        <v>A) इसका हल्का वजन, B) इसका रंग, C) इसका आकार, D) इसकी आकृति</v>
      </c>
      <c r="I50" s="5" t="str">
        <f>IFERROR(__xludf.DUMMYFUNCTION("GOOGLETRANSLATE(D50, ""en"", ""hi"")"),"D) इसका आकार")</f>
        <v>D) इसका आकार</v>
      </c>
    </row>
    <row r="51" ht="22.5" customHeight="1">
      <c r="A51" s="3">
        <v>50.0</v>
      </c>
      <c r="B51" s="4" t="s">
        <v>11195</v>
      </c>
      <c r="C51" s="4" t="s">
        <v>11196</v>
      </c>
      <c r="D51" s="4" t="s">
        <v>11197</v>
      </c>
      <c r="F51" s="5" t="str">
        <f>IFERROR(__xludf.DUMMYFUNCTION("GOOGLETRANSLATE(A51, ""en"", ""hi"")"),"50")</f>
        <v>50</v>
      </c>
      <c r="G51" s="5" t="str">
        <f>IFERROR(__xludf.DUMMYFUNCTION("GOOGLETRANSLATE(B51, ""en"", ""hi"")"),"गिल्ली डंडा के समान कौन सा पारंपरिक भारतीय खेल टीम वर्क और रणनीति पर जोर देने के लिए जाना जाता है?")</f>
        <v>गिल्ली डंडा के समान कौन सा पारंपरिक भारतीय खेल टीम वर्क और रणनीति पर जोर देने के लिए जाना जाता है?</v>
      </c>
      <c r="H51" s="5" t="str">
        <f>IFERROR(__xludf.DUMMYFUNCTION("GOOGLETRANSLATE(C51, ""en"", ""hi"")"),"ए) खो-खो, बी) पिट्ठू, सी) सतोलिया, डी) कबड्डी")</f>
        <v>ए) खो-खो, बी) पिट्ठू, सी) सतोलिया, डी) कबड्डी</v>
      </c>
      <c r="I51" s="5" t="str">
        <f>IFERROR(__xludf.DUMMYFUNCTION("GOOGLETRANSLATE(D51, ""en"", ""hi"")"),"बी) पिट्ठू")</f>
        <v>बी) पिट्ठू</v>
      </c>
    </row>
    <row r="52" ht="22.5" customHeight="1">
      <c r="A52" s="3">
        <v>51.0</v>
      </c>
      <c r="B52" s="4" t="s">
        <v>11198</v>
      </c>
      <c r="C52" s="4" t="s">
        <v>11199</v>
      </c>
      <c r="D52" s="4" t="s">
        <v>6292</v>
      </c>
      <c r="F52" s="5" t="str">
        <f>IFERROR(__xludf.DUMMYFUNCTION("GOOGLETRANSLATE(A52, ""en"", ""hi"")"),"51")</f>
        <v>51</v>
      </c>
      <c r="G52" s="5" t="str">
        <f>IFERROR(__xludf.DUMMYFUNCTION("GOOGLETRANSLATE(B52, ""en"", ""hi"")"),"भारत के अलावा किस दक्षिण एशियाई देश में गिल्ली डंडा जैसे खेलों की प्राचीन परंपरा है?")</f>
        <v>भारत के अलावा किस दक्षिण एशियाई देश में गिल्ली डंडा जैसे खेलों की प्राचीन परंपरा है?</v>
      </c>
      <c r="H52" s="5" t="str">
        <f>IFERROR(__xludf.DUMMYFUNCTION("GOOGLETRANSLATE(C52, ""en"", ""hi"")"),"A) बांग्लादेश, B) नेपाल, C) श्रीलंका, D) अफगानिस्तान")</f>
        <v>A) बांग्लादेश, B) नेपाल, C) श्रीलंका, D) अफगानिस्तान</v>
      </c>
      <c r="I52" s="5" t="str">
        <f>IFERROR(__xludf.DUMMYFUNCTION("GOOGLETRANSLATE(D52, ""en"", ""hi"")"),"बी) नेपाल")</f>
        <v>बी) नेपाल</v>
      </c>
    </row>
    <row r="53" ht="22.5" customHeight="1">
      <c r="A53" s="3">
        <v>52.0</v>
      </c>
      <c r="B53" s="4" t="s">
        <v>11200</v>
      </c>
      <c r="C53" s="4" t="s">
        <v>11201</v>
      </c>
      <c r="D53" s="4" t="s">
        <v>11202</v>
      </c>
      <c r="F53" s="5" t="str">
        <f>IFERROR(__xludf.DUMMYFUNCTION("GOOGLETRANSLATE(A53, ""en"", ""hi"")"),"52")</f>
        <v>52</v>
      </c>
      <c r="G53" s="5" t="str">
        <f>IFERROR(__xludf.DUMMYFUNCTION("GOOGLETRANSLATE(B53, ""en"", ""hi"")"),"गिल्ली डंडा खेलने के अलावा पारंपरिक भारतीय समुदायों में 'डंडा' का सामान्य उपयोग क्या था?")</f>
        <v>गिल्ली डंडा खेलने के अलावा पारंपरिक भारतीय समुदायों में 'डंडा' का सामान्य उपयोग क्या था?</v>
      </c>
      <c r="H53" s="5" t="str">
        <f>IFERROR(__xludf.DUMMYFUNCTION("GOOGLETRANSLATE(C53, ""en"", ""hi"")"),"A) खेती के लिए एक उपकरण के रूप में, B) चलने की छड़ी के रूप में, C) सुरक्षा के लिए एक हथियार के रूप में, D) एक औपचारिक कर्मचारी के रूप में")</f>
        <v>A) खेती के लिए एक उपकरण के रूप में, B) चलने की छड़ी के रूप में, C) सुरक्षा के लिए एक हथियार के रूप में, D) एक औपचारिक कर्मचारी के रूप में</v>
      </c>
      <c r="I53" s="5" t="str">
        <f>IFERROR(__xludf.DUMMYFUNCTION("GOOGLETRANSLATE(D53, ""en"", ""hi"")"),"बी) एक छड़ी के रूप में")</f>
        <v>बी) एक छड़ी के रूप में</v>
      </c>
    </row>
    <row r="54" ht="22.5" customHeight="1">
      <c r="A54" s="3">
        <v>53.0</v>
      </c>
      <c r="B54" s="4" t="s">
        <v>11203</v>
      </c>
      <c r="C54" s="4" t="s">
        <v>2740</v>
      </c>
      <c r="D54" s="4" t="s">
        <v>222</v>
      </c>
      <c r="F54" s="5" t="str">
        <f>IFERROR(__xludf.DUMMYFUNCTION("GOOGLETRANSLATE(A54, ""en"", ""hi"")"),"53")</f>
        <v>53</v>
      </c>
      <c r="G54" s="5" t="str">
        <f>IFERROR(__xludf.DUMMYFUNCTION("GOOGLETRANSLATE(B54, ""en"", ""hi"")"),"किस भारतीय महाकाव्य में गिल्ली डंडा जैसे खेलों का उल्लेख शाही मनोरंजन के रूप में किया गया है?")</f>
        <v>किस भारतीय महाकाव्य में गिल्ली डंडा जैसे खेलों का उल्लेख शाही मनोरंजन के रूप में किया गया है?</v>
      </c>
      <c r="H54" s="5" t="str">
        <f>IFERROR(__xludf.DUMMYFUNCTION("GOOGLETRANSLATE(C54, ""en"", ""hi"")"),"ए) महाभारत, बी) रामायण, सी) भगवद गीता, डी) पुराण")</f>
        <v>ए) महाभारत, बी) रामायण, सी) भगवद गीता, डी) पुराण</v>
      </c>
      <c r="I54" s="5" t="str">
        <f>IFERROR(__xludf.DUMMYFUNCTION("GOOGLETRANSLATE(D54, ""en"", ""hi"")"),"A) महाभारत")</f>
        <v>A) महाभारत</v>
      </c>
    </row>
    <row r="55" ht="22.5" customHeight="1">
      <c r="A55" s="3">
        <v>54.0</v>
      </c>
      <c r="B55" s="4" t="s">
        <v>11204</v>
      </c>
      <c r="C55" s="4" t="s">
        <v>11205</v>
      </c>
      <c r="D55" s="4" t="s">
        <v>11206</v>
      </c>
      <c r="F55" s="5" t="str">
        <f>IFERROR(__xludf.DUMMYFUNCTION("GOOGLETRANSLATE(A55, ""en"", ""hi"")"),"54")</f>
        <v>54</v>
      </c>
      <c r="G55" s="5" t="str">
        <f>IFERROR(__xludf.DUMMYFUNCTION("GOOGLETRANSLATE(B55, ""en"", ""hi"")"),"किस ऐतिहासिक काल में गिल्ली डंडा जैसे पारंपरिक भारतीय खेलों के लिए संगठित प्रतियोगिताओं का उदय हुआ?")</f>
        <v>किस ऐतिहासिक काल में गिल्ली डंडा जैसे पारंपरिक भारतीय खेलों के लिए संगठित प्रतियोगिताओं का उदय हुआ?</v>
      </c>
      <c r="H55" s="5" t="str">
        <f>IFERROR(__xludf.DUMMYFUNCTION("GOOGLETRANSLATE(C55, ""en"", ""hi"")"),"A) प्रारंभिक मध्यकाल, B) मुगल काल, C) औपनिवेशिक काल, D) स्वतंत्रता के बाद का काल")</f>
        <v>A) प्रारंभिक मध्यकाल, B) मुगल काल, C) औपनिवेशिक काल, D) स्वतंत्रता के बाद का काल</v>
      </c>
      <c r="I55" s="5" t="str">
        <f>IFERROR(__xludf.DUMMYFUNCTION("GOOGLETRANSLATE(D55, ""en"", ""hi"")"),"बी) मुगल काल")</f>
        <v>बी) मुगल काल</v>
      </c>
    </row>
    <row r="56" ht="22.5" customHeight="1">
      <c r="A56" s="3">
        <v>55.0</v>
      </c>
      <c r="B56" s="4" t="s">
        <v>11207</v>
      </c>
      <c r="C56" s="4" t="s">
        <v>11208</v>
      </c>
      <c r="D56" s="4" t="s">
        <v>11209</v>
      </c>
      <c r="F56" s="5" t="str">
        <f>IFERROR(__xludf.DUMMYFUNCTION("GOOGLETRANSLATE(A56, ""en"", ""hi"")"),"55")</f>
        <v>55</v>
      </c>
      <c r="G56" s="5" t="str">
        <f>IFERROR(__xludf.DUMMYFUNCTION("GOOGLETRANSLATE(B56, ""en"", ""hi"")"),"किस भारतीय विद्वान के लेखन में गिल्ली डंडा जैसे पारंपरिक खेलों का उल्लेख मिलता है?")</f>
        <v>किस भारतीय विद्वान के लेखन में गिल्ली डंडा जैसे पारंपरिक खेलों का उल्लेख मिलता है?</v>
      </c>
      <c r="H56" s="5" t="str">
        <f>IFERROR(__xludf.DUMMYFUNCTION("GOOGLETRANSLATE(C56, ""en"", ""hi"")"),"ए) वराहमिहिर, बी) आर्यभट्ट, सी) ब्रह्मगुप्त, डी) भास्कर")</f>
        <v>ए) वराहमिहिर, बी) आर्यभट्ट, सी) ब्रह्मगुप्त, डी) भास्कर</v>
      </c>
      <c r="I56" s="5" t="str">
        <f>IFERROR(__xludf.DUMMYFUNCTION("GOOGLETRANSLATE(D56, ""en"", ""hi"")"),"A) वराहमिहिर")</f>
        <v>A) वराहमिहिर</v>
      </c>
    </row>
    <row r="57" ht="22.5" customHeight="1">
      <c r="A57" s="3">
        <v>56.0</v>
      </c>
      <c r="B57" s="4" t="s">
        <v>11210</v>
      </c>
      <c r="C57" s="4" t="s">
        <v>11211</v>
      </c>
      <c r="D57" s="4" t="s">
        <v>11212</v>
      </c>
      <c r="F57" s="5" t="str">
        <f>IFERROR(__xludf.DUMMYFUNCTION("GOOGLETRANSLATE(A57, ""en"", ""hi"")"),"56")</f>
        <v>56</v>
      </c>
      <c r="G57" s="5" t="str">
        <f>IFERROR(__xludf.DUMMYFUNCTION("GOOGLETRANSLATE(B57, ""en"", ""hi"")"),"कौन सा ऐतिहासिक व्यक्ति गिल्ली डंडा जैसे पारंपरिक भारतीय खेलों को अपनी सांस्कृतिक नीतियों में शामिल करने के लिए जाना जाता है?")</f>
        <v>कौन सा ऐतिहासिक व्यक्ति गिल्ली डंडा जैसे पारंपरिक भारतीय खेलों को अपनी सांस्कृतिक नीतियों में शामिल करने के लिए जाना जाता है?</v>
      </c>
      <c r="H57" s="5" t="str">
        <f>IFERROR(__xludf.DUMMYFUNCTION("GOOGLETRANSLATE(C57, ""en"", ""hi"")"),"A) अकबर महान, B) शेरशाह सूरी, C) औरंगजेब, D) जहांगीर")</f>
        <v>A) अकबर महान, B) शेरशाह सूरी, C) औरंगजेब, D) जहांगीर</v>
      </c>
      <c r="I57" s="5" t="str">
        <f>IFERROR(__xludf.DUMMYFUNCTION("GOOGLETRANSLATE(D57, ""en"", ""hi"")"),"A) अकबर महान")</f>
        <v>A) अकबर महान</v>
      </c>
    </row>
    <row r="58" ht="22.5" customHeight="1">
      <c r="A58" s="3">
        <v>57.0</v>
      </c>
      <c r="B58" s="4" t="s">
        <v>11213</v>
      </c>
      <c r="C58" s="4" t="s">
        <v>11214</v>
      </c>
      <c r="D58" s="4" t="s">
        <v>11215</v>
      </c>
      <c r="F58" s="5" t="str">
        <f>IFERROR(__xludf.DUMMYFUNCTION("GOOGLETRANSLATE(A58, ""en"", ""hi"")"),"57")</f>
        <v>57</v>
      </c>
      <c r="G58" s="5" t="str">
        <f>IFERROR(__xludf.DUMMYFUNCTION("GOOGLETRANSLATE(B58, ""en"", ""hi"")"),"कौन सा प्रमुख भारतीय त्यौहार अक्सर गिल्ली डंडा जैसे पारंपरिक खेलों को उत्सव के हिस्से के रूप में शामिल करता है?")</f>
        <v>कौन सा प्रमुख भारतीय त्यौहार अक्सर गिल्ली डंडा जैसे पारंपरिक खेलों को उत्सव के हिस्से के रूप में शामिल करता है?</v>
      </c>
      <c r="H58" s="5" t="str">
        <f>IFERROR(__xludf.DUMMYFUNCTION("GOOGLETRANSLATE(C58, ""en"", ""hi"")"),"ए) दुर्गा पूजा, बी) नवरात्रि, सी) दिवाली, डी) ईद")</f>
        <v>ए) दुर्गा पूजा, बी) नवरात्रि, सी) दिवाली, डी) ईद</v>
      </c>
      <c r="I58" s="5" t="str">
        <f>IFERROR(__xludf.DUMMYFUNCTION("GOOGLETRANSLATE(D58, ""en"", ""hi"")"),"बी) नवरात्रि")</f>
        <v>बी) नवरात्रि</v>
      </c>
    </row>
    <row r="59" ht="22.5" customHeight="1">
      <c r="A59" s="3">
        <v>58.0</v>
      </c>
      <c r="B59" s="4" t="s">
        <v>11216</v>
      </c>
      <c r="C59" s="4" t="s">
        <v>11217</v>
      </c>
      <c r="D59" s="4" t="s">
        <v>11218</v>
      </c>
      <c r="F59" s="5" t="str">
        <f>IFERROR(__xludf.DUMMYFUNCTION("GOOGLETRANSLATE(A59, ""en"", ""hi"")"),"58")</f>
        <v>58</v>
      </c>
      <c r="G59" s="5" t="str">
        <f>IFERROR(__xludf.DUMMYFUNCTION("GOOGLETRANSLATE(B59, ""en"", ""hi"")"),"किस प्रारंभिक आधुनिक लेखक ने भारत में गिल्ली डंडा जैसे पारंपरिक खेलों के सांस्कृतिक महत्व का दस्तावेजीकरण किया?")</f>
        <v>किस प्रारंभिक आधुनिक लेखक ने भारत में गिल्ली डंडा जैसे पारंपरिक खेलों के सांस्कृतिक महत्व का दस्तावेजीकरण किया?</v>
      </c>
      <c r="H59" s="5" t="str">
        <f>IFERROR(__xludf.DUMMYFUNCTION("GOOGLETRANSLATE(C59, ""en"", ""hi"")"),"A) विलियम डेलरिम्पल, B) सर जॉन के, C) चार्ल्स एलन, D) रुडयार्ड किपलिंग")</f>
        <v>A) विलियम डेलरिम्पल, B) सर जॉन के, C) चार्ल्स एलन, D) रुडयार्ड किपलिंग</v>
      </c>
      <c r="I59" s="5" t="str">
        <f>IFERROR(__xludf.DUMMYFUNCTION("GOOGLETRANSLATE(D59, ""en"", ""hi"")"),"बी) सर जॉन केय")</f>
        <v>बी) सर जॉन केय</v>
      </c>
    </row>
    <row r="60" ht="22.5" customHeight="1">
      <c r="A60" s="3">
        <v>59.0</v>
      </c>
      <c r="B60" s="4" t="s">
        <v>11219</v>
      </c>
      <c r="C60" s="4" t="s">
        <v>11220</v>
      </c>
      <c r="D60" s="4" t="s">
        <v>4795</v>
      </c>
      <c r="F60" s="5" t="str">
        <f>IFERROR(__xludf.DUMMYFUNCTION("GOOGLETRANSLATE(A60, ""en"", ""hi"")"),"59")</f>
        <v>59</v>
      </c>
      <c r="G60" s="5" t="str">
        <f>IFERROR(__xludf.DUMMYFUNCTION("GOOGLETRANSLATE(B60, ""en"", ""hi"")"),"ग्रामीण भारतीय समुदायों में पारंपरिक गिल्ली डंडा प्रतियोगिताओं का प्राथमिक कार्य क्या था?")</f>
        <v>ग्रामीण भारतीय समुदायों में पारंपरिक गिल्ली डंडा प्रतियोगिताओं का प्राथमिक कार्य क्या था?</v>
      </c>
      <c r="H60" s="5" t="str">
        <f>IFERROR(__xludf.DUMMYFUNCTION("GOOGLETRANSLATE(C60, ""en"", ""hi"")"),"A) सामुदायिक बंधन, B) शैक्षिक उद्देश्य, C) धार्मिक अभ्यास, D) सैन्य प्रशिक्षण")</f>
        <v>A) सामुदायिक बंधन, B) शैक्षिक उद्देश्य, C) धार्मिक अभ्यास, D) सैन्य प्रशिक्षण</v>
      </c>
      <c r="I60" s="5" t="str">
        <f>IFERROR(__xludf.DUMMYFUNCTION("GOOGLETRANSLATE(D60, ""en"", ""hi"")"),"A) सामुदायिक बंधन")</f>
        <v>A) सामुदायिक बंधन</v>
      </c>
    </row>
    <row r="61" ht="22.5" customHeight="1">
      <c r="A61" s="3">
        <v>60.0</v>
      </c>
      <c r="B61" s="4" t="s">
        <v>11221</v>
      </c>
      <c r="C61" s="4" t="s">
        <v>11222</v>
      </c>
      <c r="D61" s="4" t="s">
        <v>4533</v>
      </c>
      <c r="F61" s="5" t="str">
        <f>IFERROR(__xludf.DUMMYFUNCTION("GOOGLETRANSLATE(A61, ""en"", ""hi"")"),"60")</f>
        <v>60</v>
      </c>
      <c r="G61" s="5" t="str">
        <f>IFERROR(__xludf.DUMMYFUNCTION("GOOGLETRANSLATE(B61, ""en"", ""hi"")"),"किस भारतीय राज्य में गिल्ली डंडा की एक अनूठी विविधता है जिसे 'कुट्टा गिल्ली' के नाम से जाना जाता है?")</f>
        <v>किस भारतीय राज्य में गिल्ली डंडा की एक अनूठी विविधता है जिसे 'कुट्टा गिल्ली' के नाम से जाना जाता है?</v>
      </c>
      <c r="H61" s="5" t="str">
        <f>IFERROR(__xludf.DUMMYFUNCTION("GOOGLETRANSLATE(C61, ""en"", ""hi"")"),"ए) आंध्र प्रदेश, बी) तमिलनाडु, सी) कर्नाटक, डी) महाराष्ट्र")</f>
        <v>ए) आंध्र प्रदेश, बी) तमिलनाडु, सी) कर्नाटक, डी) महाराष्ट्र</v>
      </c>
      <c r="I61" s="5" t="str">
        <f>IFERROR(__xludf.DUMMYFUNCTION("GOOGLETRANSLATE(D61, ""en"", ""hi"")"),"A) आंध्र प्रदेश")</f>
        <v>A) आंध्र प्रदेश</v>
      </c>
    </row>
    <row r="62" ht="22.5" customHeight="1">
      <c r="A62" s="3">
        <v>61.0</v>
      </c>
      <c r="B62" s="4" t="s">
        <v>11223</v>
      </c>
      <c r="C62" s="4" t="s">
        <v>11224</v>
      </c>
      <c r="D62" s="4" t="s">
        <v>11225</v>
      </c>
      <c r="F62" s="5" t="str">
        <f>IFERROR(__xludf.DUMMYFUNCTION("GOOGLETRANSLATE(A62, ""en"", ""hi"")"),"61")</f>
        <v>61</v>
      </c>
      <c r="G62" s="5" t="str">
        <f>IFERROR(__xludf.DUMMYFUNCTION("GOOGLETRANSLATE(B62, ""en"", ""hi"")"),"गिल्ली डंडा के समान कौन सा पारंपरिक भारतीय खेल है जिसमें लक्ष्य पर पत्थर फेंका जाता है?")</f>
        <v>गिल्ली डंडा के समान कौन सा पारंपरिक भारतीय खेल है जिसमें लक्ष्य पर पत्थर फेंका जाता है?</v>
      </c>
      <c r="H62" s="5" t="str">
        <f>IFERROR(__xludf.DUMMYFUNCTION("GOOGLETRANSLATE(C62, ""en"", ""hi"")"),"ए) पिट्ठू, बी) लागोरी, सी) सातोलिया, डी) कब्बडी")</f>
        <v>ए) पिट्ठू, बी) लागोरी, सी) सातोलिया, डी) कब्बडी</v>
      </c>
      <c r="I62" s="5" t="str">
        <f>IFERROR(__xludf.DUMMYFUNCTION("GOOGLETRANSLATE(D62, ""en"", ""hi"")"),"बी) लागोरी")</f>
        <v>बी) लागोरी</v>
      </c>
    </row>
    <row r="63" ht="22.5" customHeight="1">
      <c r="A63" s="3">
        <v>62.0</v>
      </c>
      <c r="B63" s="4" t="s">
        <v>11226</v>
      </c>
      <c r="C63" s="4" t="s">
        <v>11227</v>
      </c>
      <c r="D63" s="4" t="s">
        <v>11228</v>
      </c>
      <c r="F63" s="5" t="str">
        <f>IFERROR(__xludf.DUMMYFUNCTION("GOOGLETRANSLATE(A63, ""en"", ""hi"")"),"62")</f>
        <v>62</v>
      </c>
      <c r="G63" s="5" t="str">
        <f>IFERROR(__xludf.DUMMYFUNCTION("GOOGLETRANSLATE(B63, ""en"", ""hi"")"),"ग्रामीण क्षेत्रों में गिल्ली डंडा में युवा खिलाड़ियों को प्रशिक्षित करने की पारंपरिक पद्धति क्या है?")</f>
        <v>ग्रामीण क्षेत्रों में गिल्ली डंडा में युवा खिलाड़ियों को प्रशिक्षित करने की पारंपरिक पद्धति क्या है?</v>
      </c>
      <c r="H63" s="5" t="str">
        <f>IFERROR(__xludf.DUMMYFUNCTION("GOOGLETRANSLATE(C63, ""en"", ""hi"")"),"A) प्रशिक्षुता, B) औपचारिक कोचिंग, C) सामुदायिक भागीदारी, D) स्कूल पाठ्यक्रम")</f>
        <v>A) प्रशिक्षुता, B) औपचारिक कोचिंग, C) सामुदायिक भागीदारी, D) स्कूल पाठ्यक्रम</v>
      </c>
      <c r="I63" s="5" t="str">
        <f>IFERROR(__xludf.DUMMYFUNCTION("GOOGLETRANSLATE(D63, ""en"", ""hi"")"),"C) सामुदायिक भागीदारी")</f>
        <v>C) सामुदायिक भागीदारी</v>
      </c>
    </row>
    <row r="64" ht="22.5" customHeight="1">
      <c r="A64" s="3">
        <v>63.0</v>
      </c>
      <c r="B64" s="4" t="s">
        <v>11229</v>
      </c>
      <c r="C64" s="4" t="s">
        <v>11230</v>
      </c>
      <c r="D64" s="4" t="s">
        <v>11231</v>
      </c>
      <c r="F64" s="5" t="str">
        <f>IFERROR(__xludf.DUMMYFUNCTION("GOOGLETRANSLATE(A64, ""en"", ""hi"")"),"63")</f>
        <v>63</v>
      </c>
      <c r="G64" s="5" t="str">
        <f>IFERROR(__xludf.DUMMYFUNCTION("GOOGLETRANSLATE(B64, ""en"", ""hi"")"),"किस भारतीय इतिहासकार ने गिल्ली डंडा सहित पारंपरिक खेलों के सांस्कृतिक पहलुओं को व्यापक रूप से कवर किया है?")</f>
        <v>किस भारतीय इतिहासकार ने गिल्ली डंडा सहित पारंपरिक खेलों के सांस्कृतिक पहलुओं को व्यापक रूप से कवर किया है?</v>
      </c>
      <c r="H64" s="5" t="str">
        <f>IFERROR(__xludf.DUMMYFUNCTION("GOOGLETRANSLATE(C64, ""en"", ""hi"")"),"ए) आर.सी. मजूमदार, बी) के.ए. नीलकंठ शास्त्री, सी) बिपन चंद्रा, डी) रोमिला थापर")</f>
        <v>ए) आर.सी. मजूमदार, बी) के.ए. नीलकंठ शास्त्री, सी) बिपन चंद्रा, डी) रोमिला थापर</v>
      </c>
      <c r="I64" s="5" t="str">
        <f>IFERROR(__xludf.DUMMYFUNCTION("GOOGLETRANSLATE(D64, ""en"", ""hi"")"),"बी) के.ए. नीलकंठ शास्त्री")</f>
        <v>बी) के.ए. नीलकंठ शास्त्री</v>
      </c>
    </row>
    <row r="65" ht="22.5" customHeight="1">
      <c r="A65" s="3">
        <v>64.0</v>
      </c>
      <c r="B65" s="4" t="s">
        <v>11232</v>
      </c>
      <c r="C65" s="4" t="s">
        <v>11233</v>
      </c>
      <c r="D65" s="4" t="s">
        <v>11234</v>
      </c>
      <c r="F65" s="5" t="str">
        <f>IFERROR(__xludf.DUMMYFUNCTION("GOOGLETRANSLATE(A65, ""en"", ""hi"")"),"64")</f>
        <v>64</v>
      </c>
      <c r="G65" s="5" t="str">
        <f>IFERROR(__xludf.DUMMYFUNCTION("GOOGLETRANSLATE(B65, ""en"", ""hi"")"),"कौन सा पारंपरिक भारतीय खेल खेलने के तरीके और उपकरणों के संदर्भ में गिल्ली डंडा से निकटता से संबंधित है?")</f>
        <v>कौन सा पारंपरिक भारतीय खेल खेलने के तरीके और उपकरणों के संदर्भ में गिल्ली डंडा से निकटता से संबंधित है?</v>
      </c>
      <c r="H65" s="5" t="str">
        <f>IFERROR(__xludf.DUMMYFUNCTION("GOOGLETRANSLATE(C65, ""en"", ""hi"")"),"ए) सतोलिया, बी) खो-खो, सी) पिट्ठू, डी) लागोरी")</f>
        <v>ए) सतोलिया, बी) खो-खो, सी) पिट्ठू, डी) लागोरी</v>
      </c>
      <c r="I65" s="5" t="str">
        <f>IFERROR(__xludf.DUMMYFUNCTION("GOOGLETRANSLATE(D65, ""en"", ""hi"")"),"D) लागोरी")</f>
        <v>D) लागोरी</v>
      </c>
    </row>
    <row r="66" ht="22.5" customHeight="1">
      <c r="A66" s="3">
        <v>65.0</v>
      </c>
      <c r="B66" s="4" t="s">
        <v>11235</v>
      </c>
      <c r="C66" s="4" t="s">
        <v>204</v>
      </c>
      <c r="D66" s="4" t="s">
        <v>3764</v>
      </c>
      <c r="F66" s="5" t="str">
        <f>IFERROR(__xludf.DUMMYFUNCTION("GOOGLETRANSLATE(A66, ""en"", ""hi"")"),"65")</f>
        <v>65</v>
      </c>
      <c r="G66" s="5" t="str">
        <f>IFERROR(__xludf.DUMMYFUNCTION("GOOGLETRANSLATE(B66, ""en"", ""hi"")"),"किस भारतीय राज्य में 'कल्ली' नामक एक पारंपरिक खेल है जो गिल्ली डंडा के समान है?")</f>
        <v>किस भारतीय राज्य में 'कल्ली' नामक एक पारंपरिक खेल है जो गिल्ली डंडा के समान है?</v>
      </c>
      <c r="H66" s="5" t="str">
        <f>IFERROR(__xludf.DUMMYFUNCTION("GOOGLETRANSLATE(C66, ""en"", ""hi"")"),"A) तमिलनाडु, B) कर्नाटक, C) आंध्र प्रदेश, D) केरल")</f>
        <v>A) तमिलनाडु, B) कर्नाटक, C) आंध्र प्रदेश, D) केरल</v>
      </c>
      <c r="I66" s="5" t="str">
        <f>IFERROR(__xludf.DUMMYFUNCTION("GOOGLETRANSLATE(D66, ""en"", ""hi"")"),"बी) कर्नाटक")</f>
        <v>बी) कर्नाटक</v>
      </c>
    </row>
    <row r="67" ht="22.5" customHeight="1">
      <c r="A67" s="3">
        <v>66.0</v>
      </c>
      <c r="B67" s="4" t="s">
        <v>11236</v>
      </c>
      <c r="C67" s="4" t="s">
        <v>11237</v>
      </c>
      <c r="D67" s="4" t="s">
        <v>3430</v>
      </c>
      <c r="F67" s="5" t="str">
        <f>IFERROR(__xludf.DUMMYFUNCTION("GOOGLETRANSLATE(A67, ""en"", ""hi"")"),"66")</f>
        <v>66</v>
      </c>
      <c r="G67" s="5" t="str">
        <f>IFERROR(__xludf.DUMMYFUNCTION("GOOGLETRANSLATE(B67, ""en"", ""hi"")"),"कौन सा प्राचीन भारतीय ग्रंथ गिल्ली डंडा जैसे पारंपरिक खेलों का प्रारंभिक संदर्भ प्रदान करता है?")</f>
        <v>कौन सा प्राचीन भारतीय ग्रंथ गिल्ली डंडा जैसे पारंपरिक खेलों का प्रारंभिक संदर्भ प्रदान करता है?</v>
      </c>
      <c r="H67" s="5" t="str">
        <f>IFERROR(__xludf.DUMMYFUNCTION("GOOGLETRANSLATE(C67, ""en"", ""hi"")"),"ए) मनुस्मृति, बी) रामायण, सी) महाभारत, डी) अर्थशास्त्र")</f>
        <v>ए) मनुस्मृति, बी) रामायण, सी) महाभारत, डी) अर्थशास्त्र</v>
      </c>
      <c r="I67" s="5" t="str">
        <f>IFERROR(__xludf.DUMMYFUNCTION("GOOGLETRANSLATE(D67, ""en"", ""hi"")"),"D) अर्थशास्त्र")</f>
        <v>D) अर्थशास्त्र</v>
      </c>
    </row>
    <row r="68" ht="22.5" customHeight="1">
      <c r="A68" s="3">
        <v>67.0</v>
      </c>
      <c r="B68" s="4" t="s">
        <v>11238</v>
      </c>
      <c r="C68" s="4" t="s">
        <v>11239</v>
      </c>
      <c r="D68" s="4" t="s">
        <v>4721</v>
      </c>
      <c r="F68" s="5" t="str">
        <f>IFERROR(__xludf.DUMMYFUNCTION("GOOGLETRANSLATE(A68, ""en"", ""hi"")"),"67")</f>
        <v>67</v>
      </c>
      <c r="G68" s="5" t="str">
        <f>IFERROR(__xludf.DUMMYFUNCTION("GOOGLETRANSLATE(B68, ""en"", ""hi"")"),"कौन सा भारतीय सांस्कृतिक कार्यक्रम आमतौर पर गिल्ली डंडा सहित पारंपरिक खेलों को अपनी गतिविधियों के हिस्से के रूप में शामिल करता है?")</f>
        <v>कौन सा भारतीय सांस्कृतिक कार्यक्रम आमतौर पर गिल्ली डंडा सहित पारंपरिक खेलों को अपनी गतिविधियों के हिस्से के रूप में शामिल करता है?</v>
      </c>
      <c r="H68" s="5" t="str">
        <f>IFERROR(__xludf.DUMMYFUNCTION("GOOGLETRANSLATE(C68, ""en"", ""hi"")"),"A) ग्राम मेले, B) शहरी त्यौहार, C) शैक्षणिक प्रतियोगिताएं, D) सरकारी प्रदर्शनियां")</f>
        <v>A) ग्राम मेले, B) शहरी त्यौहार, C) शैक्षणिक प्रतियोगिताएं, D) सरकारी प्रदर्शनियां</v>
      </c>
      <c r="I68" s="5" t="str">
        <f>IFERROR(__xludf.DUMMYFUNCTION("GOOGLETRANSLATE(D68, ""en"", ""hi"")"),"A) गाँव के मेले")</f>
        <v>A) गाँव के मेले</v>
      </c>
    </row>
    <row r="69" ht="22.5" customHeight="1">
      <c r="A69" s="3">
        <v>68.0</v>
      </c>
      <c r="B69" s="4" t="s">
        <v>11240</v>
      </c>
      <c r="C69" s="4" t="s">
        <v>11241</v>
      </c>
      <c r="D69" s="4" t="s">
        <v>11242</v>
      </c>
      <c r="F69" s="5" t="str">
        <f>IFERROR(__xludf.DUMMYFUNCTION("GOOGLETRANSLATE(A69, ""en"", ""hi"")"),"68")</f>
        <v>68</v>
      </c>
      <c r="G69" s="5" t="str">
        <f>IFERROR(__xludf.DUMMYFUNCTION("GOOGLETRANSLATE(B69, ""en"", ""hi"")"),"कौन सा ऐतिहासिक व्यक्ति गिल्ली डंडा सहित भारत के खेलों का अपने लेखन में दस्तावेजीकरण करने के लिए जाना जाता है?")</f>
        <v>कौन सा ऐतिहासिक व्यक्ति गिल्ली डंडा सहित भारत के खेलों का अपने लेखन में दस्तावेजीकरण करने के लिए जाना जाता है?</v>
      </c>
      <c r="H69" s="5" t="str">
        <f>IFERROR(__xludf.DUMMYFUNCTION("GOOGLETRANSLATE(C69, ""en"", ""hi"")"),"A) जेम्स टॉड, B) सर विलियम जोन्स, C) चार्ल्स स्टीवर्ट, D) ऑरेल स्टीन")</f>
        <v>A) जेम्स टॉड, B) सर विलियम जोन्स, C) चार्ल्स स्टीवर्ट, D) ऑरेल स्टीन</v>
      </c>
      <c r="I69" s="5" t="str">
        <f>IFERROR(__xludf.DUMMYFUNCTION("GOOGLETRANSLATE(D69, ""en"", ""hi"")"),"A) जेम्स टॉड")</f>
        <v>A) जेम्स टॉड</v>
      </c>
    </row>
    <row r="70" ht="22.5" customHeight="1">
      <c r="A70" s="3">
        <v>69.0</v>
      </c>
      <c r="B70" s="4" t="s">
        <v>11243</v>
      </c>
      <c r="C70" s="4" t="s">
        <v>11244</v>
      </c>
      <c r="D70" s="4" t="s">
        <v>11245</v>
      </c>
      <c r="F70" s="5" t="str">
        <f>IFERROR(__xludf.DUMMYFUNCTION("GOOGLETRANSLATE(A70, ""en"", ""hi"")"),"69")</f>
        <v>69</v>
      </c>
      <c r="G70" s="5" t="str">
        <f>IFERROR(__xludf.DUMMYFUNCTION("GOOGLETRANSLATE(B70, ""en"", ""hi"")"),"भारतीय इतिहास के किस काल में गिल्ली डंडा जैसे पारंपरिक खेलों की लोकप्रियता में उल्लेखनीय गिरावट देखी गई?")</f>
        <v>भारतीय इतिहास के किस काल में गिल्ली डंडा जैसे पारंपरिक खेलों की लोकप्रियता में उल्लेखनीय गिरावट देखी गई?</v>
      </c>
      <c r="H70" s="5" t="str">
        <f>IFERROR(__xludf.DUMMYFUNCTION("GOOGLETRANSLATE(C70, ""en"", ""hi"")"),"A) प्राचीन काल, B) मध्यकाल, C) औपनिवेशिक काल, D) स्वतंत्रता के बाद का काल")</f>
        <v>A) प्राचीन काल, B) मध्यकाल, C) औपनिवेशिक काल, D) स्वतंत्रता के बाद का काल</v>
      </c>
      <c r="I70" s="5" t="str">
        <f>IFERROR(__xludf.DUMMYFUNCTION("GOOGLETRANSLATE(D70, ""en"", ""hi"")"),"C) औपनिवेशिक काल")</f>
        <v>C) औपनिवेशिक काल</v>
      </c>
    </row>
    <row r="71" ht="22.5" customHeight="1">
      <c r="A71" s="3">
        <v>70.0</v>
      </c>
      <c r="B71" s="4" t="s">
        <v>11246</v>
      </c>
      <c r="C71" s="4" t="s">
        <v>11247</v>
      </c>
      <c r="D71" s="4" t="s">
        <v>11248</v>
      </c>
      <c r="F71" s="5" t="str">
        <f>IFERROR(__xludf.DUMMYFUNCTION("GOOGLETRANSLATE(A71, ""en"", ""hi"")"),"70")</f>
        <v>70</v>
      </c>
      <c r="G71" s="5" t="str">
        <f>IFERROR(__xludf.DUMMYFUNCTION("GOOGLETRANSLATE(B71, ""en"", ""hi"")"),"कौन सा ऐतिहासिक भारतीय त्यौहार गिल्ली डंडा जैसे पारंपरिक खेलों को अपने उत्सव के हिस्से के रूप में शामिल करता है?")</f>
        <v>कौन सा ऐतिहासिक भारतीय त्यौहार गिल्ली डंडा जैसे पारंपरिक खेलों को अपने उत्सव के हिस्से के रूप में शामिल करता है?</v>
      </c>
      <c r="H71" s="5" t="str">
        <f>IFERROR(__xludf.DUMMYFUNCTION("GOOGLETRANSLATE(C71, ""en"", ""hi"")"),"ए) गणेश चतुर्थी, बी) रक्षा बंधन, सी) ओणम, डी) पोंगल")</f>
        <v>ए) गणेश चतुर्थी, बी) रक्षा बंधन, सी) ओणम, डी) पोंगल</v>
      </c>
      <c r="I71" s="5" t="str">
        <f>IFERROR(__xludf.DUMMYFUNCTION("GOOGLETRANSLATE(D71, ""en"", ""hi"")"),"C) ओणम")</f>
        <v>C) ओणम</v>
      </c>
    </row>
    <row r="72" ht="22.5" customHeight="1">
      <c r="A72" s="3">
        <v>71.0</v>
      </c>
      <c r="B72" s="4" t="s">
        <v>11249</v>
      </c>
      <c r="C72" s="4" t="s">
        <v>11250</v>
      </c>
      <c r="D72" s="4" t="s">
        <v>6521</v>
      </c>
      <c r="F72" s="5" t="str">
        <f>IFERROR(__xludf.DUMMYFUNCTION("GOOGLETRANSLATE(A72, ""en"", ""hi"")"),"71")</f>
        <v>71</v>
      </c>
      <c r="G72" s="5" t="str">
        <f>IFERROR(__xludf.DUMMYFUNCTION("GOOGLETRANSLATE(B72, ""en"", ""hi"")"),"कौन सा दक्षिण एशियाई देश गिल्ली डंडा के समान एक पारंपरिक खेल 'गिल्ली' के लिए जाना जाता है?")</f>
        <v>कौन सा दक्षिण एशियाई देश गिल्ली डंडा के समान एक पारंपरिक खेल 'गिल्ली' के लिए जाना जाता है?</v>
      </c>
      <c r="H72" s="5" t="str">
        <f>IFERROR(__xludf.DUMMYFUNCTION("GOOGLETRANSLATE(C72, ""en"", ""hi"")"),"A) श्रीलंका, B) नेपाल, C) बांग्लादेश, D) पाकिस्तान")</f>
        <v>A) श्रीलंका, B) नेपाल, C) बांग्लादेश, D) पाकिस्तान</v>
      </c>
      <c r="I72" s="5" t="str">
        <f>IFERROR(__xludf.DUMMYFUNCTION("GOOGLETRANSLATE(D72, ""en"", ""hi"")"),"C) बांग्लादेश")</f>
        <v>C) बांग्लादेश</v>
      </c>
    </row>
    <row r="73" ht="22.5" customHeight="1">
      <c r="A73" s="3">
        <v>72.0</v>
      </c>
      <c r="B73" s="4" t="s">
        <v>11251</v>
      </c>
      <c r="C73" s="4" t="s">
        <v>11252</v>
      </c>
      <c r="D73" s="4" t="s">
        <v>222</v>
      </c>
      <c r="F73" s="5" t="str">
        <f>IFERROR(__xludf.DUMMYFUNCTION("GOOGLETRANSLATE(A73, ""en"", ""hi"")"),"72")</f>
        <v>72</v>
      </c>
      <c r="G73" s="5" t="str">
        <f>IFERROR(__xludf.DUMMYFUNCTION("GOOGLETRANSLATE(B73, ""en"", ""hi"")"),"कौन सा प्रसिद्ध भारतीय महाकाव्य गिल्ली डंडा जैसे पारंपरिक खेलों से संबंधित कहानियां बताता है?")</f>
        <v>कौन सा प्रसिद्ध भारतीय महाकाव्य गिल्ली डंडा जैसे पारंपरिक खेलों से संबंधित कहानियां बताता है?</v>
      </c>
      <c r="H73" s="5" t="str">
        <f>IFERROR(__xludf.DUMMYFUNCTION("GOOGLETRANSLATE(C73, ""en"", ""hi"")"),"ए) महाभारत, बी) रामायण, सी) पुराण, डी) जातक कथाएँ")</f>
        <v>ए) महाभारत, बी) रामायण, सी) पुराण, डी) जातक कथाएँ</v>
      </c>
      <c r="I73" s="5" t="str">
        <f>IFERROR(__xludf.DUMMYFUNCTION("GOOGLETRANSLATE(D73, ""en"", ""hi"")"),"A) महाभारत")</f>
        <v>A) महाभारत</v>
      </c>
    </row>
    <row r="74" ht="22.5" customHeight="1">
      <c r="A74" s="3">
        <v>73.0</v>
      </c>
      <c r="B74" s="4" t="s">
        <v>11253</v>
      </c>
      <c r="C74" s="4" t="s">
        <v>11254</v>
      </c>
      <c r="D74" s="4" t="s">
        <v>11255</v>
      </c>
      <c r="F74" s="5" t="str">
        <f>IFERROR(__xludf.DUMMYFUNCTION("GOOGLETRANSLATE(A74, ""en"", ""hi"")"),"73")</f>
        <v>73</v>
      </c>
      <c r="G74" s="5" t="str">
        <f>IFERROR(__xludf.DUMMYFUNCTION("GOOGLETRANSLATE(B74, ""en"", ""hi"")"),"कौन सा ऐतिहासिक विवरण या पांडुलिपि प्राचीन भारत में दैनिक जीवन के हिस्से के रूप में गिल्ली डंडा के खेल का वर्णन करती है?")</f>
        <v>कौन सा ऐतिहासिक विवरण या पांडुलिपि प्राचीन भारत में दैनिक जीवन के हिस्से के रूप में गिल्ली डंडा के खेल का वर्णन करती है?</v>
      </c>
      <c r="H74" s="5" t="str">
        <f>IFERROR(__xludf.DUMMYFUNCTION("GOOGLETRANSLATE(C74, ""en"", ""hi"")"),"ए) अर्थशास्त्र, बी) राजतरंगिणी, सी) मनुस्मृति, डी) वात्स्यायन का कामसूत्र")</f>
        <v>ए) अर्थशास्त्र, बी) राजतरंगिणी, सी) मनुस्मृति, डी) वात्स्यायन का कामसूत्र</v>
      </c>
      <c r="I74" s="5" t="str">
        <f>IFERROR(__xludf.DUMMYFUNCTION("GOOGLETRANSLATE(D74, ""en"", ""hi"")"),"बी) राजतरंगिणी")</f>
        <v>बी) राजतरंगिणी</v>
      </c>
    </row>
    <row r="75" ht="22.5" customHeight="1">
      <c r="A75" s="3">
        <v>74.0</v>
      </c>
      <c r="B75" s="4" t="s">
        <v>11256</v>
      </c>
      <c r="C75" s="4" t="s">
        <v>11257</v>
      </c>
      <c r="D75" s="4" t="s">
        <v>11225</v>
      </c>
      <c r="F75" s="5" t="str">
        <f>IFERROR(__xludf.DUMMYFUNCTION("GOOGLETRANSLATE(A75, ""en"", ""hi"")"),"74")</f>
        <v>74</v>
      </c>
      <c r="G75" s="5" t="str">
        <f>IFERROR(__xludf.DUMMYFUNCTION("GOOGLETRANSLATE(B75, ""en"", ""hi"")"),"गिल्ली डंडा के समान कौन सा भारतीय खेल है जिसमें एक छोटी वस्तु को छड़ी से मारा जाता है और देश भर में क्षेत्रीय विविधताएं हैं?")</f>
        <v>गिल्ली डंडा के समान कौन सा भारतीय खेल है जिसमें एक छोटी वस्तु को छड़ी से मारा जाता है और देश भर में क्षेत्रीय विविधताएं हैं?</v>
      </c>
      <c r="H75" s="5" t="str">
        <f>IFERROR(__xludf.DUMMYFUNCTION("GOOGLETRANSLATE(C75, ""en"", ""hi"")"),"ए) पिट्ठू, बी) लागोरी, सी) सातोलिया, डी) खो-खो")</f>
        <v>ए) पिट्ठू, बी) लागोरी, सी) सातोलिया, डी) खो-खो</v>
      </c>
      <c r="I75" s="5" t="str">
        <f>IFERROR(__xludf.DUMMYFUNCTION("GOOGLETRANSLATE(D75, ""en"", ""hi"")"),"बी) लागोरी")</f>
        <v>बी) लागोरी</v>
      </c>
    </row>
    <row r="76" ht="22.5" customHeight="1">
      <c r="A76" s="3">
        <v>75.0</v>
      </c>
      <c r="B76" s="4" t="s">
        <v>11258</v>
      </c>
      <c r="C76" s="4" t="s">
        <v>11259</v>
      </c>
      <c r="D76" s="4" t="s">
        <v>11260</v>
      </c>
      <c r="F76" s="5" t="str">
        <f>IFERROR(__xludf.DUMMYFUNCTION("GOOGLETRANSLATE(A76, ""en"", ""hi"")"),"75")</f>
        <v>75</v>
      </c>
      <c r="G76" s="5" t="str">
        <f>IFERROR(__xludf.DUMMYFUNCTION("GOOGLETRANSLATE(B76, ""en"", ""hi"")"),"भारत में आधुनिक खेलों के आगमन से गिल्ली डंडा जैसे पारंपरिक खेलों पर क्या प्रभाव पड़ा?")</f>
        <v>भारत में आधुनिक खेलों के आगमन से गिल्ली डंडा जैसे पारंपरिक खेलों पर क्या प्रभाव पड़ा?</v>
      </c>
      <c r="H76" s="5" t="str">
        <f>IFERROR(__xludf.DUMMYFUNCTION("GOOGLETRANSLATE(C76, ""en"", ""hi"")"),"A) बढ़ती लोकप्रियता, B) पारंपरिक प्रथाओं का नुकसान, C) हाइब्रिड खेलों का निर्माण, D) अधिक अंतर्राष्ट्रीय मान्यता")</f>
        <v>A) बढ़ती लोकप्रियता, B) पारंपरिक प्रथाओं का नुकसान, C) हाइब्रिड खेलों का निर्माण, D) अधिक अंतर्राष्ट्रीय मान्यता</v>
      </c>
      <c r="I76" s="5" t="str">
        <f>IFERROR(__xludf.DUMMYFUNCTION("GOOGLETRANSLATE(D76, ""en"", ""hi"")"),"बी) पारंपरिक प्रथाओं का नुकसान")</f>
        <v>बी) पारंपरिक प्रथाओं का नुकसान</v>
      </c>
    </row>
    <row r="77" ht="22.5" customHeight="1">
      <c r="A77" s="3">
        <v>76.0</v>
      </c>
      <c r="B77" s="4" t="s">
        <v>11261</v>
      </c>
      <c r="C77" s="4" t="s">
        <v>11262</v>
      </c>
      <c r="D77" s="4" t="s">
        <v>4112</v>
      </c>
      <c r="F77" s="5" t="str">
        <f>IFERROR(__xludf.DUMMYFUNCTION("GOOGLETRANSLATE(A77, ""en"", ""hi"")"),"76")</f>
        <v>76</v>
      </c>
      <c r="G77" s="5" t="str">
        <f>IFERROR(__xludf.DUMMYFUNCTION("GOOGLETRANSLATE(B77, ""en"", ""hi"")"),"कौन सा भारतीय क्षेत्र सामुदायिक आयोजनों के माध्यम से गिल्ली डंडा जैसे पारंपरिक खेलों के संरक्षण के लिए विशेष रूप से जाना जाता है?")</f>
        <v>कौन सा भारतीय क्षेत्र सामुदायिक आयोजनों के माध्यम से गिल्ली डंडा जैसे पारंपरिक खेलों के संरक्षण के लिए विशेष रूप से जाना जाता है?</v>
      </c>
      <c r="H77" s="5" t="str">
        <f>IFERROR(__xludf.DUMMYFUNCTION("GOOGLETRANSLATE(C77, ""en"", ""hi"")"),"ए) पंजाब, बी) राजस्थान, सी) महाराष्ट्र, डी) उत्तर प्रदेश")</f>
        <v>ए) पंजाब, बी) राजस्थान, सी) महाराष्ट्र, डी) उत्तर प्रदेश</v>
      </c>
      <c r="I77" s="5" t="str">
        <f>IFERROR(__xludf.DUMMYFUNCTION("GOOGLETRANSLATE(D77, ""en"", ""hi"")"),"बी) राजस्थान")</f>
        <v>बी) राजस्थान</v>
      </c>
    </row>
    <row r="78" ht="22.5" customHeight="1">
      <c r="A78" s="3">
        <v>77.0</v>
      </c>
      <c r="B78" s="4" t="s">
        <v>11263</v>
      </c>
      <c r="C78" s="4" t="s">
        <v>11264</v>
      </c>
      <c r="D78" s="4" t="s">
        <v>11265</v>
      </c>
      <c r="F78" s="5" t="str">
        <f>IFERROR(__xludf.DUMMYFUNCTION("GOOGLETRANSLATE(A78, ""en"", ""hi"")"),"77")</f>
        <v>77</v>
      </c>
      <c r="G78" s="5" t="str">
        <f>IFERROR(__xludf.DUMMYFUNCTION("GOOGLETRANSLATE(B78, ""en"", ""hi"")"),"कौन सा भारतीय खेल, गिल्ली डंडा से निकटता से संबंधित है, जिसमें एक छोटी वस्तु को छड़ी से फेंकना शामिल है और इसमें क्षेत्रीय विविधताएं हैं?")</f>
        <v>कौन सा भारतीय खेल, गिल्ली डंडा से निकटता से संबंधित है, जिसमें एक छोटी वस्तु को छड़ी से फेंकना शामिल है और इसमें क्षेत्रीय विविधताएं हैं?</v>
      </c>
      <c r="H78" s="5" t="str">
        <f>IFERROR(__xludf.DUMMYFUNCTION("GOOGLETRANSLATE(C78, ""en"", ""hi"")"),"ए) सतोलिया, बी) पिट्ठू, सी) लागोरी, डी) खो-खो")</f>
        <v>ए) सतोलिया, बी) पिट्ठू, सी) लागोरी, डी) खो-खो</v>
      </c>
      <c r="I78" s="5" t="str">
        <f>IFERROR(__xludf.DUMMYFUNCTION("GOOGLETRANSLATE(D78, ""en"", ""hi"")"),"C) लागोरी")</f>
        <v>C) लागोरी</v>
      </c>
    </row>
    <row r="79" ht="22.5" customHeight="1">
      <c r="A79" s="3">
        <v>78.0</v>
      </c>
      <c r="B79" s="4" t="s">
        <v>11266</v>
      </c>
      <c r="C79" s="4" t="s">
        <v>482</v>
      </c>
      <c r="D79" s="4" t="s">
        <v>222</v>
      </c>
      <c r="F79" s="5" t="str">
        <f>IFERROR(__xludf.DUMMYFUNCTION("GOOGLETRANSLATE(A79, ""en"", ""hi"")"),"78")</f>
        <v>78</v>
      </c>
      <c r="G79" s="5" t="str">
        <f>IFERROR(__xludf.DUMMYFUNCTION("GOOGLETRANSLATE(B79, ""en"", ""hi"")"),"किस प्राचीन ग्रंथ में गिल्ली डंडा का उल्लेख भारत में एक लोकप्रिय खेल के रूप में किया गया है?")</f>
        <v>किस प्राचीन ग्रंथ में गिल्ली डंडा का उल्लेख भारत में एक लोकप्रिय खेल के रूप में किया गया है?</v>
      </c>
      <c r="H79" s="5" t="str">
        <f>IFERROR(__xludf.DUMMYFUNCTION("GOOGLETRANSLATE(C79, ""en"", ""hi"")"),"ए) महाभारत, बी) रामायण, सी) वेद, डी) उपनिषद")</f>
        <v>ए) महाभारत, बी) रामायण, सी) वेद, डी) उपनिषद</v>
      </c>
      <c r="I79" s="5" t="str">
        <f>IFERROR(__xludf.DUMMYFUNCTION("GOOGLETRANSLATE(D79, ""en"", ""hi"")"),"A) महाभारत")</f>
        <v>A) महाभारत</v>
      </c>
    </row>
    <row r="80" ht="22.5" customHeight="1">
      <c r="A80" s="3">
        <v>79.0</v>
      </c>
      <c r="B80" s="4" t="s">
        <v>11267</v>
      </c>
      <c r="C80" s="4" t="s">
        <v>11268</v>
      </c>
      <c r="D80" s="4" t="s">
        <v>11067</v>
      </c>
      <c r="F80" s="5" t="str">
        <f>IFERROR(__xludf.DUMMYFUNCTION("GOOGLETRANSLATE(A80, ""en"", ""hi"")"),"79")</f>
        <v>79</v>
      </c>
      <c r="G80" s="5" t="str">
        <f>IFERROR(__xludf.DUMMYFUNCTION("GOOGLETRANSLATE(B80, ""en"", ""hi"")"),"भारत में गिल्ली डंडा के नियमों का औपचारिक संहिताकरण किस ऐतिहासिक काल में हुआ?")</f>
        <v>भारत में गिल्ली डंडा के नियमों का औपचारिक संहिताकरण किस ऐतिहासिक काल में हुआ?</v>
      </c>
      <c r="H80" s="5" t="str">
        <f>IFERROR(__xludf.DUMMYFUNCTION("GOOGLETRANSLATE(C80, ""en"", ""hi"")"),"A) मौर्य साम्राज्य, B) गुप्त साम्राज्य, C) मुगल काल, D) ब्रिटिश राज")</f>
        <v>A) मौर्य साम्राज्य, B) गुप्त साम्राज्य, C) मुगल काल, D) ब्रिटिश राज</v>
      </c>
      <c r="I80" s="5" t="str">
        <f>IFERROR(__xludf.DUMMYFUNCTION("GOOGLETRANSLATE(D80, ""en"", ""hi"")"),"बी) गुप्त साम्राज्य")</f>
        <v>बी) गुप्त साम्राज्य</v>
      </c>
    </row>
    <row r="81" ht="22.5" customHeight="1">
      <c r="A81" s="3">
        <v>80.0</v>
      </c>
      <c r="B81" s="4" t="s">
        <v>11269</v>
      </c>
      <c r="C81" s="4" t="s">
        <v>11270</v>
      </c>
      <c r="D81" s="4" t="s">
        <v>7231</v>
      </c>
      <c r="F81" s="5" t="str">
        <f>IFERROR(__xludf.DUMMYFUNCTION("GOOGLETRANSLATE(A81, ""en"", ""hi"")"),"80")</f>
        <v>80</v>
      </c>
      <c r="G81" s="5" t="str">
        <f>IFERROR(__xludf.DUMMYFUNCTION("GOOGLETRANSLATE(B81, ""en"", ""hi"")"),"किस प्राचीन भारतीय राजा के बारे में कहा जाता है कि वह अपने खाली समय में गिल्ली डंडा खेला करते थे?")</f>
        <v>किस प्राचीन भारतीय राजा के बारे में कहा जाता है कि वह अपने खाली समय में गिल्ली डंडा खेला करते थे?</v>
      </c>
      <c r="H81" s="5" t="str">
        <f>IFERROR(__xludf.DUMMYFUNCTION("GOOGLETRANSLATE(C81, ""en"", ""hi"")"),"ए) अशोक, बी) चंद्रगुप्त मौर्य, सी) विक्रमादित्य, डी) अकबर")</f>
        <v>ए) अशोक, बी) चंद्रगुप्त मौर्य, सी) विक्रमादित्य, डी) अकबर</v>
      </c>
      <c r="I81" s="5" t="str">
        <f>IFERROR(__xludf.DUMMYFUNCTION("GOOGLETRANSLATE(D81, ""en"", ""hi"")"),"C) विक्रमादित्य")</f>
        <v>C) विक्रमादित्य</v>
      </c>
    </row>
    <row r="82" ht="22.5" customHeight="1">
      <c r="A82" s="3">
        <v>81.0</v>
      </c>
      <c r="B82" s="4" t="s">
        <v>11271</v>
      </c>
      <c r="C82" s="4" t="s">
        <v>11272</v>
      </c>
      <c r="D82" s="4" t="s">
        <v>11273</v>
      </c>
      <c r="F82" s="5" t="str">
        <f>IFERROR(__xludf.DUMMYFUNCTION("GOOGLETRANSLATE(A82, ""en"", ""hi"")"),"81")</f>
        <v>81</v>
      </c>
      <c r="G82" s="5" t="str">
        <f>IFERROR(__xludf.DUMMYFUNCTION("GOOGLETRANSLATE(B82, ""en"", ""hi"")"),"भारत के किस क्षेत्र में गिल्ली डंडा को पारंपरिक खेल माना जाता है और आज भी खेला जाता है?")</f>
        <v>भारत के किस क्षेत्र में गिल्ली डंडा को पारंपरिक खेल माना जाता है और आज भी खेला जाता है?</v>
      </c>
      <c r="H82" s="5" t="str">
        <f>IFERROR(__xludf.DUMMYFUNCTION("GOOGLETRANSLATE(C82, ""en"", ""hi"")"),"ए) पंजाब, बी) तमिलनाडु, सी) राजस्थान, डी) उत्तर प्रदेश")</f>
        <v>ए) पंजाब, बी) तमिलनाडु, सी) राजस्थान, डी) उत्तर प्रदेश</v>
      </c>
      <c r="I82" s="5" t="str">
        <f>IFERROR(__xludf.DUMMYFUNCTION("GOOGLETRANSLATE(D82, ""en"", ""hi"")"),"D) उत्तर प्रदेश")</f>
        <v>D) उत्तर प्रदेश</v>
      </c>
    </row>
    <row r="83" ht="22.5" customHeight="1">
      <c r="A83" s="3">
        <v>82.0</v>
      </c>
      <c r="B83" s="4" t="s">
        <v>11274</v>
      </c>
      <c r="C83" s="4" t="s">
        <v>11275</v>
      </c>
      <c r="D83" s="4" t="s">
        <v>11276</v>
      </c>
      <c r="F83" s="5" t="str">
        <f>IFERROR(__xludf.DUMMYFUNCTION("GOOGLETRANSLATE(A83, ""en"", ""hi"")"),"82")</f>
        <v>82</v>
      </c>
      <c r="G83" s="5" t="str">
        <f>IFERROR(__xludf.DUMMYFUNCTION("GOOGLETRANSLATE(B83, ""en"", ""hi"")"),"किस ऐतिहासिक घटना के दौरान गिल्ली डंडा का उपयोग युवा योद्धाओं को रणनीति और कौशल सिखाने के लिए एक उपकरण के रूप में किया गया था?")</f>
        <v>किस ऐतिहासिक घटना के दौरान गिल्ली डंडा का उपयोग युवा योद्धाओं को रणनीति और कौशल सिखाने के लिए एक उपकरण के रूप में किया गया था?</v>
      </c>
      <c r="H83" s="5" t="str">
        <f>IFERROR(__xludf.DUMMYFUNCTION("GOOGLETRANSLATE(C83, ""en"", ""hi"")"),"A) सिकंदर का आक्रमण, B) मुगल विजय, C) ब्रिटिश उपनिवेशीकरण, D) चोल आक्रमण")</f>
        <v>A) सिकंदर का आक्रमण, B) मुगल विजय, C) ब्रिटिश उपनिवेशीकरण, D) चोल आक्रमण</v>
      </c>
      <c r="I83" s="5" t="str">
        <f>IFERROR(__xludf.DUMMYFUNCTION("GOOGLETRANSLATE(D83, ""en"", ""hi"")"),"D) चोल आक्रमण")</f>
        <v>D) चोल आक्रमण</v>
      </c>
    </row>
    <row r="84" ht="22.5" customHeight="1">
      <c r="A84" s="3">
        <v>83.0</v>
      </c>
      <c r="B84" s="4" t="s">
        <v>11277</v>
      </c>
      <c r="C84" s="4" t="s">
        <v>11278</v>
      </c>
      <c r="D84" s="4" t="s">
        <v>11279</v>
      </c>
      <c r="F84" s="5" t="str">
        <f>IFERROR(__xludf.DUMMYFUNCTION("GOOGLETRANSLATE(A84, ""en"", ""hi"")"),"83")</f>
        <v>83</v>
      </c>
      <c r="G84" s="5" t="str">
        <f>IFERROR(__xludf.DUMMYFUNCTION("GOOGLETRANSLATE(B84, ""en"", ""hi"")"),"कौन सा भारतीय राजवंश गिल्ली डंडा को अपने दरबारी खेलों और मनोरंजन में शामिल करने के लिए जाना जाता था?")</f>
        <v>कौन सा भारतीय राजवंश गिल्ली डंडा को अपने दरबारी खेलों और मनोरंजन में शामिल करने के लिए जाना जाता था?</v>
      </c>
      <c r="H84" s="5" t="str">
        <f>IFERROR(__xludf.DUMMYFUNCTION("GOOGLETRANSLATE(C84, ""en"", ""hi"")"),"A) चालुक्य वंश, B) सातवाहन वंश, C) राष्ट्रकूट वंश, D) मराठा साम्राज्य")</f>
        <v>A) चालुक्य वंश, B) सातवाहन वंश, C) राष्ट्रकूट वंश, D) मराठा साम्राज्य</v>
      </c>
      <c r="I84" s="5" t="str">
        <f>IFERROR(__xludf.DUMMYFUNCTION("GOOGLETRANSLATE(D84, ""en"", ""hi"")"),"बी) सातवाहन राजवंश")</f>
        <v>बी) सातवाहन राजवंश</v>
      </c>
    </row>
    <row r="85" ht="22.5" customHeight="1">
      <c r="A85" s="3">
        <v>84.0</v>
      </c>
      <c r="B85" s="4" t="s">
        <v>11280</v>
      </c>
      <c r="C85" s="4" t="s">
        <v>11281</v>
      </c>
      <c r="D85" s="4" t="s">
        <v>11282</v>
      </c>
      <c r="F85" s="5" t="str">
        <f>IFERROR(__xludf.DUMMYFUNCTION("GOOGLETRANSLATE(A85, ""en"", ""hi"")"),"84")</f>
        <v>84</v>
      </c>
      <c r="G85" s="5" t="str">
        <f>IFERROR(__xludf.DUMMYFUNCTION("GOOGLETRANSLATE(B85, ""en"", ""hi"")"),"किस शताब्दी में गिल्ली डंडा ग्रामीण भारत में क्षेत्रीय गौरव और सांस्कृतिक पहचान का प्रतीक बन गया?")</f>
        <v>किस शताब्दी में गिल्ली डंडा ग्रामीण भारत में क्षेत्रीय गौरव और सांस्कृतिक पहचान का प्रतीक बन गया?</v>
      </c>
      <c r="H85" s="5" t="str">
        <f>IFERROR(__xludf.DUMMYFUNCTION("GOOGLETRANSLATE(C85, ""en"", ""hi"")"),"A) 16वीं शताब्दी, B) 17वीं शताब्दी, C) 18वीं शताब्दी, D) 19वीं शताब्दी")</f>
        <v>A) 16वीं शताब्दी, B) 17वीं शताब्दी, C) 18वीं शताब्दी, D) 19वीं शताब्दी</v>
      </c>
      <c r="I85" s="5" t="str">
        <f>IFERROR(__xludf.DUMMYFUNCTION("GOOGLETRANSLATE(D85, ""en"", ""hi"")"),"सी) 18वीं शताब्दी")</f>
        <v>सी) 18वीं शताब्दी</v>
      </c>
    </row>
    <row r="86" ht="22.5" customHeight="1">
      <c r="A86" s="3">
        <v>85.0</v>
      </c>
      <c r="B86" s="4" t="s">
        <v>11283</v>
      </c>
      <c r="C86" s="4" t="s">
        <v>11284</v>
      </c>
      <c r="D86" s="4" t="s">
        <v>1568</v>
      </c>
      <c r="F86" s="5" t="str">
        <f>IFERROR(__xludf.DUMMYFUNCTION("GOOGLETRANSLATE(A86, ""en"", ""hi"")"),"85")</f>
        <v>85</v>
      </c>
      <c r="G86" s="5" t="str">
        <f>IFERROR(__xludf.DUMMYFUNCTION("GOOGLETRANSLATE(B86, ""en"", ""hi"")"),"कौन सा प्राचीन भारतीय खेल गिल्ली डंडा का पूर्ववर्ती माना जाता है और गेमप्ले में समानताएं साझा करता है?")</f>
        <v>कौन सा प्राचीन भारतीय खेल गिल्ली डंडा का पूर्ववर्ती माना जाता है और गेमप्ले में समानताएं साझा करता है?</v>
      </c>
      <c r="H86" s="5" t="str">
        <f>IFERROR(__xludf.DUMMYFUNCTION("GOOGLETRANSLATE(C86, ""en"", ""hi"")"),"ए)कबड्डी, बी)चतुरंगा,सी)पोलो,डी)कबड्डी")</f>
        <v>ए)कबड्डी, बी)चतुरंगा,सी)पोलो,डी)कबड्डी</v>
      </c>
      <c r="I86" s="5" t="str">
        <f>IFERROR(__xludf.DUMMYFUNCTION("GOOGLETRANSLATE(D86, ""en"", ""hi"")"),"बी) चतुरंग")</f>
        <v>बी) चतुरंग</v>
      </c>
    </row>
    <row r="87" ht="22.5" customHeight="1">
      <c r="A87" s="3">
        <v>86.0</v>
      </c>
      <c r="B87" s="4" t="s">
        <v>11285</v>
      </c>
      <c r="C87" s="4" t="s">
        <v>11286</v>
      </c>
      <c r="D87" s="4" t="s">
        <v>11255</v>
      </c>
      <c r="F87" s="5" t="str">
        <f>IFERROR(__xludf.DUMMYFUNCTION("GOOGLETRANSLATE(A87, ""en"", ""hi"")"),"86")</f>
        <v>86</v>
      </c>
      <c r="G87" s="5" t="str">
        <f>IFERROR(__xludf.DUMMYFUNCTION("GOOGLETRANSLATE(B87, ""en"", ""hi"")"),"मध्यकालीन भारत के किस ऐतिहासिक ग्रंथ में गिल्ली डंडा के नियमों और रणनीतियों का विस्तार से वर्णन किया गया है?")</f>
        <v>मध्यकालीन भारत के किस ऐतिहासिक ग्रंथ में गिल्ली डंडा के नियमों और रणनीतियों का विस्तार से वर्णन किया गया है?</v>
      </c>
      <c r="H87" s="5" t="str">
        <f>IFERROR(__xludf.DUMMYFUNCTION("GOOGLETRANSLATE(C87, ""en"", ""hi"")"),"ए) अकबरनामा, बी) राजतरंगिणी, सी) पादशाहनामा, डी) महाभारत")</f>
        <v>ए) अकबरनामा, बी) राजतरंगिणी, सी) पादशाहनामा, डी) महाभारत</v>
      </c>
      <c r="I87" s="5" t="str">
        <f>IFERROR(__xludf.DUMMYFUNCTION("GOOGLETRANSLATE(D87, ""en"", ""hi"")"),"बी) राजतरंगिणी")</f>
        <v>बी) राजतरंगिणी</v>
      </c>
    </row>
    <row r="88" ht="22.5" customHeight="1">
      <c r="A88" s="3">
        <v>87.0</v>
      </c>
      <c r="B88" s="4" t="s">
        <v>11287</v>
      </c>
      <c r="C88" s="4" t="s">
        <v>11288</v>
      </c>
      <c r="D88" s="4" t="s">
        <v>11289</v>
      </c>
      <c r="F88" s="5" t="str">
        <f>IFERROR(__xludf.DUMMYFUNCTION("GOOGLETRANSLATE(A88, ""en"", ""hi"")"),"87")</f>
        <v>87</v>
      </c>
      <c r="G88" s="5" t="str">
        <f>IFERROR(__xludf.DUMMYFUNCTION("GOOGLETRANSLATE(B88, ""en"", ""hi"")"),"19वीं सदी के किस ब्रिटिश औपनिवेशिक अधिकारी ने भारतीय खेलों पर अपने अध्ययन के भाग के रूप में गिल्ली डंडा का दस्तावेजीकरण किया?")</f>
        <v>19वीं सदी के किस ब्रिटिश औपनिवेशिक अधिकारी ने भारतीय खेलों पर अपने अध्ययन के भाग के रूप में गिल्ली डंडा का दस्तावेजीकरण किया?</v>
      </c>
      <c r="H88" s="5" t="str">
        <f>IFERROR(__xludf.DUMMYFUNCTION("GOOGLETRANSLATE(C88, ""en"", ""hi"")"),"A) जेम्स मिल, B) विलियम स्लीमन, C) अलेक्जेंडर कनिंघम, D) सर विलियम जोन्स")</f>
        <v>A) जेम्स मिल, B) विलियम स्लीमन, C) अलेक्जेंडर कनिंघम, D) सर विलियम जोन्स</v>
      </c>
      <c r="I88" s="5" t="str">
        <f>IFERROR(__xludf.DUMMYFUNCTION("GOOGLETRANSLATE(D88, ""en"", ""hi"")"),"D) सर विलियम जोन्स")</f>
        <v>D) सर विलियम जोन्स</v>
      </c>
    </row>
    <row r="89" ht="22.5" customHeight="1">
      <c r="A89" s="3">
        <v>88.0</v>
      </c>
      <c r="B89" s="4" t="s">
        <v>11290</v>
      </c>
      <c r="C89" s="4" t="s">
        <v>11291</v>
      </c>
      <c r="D89" s="4" t="s">
        <v>179</v>
      </c>
      <c r="F89" s="5" t="str">
        <f>IFERROR(__xludf.DUMMYFUNCTION("GOOGLETRANSLATE(A89, ""en"", ""hi"")"),"88")</f>
        <v>88</v>
      </c>
      <c r="G89" s="5" t="str">
        <f>IFERROR(__xludf.DUMMYFUNCTION("GOOGLETRANSLATE(B89, ""en"", ""hi"")"),"भारत के किस राज्य में गिल्ली डंडा आज भी त्यौहारों और मेलों के दौरान महत्वपूर्ण पारंपरिक महत्व के साथ खेला जाता है?")</f>
        <v>भारत के किस राज्य में गिल्ली डंडा आज भी त्यौहारों और मेलों के दौरान महत्वपूर्ण पारंपरिक महत्व के साथ खेला जाता है?</v>
      </c>
      <c r="H89" s="5" t="str">
        <f>IFERROR(__xludf.DUMMYFUNCTION("GOOGLETRANSLATE(C89, ""en"", ""hi"")"),"A) पश्चिम बंगाल, B) असम, C) कर्नाटक, D) गुजरात")</f>
        <v>A) पश्चिम बंगाल, B) असम, C) कर्नाटक, D) गुजरात</v>
      </c>
      <c r="I89" s="5" t="str">
        <f>IFERROR(__xludf.DUMMYFUNCTION("GOOGLETRANSLATE(D89, ""en"", ""hi"")"),"ए) पश्चिम बंगाल")</f>
        <v>ए) पश्चिम बंगाल</v>
      </c>
    </row>
    <row r="90" ht="22.5" customHeight="1">
      <c r="A90" s="3">
        <v>89.0</v>
      </c>
      <c r="B90" s="4" t="s">
        <v>11292</v>
      </c>
      <c r="C90" s="4" t="s">
        <v>11293</v>
      </c>
      <c r="D90" s="4" t="s">
        <v>11294</v>
      </c>
      <c r="F90" s="5" t="str">
        <f>IFERROR(__xludf.DUMMYFUNCTION("GOOGLETRANSLATE(A90, ""en"", ""hi"")"),"89")</f>
        <v>89</v>
      </c>
      <c r="G90" s="5" t="str">
        <f>IFERROR(__xludf.DUMMYFUNCTION("GOOGLETRANSLATE(B90, ""en"", ""hi"")"),"किस भारतीय कवि ने अपने साहित्यिक कार्यों में गिल्ली डंडा के बारे में लिखा, जो इसके सांस्कृतिक महत्व को दर्शाता है?")</f>
        <v>किस भारतीय कवि ने अपने साहित्यिक कार्यों में गिल्ली डंडा के बारे में लिखा, जो इसके सांस्कृतिक महत्व को दर्शाता है?</v>
      </c>
      <c r="H90" s="5" t="str">
        <f>IFERROR(__xludf.DUMMYFUNCTION("GOOGLETRANSLATE(C90, ""en"", ""hi"")"),"ए) कालिदास, बी) तुलसीदास, सी) कबीर, डी) मीराबाई")</f>
        <v>ए) कालिदास, बी) तुलसीदास, सी) कबीर, डी) मीराबाई</v>
      </c>
      <c r="I90" s="5" t="str">
        <f>IFERROR(__xludf.DUMMYFUNCTION("GOOGLETRANSLATE(D90, ""en"", ""hi"")"),"C) कबीर")</f>
        <v>C) कबीर</v>
      </c>
    </row>
    <row r="91" ht="22.5" customHeight="1">
      <c r="A91" s="3">
        <v>90.0</v>
      </c>
      <c r="B91" s="4" t="s">
        <v>11295</v>
      </c>
      <c r="C91" s="4" t="s">
        <v>11296</v>
      </c>
      <c r="D91" s="4" t="s">
        <v>11297</v>
      </c>
      <c r="F91" s="5" t="str">
        <f>IFERROR(__xludf.DUMMYFUNCTION("GOOGLETRANSLATE(A91, ""en"", ""hi"")"),"90")</f>
        <v>90</v>
      </c>
      <c r="G91" s="5" t="str">
        <f>IFERROR(__xludf.DUMMYFUNCTION("GOOGLETRANSLATE(B91, ""en"", ""hi"")"),"ऐसा माना जाता है कि ब्रिटिश शासन के दौरान किस औपनिवेशिक युग के खेल ने गिल्ली डंडा के आधुनिक संस्करण को प्रभावित किया था?")</f>
        <v>ऐसा माना जाता है कि ब्रिटिश शासन के दौरान किस औपनिवेशिक युग के खेल ने गिल्ली डंडा के आधुनिक संस्करण को प्रभावित किया था?</v>
      </c>
      <c r="H91" s="5" t="str">
        <f>IFERROR(__xludf.DUMMYFUNCTION("GOOGLETRANSLATE(C91, ""en"", ""hi"")"),"A) क्रिकेट, B) पोलो, C) बेसबॉल, D) टेनिस")</f>
        <v>A) क्रिकेट, B) पोलो, C) बेसबॉल, D) टेनिस</v>
      </c>
      <c r="I91" s="5" t="str">
        <f>IFERROR(__xludf.DUMMYFUNCTION("GOOGLETRANSLATE(D91, ""en"", ""hi"")"),"ए) क्रिकेट")</f>
        <v>ए) क्रिकेट</v>
      </c>
    </row>
    <row r="92" ht="22.5" customHeight="1">
      <c r="A92" s="3">
        <v>91.0</v>
      </c>
      <c r="B92" s="4" t="s">
        <v>11298</v>
      </c>
      <c r="C92" s="4" t="s">
        <v>7916</v>
      </c>
      <c r="D92" s="4" t="s">
        <v>7222</v>
      </c>
      <c r="F92" s="5" t="str">
        <f>IFERROR(__xludf.DUMMYFUNCTION("GOOGLETRANSLATE(A92, ""en"", ""hi"")"),"91")</f>
        <v>91</v>
      </c>
      <c r="G92" s="5" t="str">
        <f>IFERROR(__xludf.DUMMYFUNCTION("GOOGLETRANSLATE(B92, ""en"", ""hi"")"),"किस प्रसिद्ध भारतीय नेता को ग्रामीण भारत में अपने बचपन के दौरान गिल्ली डंडा खेलने के लिए जाना जाता है?")</f>
        <v>किस प्रसिद्ध भारतीय नेता को ग्रामीण भारत में अपने बचपन के दौरान गिल्ली डंडा खेलने के लिए जाना जाता है?</v>
      </c>
      <c r="H92" s="5" t="str">
        <f>IFERROR(__xludf.DUMMYFUNCTION("GOOGLETRANSLATE(C92, ""en"", ""hi"")"),"A) महात्मा गांधी, B) जवाहरलाल नेहरू, C) सरदार पटेल, D) सुभाष चंद्र बोस")</f>
        <v>A) महात्मा गांधी, B) जवाहरलाल नेहरू, C) सरदार पटेल, D) सुभाष चंद्र बोस</v>
      </c>
      <c r="I92" s="5" t="str">
        <f>IFERROR(__xludf.DUMMYFUNCTION("GOOGLETRANSLATE(D92, ""en"", ""hi"")"),"A) महात्मा गांधी")</f>
        <v>A) महात्मा गांधी</v>
      </c>
    </row>
    <row r="93" ht="22.5" customHeight="1">
      <c r="A93" s="3">
        <v>92.0</v>
      </c>
      <c r="B93" s="4" t="s">
        <v>11299</v>
      </c>
      <c r="C93" s="4" t="s">
        <v>11300</v>
      </c>
      <c r="D93" s="4" t="s">
        <v>11301</v>
      </c>
      <c r="F93" s="5" t="str">
        <f>IFERROR(__xludf.DUMMYFUNCTION("GOOGLETRANSLATE(A93, ""en"", ""hi"")"),"92")</f>
        <v>92</v>
      </c>
      <c r="G93" s="5" t="str">
        <f>IFERROR(__xludf.DUMMYFUNCTION("GOOGLETRANSLATE(B93, ""en"", ""hi"")"),"किस प्राचीन भारतीय बोर्ड गेम की तुलना अक्सर इसके समान रणनीतिक तत्वों के कारण गिल्ली डंडा से की जाती है?")</f>
        <v>किस प्राचीन भारतीय बोर्ड गेम की तुलना अक्सर इसके समान रणनीतिक तत्वों के कारण गिल्ली डंडा से की जाती है?</v>
      </c>
      <c r="H93" s="5" t="str">
        <f>IFERROR(__xludf.DUMMYFUNCTION("GOOGLETRANSLATE(C93, ""en"", ""hi"")"),"ए) चतुरंग, बी) पचीसी, सी) सांप और सीढ़ी, डी) अष्टपद")</f>
        <v>ए) चतुरंग, बी) पचीसी, सी) सांप और सीढ़ी, डी) अष्टपद</v>
      </c>
      <c r="I93" s="5" t="str">
        <f>IFERROR(__xludf.DUMMYFUNCTION("GOOGLETRANSLATE(D93, ""en"", ""hi"")"),"D) अष्टपद")</f>
        <v>D) अष्टपद</v>
      </c>
    </row>
    <row r="94" ht="22.5" customHeight="1">
      <c r="A94" s="3">
        <v>93.0</v>
      </c>
      <c r="B94" s="4" t="s">
        <v>11302</v>
      </c>
      <c r="C94" s="4" t="s">
        <v>4606</v>
      </c>
      <c r="D94" s="4" t="s">
        <v>2893</v>
      </c>
      <c r="F94" s="5" t="str">
        <f>IFERROR(__xludf.DUMMYFUNCTION("GOOGLETRANSLATE(A94, ""en"", ""hi"")"),"93")</f>
        <v>93</v>
      </c>
      <c r="G94" s="5" t="str">
        <f>IFERROR(__xludf.DUMMYFUNCTION("GOOGLETRANSLATE(B94, ""en"", ""hi"")"),"कौन सा भारतीय त्यौहार अन्य लोक गतिविधियों के साथ-साथ गिल्ली डंडा को एक पारंपरिक खेल के रूप में प्रस्तुत करता है?")</f>
        <v>कौन सा भारतीय त्यौहार अन्य लोक गतिविधियों के साथ-साथ गिल्ली डंडा को एक पारंपरिक खेल के रूप में प्रस्तुत करता है?</v>
      </c>
      <c r="H94" s="5" t="str">
        <f>IFERROR(__xludf.DUMMYFUNCTION("GOOGLETRANSLATE(C94, ""en"", ""hi"")"),"ए) पोंगल, बी) दिवाली, सी) होली, डी) मकर संक्रांति")</f>
        <v>ए) पोंगल, बी) दिवाली, सी) होली, डी) मकर संक्रांति</v>
      </c>
      <c r="I94" s="5" t="str">
        <f>IFERROR(__xludf.DUMMYFUNCTION("GOOGLETRANSLATE(D94, ""en"", ""hi"")"),"D) मकर संक्रांति")</f>
        <v>D) मकर संक्रांति</v>
      </c>
    </row>
    <row r="95" ht="22.5" customHeight="1">
      <c r="A95" s="3">
        <v>94.0</v>
      </c>
      <c r="B95" s="4" t="s">
        <v>11303</v>
      </c>
      <c r="C95" s="4" t="s">
        <v>11304</v>
      </c>
      <c r="D95" s="4" t="s">
        <v>11305</v>
      </c>
      <c r="F95" s="5" t="str">
        <f>IFERROR(__xludf.DUMMYFUNCTION("GOOGLETRANSLATE(A95, ""en"", ""hi"")"),"94")</f>
        <v>94</v>
      </c>
      <c r="G95" s="5" t="str">
        <f>IFERROR(__xludf.DUMMYFUNCTION("GOOGLETRANSLATE(B95, ""en"", ""hi"")"),"भारतीय उपमहाद्वीप में शाही संरक्षण के माध्यम से गिल्ली डंडा को लोकप्रिय बनाने से कौन सा ऐतिहासिक व्यक्ति जुड़ा हुआ है?")</f>
        <v>भारतीय उपमहाद्वीप में शाही संरक्षण के माध्यम से गिल्ली डंडा को लोकप्रिय बनाने से कौन सा ऐतिहासिक व्यक्ति जुड़ा हुआ है?</v>
      </c>
      <c r="H95" s="5" t="str">
        <f>IFERROR(__xludf.DUMMYFUNCTION("GOOGLETRANSLATE(C95, ""en"", ""hi"")"),"ए) शेरशाह सूरी, बी) अकबर महान, सी) टीपू सुल्तान, डी) राजा राम मोहन राय")</f>
        <v>ए) शेरशाह सूरी, बी) अकबर महान, सी) टीपू सुल्तान, डी) राजा राम मोहन राय</v>
      </c>
      <c r="I95" s="5" t="str">
        <f>IFERROR(__xludf.DUMMYFUNCTION("GOOGLETRANSLATE(D95, ""en"", ""hi"")"),"B) अकबर महान")</f>
        <v>B) अकबर महान</v>
      </c>
    </row>
    <row r="96" ht="22.5" customHeight="1">
      <c r="A96" s="3">
        <v>95.0</v>
      </c>
      <c r="B96" s="4" t="s">
        <v>11306</v>
      </c>
      <c r="C96" s="4" t="s">
        <v>11307</v>
      </c>
      <c r="D96" s="4" t="s">
        <v>11308</v>
      </c>
      <c r="F96" s="5" t="str">
        <f>IFERROR(__xludf.DUMMYFUNCTION("GOOGLETRANSLATE(A96, ""en"", ""hi"")"),"95")</f>
        <v>95</v>
      </c>
      <c r="G96" s="5" t="str">
        <f>IFERROR(__xludf.DUMMYFUNCTION("GOOGLETRANSLATE(B96, ""en"", ""hi"")"),"20वीं सदी के आरंभिक भारतीय खेल इतिहासकार ने पारंपरिक भारतीय खेलों पर अपने अध्ययन में गिल्ली डंडा का दस्तावेजीकरण किया?")</f>
        <v>20वीं सदी के आरंभिक भारतीय खेल इतिहासकार ने पारंपरिक भारतीय खेलों पर अपने अध्ययन में गिल्ली डंडा का दस्तावेजीकरण किया?</v>
      </c>
      <c r="H96" s="5" t="str">
        <f>IFERROR(__xludf.DUMMYFUNCTION("GOOGLETRANSLATE(C96, ""en"", ""hi"")"),"ए) पी. वी. राजगोपाल, बी) के. एन. खोसला, सी) एस. एस. चटवाल, डी) ए. एस. घोष")</f>
        <v>ए) पी. वी. राजगोपाल, बी) के. एन. खोसला, सी) एस. एस. चटवाल, डी) ए. एस. घोष</v>
      </c>
      <c r="I96" s="5" t="str">
        <f>IFERROR(__xludf.DUMMYFUNCTION("GOOGLETRANSLATE(D96, ""en"", ""hi"")"),"बी) के. एन. खोसला")</f>
        <v>बी) के. एन. खोसला</v>
      </c>
    </row>
    <row r="97" ht="22.5" customHeight="1">
      <c r="A97" s="3">
        <v>96.0</v>
      </c>
      <c r="B97" s="4" t="s">
        <v>11309</v>
      </c>
      <c r="C97" s="4" t="s">
        <v>11310</v>
      </c>
      <c r="D97" s="4" t="s">
        <v>11311</v>
      </c>
      <c r="F97" s="5" t="str">
        <f>IFERROR(__xludf.DUMMYFUNCTION("GOOGLETRANSLATE(A97, ""en"", ""hi"")"),"96")</f>
        <v>96</v>
      </c>
      <c r="G97" s="5" t="str">
        <f>IFERROR(__xludf.DUMMYFUNCTION("GOOGLETRANSLATE(B97, ""en"", ""hi"")"),"किस प्राचीन भारतीय राजा को शाही दरबार के दृश्यों में गिल्ली डंडा खेलते हुए चित्रित किया गया था?")</f>
        <v>किस प्राचीन भारतीय राजा को शाही दरबार के दृश्यों में गिल्ली डंडा खेलते हुए चित्रित किया गया था?</v>
      </c>
      <c r="H97" s="5" t="str">
        <f>IFERROR(__xludf.DUMMYFUNCTION("GOOGLETRANSLATE(C97, ""en"", ""hi"")"),"A) राजा हर्ष, B) राजा अशोक, C) राजा चंद्रगुप्त, D) राजा विक्रमादित्य")</f>
        <v>A) राजा हर्ष, B) राजा अशोक, C) राजा चंद्रगुप्त, D) राजा विक्रमादित्य</v>
      </c>
      <c r="I97" s="5" t="str">
        <f>IFERROR(__xludf.DUMMYFUNCTION("GOOGLETRANSLATE(D97, ""en"", ""hi"")"),"D) राजा विक्रमादित्य")</f>
        <v>D) राजा विक्रमादित्य</v>
      </c>
    </row>
    <row r="98" ht="22.5" customHeight="1">
      <c r="A98" s="3">
        <v>97.0</v>
      </c>
      <c r="B98" s="4" t="s">
        <v>11312</v>
      </c>
      <c r="C98" s="4" t="s">
        <v>11313</v>
      </c>
      <c r="D98" s="4" t="s">
        <v>11314</v>
      </c>
      <c r="F98" s="5" t="str">
        <f>IFERROR(__xludf.DUMMYFUNCTION("GOOGLETRANSLATE(A98, ""en"", ""hi"")"),"97")</f>
        <v>97</v>
      </c>
      <c r="G98" s="5" t="str">
        <f>IFERROR(__xludf.DUMMYFUNCTION("GOOGLETRANSLATE(B98, ""en"", ""hi"")"),"किस ऐतिहासिक काल में ब्रिटिश खेलों के उदय के कारण गिल्ली डंडा की लोकप्रियता में गिरावट देखी गई?")</f>
        <v>किस ऐतिहासिक काल में ब्रिटिश खेलों के उदय के कारण गिल्ली डंडा की लोकप्रियता में गिरावट देखी गई?</v>
      </c>
      <c r="H98" s="5" t="str">
        <f>IFERROR(__xludf.DUMMYFUNCTION("GOOGLETRANSLATE(C98, ""en"", ""hi"")"),"A) 19वीं शताब्दी का प्रारंभ, B) 19वीं शताब्दी का मध्य, C) 19वीं शताब्दी का उत्तरार्ध, D) 20वीं शताब्दी का प्रारंभ")</f>
        <v>A) 19वीं शताब्दी का प्रारंभ, B) 19वीं शताब्दी का मध्य, C) 19वीं शताब्दी का उत्तरार्ध, D) 20वीं शताब्दी का प्रारंभ</v>
      </c>
      <c r="I98" s="5" t="str">
        <f>IFERROR(__xludf.DUMMYFUNCTION("GOOGLETRANSLATE(D98, ""en"", ""hi"")"),"सी) 19वीं सदी के अंत में")</f>
        <v>सी) 19वीं सदी के अंत में</v>
      </c>
    </row>
    <row r="99" ht="22.5" customHeight="1">
      <c r="A99" s="3">
        <v>98.0</v>
      </c>
      <c r="B99" s="4" t="s">
        <v>11315</v>
      </c>
      <c r="C99" s="4" t="s">
        <v>11316</v>
      </c>
      <c r="D99" s="4" t="s">
        <v>4112</v>
      </c>
      <c r="F99" s="5" t="str">
        <f>IFERROR(__xludf.DUMMYFUNCTION("GOOGLETRANSLATE(A99, ""en"", ""hi"")"),"98")</f>
        <v>98</v>
      </c>
      <c r="G99" s="5" t="str">
        <f>IFERROR(__xludf.DUMMYFUNCTION("GOOGLETRANSLATE(B99, ""en"", ""hi"")"),"किस भारतीय राज्य में सैन्य प्रशिक्षण के भाग के रूप में गिल्ली डंडा खेले जाने का ऐतिहासिक रिकॉर्ड है?")</f>
        <v>किस भारतीय राज्य में सैन्य प्रशिक्षण के भाग के रूप में गिल्ली डंडा खेले जाने का ऐतिहासिक रिकॉर्ड है?</v>
      </c>
      <c r="H99" s="5" t="str">
        <f>IFERROR(__xludf.DUMMYFUNCTION("GOOGLETRANSLATE(C99, ""en"", ""hi"")"),"A) पंजाब, B) राजस्थान, C) गुजरात, D) आंध्र प्रदेश")</f>
        <v>A) पंजाब, B) राजस्थान, C) गुजरात, D) आंध्र प्रदेश</v>
      </c>
      <c r="I99" s="5" t="str">
        <f>IFERROR(__xludf.DUMMYFUNCTION("GOOGLETRANSLATE(D99, ""en"", ""hi"")"),"बी) राजस्थान")</f>
        <v>बी) राजस्थान</v>
      </c>
    </row>
    <row r="100" ht="22.5" customHeight="1">
      <c r="A100" s="3">
        <v>99.0</v>
      </c>
      <c r="B100" s="4" t="s">
        <v>11317</v>
      </c>
      <c r="C100" s="4" t="s">
        <v>11318</v>
      </c>
      <c r="D100" s="4" t="s">
        <v>2544</v>
      </c>
      <c r="F100" s="5" t="str">
        <f>IFERROR(__xludf.DUMMYFUNCTION("GOOGLETRANSLATE(A100, ""en"", ""hi"")"),"99")</f>
        <v>99</v>
      </c>
      <c r="G100" s="5" t="str">
        <f>IFERROR(__xludf.DUMMYFUNCTION("GOOGLETRANSLATE(B100, ""en"", ""hi"")"),"किस प्रसिद्ध भारतीय महाकाव्य में उसके पात्रों द्वारा खेले जाने वाले गिल्ली डंडा जैसे खेल का उल्लेख मिलता है?")</f>
        <v>किस प्रसिद्ध भारतीय महाकाव्य में उसके पात्रों द्वारा खेले जाने वाले गिल्ली डंडा जैसे खेल का उल्लेख मिलता है?</v>
      </c>
      <c r="H100" s="5" t="str">
        <f>IFERROR(__xludf.DUMMYFUNCTION("GOOGLETRANSLATE(C100, ""en"", ""hi"")"),"ए) रामायण, बी) महाभारत, सी) पुराण, डी) अर्थशास्त्र")</f>
        <v>ए) रामायण, बी) महाभारत, सी) पुराण, डी) अर्थशास्त्र</v>
      </c>
      <c r="I100" s="5" t="str">
        <f>IFERROR(__xludf.DUMMYFUNCTION("GOOGLETRANSLATE(D100, ""en"", ""hi"")"),"बी) महाभारत")</f>
        <v>बी) महाभारत</v>
      </c>
    </row>
    <row r="101" ht="22.5" customHeight="1">
      <c r="A101" s="3">
        <v>100.0</v>
      </c>
      <c r="B101" s="4" t="s">
        <v>11319</v>
      </c>
      <c r="C101" s="4" t="s">
        <v>11320</v>
      </c>
      <c r="D101" s="4" t="s">
        <v>11321</v>
      </c>
      <c r="F101" s="5" t="str">
        <f>IFERROR(__xludf.DUMMYFUNCTION("GOOGLETRANSLATE(A101, ""en"", ""hi"")"),"100")</f>
        <v>100</v>
      </c>
      <c r="G101" s="5" t="str">
        <f>IFERROR(__xludf.DUMMYFUNCTION("GOOGLETRANSLATE(B101, ""en"", ""hi"")"),"किस औपनिवेशिक युग के लेखक ने गिल्ली डंडा को प्राचीन जड़ों वाला खेल बताया और इसके गेमप्ले का विस्तृत विवरण दिया?")</f>
        <v>किस औपनिवेशिक युग के लेखक ने गिल्ली डंडा को प्राचीन जड़ों वाला खेल बताया और इसके गेमप्ले का विस्तृत विवरण दिया?</v>
      </c>
      <c r="H101" s="5" t="str">
        <f>IFERROR(__xludf.DUMMYFUNCTION("GOOGLETRANSLATE(C101, ""en"", ""hi"")"),"A) विलियम एर्स्किन, B) हेनरी एच. विल्सन, C) जे. एच. हटन, D) रिचर्ड टेम्पल")</f>
        <v>A) विलियम एर्स्किन, B) हेनरी एच. विल्सन, C) जे. एच. हटन, D) रिचर्ड टेम्पल</v>
      </c>
      <c r="I101" s="5" t="str">
        <f>IFERROR(__xludf.DUMMYFUNCTION("GOOGLETRANSLATE(D101, ""en"", ""hi"")"),"C) जे. एच. हटन")</f>
        <v>C) जे. एच. हटन</v>
      </c>
    </row>
    <row r="102" ht="22.5" customHeight="1">
      <c r="A102" s="3">
        <v>101.0</v>
      </c>
      <c r="B102" s="4" t="s">
        <v>11322</v>
      </c>
      <c r="C102" s="4" t="s">
        <v>11323</v>
      </c>
      <c r="D102" s="4" t="s">
        <v>7604</v>
      </c>
      <c r="F102" s="5" t="str">
        <f>IFERROR(__xludf.DUMMYFUNCTION("GOOGLETRANSLATE(A102, ""en"", ""hi"")"),"101")</f>
        <v>101</v>
      </c>
      <c r="G102" s="5" t="str">
        <f>IFERROR(__xludf.DUMMYFUNCTION("GOOGLETRANSLATE(B102, ""en"", ""hi"")"),"किस प्रसिद्ध भारतीय कलाकार ने पारंपरिक भारतीय जीवन को दर्शाने वाले अपने चित्रों में गिल्ली डंडा के दृश्यों को शामिल किया?")</f>
        <v>किस प्रसिद्ध भारतीय कलाकार ने पारंपरिक भारतीय जीवन को दर्शाने वाले अपने चित्रों में गिल्ली डंडा के दृश्यों को शामिल किया?</v>
      </c>
      <c r="H102" s="5" t="str">
        <f>IFERROR(__xludf.DUMMYFUNCTION("GOOGLETRANSLATE(C102, ""en"", ""hi"")"),"ए) रवि वर्मा, बी) अमृता शेरगिल, सी) नंदलाल बोस, डी) जामिनी रॉय")</f>
        <v>ए) रवि वर्मा, बी) अमृता शेरगिल, सी) नंदलाल बोस, डी) जामिनी रॉय</v>
      </c>
      <c r="I102" s="5" t="str">
        <f>IFERROR(__xludf.DUMMYFUNCTION("GOOGLETRANSLATE(D102, ""en"", ""hi"")"),"C) नंदलाल बोस")</f>
        <v>C) नंदलाल बोस</v>
      </c>
    </row>
    <row r="103" ht="22.5" customHeight="1">
      <c r="A103" s="3">
        <v>102.0</v>
      </c>
      <c r="B103" s="4" t="s">
        <v>11324</v>
      </c>
      <c r="C103" s="4" t="s">
        <v>11325</v>
      </c>
      <c r="D103" s="4" t="s">
        <v>2556</v>
      </c>
      <c r="F103" s="5" t="str">
        <f>IFERROR(__xludf.DUMMYFUNCTION("GOOGLETRANSLATE(A103, ""en"", ""hi"")"),"102")</f>
        <v>102</v>
      </c>
      <c r="G103" s="5" t="str">
        <f>IFERROR(__xludf.DUMMYFUNCTION("GOOGLETRANSLATE(B103, ""en"", ""hi"")"),"किस भारतीय शासक ने एक दरबारी परंपरा की स्थापना की जहां गिल्ली डंडा शाही अवकाश गतिविधियों के हिस्से के रूप में खेला जाता था?")</f>
        <v>किस भारतीय शासक ने एक दरबारी परंपरा की स्थापना की जहां गिल्ली डंडा शाही अवकाश गतिविधियों के हिस्से के रूप में खेला जाता था?</v>
      </c>
      <c r="H103" s="5" t="str">
        <f>IFERROR(__xludf.DUMMYFUNCTION("GOOGLETRANSLATE(C103, ""en"", ""hi"")"),"A) अकबर, B) शाहजहाँ, C) औरंगज़ेब, D) जहाँगीर")</f>
        <v>A) अकबर, B) शाहजहाँ, C) औरंगज़ेब, D) जहाँगीर</v>
      </c>
      <c r="I103" s="5" t="str">
        <f>IFERROR(__xludf.DUMMYFUNCTION("GOOGLETRANSLATE(D103, ""en"", ""hi"")"),"A) अकबर")</f>
        <v>A) अकबर</v>
      </c>
    </row>
    <row r="104" ht="22.5" customHeight="1">
      <c r="A104" s="3">
        <v>103.0</v>
      </c>
      <c r="B104" s="4" t="s">
        <v>11326</v>
      </c>
      <c r="C104" s="4" t="s">
        <v>11327</v>
      </c>
      <c r="D104" s="4" t="s">
        <v>11328</v>
      </c>
      <c r="F104" s="5" t="str">
        <f>IFERROR(__xludf.DUMMYFUNCTION("GOOGLETRANSLATE(A104, ""en"", ""hi"")"),"103")</f>
        <v>103</v>
      </c>
      <c r="G104" s="5" t="str">
        <f>IFERROR(__xludf.DUMMYFUNCTION("GOOGLETRANSLATE(B104, ""en"", ""hi"")"),"कौन सा प्राचीन भारतीय ग्रंथ प्रारंभिक ऐतिहासिक काल के दौरान गिल्ली डंडा से जुड़ी सांस्कृतिक प्रथाओं के बारे में जानकारी प्रदान करता है?")</f>
        <v>कौन सा प्राचीन भारतीय ग्रंथ प्रारंभिक ऐतिहासिक काल के दौरान गिल्ली डंडा से जुड़ी सांस्कृतिक प्रथाओं के बारे में जानकारी प्रदान करता है?</v>
      </c>
      <c r="H104" s="5" t="str">
        <f>IFERROR(__xludf.DUMMYFUNCTION("GOOGLETRANSLATE(C104, ""en"", ""hi"")"),"ए) अर्थशास्त्र, बी) मनुस्मृति, सी) नाट्यशास्त्र, डी) योग सूत्र")</f>
        <v>ए) अर्थशास्त्र, बी) मनुस्मृति, सी) नाट्यशास्त्र, डी) योग सूत्र</v>
      </c>
      <c r="I104" s="5" t="str">
        <f>IFERROR(__xludf.DUMMYFUNCTION("GOOGLETRANSLATE(D104, ""en"", ""hi"")"),"C) नाट्यशास्त्र")</f>
        <v>C) नाट्यशास्त्र</v>
      </c>
    </row>
    <row r="105" ht="22.5" customHeight="1">
      <c r="A105" s="3">
        <v>104.0</v>
      </c>
      <c r="B105" s="4" t="s">
        <v>11329</v>
      </c>
      <c r="C105" s="4" t="s">
        <v>11330</v>
      </c>
      <c r="D105" s="4" t="s">
        <v>11331</v>
      </c>
      <c r="F105" s="5" t="str">
        <f>IFERROR(__xludf.DUMMYFUNCTION("GOOGLETRANSLATE(A105, ""en"", ""hi"")"),"104")</f>
        <v>104</v>
      </c>
      <c r="G105" s="5" t="str">
        <f>IFERROR(__xludf.DUMMYFUNCTION("GOOGLETRANSLATE(B105, ""en"", ""hi"")"),"पारंपरिक ग्रामीण खेलों की चर्चा में गिल्ली डंडा के साथ अक्सर किस भारतीय ग्रामीण खेल का उल्लेख किया जाता है?")</f>
        <v>पारंपरिक ग्रामीण खेलों की चर्चा में गिल्ली डंडा के साथ अक्सर किस भारतीय ग्रामीण खेल का उल्लेख किया जाता है?</v>
      </c>
      <c r="H105" s="5" t="str">
        <f>IFERROR(__xludf.DUMMYFUNCTION("GOOGLETRANSLATE(C105, ""en"", ""hi"")"),"ए) खो-खो, बी) कबड्डी, सी) सतोलिया, डी) क्रिकेट")</f>
        <v>ए) खो-खो, बी) कबड्डी, सी) सतोलिया, डी) क्रिकेट</v>
      </c>
      <c r="I105" s="5" t="str">
        <f>IFERROR(__xludf.DUMMYFUNCTION("GOOGLETRANSLATE(D105, ""en"", ""hi"")"),"बी) कबड्डी")</f>
        <v>बी) कबड्डी</v>
      </c>
    </row>
    <row r="106" ht="22.5" customHeight="1">
      <c r="A106" s="3">
        <v>105.0</v>
      </c>
      <c r="B106" s="4" t="s">
        <v>11332</v>
      </c>
      <c r="C106" s="4" t="s">
        <v>11333</v>
      </c>
      <c r="D106" s="4" t="s">
        <v>11334</v>
      </c>
      <c r="F106" s="5" t="str">
        <f>IFERROR(__xludf.DUMMYFUNCTION("GOOGLETRANSLATE(A106, ""en"", ""hi"")"),"105")</f>
        <v>105</v>
      </c>
      <c r="G106" s="5" t="str">
        <f>IFERROR(__xludf.DUMMYFUNCTION("GOOGLETRANSLATE(B106, ""en"", ""hi"")"),"किस प्राचीन भारतीय राजा के दरबार में गिल्ली डंडा को शाही मनोरंजन के एक भाग के रूप में शामिल किया गया था?")</f>
        <v>किस प्राचीन भारतीय राजा के दरबार में गिल्ली डंडा को शाही मनोरंजन के एक भाग के रूप में शामिल किया गया था?</v>
      </c>
      <c r="H106" s="5" t="str">
        <f>IFERROR(__xludf.DUMMYFUNCTION("GOOGLETRANSLATE(C106, ""en"", ""hi"")"),"ए) चंद्रगुप्त मौर्य, बी) अशोक, सी) हर्ष वर्धन, डी) राजा भोज")</f>
        <v>ए) चंद्रगुप्त मौर्य, बी) अशोक, सी) हर्ष वर्धन, डी) राजा भोज</v>
      </c>
      <c r="I106" s="5" t="str">
        <f>IFERROR(__xludf.DUMMYFUNCTION("GOOGLETRANSLATE(D106, ""en"", ""hi"")"),"D) राजा भोज")</f>
        <v>D) राजा भोज</v>
      </c>
    </row>
    <row r="107" ht="22.5" customHeight="1">
      <c r="A107" s="3">
        <v>106.0</v>
      </c>
      <c r="B107" s="4" t="s">
        <v>11335</v>
      </c>
      <c r="C107" s="4" t="s">
        <v>11336</v>
      </c>
      <c r="D107" s="4" t="s">
        <v>2574</v>
      </c>
      <c r="F107" s="5" t="str">
        <f>IFERROR(__xludf.DUMMYFUNCTION("GOOGLETRANSLATE(A107, ""en"", ""hi"")"),"106")</f>
        <v>106</v>
      </c>
      <c r="G107" s="5" t="str">
        <f>IFERROR(__xludf.DUMMYFUNCTION("GOOGLETRANSLATE(B107, ""en"", ""hi"")"),"भारत में कौन सा क्षेत्र ऐतिहासिक रूप से गिल्ली डंडा के प्रचार और संरक्षण के लिए एक महत्वपूर्ण केंद्र के रूप में प्रलेखित है?")</f>
        <v>भारत में कौन सा क्षेत्र ऐतिहासिक रूप से गिल्ली डंडा के प्रचार और संरक्षण के लिए एक महत्वपूर्ण केंद्र के रूप में प्रलेखित है?</v>
      </c>
      <c r="H107" s="5" t="str">
        <f>IFERROR(__xludf.DUMMYFUNCTION("GOOGLETRANSLATE(C107, ""en"", ""hi"")"),"A) कर्नाटक, B) तमिलनाडु, C) उत्तर प्रदेश, D) पश्चिम बंगाल")</f>
        <v>A) कर्नाटक, B) तमिलनाडु, C) उत्तर प्रदेश, D) पश्चिम बंगाल</v>
      </c>
      <c r="I107" s="5" t="str">
        <f>IFERROR(__xludf.DUMMYFUNCTION("GOOGLETRANSLATE(D107, ""en"", ""hi"")"),"C) उत्तर प्रदेश")</f>
        <v>C) उत्तर प्रदेश</v>
      </c>
    </row>
    <row r="108" ht="22.5" customHeight="1">
      <c r="A108" s="3">
        <v>107.0</v>
      </c>
      <c r="B108" s="4" t="s">
        <v>11337</v>
      </c>
      <c r="C108" s="4" t="s">
        <v>11338</v>
      </c>
      <c r="D108" s="4" t="s">
        <v>11339</v>
      </c>
      <c r="F108" s="5" t="str">
        <f>IFERROR(__xludf.DUMMYFUNCTION("GOOGLETRANSLATE(A108, ""en"", ""hi"")"),"107")</f>
        <v>107</v>
      </c>
      <c r="G108" s="5" t="str">
        <f>IFERROR(__xludf.DUMMYFUNCTION("GOOGLETRANSLATE(B108, ""en"", ""hi"")"),"20वीं सदी के आरंभ में किस भारतीय विद्वान ने स्वदेशी खेलों पर अपने शोध में गिल्ली डंडा के बारे में लिखा था?")</f>
        <v>20वीं सदी के आरंभ में किस भारतीय विद्वान ने स्वदेशी खेलों पर अपने शोध में गिल्ली डंडा के बारे में लिखा था?</v>
      </c>
      <c r="H108" s="5" t="str">
        <f>IFERROR(__xludf.DUMMYFUNCTION("GOOGLETRANSLATE(C108, ""en"", ""hi"")"),"A) एम. के. गांधी, B) एस. आर. भट्ट, C) आर. सी. मजूमदार, D) के. सी. जैन")</f>
        <v>A) एम. के. गांधी, B) एस. आर. भट्ट, C) आर. सी. मजूमदार, D) के. सी. जैन</v>
      </c>
      <c r="I108" s="5" t="str">
        <f>IFERROR(__xludf.DUMMYFUNCTION("GOOGLETRANSLATE(D108, ""en"", ""hi"")"),"C) आर. सी. मजूमदार")</f>
        <v>C) आर. सी. मजूमदार</v>
      </c>
    </row>
    <row r="109" ht="22.5" customHeight="1">
      <c r="A109" s="3">
        <v>108.0</v>
      </c>
      <c r="B109" s="4" t="s">
        <v>11340</v>
      </c>
      <c r="C109" s="4" t="s">
        <v>11341</v>
      </c>
      <c r="D109" s="4" t="s">
        <v>11342</v>
      </c>
      <c r="F109" s="5" t="str">
        <f>IFERROR(__xludf.DUMMYFUNCTION("GOOGLETRANSLATE(A109, ""en"", ""hi"")"),"108")</f>
        <v>108</v>
      </c>
      <c r="G109" s="5" t="str">
        <f>IFERROR(__xludf.DUMMYFUNCTION("GOOGLETRANSLATE(B109, ""en"", ""hi"")"),"कौन सा ऐतिहासिक भारतीय ग्रंथ युवाओं और वयस्कों दोनों के लिए एक खेल के रूप में गिल्ली डंडा के सामाजिक महत्व का वर्णन करता है?")</f>
        <v>कौन सा ऐतिहासिक भारतीय ग्रंथ युवाओं और वयस्कों दोनों के लिए एक खेल के रूप में गिल्ली डंडा के सामाजिक महत्व का वर्णन करता है?</v>
      </c>
      <c r="H109" s="5" t="str">
        <f>IFERROR(__xludf.DUMMYFUNCTION("GOOGLETRANSLATE(C109, ""en"", ""hi"")"),"ए) अर्थशास्त्र, बी) विष्णु पुराण, सी) पद्म पुराण, डी) महाभारत")</f>
        <v>ए) अर्थशास्त्र, बी) विष्णु पुराण, सी) पद्म पुराण, डी) महाभारत</v>
      </c>
      <c r="I109" s="5" t="str">
        <f>IFERROR(__xludf.DUMMYFUNCTION("GOOGLETRANSLATE(D109, ""en"", ""hi"")"),"बी) विष्णु पुराण")</f>
        <v>बी) विष्णु पुराण</v>
      </c>
    </row>
    <row r="110" ht="22.5" customHeight="1">
      <c r="A110" s="3">
        <v>109.0</v>
      </c>
      <c r="B110" s="4" t="s">
        <v>11343</v>
      </c>
      <c r="C110" s="4" t="s">
        <v>11344</v>
      </c>
      <c r="D110" s="4" t="s">
        <v>11345</v>
      </c>
      <c r="F110" s="5" t="str">
        <f>IFERROR(__xludf.DUMMYFUNCTION("GOOGLETRANSLATE(A110, ""en"", ""hi"")"),"109")</f>
        <v>109</v>
      </c>
      <c r="G110" s="5" t="str">
        <f>IFERROR(__xludf.DUMMYFUNCTION("GOOGLETRANSLATE(B110, ""en"", ""hi"")"),"किस प्रसिद्ध भारतीय एथलीट को युवावस्था में गिल्ली डंडा खेलने और उसके सांस्कृतिक मूल्य के बारे में बात करने के लिए जाना जाता है?")</f>
        <v>किस प्रसिद्ध भारतीय एथलीट को युवावस्था में गिल्ली डंडा खेलने और उसके सांस्कृतिक मूल्य के बारे में बात करने के लिए जाना जाता है?</v>
      </c>
      <c r="H110" s="5" t="str">
        <f>IFERROR(__xludf.DUMMYFUNCTION("GOOGLETRANSLATE(C110, ""en"", ""hi"")"),"ए) ध्यानचंद, बी) मिल्खा सिंह, सी) सचिन तेंदुलकर, डी) कपिल देव")</f>
        <v>ए) ध्यानचंद, बी) मिल्खा सिंह, सी) सचिन तेंदुलकर, डी) कपिल देव</v>
      </c>
      <c r="I110" s="5" t="str">
        <f>IFERROR(__xludf.DUMMYFUNCTION("GOOGLETRANSLATE(D110, ""en"", ""hi"")"),"A) ध्यानचंद")</f>
        <v>A) ध्यानचंद</v>
      </c>
    </row>
    <row r="111" ht="22.5" customHeight="1">
      <c r="A111" s="3">
        <v>110.0</v>
      </c>
      <c r="B111" s="4" t="s">
        <v>11346</v>
      </c>
      <c r="C111" s="4" t="s">
        <v>11347</v>
      </c>
      <c r="D111" s="4" t="s">
        <v>11348</v>
      </c>
      <c r="F111" s="5" t="str">
        <f>IFERROR(__xludf.DUMMYFUNCTION("GOOGLETRANSLATE(A111, ""en"", ""hi"")"),"110")</f>
        <v>110</v>
      </c>
      <c r="G111" s="5" t="str">
        <f>IFERROR(__xludf.DUMMYFUNCTION("GOOGLETRANSLATE(B111, ""en"", ""hi"")"),"कौन सा भारतीय त्यौहार अपने उत्सव के हिस्से के रूप में अन्य पारंपरिक खेलों के साथ गिल्ली डंडा भी मनाता है?")</f>
        <v>कौन सा भारतीय त्यौहार अपने उत्सव के हिस्से के रूप में अन्य पारंपरिक खेलों के साथ गिल्ली डंडा भी मनाता है?</v>
      </c>
      <c r="H111" s="5" t="str">
        <f>IFERROR(__xludf.DUMMYFUNCTION("GOOGLETRANSLATE(C111, ""en"", ""hi"")"),"ए) बैसाखी, बी) लोहड़ी, सी) होली, डी) ओणम")</f>
        <v>ए) बैसाखी, बी) लोहड़ी, सी) होली, डी) ओणम</v>
      </c>
      <c r="I111" s="5" t="str">
        <f>IFERROR(__xludf.DUMMYFUNCTION("GOOGLETRANSLATE(D111, ""en"", ""hi"")"),"A) बैसाखी")</f>
        <v>A) बैसाखी</v>
      </c>
    </row>
    <row r="112" ht="22.5" customHeight="1">
      <c r="A112" s="3">
        <v>111.0</v>
      </c>
      <c r="B112" s="4" t="s">
        <v>11349</v>
      </c>
      <c r="C112" s="4" t="s">
        <v>11350</v>
      </c>
      <c r="D112" s="4" t="s">
        <v>11351</v>
      </c>
      <c r="F112" s="5" t="str">
        <f>IFERROR(__xludf.DUMMYFUNCTION("GOOGLETRANSLATE(A112, ""en"", ""hi"")"),"111")</f>
        <v>111</v>
      </c>
      <c r="G112" s="5" t="str">
        <f>IFERROR(__xludf.DUMMYFUNCTION("GOOGLETRANSLATE(B112, ""en"", ""hi"")"),"19वीं शताब्दी के आरंभ में किस भारतीय विद्वान ने गिल्ली डंडा को भारत में पारंपरिक खेलों के भाग के रूप में दर्ज किया?")</f>
        <v>19वीं शताब्दी के आरंभ में किस भारतीय विद्वान ने गिल्ली डंडा को भारत में पारंपरिक खेलों के भाग के रूप में दर्ज किया?</v>
      </c>
      <c r="H112" s="5" t="str">
        <f>IFERROR(__xludf.DUMMYFUNCTION("GOOGLETRANSLATE(C112, ""en"", ""hi"")"),"ए) एम. एन. रॉय, बी) पी. सी. महालनोबिस, सी) एच. एच. विल्सन, डी) आर. सी. मजूमदार")</f>
        <v>ए) एम. एन. रॉय, बी) पी. सी. महालनोबिस, सी) एच. एच. विल्सन, डी) आर. सी. मजूमदार</v>
      </c>
      <c r="I112" s="5" t="str">
        <f>IFERROR(__xludf.DUMMYFUNCTION("GOOGLETRANSLATE(D112, ""en"", ""hi"")"),"C) एच. एच. विल्सन")</f>
        <v>C) एच. एच. विल्सन</v>
      </c>
    </row>
    <row r="113" ht="22.5" customHeight="1">
      <c r="A113" s="3">
        <v>112.0</v>
      </c>
      <c r="B113" s="4" t="s">
        <v>11352</v>
      </c>
      <c r="C113" s="4" t="s">
        <v>11353</v>
      </c>
      <c r="D113" s="4" t="s">
        <v>11354</v>
      </c>
      <c r="F113" s="5" t="str">
        <f>IFERROR(__xludf.DUMMYFUNCTION("GOOGLETRANSLATE(A113, ""en"", ""hi"")"),"112")</f>
        <v>112</v>
      </c>
      <c r="G113" s="5" t="str">
        <f>IFERROR(__xludf.DUMMYFUNCTION("GOOGLETRANSLATE(B113, ""en"", ""hi"")"),"कौन सा प्राचीन ग्रंथ गिल्ली डंडा जैसे खेल खेलने के बारे में विस्तृत निर्देश प्रदान करता है, तथा इसके शैक्षिक पहलुओं पर जोर देता है?")</f>
        <v>कौन सा प्राचीन ग्रंथ गिल्ली डंडा जैसे खेल खेलने के बारे में विस्तृत निर्देश प्रदान करता है, तथा इसके शैक्षिक पहलुओं पर जोर देता है?</v>
      </c>
      <c r="H113" s="5" t="str">
        <f>IFERROR(__xludf.DUMMYFUNCTION("GOOGLETRANSLATE(C113, ""en"", ""hi"")"),"ए) मनुस्मृति, बी) नाट्यशास्त्र, सी) भगवद गीता, डी) योग सूत्र")</f>
        <v>ए) मनुस्मृति, बी) नाट्यशास्त्र, सी) भगवद गीता, डी) योग सूत्र</v>
      </c>
      <c r="I113" s="5" t="str">
        <f>IFERROR(__xludf.DUMMYFUNCTION("GOOGLETRANSLATE(D113, ""en"", ""hi"")"),"बी) नाट्यशास्त्र")</f>
        <v>बी) नाट्यशास्त्र</v>
      </c>
    </row>
    <row r="114" ht="22.5" customHeight="1">
      <c r="A114" s="3">
        <v>113.0</v>
      </c>
      <c r="B114" s="4" t="s">
        <v>11355</v>
      </c>
      <c r="C114" s="4" t="s">
        <v>11356</v>
      </c>
      <c r="D114" s="4" t="s">
        <v>13</v>
      </c>
      <c r="F114" s="5" t="str">
        <f>IFERROR(__xludf.DUMMYFUNCTION("GOOGLETRANSLATE(A114, ""en"", ""hi"")"),"113")</f>
        <v>113</v>
      </c>
      <c r="G114" s="5" t="str">
        <f>IFERROR(__xludf.DUMMYFUNCTION("GOOGLETRANSLATE(B114, ""en"", ""hi"")"),"किस भारतीय राज्य ने सांस्कृतिक उत्सवों और स्थानीय प्रतियोगिताओं के माध्यम से गिल्ली डंडा के पारंपरिक रूप को संरक्षित किया है?")</f>
        <v>किस भारतीय राज्य ने सांस्कृतिक उत्सवों और स्थानीय प्रतियोगिताओं के माध्यम से गिल्ली डंडा के पारंपरिक रूप को संरक्षित किया है?</v>
      </c>
      <c r="H114" s="5" t="str">
        <f>IFERROR(__xludf.DUMMYFUNCTION("GOOGLETRANSLATE(C114, ""en"", ""hi"")"),"A) आंध्र प्रदेश, B) तमिलनाडु, C) गुजरात, D) महाराष्ट्र")</f>
        <v>A) आंध्र प्रदेश, B) तमिलनाडु, C) गुजरात, D) महाराष्ट्र</v>
      </c>
      <c r="I114" s="5" t="str">
        <f>IFERROR(__xludf.DUMMYFUNCTION("GOOGLETRANSLATE(D114, ""en"", ""hi"")"),"D) महाराष्ट्र")</f>
        <v>D) महाराष्ट्र</v>
      </c>
    </row>
    <row r="115" ht="22.5" customHeight="1">
      <c r="A115" s="3">
        <v>114.0</v>
      </c>
      <c r="B115" s="4" t="s">
        <v>11357</v>
      </c>
      <c r="C115" s="4" t="s">
        <v>11358</v>
      </c>
      <c r="D115" s="4" t="s">
        <v>11359</v>
      </c>
      <c r="F115" s="5" t="str">
        <f>IFERROR(__xludf.DUMMYFUNCTION("GOOGLETRANSLATE(A115, ""en"", ""hi"")"),"114")</f>
        <v>114</v>
      </c>
      <c r="G115" s="5" t="str">
        <f>IFERROR(__xludf.DUMMYFUNCTION("GOOGLETRANSLATE(B115, ""en"", ""hi"")"),"19वीं सदी में किस ब्रिटिश अधिकारी ने भारतीय खेलों पर व्यापक अध्ययन के भाग के रूप में गिल्ली डंडा का दस्तावेजीकरण किया था?")</f>
        <v>19वीं सदी में किस ब्रिटिश अधिकारी ने भारतीय खेलों पर व्यापक अध्ययन के भाग के रूप में गिल्ली डंडा का दस्तावेजीकरण किया था?</v>
      </c>
      <c r="H115" s="5" t="str">
        <f>IFERROR(__xludf.DUMMYFUNCTION("GOOGLETRANSLATE(C115, ""en"", ""hi"")"),"A) लॉर्ड कर्जन, B) सर विलियम स्लीमन, C) सर जॉर्ज एवरेस्ट, D) लॉर्ड मिंटो")</f>
        <v>A) लॉर्ड कर्जन, B) सर विलियम स्लीमन, C) सर जॉर्ज एवरेस्ट, D) लॉर्ड मिंटो</v>
      </c>
      <c r="I115" s="5" t="str">
        <f>IFERROR(__xludf.DUMMYFUNCTION("GOOGLETRANSLATE(D115, ""en"", ""hi"")"),"बी) सर विलियम स्लीमन")</f>
        <v>बी) सर विलियम स्लीमन</v>
      </c>
    </row>
    <row r="116" ht="22.5" customHeight="1">
      <c r="A116" s="3">
        <v>115.0</v>
      </c>
      <c r="B116" s="4" t="s">
        <v>11360</v>
      </c>
      <c r="C116" s="4" t="s">
        <v>11361</v>
      </c>
      <c r="D116" s="4" t="s">
        <v>11362</v>
      </c>
      <c r="F116" s="5" t="str">
        <f>IFERROR(__xludf.DUMMYFUNCTION("GOOGLETRANSLATE(A116, ""en"", ""hi"")"),"115")</f>
        <v>115</v>
      </c>
      <c r="G116" s="5" t="str">
        <f>IFERROR(__xludf.DUMMYFUNCTION("GOOGLETRANSLATE(B116, ""en"", ""hi"")"),"किस ऐतिहासिक घटना के कारण गिल्ली डंडा जैसे पारंपरिक खेलों का व्यापक पतन हुआ और पश्चिमी खेलों का प्रचलन बढ़ा?")</f>
        <v>किस ऐतिहासिक घटना के कारण गिल्ली डंडा जैसे पारंपरिक खेलों का व्यापक पतन हुआ और पश्चिमी खेलों का प्रचलन बढ़ा?</v>
      </c>
      <c r="H116" s="5" t="str">
        <f>IFERROR(__xludf.DUMMYFUNCTION("GOOGLETRANSLATE(C116, ""en"", ""hi"")"),"A) प्रथम विश्व युद्ध, B) द्वितीय विश्व युद्ध, C) भारतीय स्वतंत्रता आंदोलन, D) ब्रिटिश औद्योगिक क्रांति")</f>
        <v>A) प्रथम विश्व युद्ध, B) द्वितीय विश्व युद्ध, C) भारतीय स्वतंत्रता आंदोलन, D) ब्रिटिश औद्योगिक क्रांति</v>
      </c>
      <c r="I116" s="5" t="str">
        <f>IFERROR(__xludf.DUMMYFUNCTION("GOOGLETRANSLATE(D116, ""en"", ""hi"")"),"C) भारतीय स्वतंत्रता आंदोलन")</f>
        <v>C) भारतीय स्वतंत्रता आंदोलन</v>
      </c>
    </row>
    <row r="117" ht="22.5" customHeight="1">
      <c r="A117" s="3">
        <v>116.0</v>
      </c>
      <c r="B117" s="4" t="s">
        <v>11363</v>
      </c>
      <c r="C117" s="4" t="s">
        <v>11364</v>
      </c>
      <c r="D117" s="4" t="s">
        <v>7468</v>
      </c>
      <c r="F117" s="5" t="str">
        <f>IFERROR(__xludf.DUMMYFUNCTION("GOOGLETRANSLATE(A117, ""en"", ""hi"")"),"116")</f>
        <v>116</v>
      </c>
      <c r="G117" s="5" t="str">
        <f>IFERROR(__xludf.DUMMYFUNCTION("GOOGLETRANSLATE(B117, ""en"", ""hi"")"),"किस भारतीय इतिहासकार ने अपने कार्यों में गिल्ली डंडा सहित पारंपरिक भारतीय खेलों के बारे में विस्तार से लिखा है?")</f>
        <v>किस भारतीय इतिहासकार ने अपने कार्यों में गिल्ली डंडा सहित पारंपरिक भारतीय खेलों के बारे में विस्तार से लिखा है?</v>
      </c>
      <c r="H117" s="5" t="str">
        <f>IFERROR(__xludf.DUMMYFUNCTION("GOOGLETRANSLATE(C117, ""en"", ""hi"")"),"A) आर. सी. मजूमदार, B) के. एम. पणिक्कर, C) बिपिन चंद्र, D) एस. आर. शर्मा")</f>
        <v>A) आर. सी. मजूमदार, B) के. एम. पणिक्कर, C) बिपिन चंद्र, D) एस. आर. शर्मा</v>
      </c>
      <c r="I117" s="5" t="str">
        <f>IFERROR(__xludf.DUMMYFUNCTION("GOOGLETRANSLATE(D117, ""en"", ""hi"")"),"A) आर. सी. मजूमदार")</f>
        <v>A) आर. सी. मजूमदार</v>
      </c>
    </row>
    <row r="118" ht="22.5" customHeight="1">
      <c r="A118" s="3">
        <v>117.0</v>
      </c>
      <c r="B118" s="4" t="s">
        <v>11365</v>
      </c>
      <c r="C118" s="4" t="s">
        <v>11366</v>
      </c>
      <c r="D118" s="4" t="s">
        <v>11367</v>
      </c>
      <c r="F118" s="5" t="str">
        <f>IFERROR(__xludf.DUMMYFUNCTION("GOOGLETRANSLATE(A118, ""en"", ""hi"")"),"117")</f>
        <v>117</v>
      </c>
      <c r="G118" s="5" t="str">
        <f>IFERROR(__xludf.DUMMYFUNCTION("GOOGLETRANSLATE(B118, ""en"", ""hi"")"),"कौन सी भारतीय लोक परंपरा में गिल्ली डंडा को कहानी कहने और सांस्कृतिक अनुष्ठानों के भाग के रूप में शामिल किया गया है?")</f>
        <v>कौन सी भारतीय लोक परंपरा में गिल्ली डंडा को कहानी कहने और सांस्कृतिक अनुष्ठानों के भाग के रूप में शामिल किया गया है?</v>
      </c>
      <c r="H118" s="5" t="str">
        <f>IFERROR(__xludf.DUMMYFUNCTION("GOOGLETRANSLATE(C118, ""en"", ""hi"")"),"ए) कथकली, बी) यक्षगान, सी) भांड पाथेर, डी) जात्रा")</f>
        <v>ए) कथकली, बी) यक्षगान, सी) भांड पाथेर, डी) जात्रा</v>
      </c>
      <c r="I118" s="5" t="str">
        <f>IFERROR(__xludf.DUMMYFUNCTION("GOOGLETRANSLATE(D118, ""en"", ""hi"")"),"C) भांड पाथेर")</f>
        <v>C) भांड पाथेर</v>
      </c>
    </row>
    <row r="119" ht="22.5" customHeight="1">
      <c r="A119" s="3">
        <v>118.0</v>
      </c>
      <c r="B119" s="4" t="s">
        <v>11368</v>
      </c>
      <c r="C119" s="4" t="s">
        <v>11369</v>
      </c>
      <c r="D119" s="4" t="s">
        <v>625</v>
      </c>
      <c r="F119" s="5" t="str">
        <f>IFERROR(__xludf.DUMMYFUNCTION("GOOGLETRANSLATE(A119, ""en"", ""hi"")"),"118")</f>
        <v>118</v>
      </c>
      <c r="G119" s="5" t="str">
        <f>IFERROR(__xludf.DUMMYFUNCTION("GOOGLETRANSLATE(B119, ""en"", ""hi"")"),"भारत का कौन सा क्षेत्र अपने वार्षिक गिल्ली डंडा टूर्नामेंट के लिए प्रसिद्ध है, जो देश के विभिन्न हिस्सों से खिलाड़ियों को आकर्षित करता है?")</f>
        <v>भारत का कौन सा क्षेत्र अपने वार्षिक गिल्ली डंडा टूर्नामेंट के लिए प्रसिद्ध है, जो देश के विभिन्न हिस्सों से खिलाड़ियों को आकर्षित करता है?</v>
      </c>
      <c r="H119" s="5" t="str">
        <f>IFERROR(__xludf.DUMMYFUNCTION("GOOGLETRANSLATE(C119, ""en"", ""hi"")"),"A) पंजाब, B) बिहार, C) हिमाचल प्रदेश, D) केरल")</f>
        <v>A) पंजाब, B) बिहार, C) हिमाचल प्रदेश, D) केरल</v>
      </c>
      <c r="I119" s="5" t="str">
        <f>IFERROR(__xludf.DUMMYFUNCTION("GOOGLETRANSLATE(D119, ""en"", ""hi"")"),"बी) बिहार")</f>
        <v>बी) बिहार</v>
      </c>
    </row>
    <row r="120" ht="22.5" customHeight="1">
      <c r="A120" s="3">
        <v>119.0</v>
      </c>
      <c r="B120" s="4" t="s">
        <v>11370</v>
      </c>
      <c r="C120" s="4" t="s">
        <v>11371</v>
      </c>
      <c r="D120" s="4" t="s">
        <v>11372</v>
      </c>
      <c r="F120" s="5" t="str">
        <f>IFERROR(__xludf.DUMMYFUNCTION("GOOGLETRANSLATE(A120, ""en"", ""hi"")"),"119")</f>
        <v>119</v>
      </c>
      <c r="G120" s="5" t="str">
        <f>IFERROR(__xludf.DUMMYFUNCTION("GOOGLETRANSLATE(B120, ""en"", ""hi"")"),"20वीं सदी के आरंभ में किस भारतीय उपन्यासकार ने अपनी कहानियों में गिल्ली डंडा का वर्णन किया, जो ग्रामीण जीवन में इसके महत्व को दर्शाता है?")</f>
        <v>20वीं सदी के आरंभ में किस भारतीय उपन्यासकार ने अपनी कहानियों में गिल्ली डंडा का वर्णन किया, जो ग्रामीण जीवन में इसके महत्व को दर्शाता है?</v>
      </c>
      <c r="H120" s="5" t="str">
        <f>IFERROR(__xludf.DUMMYFUNCTION("GOOGLETRANSLATE(C120, ""en"", ""hi"")"),"ए) रवीन्द्रनाथ टैगोर, बी) मुंशी प्रेमचंद, सी) इस्मत चुगताई, डी) खुशवंत सिंह")</f>
        <v>ए) रवीन्द्रनाथ टैगोर, बी) मुंशी प्रेमचंद, सी) इस्मत चुगताई, डी) खुशवंत सिंह</v>
      </c>
      <c r="I120" s="5" t="str">
        <f>IFERROR(__xludf.DUMMYFUNCTION("GOOGLETRANSLATE(D120, ""en"", ""hi"")"),"B) मुंशी प्रेमचंद")</f>
        <v>B) मुंशी प्रेमचंद</v>
      </c>
    </row>
    <row r="121" ht="22.5" customHeight="1">
      <c r="A121" s="3">
        <v>120.0</v>
      </c>
      <c r="B121" s="4" t="s">
        <v>11373</v>
      </c>
      <c r="C121" s="4" t="s">
        <v>11374</v>
      </c>
      <c r="D121" s="4" t="s">
        <v>11375</v>
      </c>
      <c r="F121" s="5" t="str">
        <f>IFERROR(__xludf.DUMMYFUNCTION("GOOGLETRANSLATE(A121, ""en"", ""hi"")"),"120")</f>
        <v>120</v>
      </c>
      <c r="G121" s="5" t="str">
        <f>IFERROR(__xludf.DUMMYFUNCTION("GOOGLETRANSLATE(B121, ""en"", ""hi"")"),"कौन सा भारतीय क्षेत्र गिल्ली डंडा की अनूठी विविधताओं के लिए जाना जाता है, जिसमें विभिन्न प्रकार की छड़ियां और खेलने की तकनीकें शामिल हैं?")</f>
        <v>कौन सा भारतीय क्षेत्र गिल्ली डंडा की अनूठी विविधताओं के लिए जाना जाता है, जिसमें विभिन्न प्रकार की छड़ियां और खेलने की तकनीकें शामिल हैं?</v>
      </c>
      <c r="H121" s="5" t="str">
        <f>IFERROR(__xludf.DUMMYFUNCTION("GOOGLETRANSLATE(C121, ""en"", ""hi"")"),"A) पूर्वोत्तर भारत, B) पश्चिमी भारत, C) दक्षिणी भारत, D) उत्तरी भारत")</f>
        <v>A) पूर्वोत्तर भारत, B) पश्चिमी भारत, C) दक्षिणी भारत, D) उत्तरी भारत</v>
      </c>
      <c r="I121" s="5" t="str">
        <f>IFERROR(__xludf.DUMMYFUNCTION("GOOGLETRANSLATE(D121, ""en"", ""hi"")"),"A) पूर्वोत्तर भारत")</f>
        <v>A) पूर्वोत्तर भारत</v>
      </c>
    </row>
    <row r="122" ht="22.5" customHeight="1">
      <c r="A122" s="3">
        <v>121.0</v>
      </c>
      <c r="B122" s="4" t="s">
        <v>11376</v>
      </c>
      <c r="C122" s="4" t="s">
        <v>11377</v>
      </c>
      <c r="D122" s="4" t="s">
        <v>7509</v>
      </c>
      <c r="F122" s="5" t="str">
        <f>IFERROR(__xludf.DUMMYFUNCTION("GOOGLETRANSLATE(A122, ""en"", ""hi"")"),"121")</f>
        <v>121</v>
      </c>
      <c r="G122" s="5" t="str">
        <f>IFERROR(__xludf.DUMMYFUNCTION("GOOGLETRANSLATE(B122, ""en"", ""hi"")"),"किस प्रसिद्ध भारतीय लोक कलाकार ने अपनी कलाकृति में गिल्ली डंडा को चित्रित किया, जो पारंपरिक ग्रामीण जीवन में इसकी भूमिका को दर्शाता है?")</f>
        <v>किस प्रसिद्ध भारतीय लोक कलाकार ने अपनी कलाकृति में गिल्ली डंडा को चित्रित किया, जो पारंपरिक ग्रामीण जीवन में इसकी भूमिका को दर्शाता है?</v>
      </c>
      <c r="H122" s="5" t="str">
        <f>IFERROR(__xludf.DUMMYFUNCTION("GOOGLETRANSLATE(C122, ""en"", ""hi"")"),"ए) जामिनी रॉय, बी) रवींद्रनाथ टैगोर, सी) अमृता शेरगिल, डी) नंदलाल बोस")</f>
        <v>ए) जामिनी रॉय, बी) रवींद्रनाथ टैगोर, सी) अमृता शेरगिल, डी) नंदलाल बोस</v>
      </c>
      <c r="I122" s="5" t="str">
        <f>IFERROR(__xludf.DUMMYFUNCTION("GOOGLETRANSLATE(D122, ""en"", ""hi"")"),"A) जामिनी रॉय")</f>
        <v>A) जामिनी रॉय</v>
      </c>
    </row>
    <row r="123" ht="22.5" customHeight="1">
      <c r="A123" s="3">
        <v>122.0</v>
      </c>
      <c r="B123" s="4" t="s">
        <v>11378</v>
      </c>
      <c r="C123" s="4" t="s">
        <v>11379</v>
      </c>
      <c r="D123" s="4" t="s">
        <v>11380</v>
      </c>
      <c r="F123" s="5" t="str">
        <f>IFERROR(__xludf.DUMMYFUNCTION("GOOGLETRANSLATE(A123, ""en"", ""hi"")"),"122")</f>
        <v>122</v>
      </c>
      <c r="G123" s="5" t="str">
        <f>IFERROR(__xludf.DUMMYFUNCTION("GOOGLETRANSLATE(B123, ""en"", ""hi"")"),"20वीं सदी के किस भारतीय सांस्कृतिक शोधकर्ता ने पारंपरिक भारतीय खेलों के अपने अध्ययन में गिल्ली डंडा पर प्रकाश डाला?")</f>
        <v>20वीं सदी के किस भारतीय सांस्कृतिक शोधकर्ता ने पारंपरिक भारतीय खेलों के अपने अध्ययन में गिल्ली डंडा पर प्रकाश डाला?</v>
      </c>
      <c r="H123" s="5" t="str">
        <f>IFERROR(__xludf.DUMMYFUNCTION("GOOGLETRANSLATE(C123, ""en"", ""hi"")"),"A) एम. के. गांधी, B) के. एम. मुंशी, C) आर. के. नारायण, D) पी. एन. ओक")</f>
        <v>A) एम. के. गांधी, B) के. एम. मुंशी, C) आर. के. नारायण, D) पी. एन. ओक</v>
      </c>
      <c r="I123" s="5" t="str">
        <f>IFERROR(__xludf.DUMMYFUNCTION("GOOGLETRANSLATE(D123, ""en"", ""hi"")"),"D) पी. एन. ओक")</f>
        <v>D) पी. एन. ओक</v>
      </c>
    </row>
    <row r="124" ht="22.5" customHeight="1">
      <c r="A124" s="3">
        <v>123.0</v>
      </c>
      <c r="B124" s="4" t="s">
        <v>11381</v>
      </c>
      <c r="C124" s="4" t="s">
        <v>11382</v>
      </c>
      <c r="D124" s="4" t="s">
        <v>4623</v>
      </c>
      <c r="F124" s="5" t="str">
        <f>IFERROR(__xludf.DUMMYFUNCTION("GOOGLETRANSLATE(A124, ""en"", ""hi"")"),"123")</f>
        <v>123</v>
      </c>
      <c r="G124" s="5" t="str">
        <f>IFERROR(__xludf.DUMMYFUNCTION("GOOGLETRANSLATE(B124, ""en"", ""hi"")"),"किस प्राचीन भारतीय राजा के शासनकाल में गिल्ली डंडा को दरबारी खेल के रूप में लोकप्रिय बनाया गया?")</f>
        <v>किस प्राचीन भारतीय राजा के शासनकाल में गिल्ली डंडा को दरबारी खेल के रूप में लोकप्रिय बनाया गया?</v>
      </c>
      <c r="H124" s="5" t="str">
        <f>IFERROR(__xludf.DUMMYFUNCTION("GOOGLETRANSLATE(C124, ""en"", ""hi"")"),"A) अशोक, B) चंद्रगुप्त मौर्य, C) हर्ष, D) विक्रमादित्य")</f>
        <v>A) अशोक, B) चंद्रगुप्त मौर्य, C) हर्ष, D) विक्रमादित्य</v>
      </c>
      <c r="I124" s="5" t="str">
        <f>IFERROR(__xludf.DUMMYFUNCTION("GOOGLETRANSLATE(D124, ""en"", ""hi"")"),"D) विक्रमादित्य")</f>
        <v>D) विक्रमादित्य</v>
      </c>
    </row>
    <row r="125" ht="22.5" customHeight="1">
      <c r="A125" s="3">
        <v>124.0</v>
      </c>
      <c r="B125" s="4" t="s">
        <v>11383</v>
      </c>
      <c r="C125" s="4" t="s">
        <v>11384</v>
      </c>
      <c r="D125" s="4" t="s">
        <v>11385</v>
      </c>
      <c r="F125" s="5" t="str">
        <f>IFERROR(__xludf.DUMMYFUNCTION("GOOGLETRANSLATE(A125, ""en"", ""hi"")"),"124")</f>
        <v>124</v>
      </c>
      <c r="G125" s="5" t="str">
        <f>IFERROR(__xludf.DUMMYFUNCTION("GOOGLETRANSLATE(B125, ""en"", ""hi"")"),"कौन सा पारंपरिक भारतीय खेल गिल्ली डंडा से निकटता से संबंधित है और उसी तरह की छड़ी और गेंद के दृष्टिकोण से खेला जाता है?")</f>
        <v>कौन सा पारंपरिक भारतीय खेल गिल्ली डंडा से निकटता से संबंधित है और उसी तरह की छड़ी और गेंद के दृष्टिकोण से खेला जाता है?</v>
      </c>
      <c r="H125" s="5" t="str">
        <f>IFERROR(__xludf.DUMMYFUNCTION("GOOGLETRANSLATE(C125, ""en"", ""hi"")"),"ए) कब्बडी, बी) सातोलिया, सी) गट्टा-गट्टी, डी) क्रिकेट")</f>
        <v>ए) कब्बडी, बी) सातोलिया, सी) गट्टा-गट्टी, डी) क्रिकेट</v>
      </c>
      <c r="I125" s="5" t="str">
        <f>IFERROR(__xludf.DUMMYFUNCTION("GOOGLETRANSLATE(D125, ""en"", ""hi"")"),"C) गट्टा-गट्टी")</f>
        <v>C) गट्टा-गट्टी</v>
      </c>
    </row>
    <row r="126" ht="22.5" customHeight="1">
      <c r="A126" s="3">
        <v>125.0</v>
      </c>
      <c r="B126" s="4" t="s">
        <v>11386</v>
      </c>
      <c r="C126" s="4" t="s">
        <v>11387</v>
      </c>
      <c r="D126" s="4" t="s">
        <v>11328</v>
      </c>
      <c r="F126" s="5" t="str">
        <f>IFERROR(__xludf.DUMMYFUNCTION("GOOGLETRANSLATE(A126, ""en"", ""hi"")"),"125")</f>
        <v>125</v>
      </c>
      <c r="G126" s="5" t="str">
        <f>IFERROR(__xludf.DUMMYFUNCTION("GOOGLETRANSLATE(B126, ""en"", ""hi"")"),"किस ऐतिहासिक भारतीय ग्रंथ में गिल्ली डंडा जैसे खेलों और सामाजिक गतिविधियों में उनकी भूमिका का वर्णन मिलता है?")</f>
        <v>किस ऐतिहासिक भारतीय ग्रंथ में गिल्ली डंडा जैसे खेलों और सामाजिक गतिविधियों में उनकी भूमिका का वर्णन मिलता है?</v>
      </c>
      <c r="H126" s="5" t="str">
        <f>IFERROR(__xludf.DUMMYFUNCTION("GOOGLETRANSLATE(C126, ""en"", ""hi"")"),"ए) मनुस्मृति, बी) अर्थशास्त्र, सी) नाट्यशास्त्र, डी) महाभारत")</f>
        <v>ए) मनुस्मृति, बी) अर्थशास्त्र, सी) नाट्यशास्त्र, डी) महाभारत</v>
      </c>
      <c r="I126" s="5" t="str">
        <f>IFERROR(__xludf.DUMMYFUNCTION("GOOGLETRANSLATE(D126, ""en"", ""hi"")"),"C) नाट्यशास्त्र")</f>
        <v>C) नाट्यशास्त्र</v>
      </c>
    </row>
    <row r="127" ht="22.5" customHeight="1">
      <c r="A127" s="3">
        <v>126.0</v>
      </c>
      <c r="B127" s="4" t="s">
        <v>11388</v>
      </c>
      <c r="C127" s="4" t="s">
        <v>11389</v>
      </c>
      <c r="D127" s="4" t="s">
        <v>3918</v>
      </c>
      <c r="F127" s="5" t="str">
        <f>IFERROR(__xludf.DUMMYFUNCTION("GOOGLETRANSLATE(A127, ""en"", ""hi"")"),"126")</f>
        <v>126</v>
      </c>
      <c r="G127" s="5" t="str">
        <f>IFERROR(__xludf.DUMMYFUNCTION("GOOGLETRANSLATE(B127, ""en"", ""hi"")"),"कौन सा भारतीय लोक त्यौहार अपने पारंपरिक खेलों और समारोहों में गिल्ली डंडा को शामिल करने के लिए जाना जाता है?")</f>
        <v>कौन सा भारतीय लोक त्यौहार अपने पारंपरिक खेलों और समारोहों में गिल्ली डंडा को शामिल करने के लिए जाना जाता है?</v>
      </c>
      <c r="H127" s="5" t="str">
        <f>IFERROR(__xludf.DUMMYFUNCTION("GOOGLETRANSLATE(C127, ""en"", ""hi"")"),"ए) लोहड़ी, बी) मकर संक्रांति, सी) पोंगल, डी) दिवाली")</f>
        <v>ए) लोहड़ी, बी) मकर संक्रांति, सी) पोंगल, डी) दिवाली</v>
      </c>
      <c r="I127" s="5" t="str">
        <f>IFERROR(__xludf.DUMMYFUNCTION("GOOGLETRANSLATE(D127, ""en"", ""hi"")"),"बी) मकर संक्रांति")</f>
        <v>बी) मकर संक्रांति</v>
      </c>
    </row>
    <row r="128" ht="22.5" customHeight="1">
      <c r="A128" s="3">
        <v>127.0</v>
      </c>
      <c r="B128" s="4" t="s">
        <v>11390</v>
      </c>
      <c r="C128" s="4" t="s">
        <v>11391</v>
      </c>
      <c r="D128" s="4" t="s">
        <v>11392</v>
      </c>
      <c r="F128" s="5" t="str">
        <f>IFERROR(__xludf.DUMMYFUNCTION("GOOGLETRANSLATE(A128, ""en"", ""hi"")"),"127")</f>
        <v>127</v>
      </c>
      <c r="G128" s="5" t="str">
        <f>IFERROR(__xludf.DUMMYFUNCTION("GOOGLETRANSLATE(B128, ""en"", ""hi"")"),"गिल्ली डंडा के समान कौन सा भारतीय खेल प्राचीन भारतीय सैनिकों द्वारा उनके प्रशिक्षण के भाग के रूप में खेला जाता था?")</f>
        <v>गिल्ली डंडा के समान कौन सा भारतीय खेल प्राचीन भारतीय सैनिकों द्वारा उनके प्रशिक्षण के भाग के रूप में खेला जाता था?</v>
      </c>
      <c r="H128" s="5" t="str">
        <f>IFERROR(__xludf.DUMMYFUNCTION("GOOGLETRANSLATE(C128, ""en"", ""hi"")"),"A) कबड्डी, B) तीरंदाजी, C) कुश्ती, D) पोलो")</f>
        <v>A) कबड्डी, B) तीरंदाजी, C) कुश्ती, D) पोलो</v>
      </c>
      <c r="I128" s="5" t="str">
        <f>IFERROR(__xludf.DUMMYFUNCTION("GOOGLETRANSLATE(D128, ""en"", ""hi"")"),"बी) तीरंदाजी")</f>
        <v>बी) तीरंदाजी</v>
      </c>
    </row>
    <row r="129" ht="22.5" customHeight="1">
      <c r="A129" s="3">
        <v>128.0</v>
      </c>
      <c r="B129" s="4" t="s">
        <v>11393</v>
      </c>
      <c r="C129" s="4" t="s">
        <v>11394</v>
      </c>
      <c r="D129" s="4" t="s">
        <v>7414</v>
      </c>
      <c r="F129" s="5" t="str">
        <f>IFERROR(__xludf.DUMMYFUNCTION("GOOGLETRANSLATE(A129, ""en"", ""hi"")"),"128")</f>
        <v>128</v>
      </c>
      <c r="G129" s="5" t="str">
        <f>IFERROR(__xludf.DUMMYFUNCTION("GOOGLETRANSLATE(B129, ""en"", ""hi"")"),"किस ऐतिहासिक हस्ती को भारत में अपनी यात्रा के दौरान गिल्ली डंडा सहित विभिन्न भारतीय खेलों का दस्तावेजीकरण करने के लिए जाना जाता है?")</f>
        <v>किस ऐतिहासिक हस्ती को भारत में अपनी यात्रा के दौरान गिल्ली डंडा सहित विभिन्न भारतीय खेलों का दस्तावेजीकरण करने के लिए जाना जाता है?</v>
      </c>
      <c r="H129" s="5" t="str">
        <f>IFERROR(__xludf.DUMMYFUNCTION("GOOGLETRANSLATE(C129, ""en"", ""hi"")"),"ए) मार्को पोलो, बी) इब्न बतूता, सी) ह्वेन त्सांग, डी) फा-हिएन")</f>
        <v>ए) मार्को पोलो, बी) इब्न बतूता, सी) ह्वेन त्सांग, डी) फा-हिएन</v>
      </c>
      <c r="I129" s="5" t="str">
        <f>IFERROR(__xludf.DUMMYFUNCTION("GOOGLETRANSLATE(D129, ""en"", ""hi"")"),"B) इब्न बतूता")</f>
        <v>B) इब्न बतूता</v>
      </c>
    </row>
    <row r="130" ht="22.5" customHeight="1">
      <c r="A130" s="3">
        <v>129.0</v>
      </c>
      <c r="B130" s="4" t="s">
        <v>11395</v>
      </c>
      <c r="C130" s="4" t="s">
        <v>11396</v>
      </c>
      <c r="D130" s="4" t="s">
        <v>11397</v>
      </c>
      <c r="F130" s="5" t="str">
        <f>IFERROR(__xludf.DUMMYFUNCTION("GOOGLETRANSLATE(A130, ""en"", ""hi"")"),"129")</f>
        <v>129</v>
      </c>
      <c r="G130" s="5" t="str">
        <f>IFERROR(__xludf.DUMMYFUNCTION("GOOGLETRANSLATE(B130, ""en"", ""hi"")"),"किस प्रसिद्ध भारतीय विद्वान और सांस्कृतिक आलोचक ने गिल्ली डंडा जैसे पारंपरिक खेलों के ऐतिहासिक महत्व के बारे में लिखा?")</f>
        <v>किस प्रसिद्ध भारतीय विद्वान और सांस्कृतिक आलोचक ने गिल्ली डंडा जैसे पारंपरिक खेलों के ऐतिहासिक महत्व के बारे में लिखा?</v>
      </c>
      <c r="H130" s="5" t="str">
        <f>IFERROR(__xludf.DUMMYFUNCTION("GOOGLETRANSLATE(C130, ""en"", ""hi"")"),"A) रवींद्रनाथ टैगोर, B) एम. एन. रॉय, C) एस. राधाकृष्णन, D) जे. नेहरू")</f>
        <v>A) रवींद्रनाथ टैगोर, B) एम. एन. रॉय, C) एस. राधाकृष्णन, D) जे. नेहरू</v>
      </c>
      <c r="I130" s="5" t="str">
        <f>IFERROR(__xludf.DUMMYFUNCTION("GOOGLETRANSLATE(D130, ""en"", ""hi"")"),"बी) एम. एन. रॉय")</f>
        <v>बी) एम. एन. रॉय</v>
      </c>
    </row>
    <row r="131" ht="22.5" customHeight="1">
      <c r="A131" s="3">
        <v>130.0</v>
      </c>
      <c r="B131" s="4" t="s">
        <v>11398</v>
      </c>
      <c r="C131" s="4" t="s">
        <v>11399</v>
      </c>
      <c r="D131" s="4" t="s">
        <v>179</v>
      </c>
      <c r="F131" s="5" t="str">
        <f>IFERROR(__xludf.DUMMYFUNCTION("GOOGLETRANSLATE(A131, ""en"", ""hi"")"),"130")</f>
        <v>130</v>
      </c>
      <c r="G131" s="5" t="str">
        <f>IFERROR(__xludf.DUMMYFUNCTION("GOOGLETRANSLATE(B131, ""en"", ""hi"")"),"किस भारतीय क्षेत्र ने स्थानीय त्योहारों और सांस्कृतिक कार्यक्रमों के माध्यम से गिल्ली डंडा के पारंपरिक खेल को संरक्षित किया है?")</f>
        <v>किस भारतीय क्षेत्र ने स्थानीय त्योहारों और सांस्कृतिक कार्यक्रमों के माध्यम से गिल्ली डंडा के पारंपरिक खेल को संरक्षित किया है?</v>
      </c>
      <c r="H131" s="5" t="str">
        <f>IFERROR(__xludf.DUMMYFUNCTION("GOOGLETRANSLATE(C131, ""en"", ""hi"")"),"A) पश्चिम बंगाल, B) पंजाब, C) गुजरात, D) कर्नाटक")</f>
        <v>A) पश्चिम बंगाल, B) पंजाब, C) गुजरात, D) कर्नाटक</v>
      </c>
      <c r="I131" s="5" t="str">
        <f>IFERROR(__xludf.DUMMYFUNCTION("GOOGLETRANSLATE(D131, ""en"", ""hi"")"),"ए) पश्चिम बंगाल")</f>
        <v>ए) पश्चिम बंगाल</v>
      </c>
    </row>
    <row r="132" ht="22.5" customHeight="1">
      <c r="A132" s="3">
        <v>131.0</v>
      </c>
      <c r="B132" s="4" t="s">
        <v>11400</v>
      </c>
      <c r="C132" s="4" t="s">
        <v>7429</v>
      </c>
      <c r="D132" s="4" t="s">
        <v>3791</v>
      </c>
      <c r="F132" s="5" t="str">
        <f>IFERROR(__xludf.DUMMYFUNCTION("GOOGLETRANSLATE(A132, ""en"", ""hi"")"),"131")</f>
        <v>131</v>
      </c>
      <c r="G132" s="5" t="str">
        <f>IFERROR(__xludf.DUMMYFUNCTION("GOOGLETRANSLATE(B132, ""en"", ""hi"")"),"कौन से प्रसिद्ध भारतीय नेता अपने भाषणों और लेखन के दौरान गिल्ली डंडा सहित पारंपरिक भारतीय खेलों को बढ़ावा देने के लिए जाने जाते हैं?")</f>
        <v>कौन से प्रसिद्ध भारतीय नेता अपने भाषणों और लेखन के दौरान गिल्ली डंडा सहित पारंपरिक भारतीय खेलों को बढ़ावा देने के लिए जाने जाते हैं?</v>
      </c>
      <c r="H132" s="5" t="str">
        <f>IFERROR(__xludf.DUMMYFUNCTION("GOOGLETRANSLATE(C132, ""en"", ""hi"")"),"A) जवाहरलाल नेहरू, B) महात्मा गांधी, C) सरदार पटेल, D) बी. आर. अम्बेडकर")</f>
        <v>A) जवाहरलाल नेहरू, B) महात्मा गांधी, C) सरदार पटेल, D) बी. आर. अम्बेडकर</v>
      </c>
      <c r="I132" s="5" t="str">
        <f>IFERROR(__xludf.DUMMYFUNCTION("GOOGLETRANSLATE(D132, ""en"", ""hi"")"),"बी) महात्मा गांधी")</f>
        <v>बी) महात्मा गांधी</v>
      </c>
    </row>
    <row r="133" ht="22.5" customHeight="1">
      <c r="A133" s="3">
        <v>132.0</v>
      </c>
      <c r="B133" s="4" t="s">
        <v>11401</v>
      </c>
      <c r="C133" s="4" t="s">
        <v>11402</v>
      </c>
      <c r="D133" s="4" t="s">
        <v>11183</v>
      </c>
      <c r="F133" s="5" t="str">
        <f>IFERROR(__xludf.DUMMYFUNCTION("GOOGLETRANSLATE(A133, ""en"", ""hi"")"),"132")</f>
        <v>132</v>
      </c>
      <c r="G133" s="5" t="str">
        <f>IFERROR(__xludf.DUMMYFUNCTION("GOOGLETRANSLATE(B133, ""en"", ""hi"")"),"मध्यकालीन भारत के किस ऐतिहासिक ग्रंथ में गिल्ली डंडा का उल्लेख उस समय की संस्कृति और मनोरंजन के भाग के रूप में मिलता है?")</f>
        <v>मध्यकालीन भारत के किस ऐतिहासिक ग्रंथ में गिल्ली डंडा का उल्लेख उस समय की संस्कृति और मनोरंजन के भाग के रूप में मिलता है?</v>
      </c>
      <c r="H133" s="5" t="str">
        <f>IFERROR(__xludf.DUMMYFUNCTION("GOOGLETRANSLATE(C133, ""en"", ""hi"")"),"ए) राजतरंगिणी, बी) अकबरनामा, सी) पादशाहनामा, डी) रामायण")</f>
        <v>ए) राजतरंगिणी, बी) अकबरनामा, सी) पादशाहनामा, डी) रामायण</v>
      </c>
      <c r="I133" s="5" t="str">
        <f>IFERROR(__xludf.DUMMYFUNCTION("GOOGLETRANSLATE(D133, ""en"", ""hi"")"),"A) राजतरंगिणी")</f>
        <v>A) राजतरंगिणी</v>
      </c>
    </row>
    <row r="134" ht="22.5" customHeight="1">
      <c r="A134" s="3">
        <v>133.0</v>
      </c>
      <c r="B134" s="4" t="s">
        <v>11403</v>
      </c>
      <c r="C134" s="4" t="s">
        <v>11404</v>
      </c>
      <c r="D134" s="4" t="s">
        <v>4703</v>
      </c>
      <c r="F134" s="5" t="str">
        <f>IFERROR(__xludf.DUMMYFUNCTION("GOOGLETRANSLATE(A134, ""en"", ""hi"")"),"133")</f>
        <v>133</v>
      </c>
      <c r="G134" s="5" t="str">
        <f>IFERROR(__xludf.DUMMYFUNCTION("GOOGLETRANSLATE(B134, ""en"", ""hi"")"),"गिल्ली डंडा के समान कौन सा पारंपरिक भारतीय खेल अक्सर स्थानीय त्योहारों और गांव की सभाओं के दौरान खेला जाता था?")</f>
        <v>गिल्ली डंडा के समान कौन सा पारंपरिक भारतीय खेल अक्सर स्थानीय त्योहारों और गांव की सभाओं के दौरान खेला जाता था?</v>
      </c>
      <c r="H134" s="5" t="str">
        <f>IFERROR(__xludf.DUMMYFUNCTION("GOOGLETRANSLATE(C134, ""en"", ""hi"")"),"ए) सतोलिया, बी) कबड्डी, सी) गट्टा-गट्टी, डी) पोलो")</f>
        <v>ए) सतोलिया, बी) कबड्डी, सी) गट्टा-गट्टी, डी) पोलो</v>
      </c>
      <c r="I134" s="5" t="str">
        <f>IFERROR(__xludf.DUMMYFUNCTION("GOOGLETRANSLATE(D134, ""en"", ""hi"")"),"A) सतोलिया")</f>
        <v>A) सतोलिया</v>
      </c>
    </row>
    <row r="135" ht="22.5" customHeight="1">
      <c r="A135" s="3">
        <v>134.0</v>
      </c>
      <c r="B135" s="4" t="s">
        <v>11405</v>
      </c>
      <c r="C135" s="4" t="s">
        <v>11406</v>
      </c>
      <c r="D135" s="4" t="s">
        <v>11407</v>
      </c>
      <c r="F135" s="5" t="str">
        <f>IFERROR(__xludf.DUMMYFUNCTION("GOOGLETRANSLATE(A135, ""en"", ""hi"")"),"134")</f>
        <v>134</v>
      </c>
      <c r="G135" s="5" t="str">
        <f>IFERROR(__xludf.DUMMYFUNCTION("GOOGLETRANSLATE(B135, ""en"", ""hi"")"),"किस प्रसिद्ध भारतीय कवि और लेखक ने ग्रामीण जीवन के बारे में अपनी साहित्यिक रचनाओं में गिल्ली डंडा का संदर्भ शामिल किया?")</f>
        <v>किस प्रसिद्ध भारतीय कवि और लेखक ने ग्रामीण जीवन के बारे में अपनी साहित्यिक रचनाओं में गिल्ली डंडा का संदर्भ शामिल किया?</v>
      </c>
      <c r="H135" s="5" t="str">
        <f>IFERROR(__xludf.DUMMYFUNCTION("GOOGLETRANSLATE(C135, ""en"", ""hi"")"),"ए) मुंशी प्रेमचंद, बी) रवींद्रनाथ टैगोर, सी) केकी एन. दारूवाला, डी) इस्मत चुगताई")</f>
        <v>ए) मुंशी प्रेमचंद, बी) रवींद्रनाथ टैगोर, सी) केकी एन. दारूवाला, डी) इस्मत चुगताई</v>
      </c>
      <c r="I135" s="5" t="str">
        <f>IFERROR(__xludf.DUMMYFUNCTION("GOOGLETRANSLATE(D135, ""en"", ""hi"")"),"A) मुंशी प्रेमचंद")</f>
        <v>A) मुंशी प्रेमचंद</v>
      </c>
    </row>
    <row r="136" ht="22.5" customHeight="1">
      <c r="A136" s="3">
        <v>135.0</v>
      </c>
      <c r="B136" s="4" t="s">
        <v>11408</v>
      </c>
      <c r="C136" s="4" t="s">
        <v>11409</v>
      </c>
      <c r="D136" s="4" t="s">
        <v>11375</v>
      </c>
      <c r="F136" s="5" t="str">
        <f>IFERROR(__xludf.DUMMYFUNCTION("GOOGLETRANSLATE(A136, ""en"", ""hi"")"),"135")</f>
        <v>135</v>
      </c>
      <c r="G136" s="5" t="str">
        <f>IFERROR(__xludf.DUMMYFUNCTION("GOOGLETRANSLATE(B136, ""en"", ""hi"")"),"कौन सा भारतीय क्षेत्र गिल्ली डंडा की अनूठी विविधताओं के लिए जाना जाता है जिसमें अलग-अलग नियम और खेल शैलियाँ शामिल हैं?")</f>
        <v>कौन सा भारतीय क्षेत्र गिल्ली डंडा की अनूठी विविधताओं के लिए जाना जाता है जिसमें अलग-अलग नियम और खेल शैलियाँ शामिल हैं?</v>
      </c>
      <c r="H136" s="5" t="str">
        <f>IFERROR(__xludf.DUMMYFUNCTION("GOOGLETRANSLATE(C136, ""en"", ""hi"")"),"A) पूर्वोत्तर भारत, B) मध्य भारत, C) दक्षिण भारत, D) पश्चिम भारत")</f>
        <v>A) पूर्वोत्तर भारत, B) मध्य भारत, C) दक्षिण भारत, D) पश्चिम भारत</v>
      </c>
      <c r="I136" s="5" t="str">
        <f>IFERROR(__xludf.DUMMYFUNCTION("GOOGLETRANSLATE(D136, ""en"", ""hi"")"),"A) पूर्वोत्तर भारत")</f>
        <v>A) पूर्वोत्तर भारत</v>
      </c>
    </row>
    <row r="137" ht="22.5" customHeight="1">
      <c r="A137" s="3">
        <v>136.0</v>
      </c>
      <c r="B137" s="4" t="s">
        <v>11410</v>
      </c>
      <c r="C137" s="4" t="s">
        <v>11411</v>
      </c>
      <c r="D137" s="4" t="s">
        <v>4657</v>
      </c>
      <c r="F137" s="5" t="str">
        <f>IFERROR(__xludf.DUMMYFUNCTION("GOOGLETRANSLATE(A137, ""en"", ""hi"")"),"136")</f>
        <v>136</v>
      </c>
      <c r="G137" s="5" t="str">
        <f>IFERROR(__xludf.DUMMYFUNCTION("GOOGLETRANSLATE(B137, ""en"", ""hi"")"),"किस ऐतिहासिक काल में गिल्ली डंडा का भारतीय पारंपरिक खेलों के एक महत्वपूर्ण भाग के रूप में पहली बार उल्लेख हुआ?")</f>
        <v>किस ऐतिहासिक काल में गिल्ली डंडा का भारतीय पारंपरिक खेलों के एक महत्वपूर्ण भाग के रूप में पहली बार उल्लेख हुआ?</v>
      </c>
      <c r="H137" s="5" t="str">
        <f>IFERROR(__xludf.DUMMYFUNCTION("GOOGLETRANSLATE(C137, ""en"", ""hi"")"),"A) प्राचीन भारत, B) मध्यकालीन भारत, C) मुगल काल, D) ब्रिटिश औपनिवेशिक काल")</f>
        <v>A) प्राचीन भारत, B) मध्यकालीन भारत, C) मुगल काल, D) ब्रिटिश औपनिवेशिक काल</v>
      </c>
      <c r="I137" s="5" t="str">
        <f>IFERROR(__xludf.DUMMYFUNCTION("GOOGLETRANSLATE(D137, ""en"", ""hi"")"),"A) प्राचीन भारत")</f>
        <v>A) प्राचीन भारत</v>
      </c>
    </row>
    <row r="138" ht="22.5" customHeight="1">
      <c r="A138" s="3">
        <v>137.0</v>
      </c>
      <c r="B138" s="4" t="s">
        <v>11412</v>
      </c>
      <c r="C138" s="4" t="s">
        <v>11413</v>
      </c>
      <c r="D138" s="4" t="s">
        <v>11414</v>
      </c>
      <c r="F138" s="5" t="str">
        <f>IFERROR(__xludf.DUMMYFUNCTION("GOOGLETRANSLATE(A138, ""en"", ""hi"")"),"137")</f>
        <v>137</v>
      </c>
      <c r="G138" s="5" t="str">
        <f>IFERROR(__xludf.DUMMYFUNCTION("GOOGLETRANSLATE(B138, ""en"", ""hi"")"),"19वीं शताब्दी के आरंभ में किस ब्रिटिश यात्री ने अपने लेखों में गिल्ली डंडा और उसके सांस्कृतिक महत्व का विस्तृत विवरण दिया?")</f>
        <v>19वीं शताब्दी के आरंभ में किस ब्रिटिश यात्री ने अपने लेखों में गिल्ली डंडा और उसके सांस्कृतिक महत्व का विस्तृत विवरण दिया?</v>
      </c>
      <c r="H138" s="5" t="str">
        <f>IFERROR(__xludf.DUMMYFUNCTION("GOOGLETRANSLATE(C138, ""en"", ""hi"")"),"A) विलियम एडम्स, B) फ्रांसिस बुकानन-हैमिल्टन, C) अलेक्जेंडर बर्न्स, D) जेम्स रेनेल")</f>
        <v>A) विलियम एडम्स, B) फ्रांसिस बुकानन-हैमिल्टन, C) अलेक्जेंडर बर्न्स, D) जेम्स रेनेल</v>
      </c>
      <c r="I138" s="5" t="str">
        <f>IFERROR(__xludf.DUMMYFUNCTION("GOOGLETRANSLATE(D138, ""en"", ""hi"")"),"बी) फ्रांसिस बुकानन-हैमिल्टन")</f>
        <v>बी) फ्रांसिस बुकानन-हैमिल्टन</v>
      </c>
    </row>
    <row r="139" ht="22.5" customHeight="1">
      <c r="A139" s="3">
        <v>138.0</v>
      </c>
      <c r="B139" s="4" t="s">
        <v>11415</v>
      </c>
      <c r="C139" s="4" t="s">
        <v>11416</v>
      </c>
      <c r="D139" s="4" t="s">
        <v>3918</v>
      </c>
      <c r="F139" s="5" t="str">
        <f>IFERROR(__xludf.DUMMYFUNCTION("GOOGLETRANSLATE(A139, ""en"", ""hi"")"),"138")</f>
        <v>138</v>
      </c>
      <c r="G139" s="5" t="str">
        <f>IFERROR(__xludf.DUMMYFUNCTION("GOOGLETRANSLATE(B139, ""en"", ""hi"")"),"कौन सा पारंपरिक भारतीय त्यौहार अपने उत्सव के दौरान प्रमुख गतिविधियों में से एक के रूप में गिल्ली डंडा को प्रमुखता से प्रदर्शित करता है?")</f>
        <v>कौन सा पारंपरिक भारतीय त्यौहार अपने उत्सव के दौरान प्रमुख गतिविधियों में से एक के रूप में गिल्ली डंडा को प्रमुखता से प्रदर्शित करता है?</v>
      </c>
      <c r="H139" s="5" t="str">
        <f>IFERROR(__xludf.DUMMYFUNCTION("GOOGLETRANSLATE(C139, ""en"", ""hi"")"),"ए) दिवाली, बी) मकर संक्रांति, सी) होली, डी) बैसाखी")</f>
        <v>ए) दिवाली, बी) मकर संक्रांति, सी) होली, डी) बैसाखी</v>
      </c>
      <c r="I139" s="5" t="str">
        <f>IFERROR(__xludf.DUMMYFUNCTION("GOOGLETRANSLATE(D139, ""en"", ""hi"")"),"बी) मकर संक्रांति")</f>
        <v>बी) मकर संक्रांति</v>
      </c>
    </row>
    <row r="140" ht="22.5" customHeight="1">
      <c r="A140" s="3">
        <v>139.0</v>
      </c>
      <c r="B140" s="4" t="s">
        <v>11417</v>
      </c>
      <c r="C140" s="4" t="s">
        <v>11418</v>
      </c>
      <c r="D140" s="4" t="s">
        <v>11342</v>
      </c>
      <c r="F140" s="5" t="str">
        <f>IFERROR(__xludf.DUMMYFUNCTION("GOOGLETRANSLATE(A140, ""en"", ""hi"")"),"139")</f>
        <v>139</v>
      </c>
      <c r="G140" s="5" t="str">
        <f>IFERROR(__xludf.DUMMYFUNCTION("GOOGLETRANSLATE(B140, ""en"", ""hi"")"),"कौन सा प्राचीन भारतीय ग्रंथ गिल्ली डंडा जैसे खेलों सहित खेलों का विस्तृत वर्णन प्रदान करता है?")</f>
        <v>कौन सा प्राचीन भारतीय ग्रंथ गिल्ली डंडा जैसे खेलों सहित खेलों का विस्तृत वर्णन प्रदान करता है?</v>
      </c>
      <c r="H140" s="5" t="str">
        <f>IFERROR(__xludf.DUMMYFUNCTION("GOOGLETRANSLATE(C140, ""en"", ""hi"")"),"ए) योग सूत्र, बी) विष्णु पुराण, सी) भगवद गीता, डी) मनुस्मृति")</f>
        <v>ए) योग सूत्र, बी) विष्णु पुराण, सी) भगवद गीता, डी) मनुस्मृति</v>
      </c>
      <c r="I140" s="5" t="str">
        <f>IFERROR(__xludf.DUMMYFUNCTION("GOOGLETRANSLATE(D140, ""en"", ""hi"")"),"बी) विष्णु पुराण")</f>
        <v>बी) विष्णु पुराण</v>
      </c>
    </row>
    <row r="141" ht="22.5" customHeight="1">
      <c r="A141" s="3">
        <v>140.0</v>
      </c>
      <c r="B141" s="4" t="s">
        <v>11419</v>
      </c>
      <c r="C141" s="4" t="s">
        <v>11420</v>
      </c>
      <c r="D141" s="4" t="s">
        <v>2893</v>
      </c>
      <c r="F141" s="5" t="str">
        <f>IFERROR(__xludf.DUMMYFUNCTION("GOOGLETRANSLATE(A141, ""en"", ""hi"")"),"140")</f>
        <v>140</v>
      </c>
      <c r="G141" s="5" t="str">
        <f>IFERROR(__xludf.DUMMYFUNCTION("GOOGLETRANSLATE(B141, ""en"", ""hi"")"),"किस भारतीय गांव की परंपरा में गिल्ली डंडा को वार्षिक उत्सव और सामुदायिक समारोहों के भाग के रूप में शामिल किया जाता है?")</f>
        <v>किस भारतीय गांव की परंपरा में गिल्ली डंडा को वार्षिक उत्सव और सामुदायिक समारोहों के भाग के रूप में शामिल किया जाता है?</v>
      </c>
      <c r="H141" s="5" t="str">
        <f>IFERROR(__xludf.DUMMYFUNCTION("GOOGLETRANSLATE(C141, ""en"", ""hi"")"),"ए)नवरात्रि, बी)पोंगल,सी)लोहड़ी,डी)मकर संक्रांति")</f>
        <v>ए)नवरात्रि, बी)पोंगल,सी)लोहड़ी,डी)मकर संक्रांति</v>
      </c>
      <c r="I141" s="5" t="str">
        <f>IFERROR(__xludf.DUMMYFUNCTION("GOOGLETRANSLATE(D141, ""en"", ""hi"")"),"D) मकर संक्रांति")</f>
        <v>D) मकर संक्रांति</v>
      </c>
    </row>
    <row r="142" ht="22.5" customHeight="1">
      <c r="A142" s="3">
        <v>141.0</v>
      </c>
      <c r="B142" s="4" t="s">
        <v>11421</v>
      </c>
      <c r="C142" s="4" t="s">
        <v>11422</v>
      </c>
      <c r="D142" s="4" t="s">
        <v>7468</v>
      </c>
      <c r="F142" s="5" t="str">
        <f>IFERROR(__xludf.DUMMYFUNCTION("GOOGLETRANSLATE(A142, ""en"", ""hi"")"),"141")</f>
        <v>141</v>
      </c>
      <c r="G142" s="5" t="str">
        <f>IFERROR(__xludf.DUMMYFUNCTION("GOOGLETRANSLATE(B142, ""en"", ""hi"")"),"किस प्रसिद्ध भारतीय इतिहासकार ने अपने विद्वत्तापूर्ण कार्यों में गिल्ली डंडा के ऐतिहासिक विकास के बारे में लिखा है?")</f>
        <v>किस प्रसिद्ध भारतीय इतिहासकार ने अपने विद्वत्तापूर्ण कार्यों में गिल्ली डंडा के ऐतिहासिक विकास के बारे में लिखा है?</v>
      </c>
      <c r="H142" s="5" t="str">
        <f>IFERROR(__xludf.DUMMYFUNCTION("GOOGLETRANSLATE(C142, ""en"", ""hi"")"),"ए) आर. सी. मजूमदार, बी) के. एन. पणिक्कर, सी) एस. राधाकृष्णन, डी) बी. एन. पांडे")</f>
        <v>ए) आर. सी. मजूमदार, बी) के. एन. पणिक्कर, सी) एस. राधाकृष्णन, डी) बी. एन. पांडे</v>
      </c>
      <c r="I142" s="5" t="str">
        <f>IFERROR(__xludf.DUMMYFUNCTION("GOOGLETRANSLATE(D142, ""en"", ""hi"")"),"A) आर. सी. मजूमदार")</f>
        <v>A) आर. सी. मजूमदार</v>
      </c>
    </row>
    <row r="143" ht="22.5" customHeight="1">
      <c r="A143" s="3">
        <v>142.0</v>
      </c>
      <c r="B143" s="4" t="s">
        <v>11423</v>
      </c>
      <c r="C143" s="4" t="s">
        <v>11424</v>
      </c>
      <c r="D143" s="4" t="s">
        <v>11348</v>
      </c>
      <c r="F143" s="5" t="str">
        <f>IFERROR(__xludf.DUMMYFUNCTION("GOOGLETRANSLATE(A143, ""en"", ""hi"")"),"142")</f>
        <v>142</v>
      </c>
      <c r="G143" s="5" t="str">
        <f>IFERROR(__xludf.DUMMYFUNCTION("GOOGLETRANSLATE(B143, ""en"", ""hi"")"),"कौन सा प्रसिद्ध भारतीय सांस्कृतिक कार्यक्रम पारंपरिक रूप से गिल्ली डंडा को अपने उत्सव और गतिविधियों के हिस्से के रूप में शामिल करता है?")</f>
        <v>कौन सा प्रसिद्ध भारतीय सांस्कृतिक कार्यक्रम पारंपरिक रूप से गिल्ली डंडा को अपने उत्सव और गतिविधियों के हिस्से के रूप में शामिल करता है?</v>
      </c>
      <c r="H143" s="5" t="str">
        <f>IFERROR(__xludf.DUMMYFUNCTION("GOOGLETRANSLATE(C143, ""en"", ""hi"")"),"ए) बैसाखी, बी) लोहड़ी, सी) ओणम, डी) पोंगल")</f>
        <v>ए) बैसाखी, बी) लोहड़ी, सी) ओणम, डी) पोंगल</v>
      </c>
      <c r="I143" s="5" t="str">
        <f>IFERROR(__xludf.DUMMYFUNCTION("GOOGLETRANSLATE(D143, ""en"", ""hi"")"),"A) बैसाखी")</f>
        <v>A) बैसाखी</v>
      </c>
    </row>
    <row r="144" ht="22.5" customHeight="1">
      <c r="A144" s="3">
        <v>143.0</v>
      </c>
      <c r="B144" s="4" t="s">
        <v>11425</v>
      </c>
      <c r="C144" s="4" t="s">
        <v>11426</v>
      </c>
      <c r="D144" s="4" t="s">
        <v>4623</v>
      </c>
      <c r="F144" s="5" t="str">
        <f>IFERROR(__xludf.DUMMYFUNCTION("GOOGLETRANSLATE(A144, ""en"", ""hi"")"),"143")</f>
        <v>143</v>
      </c>
      <c r="G144" s="5" t="str">
        <f>IFERROR(__xludf.DUMMYFUNCTION("GOOGLETRANSLATE(B144, ""en"", ""hi"")"),"ऐतिहासिक कलाकृतियों में किस प्राचीन भारतीय राजा को शाही दरबार में गिल्ली डंडा खेलते हुए दर्शाया गया है?")</f>
        <v>ऐतिहासिक कलाकृतियों में किस प्राचीन भारतीय राजा को शाही दरबार में गिल्ली डंडा खेलते हुए दर्शाया गया है?</v>
      </c>
      <c r="H144" s="5" t="str">
        <f>IFERROR(__xludf.DUMMYFUNCTION("GOOGLETRANSLATE(C144, ""en"", ""hi"")"),"ए) चंद्रगुप्त मौर्य, बी) अशोक, सी) राजा भोज, डी) विक्रमादित्य")</f>
        <v>ए) चंद्रगुप्त मौर्य, बी) अशोक, सी) राजा भोज, डी) विक्रमादित्य</v>
      </c>
      <c r="I144" s="5" t="str">
        <f>IFERROR(__xludf.DUMMYFUNCTION("GOOGLETRANSLATE(D144, ""en"", ""hi"")"),"D) विक्रमादित्य")</f>
        <v>D) विक्रमादित्य</v>
      </c>
    </row>
    <row r="145" ht="22.5" customHeight="1">
      <c r="A145" s="3">
        <v>144.0</v>
      </c>
      <c r="B145" s="4" t="s">
        <v>11427</v>
      </c>
      <c r="C145" s="4" t="s">
        <v>11428</v>
      </c>
      <c r="D145" s="4" t="s">
        <v>7225</v>
      </c>
      <c r="F145" s="5" t="str">
        <f>IFERROR(__xludf.DUMMYFUNCTION("GOOGLETRANSLATE(A145, ""en"", ""hi"")"),"144")</f>
        <v>144</v>
      </c>
      <c r="G145" s="5" t="str">
        <f>IFERROR(__xludf.DUMMYFUNCTION("GOOGLETRANSLATE(B145, ""en"", ""hi"")"),"कौन सा भारतीय क्षेत्र गिल्ली डंडा की अनूठी विविधताओं और पारंपरिक खेल के संरक्षण के लिए जाना जाता है?")</f>
        <v>कौन सा भारतीय क्षेत्र गिल्ली डंडा की अनूठी विविधताओं और पारंपरिक खेल के संरक्षण के लिए जाना जाता है?</v>
      </c>
      <c r="H145" s="5" t="str">
        <f>IFERROR(__xludf.DUMMYFUNCTION("GOOGLETRANSLATE(C145, ""en"", ""hi"")"),"A) उत्तर प्रदेश, B) पश्चिम बंगाल, C) पंजाब, D) राजस्थान")</f>
        <v>A) उत्तर प्रदेश, B) पश्चिम बंगाल, C) पंजाब, D) राजस्थान</v>
      </c>
      <c r="I145" s="5" t="str">
        <f>IFERROR(__xludf.DUMMYFUNCTION("GOOGLETRANSLATE(D145, ""en"", ""hi"")"),"बी) पश्चिम बंगाल")</f>
        <v>बी) पश्चिम बंगाल</v>
      </c>
    </row>
    <row r="146" ht="22.5" customHeight="1">
      <c r="A146" s="3">
        <v>145.0</v>
      </c>
      <c r="B146" s="4" t="s">
        <v>11429</v>
      </c>
      <c r="C146" s="4" t="s">
        <v>11430</v>
      </c>
      <c r="D146" s="4" t="s">
        <v>11255</v>
      </c>
      <c r="F146" s="5" t="str">
        <f>IFERROR(__xludf.DUMMYFUNCTION("GOOGLETRANSLATE(A146, ""en"", ""hi"")"),"145")</f>
        <v>145</v>
      </c>
      <c r="G146" s="5" t="str">
        <f>IFERROR(__xludf.DUMMYFUNCTION("GOOGLETRANSLATE(B146, ""en"", ""hi"")"),"कौन सा ऐतिहासिक ग्रंथ भारत में पारंपरिक खेल के रूप में गिल्ली डंडा के सामाजिक और सांस्कृतिक संदर्भ का वर्णन करता है?")</f>
        <v>कौन सा ऐतिहासिक ग्रंथ भारत में पारंपरिक खेल के रूप में गिल्ली डंडा के सामाजिक और सांस्कृतिक संदर्भ का वर्णन करता है?</v>
      </c>
      <c r="H146" s="5" t="str">
        <f>IFERROR(__xludf.DUMMYFUNCTION("GOOGLETRANSLATE(C146, ""en"", ""hi"")"),"ए) अर्थशास्त्र, बी) राजतरंगिणी, सी) महाभारत, डी) रामायण")</f>
        <v>ए) अर्थशास्त्र, बी) राजतरंगिणी, सी) महाभारत, डी) रामायण</v>
      </c>
      <c r="I146" s="5" t="str">
        <f>IFERROR(__xludf.DUMMYFUNCTION("GOOGLETRANSLATE(D146, ""en"", ""hi"")"),"बी) राजतरंगिणी")</f>
        <v>बी) राजतरंगिणी</v>
      </c>
    </row>
    <row r="147" ht="22.5" customHeight="1">
      <c r="A147" s="3">
        <v>146.0</v>
      </c>
      <c r="B147" s="4" t="s">
        <v>11431</v>
      </c>
      <c r="C147" s="4" t="s">
        <v>11432</v>
      </c>
      <c r="D147" s="4" t="s">
        <v>3791</v>
      </c>
      <c r="F147" s="5" t="str">
        <f>IFERROR(__xludf.DUMMYFUNCTION("GOOGLETRANSLATE(A147, ""en"", ""hi"")"),"146")</f>
        <v>146</v>
      </c>
      <c r="G147" s="5" t="str">
        <f>IFERROR(__xludf.DUMMYFUNCTION("GOOGLETRANSLATE(B147, ""en"", ""hi"")"),"कौन से प्रसिद्ध भारतीय नेता अपने भाषणों और लेखों के माध्यम से गिल्ली डंडा जैसे पारंपरिक खेलों को बढ़ावा देने के लिए जाने जाते हैं?")</f>
        <v>कौन से प्रसिद्ध भारतीय नेता अपने भाषणों और लेखों के माध्यम से गिल्ली डंडा जैसे पारंपरिक खेलों को बढ़ावा देने के लिए जाने जाते हैं?</v>
      </c>
      <c r="H147" s="5" t="str">
        <f>IFERROR(__xludf.DUMMYFUNCTION("GOOGLETRANSLATE(C147, ""en"", ""hi"")"),"A) जवाहरलाल नेहरू, B) महात्मा गांधी, C) सुभाष चंद्र बोस, D) सरदार पटेल")</f>
        <v>A) जवाहरलाल नेहरू, B) महात्मा गांधी, C) सुभाष चंद्र बोस, D) सरदार पटेल</v>
      </c>
      <c r="I147" s="5" t="str">
        <f>IFERROR(__xludf.DUMMYFUNCTION("GOOGLETRANSLATE(D147, ""en"", ""hi"")"),"बी) महात्मा गांधी")</f>
        <v>बी) महात्मा गांधी</v>
      </c>
    </row>
    <row r="148" ht="22.5" customHeight="1">
      <c r="A148" s="3">
        <v>147.0</v>
      </c>
      <c r="B148" s="4" t="s">
        <v>11433</v>
      </c>
      <c r="C148" s="4" t="s">
        <v>11358</v>
      </c>
      <c r="D148" s="4" t="s">
        <v>11359</v>
      </c>
      <c r="F148" s="5" t="str">
        <f>IFERROR(__xludf.DUMMYFUNCTION("GOOGLETRANSLATE(A148, ""en"", ""hi"")"),"147")</f>
        <v>147</v>
      </c>
      <c r="G148" s="5" t="str">
        <f>IFERROR(__xludf.DUMMYFUNCTION("GOOGLETRANSLATE(B148, ""en"", ""hi"")"),"20वीं सदी के आरंभ में किस ब्रिटिश अधिकारी ने पारंपरिक भारतीय खेलों पर व्यापक अध्ययन के भाग के रूप में गिल्ली डंडा का दस्तावेजीकरण किया?")</f>
        <v>20वीं सदी के आरंभ में किस ब्रिटिश अधिकारी ने पारंपरिक भारतीय खेलों पर व्यापक अध्ययन के भाग के रूप में गिल्ली डंडा का दस्तावेजीकरण किया?</v>
      </c>
      <c r="H148" s="5" t="str">
        <f>IFERROR(__xludf.DUMMYFUNCTION("GOOGLETRANSLATE(C148, ""en"", ""hi"")"),"A) लॉर्ड कर्जन, B) सर विलियम स्लीमन, C) सर जॉर्ज एवरेस्ट, D) लॉर्ड मिंटो")</f>
        <v>A) लॉर्ड कर्जन, B) सर विलियम स्लीमन, C) सर जॉर्ज एवरेस्ट, D) लॉर्ड मिंटो</v>
      </c>
      <c r="I148" s="5" t="str">
        <f>IFERROR(__xludf.DUMMYFUNCTION("GOOGLETRANSLATE(D148, ""en"", ""hi"")"),"बी) सर विलियम स्लीमन")</f>
        <v>बी) सर विलियम स्लीमन</v>
      </c>
    </row>
    <row r="149" ht="22.5" customHeight="1">
      <c r="A149" s="3">
        <v>148.0</v>
      </c>
      <c r="B149" s="4" t="s">
        <v>11434</v>
      </c>
      <c r="C149" s="4" t="s">
        <v>11435</v>
      </c>
      <c r="D149" s="4" t="s">
        <v>11407</v>
      </c>
      <c r="F149" s="5" t="str">
        <f>IFERROR(__xludf.DUMMYFUNCTION("GOOGLETRANSLATE(A149, ""en"", ""hi"")"),"148")</f>
        <v>148</v>
      </c>
      <c r="G149" s="5" t="str">
        <f>IFERROR(__xludf.DUMMYFUNCTION("GOOGLETRANSLATE(B149, ""en"", ""hi"")"),"किस प्रसिद्ध भारतीय लेखक ने ग्रामीण जीवन पर अपनी रचनाओं में गिल्ली डंडा सहित पारंपरिक भारतीय खेलों के बारे में लिखा?")</f>
        <v>किस प्रसिद्ध भारतीय लेखक ने ग्रामीण जीवन पर अपनी रचनाओं में गिल्ली डंडा सहित पारंपरिक भारतीय खेलों के बारे में लिखा?</v>
      </c>
      <c r="H149" s="5" t="str">
        <f>IFERROR(__xludf.DUMMYFUNCTION("GOOGLETRANSLATE(C149, ""en"", ""hi"")"),"ए) मुंशी प्रेमचंद, बी) रवींद्रनाथ टैगोर, सी) इस्मत चुगताई, डी) खुशवंत सिंह")</f>
        <v>ए) मुंशी प्रेमचंद, बी) रवींद्रनाथ टैगोर, सी) इस्मत चुगताई, डी) खुशवंत सिंह</v>
      </c>
      <c r="I149" s="5" t="str">
        <f>IFERROR(__xludf.DUMMYFUNCTION("GOOGLETRANSLATE(D149, ""en"", ""hi"")"),"A) मुंशी प्रेमचंद")</f>
        <v>A) मुंशी प्रेमचंद</v>
      </c>
    </row>
    <row r="150" ht="22.5" customHeight="1">
      <c r="A150" s="3">
        <v>149.0</v>
      </c>
      <c r="B150" s="4" t="s">
        <v>11436</v>
      </c>
      <c r="C150" s="4" t="s">
        <v>11437</v>
      </c>
      <c r="D150" s="4" t="s">
        <v>2574</v>
      </c>
      <c r="F150" s="5" t="str">
        <f>IFERROR(__xludf.DUMMYFUNCTION("GOOGLETRANSLATE(A150, ""en"", ""hi"")"),"149")</f>
        <v>149</v>
      </c>
      <c r="G150" s="5" t="str">
        <f>IFERROR(__xludf.DUMMYFUNCTION("GOOGLETRANSLATE(B150, ""en"", ""hi"")"),"किस भारतीय क्षेत्र में स्थानीय मेलों और सांस्कृतिक कार्यक्रमों के दौरान गिल्ली डंडा खेलने की लंबे समय से परंपरा रही है?")</f>
        <v>किस भारतीय क्षेत्र में स्थानीय मेलों और सांस्कृतिक कार्यक्रमों के दौरान गिल्ली डंडा खेलने की लंबे समय से परंपरा रही है?</v>
      </c>
      <c r="H150" s="5" t="str">
        <f>IFERROR(__xludf.DUMMYFUNCTION("GOOGLETRANSLATE(C150, ""en"", ""hi"")"),"A) पंजाब, B) तमिलनाडु, C) उत्तर प्रदेश, D) गुजरात")</f>
        <v>A) पंजाब, B) तमिलनाडु, C) उत्तर प्रदेश, D) गुजरात</v>
      </c>
      <c r="I150" s="5" t="str">
        <f>IFERROR(__xludf.DUMMYFUNCTION("GOOGLETRANSLATE(D150, ""en"", ""hi"")"),"C) उत्तर प्रदेश")</f>
        <v>C) उत्तर प्रदेश</v>
      </c>
    </row>
    <row r="151" ht="22.5" customHeight="1">
      <c r="A151" s="3">
        <v>150.0</v>
      </c>
      <c r="B151" s="4" t="s">
        <v>11438</v>
      </c>
      <c r="C151" s="4" t="s">
        <v>11439</v>
      </c>
      <c r="D151" s="4" t="s">
        <v>7468</v>
      </c>
      <c r="F151" s="5" t="str">
        <f>IFERROR(__xludf.DUMMYFUNCTION("GOOGLETRANSLATE(A151, ""en"", ""hi"")"),"150")</f>
        <v>150</v>
      </c>
      <c r="G151" s="5" t="str">
        <f>IFERROR(__xludf.DUMMYFUNCTION("GOOGLETRANSLATE(B151, ""en"", ""hi"")"),"किस प्रसिद्ध भारतीय इतिहासकार और विद्वान ने पारंपरिक भारतीय समाज में गिल्ली डंडा की भूमिका के बारे में लिखा?")</f>
        <v>किस प्रसिद्ध भारतीय इतिहासकार और विद्वान ने पारंपरिक भारतीय समाज में गिल्ली डंडा की भूमिका के बारे में लिखा?</v>
      </c>
      <c r="H151" s="5" t="str">
        <f>IFERROR(__xludf.DUMMYFUNCTION("GOOGLETRANSLATE(C151, ""en"", ""hi"")"),"A) आर. सी. मजूमदार, B) के. एम. मुंशी, C) बी. एन. पांडे, D) एस. राधाकृष्णन")</f>
        <v>A) आर. सी. मजूमदार, B) के. एम. मुंशी, C) बी. एन. पांडे, D) एस. राधाकृष्णन</v>
      </c>
      <c r="I151" s="5" t="str">
        <f>IFERROR(__xludf.DUMMYFUNCTION("GOOGLETRANSLATE(D151, ""en"", ""hi"")"),"A) आर. सी. मजूमदार")</f>
        <v>A) आर. सी. मजूमदार</v>
      </c>
    </row>
    <row r="152" ht="22.5" customHeight="1">
      <c r="A152" s="3">
        <v>151.0</v>
      </c>
      <c r="B152" s="4" t="s">
        <v>11440</v>
      </c>
      <c r="C152" s="4" t="s">
        <v>11441</v>
      </c>
      <c r="D152" s="4" t="s">
        <v>11442</v>
      </c>
      <c r="F152" s="5" t="str">
        <f>IFERROR(__xludf.DUMMYFUNCTION("GOOGLETRANSLATE(A152, ""en"", ""hi"")"),"151")</f>
        <v>151</v>
      </c>
      <c r="G152" s="5" t="str">
        <f>IFERROR(__xludf.DUMMYFUNCTION("GOOGLETRANSLATE(B152, ""en"", ""hi"")"),"किस भारतीय कवि ने ग्रामीण जीवन और संस्कृति के बारे में अपनी साहित्यिक रचनाओं में गिल्ली डंडा का संदर्भ शामिल किया?")</f>
        <v>किस भारतीय कवि ने ग्रामीण जीवन और संस्कृति के बारे में अपनी साहित्यिक रचनाओं में गिल्ली डंडा का संदर्भ शामिल किया?</v>
      </c>
      <c r="H152" s="5" t="str">
        <f>IFERROR(__xludf.DUMMYFUNCTION("GOOGLETRANSLATE(C152, ""en"", ""hi"")"),"ए) कबीर, बी) तुलसीदास, सी) मीराबाई, डी) रवींद्रनाथ टैगोर")</f>
        <v>ए) कबीर, बी) तुलसीदास, सी) मीराबाई, डी) रवींद्रनाथ टैगोर</v>
      </c>
      <c r="I152" s="5" t="str">
        <f>IFERROR(__xludf.DUMMYFUNCTION("GOOGLETRANSLATE(D152, ""en"", ""hi"")"),"A) कबीर")</f>
        <v>A) कबीर</v>
      </c>
    </row>
    <row r="153" ht="22.5" customHeight="1">
      <c r="A153" s="3">
        <v>152.0</v>
      </c>
      <c r="B153" s="4" t="s">
        <v>11443</v>
      </c>
      <c r="C153" s="4" t="s">
        <v>11413</v>
      </c>
      <c r="D153" s="4" t="s">
        <v>11414</v>
      </c>
      <c r="F153" s="5" t="str">
        <f>IFERROR(__xludf.DUMMYFUNCTION("GOOGLETRANSLATE(A153, ""en"", ""hi"")"),"152")</f>
        <v>152</v>
      </c>
      <c r="G153" s="5" t="str">
        <f>IFERROR(__xludf.DUMMYFUNCTION("GOOGLETRANSLATE(B153, ""en"", ""hi"")"),"19वीं शताब्दी के आरंभ में किस ब्रिटिश यात्री ने गिल्ली डंडा सहित पारंपरिक भारतीय खेलों का विस्तृत विवरण प्रदान किया?")</f>
        <v>19वीं शताब्दी के आरंभ में किस ब्रिटिश यात्री ने गिल्ली डंडा सहित पारंपरिक भारतीय खेलों का विस्तृत विवरण प्रदान किया?</v>
      </c>
      <c r="H153" s="5" t="str">
        <f>IFERROR(__xludf.DUMMYFUNCTION("GOOGLETRANSLATE(C153, ""en"", ""hi"")"),"A) विलियम एडम्स, B) फ्रांसिस बुकानन-हैमिल्टन, C) अलेक्जेंडर बर्न्स, D) जेम्स रेनेल")</f>
        <v>A) विलियम एडम्स, B) फ्रांसिस बुकानन-हैमिल्टन, C) अलेक्जेंडर बर्न्स, D) जेम्स रेनेल</v>
      </c>
      <c r="I153" s="5" t="str">
        <f>IFERROR(__xludf.DUMMYFUNCTION("GOOGLETRANSLATE(D153, ""en"", ""hi"")"),"बी) फ्रांसिस बुकानन-हैमिल्टन")</f>
        <v>बी) फ्रांसिस बुकानन-हैमिल्टन</v>
      </c>
    </row>
    <row r="154" ht="22.5" customHeight="1">
      <c r="A154" s="3">
        <v>153.0</v>
      </c>
      <c r="B154" s="4" t="s">
        <v>11444</v>
      </c>
      <c r="C154" s="4" t="s">
        <v>11445</v>
      </c>
      <c r="D154" s="4" t="s">
        <v>4355</v>
      </c>
      <c r="F154" s="5" t="str">
        <f>IFERROR(__xludf.DUMMYFUNCTION("GOOGLETRANSLATE(A154, ""en"", ""hi"")"),"153")</f>
        <v>153</v>
      </c>
      <c r="G154" s="5" t="str">
        <f>IFERROR(__xludf.DUMMYFUNCTION("GOOGLETRANSLATE(B154, ""en"", ""hi"")"),"गिल्ली डंडा के समान कौन सा पारंपरिक भारतीय खेल अक्सर गाँव के त्योहारों और सामुदायिक समारोहों के दौरान खेला जाता था?")</f>
        <v>गिल्ली डंडा के समान कौन सा पारंपरिक भारतीय खेल अक्सर गाँव के त्योहारों और सामुदायिक समारोहों के दौरान खेला जाता था?</v>
      </c>
      <c r="H154" s="5" t="str">
        <f>IFERROR(__xludf.DUMMYFUNCTION("GOOGLETRANSLATE(C154, ""en"", ""hi"")"),"ए) कबड्डी, बी) सातोलिया, सी) गट्टा-गट्टी, डी) पोलो")</f>
        <v>ए) कबड्डी, बी) सातोलिया, सी) गट्टा-गट्टी, डी) पोलो</v>
      </c>
      <c r="I154" s="5" t="str">
        <f>IFERROR(__xludf.DUMMYFUNCTION("GOOGLETRANSLATE(D154, ""en"", ""hi"")"),"बी) सतोलिया")</f>
        <v>बी) सतोलिया</v>
      </c>
    </row>
    <row r="155" ht="22.5" customHeight="1">
      <c r="A155" s="3">
        <v>154.0</v>
      </c>
      <c r="B155" s="4" t="s">
        <v>11446</v>
      </c>
      <c r="C155" s="4" t="s">
        <v>11447</v>
      </c>
      <c r="D155" s="4" t="s">
        <v>4623</v>
      </c>
      <c r="F155" s="5" t="str">
        <f>IFERROR(__xludf.DUMMYFUNCTION("GOOGLETRANSLATE(A155, ""en"", ""hi"")"),"154")</f>
        <v>154</v>
      </c>
      <c r="G155" s="5" t="str">
        <f>IFERROR(__xludf.DUMMYFUNCTION("GOOGLETRANSLATE(B155, ""en"", ""hi"")"),"किस प्राचीन भारतीय राजा के दरबार में गिल्ली डंडा को शाही मनोरंजन के एक भाग के रूप में शामिल किया गया था?")</f>
        <v>किस प्राचीन भारतीय राजा के दरबार में गिल्ली डंडा को शाही मनोरंजन के एक भाग के रूप में शामिल किया गया था?</v>
      </c>
      <c r="H155" s="5" t="str">
        <f>IFERROR(__xludf.DUMMYFUNCTION("GOOGLETRANSLATE(C155, ""en"", ""hi"")"),"A) चंद्रगुप्त मौर्य, B) अशोक, C) हर्ष, D) विक्रमादित्य")</f>
        <v>A) चंद्रगुप्त मौर्य, B) अशोक, C) हर्ष, D) विक्रमादित्य</v>
      </c>
      <c r="I155" s="5" t="str">
        <f>IFERROR(__xludf.DUMMYFUNCTION("GOOGLETRANSLATE(D155, ""en"", ""hi"")"),"D) विक्रमादित्य")</f>
        <v>D) विक्रमादित्य</v>
      </c>
    </row>
    <row r="156" ht="22.5" customHeight="1">
      <c r="A156" s="3">
        <v>155.0</v>
      </c>
      <c r="B156" s="4" t="s">
        <v>11448</v>
      </c>
      <c r="C156" s="4" t="s">
        <v>11399</v>
      </c>
      <c r="D156" s="4" t="s">
        <v>179</v>
      </c>
      <c r="F156" s="5" t="str">
        <f>IFERROR(__xludf.DUMMYFUNCTION("GOOGLETRANSLATE(A156, ""en"", ""hi"")"),"155")</f>
        <v>155</v>
      </c>
      <c r="G156" s="5" t="str">
        <f>IFERROR(__xludf.DUMMYFUNCTION("GOOGLETRANSLATE(B156, ""en"", ""hi"")"),"किस भारतीय राज्य ने स्थानीय त्योहारों और सांस्कृतिक कार्यक्रमों के माध्यम से गिल्ली डंडा के पारंपरिक खेल को संरक्षित किया है?")</f>
        <v>किस भारतीय राज्य ने स्थानीय त्योहारों और सांस्कृतिक कार्यक्रमों के माध्यम से गिल्ली डंडा के पारंपरिक खेल को संरक्षित किया है?</v>
      </c>
      <c r="H156" s="5" t="str">
        <f>IFERROR(__xludf.DUMMYFUNCTION("GOOGLETRANSLATE(C156, ""en"", ""hi"")"),"A) पश्चिम बंगाल, B) पंजाब, C) गुजरात, D) कर्नाटक")</f>
        <v>A) पश्चिम बंगाल, B) पंजाब, C) गुजरात, D) कर्नाटक</v>
      </c>
      <c r="I156" s="5" t="str">
        <f>IFERROR(__xludf.DUMMYFUNCTION("GOOGLETRANSLATE(D156, ""en"", ""hi"")"),"ए) पश्चिम बंगाल")</f>
        <v>ए) पश्चिम बंगाल</v>
      </c>
    </row>
    <row r="157" ht="22.5" customHeight="1">
      <c r="A157" s="3">
        <v>156.0</v>
      </c>
      <c r="B157" s="4" t="s">
        <v>11400</v>
      </c>
      <c r="C157" s="4" t="s">
        <v>7429</v>
      </c>
      <c r="D157" s="4" t="s">
        <v>3791</v>
      </c>
      <c r="F157" s="5" t="str">
        <f>IFERROR(__xludf.DUMMYFUNCTION("GOOGLETRANSLATE(A157, ""en"", ""hi"")"),"156")</f>
        <v>156</v>
      </c>
      <c r="G157" s="5" t="str">
        <f>IFERROR(__xludf.DUMMYFUNCTION("GOOGLETRANSLATE(B157, ""en"", ""hi"")"),"कौन से प्रसिद्ध भारतीय नेता अपने भाषणों और लेखन के दौरान गिल्ली डंडा सहित पारंपरिक भारतीय खेलों को बढ़ावा देने के लिए जाने जाते हैं?")</f>
        <v>कौन से प्रसिद्ध भारतीय नेता अपने भाषणों और लेखन के दौरान गिल्ली डंडा सहित पारंपरिक भारतीय खेलों को बढ़ावा देने के लिए जाने जाते हैं?</v>
      </c>
      <c r="H157" s="5" t="str">
        <f>IFERROR(__xludf.DUMMYFUNCTION("GOOGLETRANSLATE(C157, ""en"", ""hi"")"),"A) जवाहरलाल नेहरू, B) महात्मा गांधी, C) सरदार पटेल, D) बी. आर. अम्बेडकर")</f>
        <v>A) जवाहरलाल नेहरू, B) महात्मा गांधी, C) सरदार पटेल, D) बी. आर. अम्बेडकर</v>
      </c>
      <c r="I157" s="5" t="str">
        <f>IFERROR(__xludf.DUMMYFUNCTION("GOOGLETRANSLATE(D157, ""en"", ""hi"")"),"बी) महात्मा गांधी")</f>
        <v>बी) महात्मा गांधी</v>
      </c>
    </row>
    <row r="158" ht="22.5" customHeight="1">
      <c r="A158" s="3">
        <v>157.0</v>
      </c>
      <c r="B158" s="4" t="s">
        <v>11401</v>
      </c>
      <c r="C158" s="4" t="s">
        <v>11402</v>
      </c>
      <c r="D158" s="4" t="s">
        <v>11183</v>
      </c>
      <c r="F158" s="5" t="str">
        <f>IFERROR(__xludf.DUMMYFUNCTION("GOOGLETRANSLATE(A158, ""en"", ""hi"")"),"157")</f>
        <v>157</v>
      </c>
      <c r="G158" s="5" t="str">
        <f>IFERROR(__xludf.DUMMYFUNCTION("GOOGLETRANSLATE(B158, ""en"", ""hi"")"),"मध्यकालीन भारत के किस ऐतिहासिक ग्रंथ में गिल्ली डंडा का उल्लेख उस समय की संस्कृति और मनोरंजन के भाग के रूप में मिलता है?")</f>
        <v>मध्यकालीन भारत के किस ऐतिहासिक ग्रंथ में गिल्ली डंडा का उल्लेख उस समय की संस्कृति और मनोरंजन के भाग के रूप में मिलता है?</v>
      </c>
      <c r="H158" s="5" t="str">
        <f>IFERROR(__xludf.DUMMYFUNCTION("GOOGLETRANSLATE(C158, ""en"", ""hi"")"),"ए) राजतरंगिणी, बी) अकबरनामा, सी) पादशाहनामा, डी) रामायण")</f>
        <v>ए) राजतरंगिणी, बी) अकबरनामा, सी) पादशाहनामा, डी) रामायण</v>
      </c>
      <c r="I158" s="5" t="str">
        <f>IFERROR(__xludf.DUMMYFUNCTION("GOOGLETRANSLATE(D158, ""en"", ""hi"")"),"A) राजतरंगिणी")</f>
        <v>A) राजतरंगिणी</v>
      </c>
    </row>
    <row r="159" ht="22.5" customHeight="1">
      <c r="A159" s="3">
        <v>158.0</v>
      </c>
      <c r="B159" s="4" t="s">
        <v>11403</v>
      </c>
      <c r="C159" s="4" t="s">
        <v>11404</v>
      </c>
      <c r="D159" s="4" t="s">
        <v>4703</v>
      </c>
      <c r="F159" s="5" t="str">
        <f>IFERROR(__xludf.DUMMYFUNCTION("GOOGLETRANSLATE(A159, ""en"", ""hi"")"),"158")</f>
        <v>158</v>
      </c>
      <c r="G159" s="5" t="str">
        <f>IFERROR(__xludf.DUMMYFUNCTION("GOOGLETRANSLATE(B159, ""en"", ""hi"")"),"गिल्ली डंडा के समान कौन सा पारंपरिक भारतीय खेल अक्सर स्थानीय त्योहारों और गांव की सभाओं के दौरान खेला जाता था?")</f>
        <v>गिल्ली डंडा के समान कौन सा पारंपरिक भारतीय खेल अक्सर स्थानीय त्योहारों और गांव की सभाओं के दौरान खेला जाता था?</v>
      </c>
      <c r="H159" s="5" t="str">
        <f>IFERROR(__xludf.DUMMYFUNCTION("GOOGLETRANSLATE(C159, ""en"", ""hi"")"),"ए) सतोलिया, बी) कबड्डी, सी) गट्टा-गट्टी, डी) पोलो")</f>
        <v>ए) सतोलिया, बी) कबड्डी, सी) गट्टा-गट्टी, डी) पोलो</v>
      </c>
      <c r="I159" s="5" t="str">
        <f>IFERROR(__xludf.DUMMYFUNCTION("GOOGLETRANSLATE(D159, ""en"", ""hi"")"),"A) सतोलिया")</f>
        <v>A) सतोलिया</v>
      </c>
    </row>
    <row r="160" ht="22.5" customHeight="1">
      <c r="A160" s="3">
        <v>159.0</v>
      </c>
      <c r="B160" s="4" t="s">
        <v>11405</v>
      </c>
      <c r="C160" s="4" t="s">
        <v>11406</v>
      </c>
      <c r="D160" s="4" t="s">
        <v>11407</v>
      </c>
      <c r="F160" s="5" t="str">
        <f>IFERROR(__xludf.DUMMYFUNCTION("GOOGLETRANSLATE(A160, ""en"", ""hi"")"),"159")</f>
        <v>159</v>
      </c>
      <c r="G160" s="5" t="str">
        <f>IFERROR(__xludf.DUMMYFUNCTION("GOOGLETRANSLATE(B160, ""en"", ""hi"")"),"किस प्रसिद्ध भारतीय कवि और लेखक ने ग्रामीण जीवन के बारे में अपनी साहित्यिक रचनाओं में गिल्ली डंडा का संदर्भ शामिल किया?")</f>
        <v>किस प्रसिद्ध भारतीय कवि और लेखक ने ग्रामीण जीवन के बारे में अपनी साहित्यिक रचनाओं में गिल्ली डंडा का संदर्भ शामिल किया?</v>
      </c>
      <c r="H160" s="5" t="str">
        <f>IFERROR(__xludf.DUMMYFUNCTION("GOOGLETRANSLATE(C160, ""en"", ""hi"")"),"ए) मुंशी प्रेमचंद, बी) रवींद्रनाथ टैगोर, सी) केकी एन. दारूवाला, डी) इस्मत चुगताई")</f>
        <v>ए) मुंशी प्रेमचंद, बी) रवींद्रनाथ टैगोर, सी) केकी एन. दारूवाला, डी) इस्मत चुगताई</v>
      </c>
      <c r="I160" s="5" t="str">
        <f>IFERROR(__xludf.DUMMYFUNCTION("GOOGLETRANSLATE(D160, ""en"", ""hi"")"),"A) मुंशी प्रेमचंद")</f>
        <v>A) मुंशी प्रेमचंद</v>
      </c>
    </row>
    <row r="161" ht="22.5" customHeight="1">
      <c r="A161" s="3">
        <v>160.0</v>
      </c>
      <c r="B161" s="4" t="s">
        <v>11427</v>
      </c>
      <c r="C161" s="4" t="s">
        <v>11409</v>
      </c>
      <c r="D161" s="4" t="s">
        <v>11375</v>
      </c>
      <c r="F161" s="5" t="str">
        <f>IFERROR(__xludf.DUMMYFUNCTION("GOOGLETRANSLATE(A161, ""en"", ""hi"")"),"160")</f>
        <v>160</v>
      </c>
      <c r="G161" s="5" t="str">
        <f>IFERROR(__xludf.DUMMYFUNCTION("GOOGLETRANSLATE(B161, ""en"", ""hi"")"),"कौन सा भारतीय क्षेत्र गिल्ली डंडा की अनूठी विविधताओं और पारंपरिक खेल के संरक्षण के लिए जाना जाता है?")</f>
        <v>कौन सा भारतीय क्षेत्र गिल्ली डंडा की अनूठी विविधताओं और पारंपरिक खेल के संरक्षण के लिए जाना जाता है?</v>
      </c>
      <c r="H161" s="5" t="str">
        <f>IFERROR(__xludf.DUMMYFUNCTION("GOOGLETRANSLATE(C161, ""en"", ""hi"")"),"A) पूर्वोत्तर भारत, B) मध्य भारत, C) दक्षिण भारत, D) पश्चिम भारत")</f>
        <v>A) पूर्वोत्तर भारत, B) मध्य भारत, C) दक्षिण भारत, D) पश्चिम भारत</v>
      </c>
      <c r="I161" s="5" t="str">
        <f>IFERROR(__xludf.DUMMYFUNCTION("GOOGLETRANSLATE(D161, ""en"", ""hi"")"),"A) पूर्वोत्तर भारत")</f>
        <v>A) पूर्वोत्तर भारत</v>
      </c>
    </row>
    <row r="162" ht="22.5" customHeight="1">
      <c r="A162" s="3">
        <v>161.0</v>
      </c>
      <c r="B162" s="4" t="s">
        <v>11410</v>
      </c>
      <c r="C162" s="4" t="s">
        <v>11411</v>
      </c>
      <c r="D162" s="4" t="s">
        <v>4657</v>
      </c>
      <c r="F162" s="5" t="str">
        <f>IFERROR(__xludf.DUMMYFUNCTION("GOOGLETRANSLATE(A162, ""en"", ""hi"")"),"161")</f>
        <v>161</v>
      </c>
      <c r="G162" s="5" t="str">
        <f>IFERROR(__xludf.DUMMYFUNCTION("GOOGLETRANSLATE(B162, ""en"", ""hi"")"),"किस ऐतिहासिक काल में गिल्ली डंडा का भारतीय पारंपरिक खेलों के एक महत्वपूर्ण भाग के रूप में पहली बार उल्लेख हुआ?")</f>
        <v>किस ऐतिहासिक काल में गिल्ली डंडा का भारतीय पारंपरिक खेलों के एक महत्वपूर्ण भाग के रूप में पहली बार उल्लेख हुआ?</v>
      </c>
      <c r="H162" s="5" t="str">
        <f>IFERROR(__xludf.DUMMYFUNCTION("GOOGLETRANSLATE(C162, ""en"", ""hi"")"),"A) प्राचीन भारत, B) मध्यकालीन भारत, C) मुगल काल, D) ब्रिटिश औपनिवेशिक काल")</f>
        <v>A) प्राचीन भारत, B) मध्यकालीन भारत, C) मुगल काल, D) ब्रिटिश औपनिवेशिक काल</v>
      </c>
      <c r="I162" s="5" t="str">
        <f>IFERROR(__xludf.DUMMYFUNCTION("GOOGLETRANSLATE(D162, ""en"", ""hi"")"),"A) प्राचीन भारत")</f>
        <v>A) प्राचीन भारत</v>
      </c>
    </row>
    <row r="163" ht="22.5" customHeight="1">
      <c r="A163" s="3">
        <v>162.0</v>
      </c>
      <c r="B163" s="4" t="s">
        <v>11412</v>
      </c>
      <c r="C163" s="4" t="s">
        <v>11413</v>
      </c>
      <c r="D163" s="4" t="s">
        <v>11414</v>
      </c>
      <c r="F163" s="5" t="str">
        <f>IFERROR(__xludf.DUMMYFUNCTION("GOOGLETRANSLATE(A163, ""en"", ""hi"")"),"162")</f>
        <v>162</v>
      </c>
      <c r="G163" s="5" t="str">
        <f>IFERROR(__xludf.DUMMYFUNCTION("GOOGLETRANSLATE(B163, ""en"", ""hi"")"),"19वीं शताब्दी के आरंभ में किस ब्रिटिश यात्री ने अपने लेखों में गिल्ली डंडा और उसके सांस्कृतिक महत्व का विस्तृत विवरण दिया?")</f>
        <v>19वीं शताब्दी के आरंभ में किस ब्रिटिश यात्री ने अपने लेखों में गिल्ली डंडा और उसके सांस्कृतिक महत्व का विस्तृत विवरण दिया?</v>
      </c>
      <c r="H163" s="5" t="str">
        <f>IFERROR(__xludf.DUMMYFUNCTION("GOOGLETRANSLATE(C163, ""en"", ""hi"")"),"A) विलियम एडम्स, B) फ्रांसिस बुकानन-हैमिल्टन, C) अलेक्जेंडर बर्न्स, D) जेम्स रेनेल")</f>
        <v>A) विलियम एडम्स, B) फ्रांसिस बुकानन-हैमिल्टन, C) अलेक्जेंडर बर्न्स, D) जेम्स रेनेल</v>
      </c>
      <c r="I163" s="5" t="str">
        <f>IFERROR(__xludf.DUMMYFUNCTION("GOOGLETRANSLATE(D163, ""en"", ""hi"")"),"बी) फ्रांसिस बुकानन-हैमिल्टन")</f>
        <v>बी) फ्रांसिस बुकानन-हैमिल्टन</v>
      </c>
    </row>
    <row r="164" ht="22.5" customHeight="1">
      <c r="A164" s="3">
        <v>163.0</v>
      </c>
      <c r="B164" s="4" t="s">
        <v>11449</v>
      </c>
      <c r="C164" s="4" t="s">
        <v>7519</v>
      </c>
      <c r="D164" s="4" t="s">
        <v>3272</v>
      </c>
      <c r="F164" s="5" t="str">
        <f>IFERROR(__xludf.DUMMYFUNCTION("GOOGLETRANSLATE(A164, ""en"", ""hi"")"),"163")</f>
        <v>163</v>
      </c>
      <c r="G164" s="5" t="str">
        <f>IFERROR(__xludf.DUMMYFUNCTION("GOOGLETRANSLATE(B164, ""en"", ""hi"")"),"किस प्राचीन भारतीय ग्रंथ में गिल्ली डंडा जैसे खेल का उल्लेख युवा योद्धाओं के मनोरंजन के रूप में किया गया है?")</f>
        <v>किस प्राचीन भारतीय ग्रंथ में गिल्ली डंडा जैसे खेल का उल्लेख युवा योद्धाओं के मनोरंजन के रूप में किया गया है?</v>
      </c>
      <c r="H164" s="5" t="str">
        <f>IFERROR(__xludf.DUMMYFUNCTION("GOOGLETRANSLATE(C164, ""en"", ""hi"")"),"ए) मनुस्मृति, बी) अर्थशास्त्र, सी) महाभारत, डी) रामायण")</f>
        <v>ए) मनुस्मृति, बी) अर्थशास्त्र, सी) महाभारत, डी) रामायण</v>
      </c>
      <c r="I164" s="5" t="str">
        <f>IFERROR(__xludf.DUMMYFUNCTION("GOOGLETRANSLATE(D164, ""en"", ""hi"")"),"बी) अर्थशास्त्र")</f>
        <v>बी) अर्थशास्त्र</v>
      </c>
    </row>
    <row r="165" ht="22.5" customHeight="1">
      <c r="A165" s="3">
        <v>164.0</v>
      </c>
      <c r="B165" s="4" t="s">
        <v>11450</v>
      </c>
      <c r="C165" s="4" t="s">
        <v>11451</v>
      </c>
      <c r="D165" s="4" t="s">
        <v>11273</v>
      </c>
      <c r="F165" s="5" t="str">
        <f>IFERROR(__xludf.DUMMYFUNCTION("GOOGLETRANSLATE(A165, ""en"", ""hi"")"),"164")</f>
        <v>164</v>
      </c>
      <c r="G165" s="5" t="str">
        <f>IFERROR(__xludf.DUMMYFUNCTION("GOOGLETRANSLATE(B165, ""en"", ""hi"")"),"कौन सा भारतीय राज्य अपने पारंपरिक गिल्ली डंडा टूर्नामेंट के लिए प्रसिद्ध है, विशेष रूप से ग्रामीण क्षेत्रों में?")</f>
        <v>कौन सा भारतीय राज्य अपने पारंपरिक गिल्ली डंडा टूर्नामेंट के लिए प्रसिद्ध है, विशेष रूप से ग्रामीण क्षेत्रों में?</v>
      </c>
      <c r="H165" s="5" t="str">
        <f>IFERROR(__xludf.DUMMYFUNCTION("GOOGLETRANSLATE(C165, ""en"", ""hi"")"),"ए) तमिलनाडु, बी) कर्नाटक, सी) महाराष्ट्र, डी) उत्तर प्रदेश")</f>
        <v>ए) तमिलनाडु, बी) कर्नाटक, सी) महाराष्ट्र, डी) उत्तर प्रदेश</v>
      </c>
      <c r="I165" s="5" t="str">
        <f>IFERROR(__xludf.DUMMYFUNCTION("GOOGLETRANSLATE(D165, ""en"", ""hi"")"),"D) उत्तर प्रदेश")</f>
        <v>D) उत्तर प्रदेश</v>
      </c>
    </row>
    <row r="166" ht="22.5" customHeight="1">
      <c r="A166" s="3">
        <v>165.0</v>
      </c>
      <c r="B166" s="4" t="s">
        <v>11452</v>
      </c>
      <c r="C166" s="4" t="s">
        <v>11453</v>
      </c>
      <c r="D166" s="4" t="s">
        <v>11454</v>
      </c>
      <c r="F166" s="5" t="str">
        <f>IFERROR(__xludf.DUMMYFUNCTION("GOOGLETRANSLATE(A166, ""en"", ""hi"")"),"165")</f>
        <v>165</v>
      </c>
      <c r="G166" s="5" t="str">
        <f>IFERROR(__xludf.DUMMYFUNCTION("GOOGLETRANSLATE(B166, ""en"", ""hi"")"),"19वीं शताब्दी में पारंपरिक भारतीय खेलों पर अपने शोध में गिल्ली डंडा का दस्तावेजीकरण करने के लिए कौन ऐतिहासिक व्यक्ति जाना जाता है?")</f>
        <v>19वीं शताब्दी में पारंपरिक भारतीय खेलों पर अपने शोध में गिल्ली डंडा का दस्तावेजीकरण करने के लिए कौन ऐतिहासिक व्यक्ति जाना जाता है?</v>
      </c>
      <c r="H166" s="5" t="str">
        <f>IFERROR(__xludf.DUMMYFUNCTION("GOOGLETRANSLATE(C166, ""en"", ""hi"")"),"ए) जेम्स रेनेल, बी) विलियम एडम्स, सी) फ्रांसिस बुकानन-हैमिल्टन, डी) अलेक्जेंडर बर्न्स")</f>
        <v>ए) जेम्स रेनेल, बी) विलियम एडम्स, सी) फ्रांसिस बुकानन-हैमिल्टन, डी) अलेक्जेंडर बर्न्स</v>
      </c>
      <c r="I166" s="5" t="str">
        <f>IFERROR(__xludf.DUMMYFUNCTION("GOOGLETRANSLATE(D166, ""en"", ""hi"")"),"C) फ्रांसिस बुकानन-हैमिल्टन")</f>
        <v>C) फ्रांसिस बुकानन-हैमिल्टन</v>
      </c>
    </row>
    <row r="167" ht="22.5" customHeight="1">
      <c r="A167" s="3">
        <v>166.0</v>
      </c>
      <c r="B167" s="4" t="s">
        <v>11455</v>
      </c>
      <c r="C167" s="4" t="s">
        <v>11371</v>
      </c>
      <c r="D167" s="4" t="s">
        <v>11372</v>
      </c>
      <c r="F167" s="5" t="str">
        <f>IFERROR(__xludf.DUMMYFUNCTION("GOOGLETRANSLATE(A167, ""en"", ""hi"")"),"166")</f>
        <v>166</v>
      </c>
      <c r="G167" s="5" t="str">
        <f>IFERROR(__xludf.DUMMYFUNCTION("GOOGLETRANSLATE(B167, ""en"", ""hi"")"),"किस प्रसिद्ध भारतीय लेखक ने ग्रामीण जीवन और पारंपरिक खेलों के बारे में अपनी कहानियों में गिल्ली डंडा का वर्णन किया है?")</f>
        <v>किस प्रसिद्ध भारतीय लेखक ने ग्रामीण जीवन और पारंपरिक खेलों के बारे में अपनी कहानियों में गिल्ली डंडा का वर्णन किया है?</v>
      </c>
      <c r="H167" s="5" t="str">
        <f>IFERROR(__xludf.DUMMYFUNCTION("GOOGLETRANSLATE(C167, ""en"", ""hi"")"),"ए) रवीन्द्रनाथ टैगोर, बी) मुंशी प्रेमचंद, सी) इस्मत चुगताई, डी) खुशवंत सिंह")</f>
        <v>ए) रवीन्द्रनाथ टैगोर, बी) मुंशी प्रेमचंद, सी) इस्मत चुगताई, डी) खुशवंत सिंह</v>
      </c>
      <c r="I167" s="5" t="str">
        <f>IFERROR(__xludf.DUMMYFUNCTION("GOOGLETRANSLATE(D167, ""en"", ""hi"")"),"B) मुंशी प्रेमचंद")</f>
        <v>B) मुंशी प्रेमचंद</v>
      </c>
    </row>
    <row r="168" ht="22.5" customHeight="1">
      <c r="A168" s="3">
        <v>167.0</v>
      </c>
      <c r="B168" s="4" t="s">
        <v>11456</v>
      </c>
      <c r="C168" s="4" t="s">
        <v>11457</v>
      </c>
      <c r="D168" s="4" t="s">
        <v>11458</v>
      </c>
      <c r="F168" s="5" t="str">
        <f>IFERROR(__xludf.DUMMYFUNCTION("GOOGLETRANSLATE(A168, ""en"", ""hi"")"),"167")</f>
        <v>167</v>
      </c>
      <c r="G168" s="5" t="str">
        <f>IFERROR(__xludf.DUMMYFUNCTION("GOOGLETRANSLATE(B168, ""en"", ""hi"")"),"पंजाब और हरियाणा के कुछ हिस्सों सहित भारत के कई क्षेत्रों में गिल्ली डंडा किस त्यौहार के दौरान प्रमुखता से खेला जाता है?")</f>
        <v>पंजाब और हरियाणा के कुछ हिस्सों सहित भारत के कई क्षेत्रों में गिल्ली डंडा किस त्यौहार के दौरान प्रमुखता से खेला जाता है?</v>
      </c>
      <c r="H168" s="5" t="str">
        <f>IFERROR(__xludf.DUMMYFUNCTION("GOOGLETRANSLATE(C168, ""en"", ""hi"")"),"ए) लोहड़ी, बी) होली, सी) दिवाली, डी) बैसाखी")</f>
        <v>ए) लोहड़ी, बी) होली, सी) दिवाली, डी) बैसाखी</v>
      </c>
      <c r="I168" s="5" t="str">
        <f>IFERROR(__xludf.DUMMYFUNCTION("GOOGLETRANSLATE(D168, ""en"", ""hi"")"),"A) लोहड़ी")</f>
        <v>A) लोहड़ी</v>
      </c>
    </row>
    <row r="169" ht="22.5" customHeight="1">
      <c r="A169" s="3">
        <v>168.0</v>
      </c>
      <c r="B169" s="4" t="s">
        <v>11459</v>
      </c>
      <c r="C169" s="4" t="s">
        <v>11447</v>
      </c>
      <c r="D169" s="4" t="s">
        <v>4623</v>
      </c>
      <c r="F169" s="5" t="str">
        <f>IFERROR(__xludf.DUMMYFUNCTION("GOOGLETRANSLATE(A169, ""en"", ""hi"")"),"168")</f>
        <v>168</v>
      </c>
      <c r="G169" s="5" t="str">
        <f>IFERROR(__xludf.DUMMYFUNCTION("GOOGLETRANSLATE(B169, ""en"", ""hi"")"),"ऐसा कहा जाता है कि किस प्राचीन राजा ने अपने दरबार में मनोरंजक गतिविधियों के रूप में गिल्ली डंडा खेला था?")</f>
        <v>ऐसा कहा जाता है कि किस प्राचीन राजा ने अपने दरबार में मनोरंजक गतिविधियों के रूप में गिल्ली डंडा खेला था?</v>
      </c>
      <c r="H169" s="5" t="str">
        <f>IFERROR(__xludf.DUMMYFUNCTION("GOOGLETRANSLATE(C169, ""en"", ""hi"")"),"A) चंद्रगुप्त मौर्य, B) अशोक, C) हर्ष, D) विक्रमादित्य")</f>
        <v>A) चंद्रगुप्त मौर्य, B) अशोक, C) हर्ष, D) विक्रमादित्य</v>
      </c>
      <c r="I169" s="5" t="str">
        <f>IFERROR(__xludf.DUMMYFUNCTION("GOOGLETRANSLATE(D169, ""en"", ""hi"")"),"D) विक्रमादित्य")</f>
        <v>D) विक्रमादित्य</v>
      </c>
    </row>
    <row r="170" ht="22.5" customHeight="1">
      <c r="A170" s="3">
        <v>169.0</v>
      </c>
      <c r="B170" s="4" t="s">
        <v>11460</v>
      </c>
      <c r="C170" s="4" t="s">
        <v>11461</v>
      </c>
      <c r="D170" s="4" t="s">
        <v>11462</v>
      </c>
      <c r="F170" s="5" t="str">
        <f>IFERROR(__xludf.DUMMYFUNCTION("GOOGLETRANSLATE(A170, ""en"", ""hi"")"),"169")</f>
        <v>169</v>
      </c>
      <c r="G170" s="5" t="str">
        <f>IFERROR(__xludf.DUMMYFUNCTION("GOOGLETRANSLATE(B170, ""en"", ""hi"")"),"मुगल काल के किस ऐतिहासिक ग्रंथ में गिल्ली डंडा जैसे पारंपरिक खेलों का उल्लेख मिलता है?")</f>
        <v>मुगल काल के किस ऐतिहासिक ग्रंथ में गिल्ली डंडा जैसे पारंपरिक खेलों का उल्लेख मिलता है?</v>
      </c>
      <c r="H170" s="5" t="str">
        <f>IFERROR(__xludf.DUMMYFUNCTION("GOOGLETRANSLATE(C170, ""en"", ""hi"")"),"ए) अकबर नामा, बी) पादशाह नामा, सी) हुमायूं नामा, डी) बाबर नामा")</f>
        <v>ए) अकबर नामा, बी) पादशाह नामा, सी) हुमायूं नामा, डी) बाबर नामा</v>
      </c>
      <c r="I170" s="5" t="str">
        <f>IFERROR(__xludf.DUMMYFUNCTION("GOOGLETRANSLATE(D170, ""en"", ""hi"")"),"A) अकबरनामा")</f>
        <v>A) अकबरनामा</v>
      </c>
    </row>
    <row r="171" ht="22.5" customHeight="1">
      <c r="A171" s="3">
        <v>170.0</v>
      </c>
      <c r="B171" s="4" t="s">
        <v>11463</v>
      </c>
      <c r="C171" s="4" t="s">
        <v>11464</v>
      </c>
      <c r="D171" s="4" t="s">
        <v>11359</v>
      </c>
      <c r="F171" s="5" t="str">
        <f>IFERROR(__xludf.DUMMYFUNCTION("GOOGLETRANSLATE(A171, ""en"", ""hi"")"),"170")</f>
        <v>170</v>
      </c>
      <c r="G171" s="5" t="str">
        <f>IFERROR(__xludf.DUMMYFUNCTION("GOOGLETRANSLATE(B171, ""en"", ""hi"")"),"किस ब्रिटिश औपनिवेशिक अधिकारी ने 19वीं शताब्दी में भारतीय सांस्कृतिक प्रथाओं पर व्यापक अध्ययन के भाग के रूप में गिल्ली डंडा का दस्तावेजीकरण किया?")</f>
        <v>किस ब्रिटिश औपनिवेशिक अधिकारी ने 19वीं शताब्दी में भारतीय सांस्कृतिक प्रथाओं पर व्यापक अध्ययन के भाग के रूप में गिल्ली डंडा का दस्तावेजीकरण किया?</v>
      </c>
      <c r="H171" s="5" t="str">
        <f>IFERROR(__xludf.DUMMYFUNCTION("GOOGLETRANSLATE(C171, ""en"", ""hi"")"),"A) लॉर्ड कर्जन, B) सर विलियम स्लीमन, C) लॉर्ड मिंटो, D) सर जॉर्ज एवरेस्ट")</f>
        <v>A) लॉर्ड कर्जन, B) सर विलियम स्लीमन, C) लॉर्ड मिंटो, D) सर जॉर्ज एवरेस्ट</v>
      </c>
      <c r="I171" s="5" t="str">
        <f>IFERROR(__xludf.DUMMYFUNCTION("GOOGLETRANSLATE(D171, ""en"", ""hi"")"),"बी) सर विलियम स्लीमन")</f>
        <v>बी) सर विलियम स्लीमन</v>
      </c>
    </row>
    <row r="172" ht="22.5" customHeight="1">
      <c r="A172" s="3">
        <v>171.0</v>
      </c>
      <c r="B172" s="4" t="s">
        <v>11465</v>
      </c>
      <c r="C172" s="4" t="s">
        <v>11466</v>
      </c>
      <c r="D172" s="4" t="s">
        <v>7468</v>
      </c>
      <c r="F172" s="5" t="str">
        <f>IFERROR(__xludf.DUMMYFUNCTION("GOOGLETRANSLATE(A172, ""en"", ""hi"")"),"171")</f>
        <v>171</v>
      </c>
      <c r="G172" s="5" t="str">
        <f>IFERROR(__xludf.DUMMYFUNCTION("GOOGLETRANSLATE(B172, ""en"", ""hi"")"),"20वीं सदी के आरंभ में किस भारतीय विद्वान ने स्वदेशी खेलों के अपने अध्ययन में गिल्ली डंडा के बारे में लिखा था?")</f>
        <v>20वीं सदी के आरंभ में किस भारतीय विद्वान ने स्वदेशी खेलों के अपने अध्ययन में गिल्ली डंडा के बारे में लिखा था?</v>
      </c>
      <c r="H172" s="5" t="str">
        <f>IFERROR(__xludf.DUMMYFUNCTION("GOOGLETRANSLATE(C172, ""en"", ""hi"")"),"A) आर. सी. मजूमदार, B) एम. के. गांधी, C) के. एम. मुंशी, D) एस. आर. शर्मा")</f>
        <v>A) आर. सी. मजूमदार, B) एम. के. गांधी, C) के. एम. मुंशी, D) एस. आर. शर्मा</v>
      </c>
      <c r="I172" s="5" t="str">
        <f>IFERROR(__xludf.DUMMYFUNCTION("GOOGLETRANSLATE(D172, ""en"", ""hi"")"),"A) आर. सी. मजूमदार")</f>
        <v>A) आर. सी. मजूमदार</v>
      </c>
    </row>
    <row r="173" ht="22.5" customHeight="1">
      <c r="A173" s="3">
        <v>172.0</v>
      </c>
      <c r="B173" s="4" t="s">
        <v>11467</v>
      </c>
      <c r="C173" s="4" t="s">
        <v>11468</v>
      </c>
      <c r="D173" s="4" t="s">
        <v>7468</v>
      </c>
      <c r="F173" s="5" t="str">
        <f>IFERROR(__xludf.DUMMYFUNCTION("GOOGLETRANSLATE(A173, ""en"", ""hi"")"),"172")</f>
        <v>172</v>
      </c>
      <c r="G173" s="5" t="str">
        <f>IFERROR(__xludf.DUMMYFUNCTION("GOOGLETRANSLATE(B173, ""en"", ""hi"")"),"किस प्रसिद्ध भारतीय इतिहासकार ने पारंपरिक खेलों पर अपने शोध में गिल्ली डंडा को शामिल किया है?")</f>
        <v>किस प्रसिद्ध भारतीय इतिहासकार ने पारंपरिक खेलों पर अपने शोध में गिल्ली डंडा को शामिल किया है?</v>
      </c>
      <c r="H173" s="5" t="str">
        <f>IFERROR(__xludf.DUMMYFUNCTION("GOOGLETRANSLATE(C173, ""en"", ""hi"")"),"ए) आर. सी. मजूमदार, बी) बिपन चंद्रा, सी) एस. राधाकृष्णन, डी) के. एम. पणिक्कर")</f>
        <v>ए) आर. सी. मजूमदार, बी) बिपन चंद्रा, सी) एस. राधाकृष्णन, डी) के. एम. पणिक्कर</v>
      </c>
      <c r="I173" s="5" t="str">
        <f>IFERROR(__xludf.DUMMYFUNCTION("GOOGLETRANSLATE(D173, ""en"", ""hi"")"),"A) आर. सी. मजूमदार")</f>
        <v>A) आर. सी. मजूमदार</v>
      </c>
    </row>
    <row r="174" ht="22.5" customHeight="1">
      <c r="A174" s="3">
        <v>173.0</v>
      </c>
      <c r="B174" s="4" t="s">
        <v>11469</v>
      </c>
      <c r="C174" s="4" t="s">
        <v>11470</v>
      </c>
      <c r="D174" s="4" t="s">
        <v>125</v>
      </c>
      <c r="F174" s="5" t="str">
        <f>IFERROR(__xludf.DUMMYFUNCTION("GOOGLETRANSLATE(A174, ""en"", ""hi"")"),"173")</f>
        <v>173</v>
      </c>
      <c r="G174" s="5" t="str">
        <f>IFERROR(__xludf.DUMMYFUNCTION("GOOGLETRANSLATE(B174, ""en"", ""hi"")"),"किस भारतीय क्षेत्र में गिल्ली डंडा को एक अलग नाम से जाना जाता है, जो खेल के स्थानीय रूपों को उजागर करता है?")</f>
        <v>किस भारतीय क्षेत्र में गिल्ली डंडा को एक अलग नाम से जाना जाता है, जो खेल के स्थानीय रूपों को उजागर करता है?</v>
      </c>
      <c r="H174" s="5" t="str">
        <f>IFERROR(__xludf.DUMMYFUNCTION("GOOGLETRANSLATE(C174, ""en"", ""hi"")"),"A) राजस्थान, B) गुजरात, C) पंजाब, D) हिमाचल प्रदेश")</f>
        <v>A) राजस्थान, B) गुजरात, C) पंजाब, D) हिमाचल प्रदेश</v>
      </c>
      <c r="I174" s="5" t="str">
        <f>IFERROR(__xludf.DUMMYFUNCTION("GOOGLETRANSLATE(D174, ""en"", ""hi"")"),"A) राजस्थान")</f>
        <v>A) राजस्थान</v>
      </c>
    </row>
    <row r="175" ht="22.5" customHeight="1">
      <c r="A175" s="3">
        <v>174.0</v>
      </c>
      <c r="B175" s="4" t="s">
        <v>11471</v>
      </c>
      <c r="C175" s="4" t="s">
        <v>11472</v>
      </c>
      <c r="D175" s="4" t="s">
        <v>11473</v>
      </c>
      <c r="F175" s="5" t="str">
        <f>IFERROR(__xludf.DUMMYFUNCTION("GOOGLETRANSLATE(A175, ""en"", ""hi"")"),"174")</f>
        <v>174</v>
      </c>
      <c r="G175" s="5" t="str">
        <f>IFERROR(__xludf.DUMMYFUNCTION("GOOGLETRANSLATE(B175, ""en"", ""hi"")"),"प्रदर्शन कला और खेलों पर किस प्राचीन भारतीय ग्रंथ में गिल्ली डंडा जैसे खेलों का उल्लेख मिलता है?")</f>
        <v>प्रदर्शन कला और खेलों पर किस प्राचीन भारतीय ग्रंथ में गिल्ली डंडा जैसे खेलों का उल्लेख मिलता है?</v>
      </c>
      <c r="H175" s="5" t="str">
        <f>IFERROR(__xludf.DUMMYFUNCTION("GOOGLETRANSLATE(C175, ""en"", ""hi"")"),"ए) नाट्यशास्त्र, बी) योग सूत्र, सी) भगवद गीता, डी) मनुस्मृति")</f>
        <v>ए) नाट्यशास्त्र, बी) योग सूत्र, सी) भगवद गीता, डी) मनुस्मृति</v>
      </c>
      <c r="I175" s="5" t="str">
        <f>IFERROR(__xludf.DUMMYFUNCTION("GOOGLETRANSLATE(D175, ""en"", ""hi"")"),"A) नाट्यशास्त्र")</f>
        <v>A) नाट्यशास्त्र</v>
      </c>
    </row>
    <row r="176" ht="22.5" customHeight="1">
      <c r="A176" s="3">
        <v>175.0</v>
      </c>
      <c r="B176" s="4" t="s">
        <v>11474</v>
      </c>
      <c r="C176" s="4" t="s">
        <v>11475</v>
      </c>
      <c r="D176" s="4" t="s">
        <v>3918</v>
      </c>
      <c r="F176" s="5" t="str">
        <f>IFERROR(__xludf.DUMMYFUNCTION("GOOGLETRANSLATE(A176, ""en"", ""hi"")"),"175")</f>
        <v>175</v>
      </c>
      <c r="G176" s="5" t="str">
        <f>IFERROR(__xludf.DUMMYFUNCTION("GOOGLETRANSLATE(B176, ""en"", ""hi"")"),"गुजरात के किस पारंपरिक त्यौहार में गिल्ली डंडा को सांस्कृतिक उत्सव के भाग के रूप में शामिल किया जाता है?")</f>
        <v>गुजरात के किस पारंपरिक त्यौहार में गिल्ली डंडा को सांस्कृतिक उत्सव के भाग के रूप में शामिल किया जाता है?</v>
      </c>
      <c r="H176" s="5" t="str">
        <f>IFERROR(__xludf.DUMMYFUNCTION("GOOGLETRANSLATE(C176, ""en"", ""hi"")"),"ए) नवरात्रि, बी) मकर संक्रांति, सी) दिवाली, डी) होली")</f>
        <v>ए) नवरात्रि, बी) मकर संक्रांति, सी) दिवाली, डी) होली</v>
      </c>
      <c r="I176" s="5" t="str">
        <f>IFERROR(__xludf.DUMMYFUNCTION("GOOGLETRANSLATE(D176, ""en"", ""hi"")"),"बी) मकर संक्रांति")</f>
        <v>बी) मकर संक्रांति</v>
      </c>
    </row>
    <row r="177" ht="22.5" customHeight="1">
      <c r="A177" s="3">
        <v>176.0</v>
      </c>
      <c r="B177" s="4" t="s">
        <v>11476</v>
      </c>
      <c r="C177" s="4" t="s">
        <v>11477</v>
      </c>
      <c r="D177" s="4" t="s">
        <v>11478</v>
      </c>
      <c r="F177" s="5" t="str">
        <f>IFERROR(__xludf.DUMMYFUNCTION("GOOGLETRANSLATE(A177, ""en"", ""hi"")"),"176")</f>
        <v>176</v>
      </c>
      <c r="G177" s="5" t="str">
        <f>IFERROR(__xludf.DUMMYFUNCTION("GOOGLETRANSLATE(B177, ""en"", ""hi"")"),"किस प्रसिद्ध भारतीय सांस्कृतिक इतिहासकार ने ग्रामीण खेलों और त्योहारों में गिल्ली डंडा की भूमिका का दस्तावेजीकरण किया?")</f>
        <v>किस प्रसिद्ध भारतीय सांस्कृतिक इतिहासकार ने ग्रामीण खेलों और त्योहारों में गिल्ली डंडा की भूमिका का दस्तावेजीकरण किया?</v>
      </c>
      <c r="H177" s="5" t="str">
        <f>IFERROR(__xludf.DUMMYFUNCTION("GOOGLETRANSLATE(C177, ""en"", ""hi"")"),"ए) के. एम. पणिक्कर, बी) आर. सी. मजूमदार, सी) बी. एन. पांडे, डी) एम. के. गांधी")</f>
        <v>ए) के. एम. पणिक्कर, बी) आर. सी. मजूमदार, सी) बी. एन. पांडे, डी) एम. के. गांधी</v>
      </c>
      <c r="I177" s="5" t="str">
        <f>IFERROR(__xludf.DUMMYFUNCTION("GOOGLETRANSLATE(D177, ""en"", ""hi"")"),"बी) आर. सी. मजूमदार")</f>
        <v>बी) आर. सी. मजूमदार</v>
      </c>
    </row>
    <row r="178" ht="22.5" customHeight="1">
      <c r="A178" s="3">
        <v>177.0</v>
      </c>
      <c r="B178" s="4" t="s">
        <v>11479</v>
      </c>
      <c r="C178" s="4" t="s">
        <v>11435</v>
      </c>
      <c r="D178" s="4" t="s">
        <v>11407</v>
      </c>
      <c r="F178" s="5" t="str">
        <f>IFERROR(__xludf.DUMMYFUNCTION("GOOGLETRANSLATE(A178, ""en"", ""hi"")"),"177")</f>
        <v>177</v>
      </c>
      <c r="G178" s="5" t="str">
        <f>IFERROR(__xludf.DUMMYFUNCTION("GOOGLETRANSLATE(B178, ""en"", ""hi"")"),"20वीं सदी के आरंभ में किस भारतीय उपन्यासकार ने अपने साहित्यिक कार्यों में ग्रामीण जीवन के प्रतीक के रूप में गिल्ली डंडा का प्रयोग किया?")</f>
        <v>20वीं सदी के आरंभ में किस भारतीय उपन्यासकार ने अपने साहित्यिक कार्यों में ग्रामीण जीवन के प्रतीक के रूप में गिल्ली डंडा का प्रयोग किया?</v>
      </c>
      <c r="H178" s="5" t="str">
        <f>IFERROR(__xludf.DUMMYFUNCTION("GOOGLETRANSLATE(C178, ""en"", ""hi"")"),"ए) मुंशी प्रेमचंद, बी) रवींद्रनाथ टैगोर, सी) इस्मत चुगताई, डी) खुशवंत सिंह")</f>
        <v>ए) मुंशी प्रेमचंद, बी) रवींद्रनाथ टैगोर, सी) इस्मत चुगताई, डी) खुशवंत सिंह</v>
      </c>
      <c r="I178" s="5" t="str">
        <f>IFERROR(__xludf.DUMMYFUNCTION("GOOGLETRANSLATE(D178, ""en"", ""hi"")"),"A) मुंशी प्रेमचंद")</f>
        <v>A) मुंशी प्रेमचंद</v>
      </c>
    </row>
    <row r="179" ht="22.5" customHeight="1">
      <c r="A179" s="3">
        <v>178.0</v>
      </c>
      <c r="B179" s="4" t="s">
        <v>11480</v>
      </c>
      <c r="C179" s="4" t="s">
        <v>11481</v>
      </c>
      <c r="D179" s="4" t="s">
        <v>187</v>
      </c>
      <c r="F179" s="5" t="str">
        <f>IFERROR(__xludf.DUMMYFUNCTION("GOOGLETRANSLATE(A179, ""en"", ""hi"")"),"178")</f>
        <v>178</v>
      </c>
      <c r="G179" s="5" t="str">
        <f>IFERROR(__xludf.DUMMYFUNCTION("GOOGLETRANSLATE(B179, ""en"", ""hi"")"),"कौन सा भारतीय क्षेत्र वार्षिक गिल्ली डंडा टूर्नामेंट की मेजबानी के लिए जाना जाता है जो देश भर से प्रतिभागियों को आकर्षित करता है?")</f>
        <v>कौन सा भारतीय क्षेत्र वार्षिक गिल्ली डंडा टूर्नामेंट की मेजबानी के लिए जाना जाता है जो देश भर से प्रतिभागियों को आकर्षित करता है?</v>
      </c>
      <c r="H179" s="5" t="str">
        <f>IFERROR(__xludf.DUMMYFUNCTION("GOOGLETRANSLATE(C179, ""en"", ""hi"")"),"ए) बिहार, बी) उत्तर प्रदेश, सी) कर्नाटक, डी) तमिलनाडु")</f>
        <v>ए) बिहार, बी) उत्तर प्रदेश, सी) कर्नाटक, डी) तमिलनाडु</v>
      </c>
      <c r="I179" s="5" t="str">
        <f>IFERROR(__xludf.DUMMYFUNCTION("GOOGLETRANSLATE(D179, ""en"", ""hi"")"),"A) बिहार")</f>
        <v>A) बिहार</v>
      </c>
    </row>
    <row r="180" ht="22.5" customHeight="1">
      <c r="A180" s="3">
        <v>179.0</v>
      </c>
      <c r="B180" s="4" t="s">
        <v>11482</v>
      </c>
      <c r="C180" s="4" t="s">
        <v>11483</v>
      </c>
      <c r="D180" s="4" t="s">
        <v>11484</v>
      </c>
      <c r="F180" s="5" t="str">
        <f>IFERROR(__xludf.DUMMYFUNCTION("GOOGLETRANSLATE(A180, ""en"", ""hi"")"),"179")</f>
        <v>179</v>
      </c>
      <c r="G180" s="5" t="str">
        <f>IFERROR(__xludf.DUMMYFUNCTION("GOOGLETRANSLATE(B180, ""en"", ""hi"")"),"कौन सा प्राचीन भारतीय ग्रंथ गिल्ली डंडा जैसे खेल खेलने के बारे में विस्तृत निर्देश प्रदान करता है, तथा उनके शैक्षिक मूल्य पर जोर देता है?")</f>
        <v>कौन सा प्राचीन भारतीय ग्रंथ गिल्ली डंडा जैसे खेल खेलने के बारे में विस्तृत निर्देश प्रदान करता है, तथा उनके शैक्षिक मूल्य पर जोर देता है?</v>
      </c>
      <c r="H180" s="5" t="str">
        <f>IFERROR(__xludf.DUMMYFUNCTION("GOOGLETRANSLATE(C180, ""en"", ""hi"")"),"ए) विष्णु पुराण, बी) भगवद गीता, सी) योग सूत्र, डी) मनुस्मृति")</f>
        <v>ए) विष्णु पुराण, बी) भगवद गीता, सी) योग सूत्र, डी) मनुस्मृति</v>
      </c>
      <c r="I180" s="5" t="str">
        <f>IFERROR(__xludf.DUMMYFUNCTION("GOOGLETRANSLATE(D180, ""en"", ""hi"")"),"A) विष्णु पुराण")</f>
        <v>A) विष्णु पुराण</v>
      </c>
    </row>
    <row r="181" ht="22.5" customHeight="1">
      <c r="A181" s="3">
        <v>180.0</v>
      </c>
      <c r="B181" s="4" t="s">
        <v>11485</v>
      </c>
      <c r="C181" s="4" t="s">
        <v>11486</v>
      </c>
      <c r="D181" s="4" t="s">
        <v>7225</v>
      </c>
      <c r="F181" s="5" t="str">
        <f>IFERROR(__xludf.DUMMYFUNCTION("GOOGLETRANSLATE(A181, ""en"", ""hi"")"),"180")</f>
        <v>180</v>
      </c>
      <c r="G181" s="5" t="str">
        <f>IFERROR(__xludf.DUMMYFUNCTION("GOOGLETRANSLATE(B181, ""en"", ""hi"")"),"कौन सा भारतीय राज्य स्थानीय त्योहारों और सामुदायिक समारोहों के दौरान खेले जाने वाले गिल्ली डंडा के अपने अनूठे संस्करण के लिए प्रसिद्ध है?")</f>
        <v>कौन सा भारतीय राज्य स्थानीय त्योहारों और सामुदायिक समारोहों के दौरान खेले जाने वाले गिल्ली डंडा के अपने अनूठे संस्करण के लिए प्रसिद्ध है?</v>
      </c>
      <c r="H181" s="5" t="str">
        <f>IFERROR(__xludf.DUMMYFUNCTION("GOOGLETRANSLATE(C181, ""en"", ""hi"")"),"A) तमिलनाडु, B) पश्चिम बंगाल, C) पंजाब, D) महाराष्ट्र")</f>
        <v>A) तमिलनाडु, B) पश्चिम बंगाल, C) पंजाब, D) महाराष्ट्र</v>
      </c>
      <c r="I181" s="5" t="str">
        <f>IFERROR(__xludf.DUMMYFUNCTION("GOOGLETRANSLATE(D181, ""en"", ""hi"")"),"बी) पश्चिम बंगाल")</f>
        <v>बी) पश्चिम बंगाल</v>
      </c>
    </row>
    <row r="182" ht="22.5" customHeight="1">
      <c r="A182" s="3">
        <v>181.0</v>
      </c>
      <c r="B182" s="4" t="s">
        <v>11487</v>
      </c>
      <c r="C182" s="4" t="s">
        <v>11488</v>
      </c>
      <c r="D182" s="4" t="s">
        <v>7468</v>
      </c>
      <c r="F182" s="5" t="str">
        <f>IFERROR(__xludf.DUMMYFUNCTION("GOOGLETRANSLATE(A182, ""en"", ""hi"")"),"181")</f>
        <v>181</v>
      </c>
      <c r="G182" s="5" t="str">
        <f>IFERROR(__xludf.DUMMYFUNCTION("GOOGLETRANSLATE(B182, ""en"", ""hi"")"),"भारत में किस ऐतिहासिक हस्ती ने सांस्कृतिक प्रथाओं पर अपने लेखन में गिल्ली डंडा जैसे पारंपरिक खेलों को शामिल किया है?")</f>
        <v>भारत में किस ऐतिहासिक हस्ती ने सांस्कृतिक प्रथाओं पर अपने लेखन में गिल्ली डंडा जैसे पारंपरिक खेलों को शामिल किया है?</v>
      </c>
      <c r="H182" s="5" t="str">
        <f>IFERROR(__xludf.DUMMYFUNCTION("GOOGLETRANSLATE(C182, ""en"", ""hi"")"),"A) आर. सी. मजूमदार, B) के. एम. मुंशी, C) जवाहरलाल नेहरू, D) महात्मा गांधी")</f>
        <v>A) आर. सी. मजूमदार, B) के. एम. मुंशी, C) जवाहरलाल नेहरू, D) महात्मा गांधी</v>
      </c>
      <c r="I182" s="5" t="str">
        <f>IFERROR(__xludf.DUMMYFUNCTION("GOOGLETRANSLATE(D182, ""en"", ""hi"")"),"A) आर. सी. मजूमदार")</f>
        <v>A) आर. सी. मजूमदार</v>
      </c>
    </row>
    <row r="183" ht="22.5" customHeight="1">
      <c r="A183" s="3">
        <v>182.0</v>
      </c>
      <c r="B183" s="4" t="s">
        <v>11489</v>
      </c>
      <c r="C183" s="4" t="s">
        <v>11490</v>
      </c>
      <c r="D183" s="4" t="s">
        <v>4623</v>
      </c>
      <c r="F183" s="5" t="str">
        <f>IFERROR(__xludf.DUMMYFUNCTION("GOOGLETRANSLATE(A183, ""en"", ""hi"")"),"182")</f>
        <v>182</v>
      </c>
      <c r="G183" s="5" t="str">
        <f>IFERROR(__xludf.DUMMYFUNCTION("GOOGLETRANSLATE(B183, ""en"", ""hi"")"),"किस प्राचीन भारतीय राजा का दरबार गिल्ली डंडा को अपनी मनोरंजक गतिविधियों में शामिल करने के लिए जाना जाता था?")</f>
        <v>किस प्राचीन भारतीय राजा का दरबार गिल्ली डंडा को अपनी मनोरंजक गतिविधियों में शामिल करने के लिए जाना जाता था?</v>
      </c>
      <c r="H183" s="5" t="str">
        <f>IFERROR(__xludf.DUMMYFUNCTION("GOOGLETRANSLATE(C183, ""en"", ""hi"")"),"ए) अशोक, बी) चंद्रगुप्त मौर्य, सी) राजा भोज, डी) विक्रमादित्य")</f>
        <v>ए) अशोक, बी) चंद्रगुप्त मौर्य, सी) राजा भोज, डी) विक्रमादित्य</v>
      </c>
      <c r="I183" s="5" t="str">
        <f>IFERROR(__xludf.DUMMYFUNCTION("GOOGLETRANSLATE(D183, ""en"", ""hi"")"),"D) विक्रमादित्य")</f>
        <v>D) विक्रमादित्य</v>
      </c>
    </row>
    <row r="184" ht="22.5" customHeight="1">
      <c r="A184" s="3">
        <v>183.0</v>
      </c>
      <c r="B184" s="4" t="s">
        <v>11491</v>
      </c>
      <c r="C184" s="4" t="s">
        <v>11492</v>
      </c>
      <c r="D184" s="4" t="s">
        <v>11493</v>
      </c>
      <c r="F184" s="5" t="str">
        <f>IFERROR(__xludf.DUMMYFUNCTION("GOOGLETRANSLATE(A184, ""en"", ""hi"")"),"183")</f>
        <v>183</v>
      </c>
      <c r="G184" s="5" t="str">
        <f>IFERROR(__xludf.DUMMYFUNCTION("GOOGLETRANSLATE(B184, ""en"", ""hi"")"),"किस ऐतिहासिक काल में पश्चिमी खेलों और मनोरंजक गतिविधियों के आने के कारण गिल्ली डंडा जैसे पारंपरिक खेलों का पतन हुआ?")</f>
        <v>किस ऐतिहासिक काल में पश्चिमी खेलों और मनोरंजक गतिविधियों के आने के कारण गिल्ली डंडा जैसे पारंपरिक खेलों का पतन हुआ?</v>
      </c>
      <c r="H184" s="5" t="str">
        <f>IFERROR(__xludf.DUMMYFUNCTION("GOOGLETRANSLATE(C184, ""en"", ""hi"")"),"A) मुगल काल, B) ब्रिटिश औपनिवेशिक काल, C) प्रारंभिक मध्यकाल, D) गुप्त काल")</f>
        <v>A) मुगल काल, B) ब्रिटिश औपनिवेशिक काल, C) प्रारंभिक मध्यकाल, D) गुप्त काल</v>
      </c>
      <c r="I184" s="5" t="str">
        <f>IFERROR(__xludf.DUMMYFUNCTION("GOOGLETRANSLATE(D184, ""en"", ""hi"")"),"बी) ब्रिटिश औपनिवेशिक काल")</f>
        <v>बी) ब्रिटिश औपनिवेशिक काल</v>
      </c>
    </row>
    <row r="185" ht="22.5" customHeight="1">
      <c r="A185" s="3">
        <v>184.0</v>
      </c>
      <c r="B185" s="4" t="s">
        <v>11494</v>
      </c>
      <c r="C185" s="4" t="s">
        <v>11371</v>
      </c>
      <c r="D185" s="4" t="s">
        <v>11372</v>
      </c>
      <c r="F185" s="5" t="str">
        <f>IFERROR(__xludf.DUMMYFUNCTION("GOOGLETRANSLATE(A185, ""en"", ""hi"")"),"184")</f>
        <v>184</v>
      </c>
      <c r="G185" s="5" t="str">
        <f>IFERROR(__xludf.DUMMYFUNCTION("GOOGLETRANSLATE(B185, ""en"", ""hi"")"),"किस प्रसिद्ध भारतीय कवि और लेखक ने पारंपरिक ग्रामीण जीवन के बारे में अपनी साहित्यिक रचनाओं में गिल्ली डंडा का चित्रण किया?")</f>
        <v>किस प्रसिद्ध भारतीय कवि और लेखक ने पारंपरिक ग्रामीण जीवन के बारे में अपनी साहित्यिक रचनाओं में गिल्ली डंडा का चित्रण किया?</v>
      </c>
      <c r="H185" s="5" t="str">
        <f>IFERROR(__xludf.DUMMYFUNCTION("GOOGLETRANSLATE(C185, ""en"", ""hi"")"),"ए) रवीन्द्रनाथ टैगोर, बी) मुंशी प्रेमचंद, सी) इस्मत चुगताई, डी) खुशवंत सिंह")</f>
        <v>ए) रवीन्द्रनाथ टैगोर, बी) मुंशी प्रेमचंद, सी) इस्मत चुगताई, डी) खुशवंत सिंह</v>
      </c>
      <c r="I185" s="5" t="str">
        <f>IFERROR(__xludf.DUMMYFUNCTION("GOOGLETRANSLATE(D185, ""en"", ""hi"")"),"B) मुंशी प्रेमचंद")</f>
        <v>B) मुंशी प्रेमचंद</v>
      </c>
    </row>
    <row r="186" ht="22.5" customHeight="1">
      <c r="A186" s="3">
        <v>185.0</v>
      </c>
      <c r="B186" s="4" t="s">
        <v>11495</v>
      </c>
      <c r="C186" s="4" t="s">
        <v>11496</v>
      </c>
      <c r="D186" s="4" t="s">
        <v>11497</v>
      </c>
      <c r="F186" s="5" t="str">
        <f>IFERROR(__xludf.DUMMYFUNCTION("GOOGLETRANSLATE(A186, ""en"", ""hi"")"),"185")</f>
        <v>185</v>
      </c>
      <c r="G186" s="5" t="str">
        <f>IFERROR(__xludf.DUMMYFUNCTION("GOOGLETRANSLATE(B186, ""en"", ""hi"")"),"19वीं सदी के आरंभ में किस भारतीय विद्वान ने अपने अध्ययन में गिल्ली डंडा सहित पारंपरिक भारतीय खेलों के बारे में लिखा था?")</f>
        <v>19वीं सदी के आरंभ में किस भारतीय विद्वान ने अपने अध्ययन में गिल्ली डंडा सहित पारंपरिक भारतीय खेलों के बारे में लिखा था?</v>
      </c>
      <c r="H186" s="5" t="str">
        <f>IFERROR(__xludf.DUMMYFUNCTION("GOOGLETRANSLATE(C186, ""en"", ""hi"")"),"A) एच. एच. विल्सन, B) एस. आर. शर्मा, C) आर. सी. मजूमदार, D) पी. एन. ओक")</f>
        <v>A) एच. एच. विल्सन, B) एस. आर. शर्मा, C) आर. सी. मजूमदार, D) पी. एन. ओक</v>
      </c>
      <c r="I186" s="5" t="str">
        <f>IFERROR(__xludf.DUMMYFUNCTION("GOOGLETRANSLATE(D186, ""en"", ""hi"")"),"ए) एच. एच. विल्सन")</f>
        <v>ए) एच. एच. विल्सन</v>
      </c>
    </row>
    <row r="187" ht="22.5" customHeight="1">
      <c r="A187" s="3">
        <v>186.0</v>
      </c>
      <c r="B187" s="4" t="s">
        <v>11498</v>
      </c>
      <c r="C187" s="4" t="s">
        <v>11499</v>
      </c>
      <c r="D187" s="4" t="s">
        <v>11500</v>
      </c>
      <c r="F187" s="5" t="str">
        <f>IFERROR(__xludf.DUMMYFUNCTION("GOOGLETRANSLATE(A187, ""en"", ""hi"")"),"186")</f>
        <v>186</v>
      </c>
      <c r="G187" s="5" t="str">
        <f>IFERROR(__xludf.DUMMYFUNCTION("GOOGLETRANSLATE(B187, ""en"", ""hi"")"),"कौन सा पारंपरिक भारतीय त्यौहार, विशेष रूप से उत्तर प्रदेश और पंजाब के क्षेत्रों में, गिल्ली डंडा को अपने उत्सव के एक भाग के रूप में प्रस्तुत करता है?")</f>
        <v>कौन सा पारंपरिक भारतीय त्यौहार, विशेष रूप से उत्तर प्रदेश और पंजाब के क्षेत्रों में, गिल्ली डंडा को अपने उत्सव के एक भाग के रूप में प्रस्तुत करता है?</v>
      </c>
      <c r="H187" s="5" t="str">
        <f>IFERROR(__xludf.DUMMYFUNCTION("GOOGLETRANSLATE(C187, ""en"", ""hi"")"),"ए) दिवाली, बी) बैसाखी, सी) मकर संक्रांति, डी) होली")</f>
        <v>ए) दिवाली, बी) बैसाखी, सी) मकर संक्रांति, डी) होली</v>
      </c>
      <c r="I187" s="5" t="str">
        <f>IFERROR(__xludf.DUMMYFUNCTION("GOOGLETRANSLATE(D187, ""en"", ""hi"")"),"बी) बैसाखी")</f>
        <v>बी) बैसाखी</v>
      </c>
    </row>
    <row r="188" ht="22.5" customHeight="1">
      <c r="A188" s="3">
        <v>187.0</v>
      </c>
      <c r="B188" s="4" t="s">
        <v>11501</v>
      </c>
      <c r="C188" s="4" t="s">
        <v>11502</v>
      </c>
      <c r="D188" s="4" t="s">
        <v>7318</v>
      </c>
      <c r="F188" s="5" t="str">
        <f>IFERROR(__xludf.DUMMYFUNCTION("GOOGLETRANSLATE(A188, ""en"", ""hi"")"),"187")</f>
        <v>187</v>
      </c>
      <c r="G188" s="5" t="str">
        <f>IFERROR(__xludf.DUMMYFUNCTION("GOOGLETRANSLATE(B188, ""en"", ""hi"")"),"20वीं सदी के आरंभ में किस भारतीय सांस्कृतिक शोधकर्ता ने पारंपरिक खेलों के अपने अध्ययन में गिल्ली डंडा पर प्रकाश डाला?")</f>
        <v>20वीं सदी के आरंभ में किस भारतीय सांस्कृतिक शोधकर्ता ने पारंपरिक खेलों के अपने अध्ययन में गिल्ली डंडा पर प्रकाश डाला?</v>
      </c>
      <c r="H188" s="5" t="str">
        <f>IFERROR(__xludf.DUMMYFUNCTION("GOOGLETRANSLATE(C188, ""en"", ""hi"")"),"A) पी. एन. ओक, B) एम. के. गांधी, C) के. एम. मुंशी, D) आर. सी. मजूमदार")</f>
        <v>A) पी. एन. ओक, B) एम. के. गांधी, C) के. एम. मुंशी, D) आर. सी. मजूमदार</v>
      </c>
      <c r="I188" s="5" t="str">
        <f>IFERROR(__xludf.DUMMYFUNCTION("GOOGLETRANSLATE(D188, ""en"", ""hi"")"),"D) आर. सी. मजूमदार")</f>
        <v>D) आर. सी. मजूमदार</v>
      </c>
    </row>
    <row r="189" ht="22.5" customHeight="1">
      <c r="A189" s="3">
        <v>188.0</v>
      </c>
      <c r="B189" s="4" t="s">
        <v>11503</v>
      </c>
      <c r="C189" s="4" t="s">
        <v>11504</v>
      </c>
      <c r="D189" s="4" t="s">
        <v>11414</v>
      </c>
      <c r="F189" s="5" t="str">
        <f>IFERROR(__xludf.DUMMYFUNCTION("GOOGLETRANSLATE(A189, ""en"", ""hi"")"),"188")</f>
        <v>188</v>
      </c>
      <c r="G189" s="5" t="str">
        <f>IFERROR(__xludf.DUMMYFUNCTION("GOOGLETRANSLATE(B189, ""en"", ""hi"")"),"19वीं सदी के किस ब्रिटिश यात्री ने भारत पर अपने लेखन में गिल्ली डंडा सहित पारंपरिक भारतीय खेलों का दस्तावेजीकरण किया?")</f>
        <v>19वीं सदी के किस ब्रिटिश यात्री ने भारत पर अपने लेखन में गिल्ली डंडा सहित पारंपरिक भारतीय खेलों का दस्तावेजीकरण किया?</v>
      </c>
      <c r="H189" s="5" t="str">
        <f>IFERROR(__xludf.DUMMYFUNCTION("GOOGLETRANSLATE(C189, ""en"", ""hi"")"),"A) विलियम एडम्स, B) फ्रांसिस बुकानन-हैमिल्टन, C) जेम्स रेनेल, D) अलेक्जेंडर बर्न्स")</f>
        <v>A) विलियम एडम्स, B) फ्रांसिस बुकानन-हैमिल्टन, C) जेम्स रेनेल, D) अलेक्जेंडर बर्न्स</v>
      </c>
      <c r="I189" s="5" t="str">
        <f>IFERROR(__xludf.DUMMYFUNCTION("GOOGLETRANSLATE(D189, ""en"", ""hi"")"),"बी) फ्रांसिस बुकानन-हैमिल्टन")</f>
        <v>बी) फ्रांसिस बुकानन-हैमिल्टन</v>
      </c>
    </row>
    <row r="190" ht="22.5" customHeight="1">
      <c r="A190" s="3">
        <v>189.0</v>
      </c>
      <c r="B190" s="4" t="s">
        <v>11505</v>
      </c>
      <c r="C190" s="4" t="s">
        <v>11506</v>
      </c>
      <c r="D190" s="4" t="s">
        <v>7225</v>
      </c>
      <c r="F190" s="5" t="str">
        <f>IFERROR(__xludf.DUMMYFUNCTION("GOOGLETRANSLATE(A190, ""en"", ""hi"")"),"189")</f>
        <v>189</v>
      </c>
      <c r="G190" s="5" t="str">
        <f>IFERROR(__xludf.DUMMYFUNCTION("GOOGLETRANSLATE(B190, ""en"", ""hi"")"),"कौन सा भारतीय क्षेत्र आधुनिक प्रभावों के बावजूद स्थानीय त्योहारों और सांस्कृतिक कार्यक्रमों के माध्यम से गिल्ली डंडा को संरक्षित करने के लिए जाना जाता है?")</f>
        <v>कौन सा भारतीय क्षेत्र आधुनिक प्रभावों के बावजूद स्थानीय त्योहारों और सांस्कृतिक कार्यक्रमों के माध्यम से गिल्ली डंडा को संरक्षित करने के लिए जाना जाता है?</v>
      </c>
      <c r="H190" s="5" t="str">
        <f>IFERROR(__xludf.DUMMYFUNCTION("GOOGLETRANSLATE(C190, ""en"", ""hi"")"),"A) पंजाब, B) पश्चिम बंगाल, C) गुजरात, D) उत्तर प्रदेश")</f>
        <v>A) पंजाब, B) पश्चिम बंगाल, C) गुजरात, D) उत्तर प्रदेश</v>
      </c>
      <c r="I190" s="5" t="str">
        <f>IFERROR(__xludf.DUMMYFUNCTION("GOOGLETRANSLATE(D190, ""en"", ""hi"")"),"बी) पश्चिम बंगाल")</f>
        <v>बी) पश्चिम बंगाल</v>
      </c>
    </row>
    <row r="191" ht="22.5" customHeight="1">
      <c r="A191" s="3">
        <v>190.0</v>
      </c>
      <c r="B191" s="4" t="s">
        <v>11507</v>
      </c>
      <c r="C191" s="4" t="s">
        <v>11358</v>
      </c>
      <c r="D191" s="4" t="s">
        <v>11359</v>
      </c>
      <c r="F191" s="5" t="str">
        <f>IFERROR(__xludf.DUMMYFUNCTION("GOOGLETRANSLATE(A191, ""en"", ""hi"")"),"190")</f>
        <v>190</v>
      </c>
      <c r="G191" s="5" t="str">
        <f>IFERROR(__xludf.DUMMYFUNCTION("GOOGLETRANSLATE(B191, ""en"", ""hi"")"),"19वीं सदी के किस ऐतिहासिक व्यक्ति ने अपने सांस्कृतिक अवलोकन के हिस्से के रूप में गिल्ली डंडा सहित पारंपरिक भारतीय खेलों के बारे में लिखा?")</f>
        <v>19वीं सदी के किस ऐतिहासिक व्यक्ति ने अपने सांस्कृतिक अवलोकन के हिस्से के रूप में गिल्ली डंडा सहित पारंपरिक भारतीय खेलों के बारे में लिखा?</v>
      </c>
      <c r="H191" s="5" t="str">
        <f>IFERROR(__xludf.DUMMYFUNCTION("GOOGLETRANSLATE(C191, ""en"", ""hi"")"),"A) लॉर्ड कर्जन, B) सर विलियम स्लीमन, C) सर जॉर्ज एवरेस्ट, D) लॉर्ड मिंटो")</f>
        <v>A) लॉर्ड कर्जन, B) सर विलियम स्लीमन, C) सर जॉर्ज एवरेस्ट, D) लॉर्ड मिंटो</v>
      </c>
      <c r="I191" s="5" t="str">
        <f>IFERROR(__xludf.DUMMYFUNCTION("GOOGLETRANSLATE(D191, ""en"", ""hi"")"),"बी) सर विलियम स्लीमन")</f>
        <v>बी) सर विलियम स्लीमन</v>
      </c>
    </row>
    <row r="192" ht="22.5" customHeight="1">
      <c r="A192" s="3">
        <v>191.0</v>
      </c>
      <c r="B192" s="4" t="s">
        <v>11508</v>
      </c>
      <c r="C192" s="4" t="s">
        <v>11509</v>
      </c>
      <c r="D192" s="4" t="s">
        <v>2616</v>
      </c>
      <c r="F192" s="5" t="str">
        <f>IFERROR(__xludf.DUMMYFUNCTION("GOOGLETRANSLATE(A192, ""en"", ""hi"")"),"191")</f>
        <v>191</v>
      </c>
      <c r="G192" s="5" t="str">
        <f>IFERROR(__xludf.DUMMYFUNCTION("GOOGLETRANSLATE(B192, ""en"", ""hi"")"),"किस प्राचीन भारतीय ग्रंथ में युवा योद्धाओं के प्रशिक्षण के भाग के रूप में गिल्ली डंडा जैसे खेलों का उल्लेख मिलता है?")</f>
        <v>किस प्राचीन भारतीय ग्रंथ में युवा योद्धाओं के प्रशिक्षण के भाग के रूप में गिल्ली डंडा जैसे खेलों का उल्लेख मिलता है?</v>
      </c>
      <c r="H192" s="5" t="str">
        <f>IFERROR(__xludf.DUMMYFUNCTION("GOOGLETRANSLATE(C192, ""en"", ""hi"")"),"ए) अर्थशास्त्र, बी) विष्णु पुराण, सी) रामायण, डी) महाभारत")</f>
        <v>ए) अर्थशास्त्र, बी) विष्णु पुराण, सी) रामायण, डी) महाभारत</v>
      </c>
      <c r="I192" s="5" t="str">
        <f>IFERROR(__xludf.DUMMYFUNCTION("GOOGLETRANSLATE(D192, ""en"", ""hi"")"),"A) अर्थशास्त्र")</f>
        <v>A) अर्थशास्त्र</v>
      </c>
    </row>
    <row r="193" ht="22.5" customHeight="1">
      <c r="A193" s="3">
        <v>192.0</v>
      </c>
      <c r="B193" s="4" t="s">
        <v>11510</v>
      </c>
      <c r="C193" s="4" t="s">
        <v>11511</v>
      </c>
      <c r="D193" s="4" t="s">
        <v>2574</v>
      </c>
      <c r="F193" s="5" t="str">
        <f>IFERROR(__xludf.DUMMYFUNCTION("GOOGLETRANSLATE(A193, ""en"", ""hi"")"),"192")</f>
        <v>192</v>
      </c>
      <c r="G193" s="5" t="str">
        <f>IFERROR(__xludf.DUMMYFUNCTION("GOOGLETRANSLATE(B193, ""en"", ""hi"")"),"किस भारतीय क्षेत्र में गिल्ली डंडा की महत्वपूर्ण परंपरा है, जिसे अक्सर स्थानीय मेलों और त्योहारों के दौरान खेला जाता है?")</f>
        <v>किस भारतीय क्षेत्र में गिल्ली डंडा की महत्वपूर्ण परंपरा है, जिसे अक्सर स्थानीय मेलों और त्योहारों के दौरान खेला जाता है?</v>
      </c>
      <c r="H193" s="5" t="str">
        <f>IFERROR(__xludf.DUMMYFUNCTION("GOOGLETRANSLATE(C193, ""en"", ""hi"")"),"ए) तमिलनाडु, बी) महाराष्ट्र, सी) उत्तर प्रदेश, डी) कर्नाटक")</f>
        <v>ए) तमिलनाडु, बी) महाराष्ट्र, सी) उत्तर प्रदेश, डी) कर्नाटक</v>
      </c>
      <c r="I193" s="5" t="str">
        <f>IFERROR(__xludf.DUMMYFUNCTION("GOOGLETRANSLATE(D193, ""en"", ""hi"")"),"C) उत्तर प्रदेश")</f>
        <v>C) उत्तर प्रदेश</v>
      </c>
    </row>
    <row r="194" ht="22.5" customHeight="1">
      <c r="A194" s="3">
        <v>193.0</v>
      </c>
      <c r="B194" s="4" t="s">
        <v>11512</v>
      </c>
      <c r="C194" s="4" t="s">
        <v>11441</v>
      </c>
      <c r="D194" s="4" t="s">
        <v>11442</v>
      </c>
      <c r="F194" s="5" t="str">
        <f>IFERROR(__xludf.DUMMYFUNCTION("GOOGLETRANSLATE(A194, ""en"", ""hi"")"),"193")</f>
        <v>193</v>
      </c>
      <c r="G194" s="5" t="str">
        <f>IFERROR(__xludf.DUMMYFUNCTION("GOOGLETRANSLATE(B194, ""en"", ""hi"")"),"किस प्रसिद्ध भारतीय कवि ने ग्रामीण जीवन के बारे में अपनी रचनाओं में गिल्ली डंडा जैसे पारंपरिक खेलों का संदर्भ शामिल किया?")</f>
        <v>किस प्रसिद्ध भारतीय कवि ने ग्रामीण जीवन के बारे में अपनी रचनाओं में गिल्ली डंडा जैसे पारंपरिक खेलों का संदर्भ शामिल किया?</v>
      </c>
      <c r="H194" s="5" t="str">
        <f>IFERROR(__xludf.DUMMYFUNCTION("GOOGLETRANSLATE(C194, ""en"", ""hi"")"),"ए) कबीर, बी) तुलसीदास, सी) मीराबाई, डी) रवींद्रनाथ टैगोर")</f>
        <v>ए) कबीर, बी) तुलसीदास, सी) मीराबाई, डी) रवींद्रनाथ टैगोर</v>
      </c>
      <c r="I194" s="5" t="str">
        <f>IFERROR(__xludf.DUMMYFUNCTION("GOOGLETRANSLATE(D194, ""en"", ""hi"")"),"A) कबीर")</f>
        <v>A) कबीर</v>
      </c>
    </row>
    <row r="195" ht="22.5" customHeight="1">
      <c r="A195" s="3">
        <v>194.0</v>
      </c>
      <c r="B195" s="4" t="s">
        <v>11513</v>
      </c>
      <c r="C195" s="4" t="s">
        <v>11439</v>
      </c>
      <c r="D195" s="4" t="s">
        <v>7468</v>
      </c>
      <c r="F195" s="5" t="str">
        <f>IFERROR(__xludf.DUMMYFUNCTION("GOOGLETRANSLATE(A195, ""en"", ""hi"")"),"194")</f>
        <v>194</v>
      </c>
      <c r="G195" s="5" t="str">
        <f>IFERROR(__xludf.DUMMYFUNCTION("GOOGLETRANSLATE(B195, ""en"", ""hi"")"),"20वीं सदी के आरंभिक भारतीय इतिहासकार ने पारंपरिक खेलों और सांस्कृतिक प्रथाओं में गिल्ली डंडा की भूमिका के बारे में लिखा था?")</f>
        <v>20वीं सदी के आरंभिक भारतीय इतिहासकार ने पारंपरिक खेलों और सांस्कृतिक प्रथाओं में गिल्ली डंडा की भूमिका के बारे में लिखा था?</v>
      </c>
      <c r="H195" s="5" t="str">
        <f>IFERROR(__xludf.DUMMYFUNCTION("GOOGLETRANSLATE(C195, ""en"", ""hi"")"),"A) आर. सी. मजूमदार, B) के. एम. मुंशी, C) बी. एन. पांडे, D) एस. राधाकृष्णन")</f>
        <v>A) आर. सी. मजूमदार, B) के. एम. मुंशी, C) बी. एन. पांडे, D) एस. राधाकृष्णन</v>
      </c>
      <c r="I195" s="5" t="str">
        <f>IFERROR(__xludf.DUMMYFUNCTION("GOOGLETRANSLATE(D195, ""en"", ""hi"")"),"A) आर. सी. मजूमदार")</f>
        <v>A) आर. सी. मजूमदार</v>
      </c>
    </row>
    <row r="196" ht="22.5" customHeight="1">
      <c r="A196" s="3">
        <v>195.0</v>
      </c>
      <c r="B196" s="4" t="s">
        <v>11444</v>
      </c>
      <c r="C196" s="4" t="s">
        <v>11404</v>
      </c>
      <c r="D196" s="4" t="s">
        <v>4703</v>
      </c>
      <c r="F196" s="5" t="str">
        <f>IFERROR(__xludf.DUMMYFUNCTION("GOOGLETRANSLATE(A196, ""en"", ""hi"")"),"195")</f>
        <v>195</v>
      </c>
      <c r="G196" s="5" t="str">
        <f>IFERROR(__xludf.DUMMYFUNCTION("GOOGLETRANSLATE(B196, ""en"", ""hi"")"),"गिल्ली डंडा के समान कौन सा पारंपरिक भारतीय खेल अक्सर गाँव के त्योहारों और सामुदायिक समारोहों के दौरान खेला जाता था?")</f>
        <v>गिल्ली डंडा के समान कौन सा पारंपरिक भारतीय खेल अक्सर गाँव के त्योहारों और सामुदायिक समारोहों के दौरान खेला जाता था?</v>
      </c>
      <c r="H196" s="5" t="str">
        <f>IFERROR(__xludf.DUMMYFUNCTION("GOOGLETRANSLATE(C196, ""en"", ""hi"")"),"ए) सतोलिया, बी) कबड्डी, सी) गट्टा-गट्टी, डी) पोलो")</f>
        <v>ए) सतोलिया, बी) कबड्डी, सी) गट्टा-गट्टी, डी) पोलो</v>
      </c>
      <c r="I196" s="5" t="str">
        <f>IFERROR(__xludf.DUMMYFUNCTION("GOOGLETRANSLATE(D196, ""en"", ""hi"")"),"A) सतोलिया")</f>
        <v>A) सतोलिया</v>
      </c>
    </row>
    <row r="197" ht="22.5" customHeight="1">
      <c r="A197" s="3">
        <v>196.0</v>
      </c>
      <c r="B197" s="4" t="s">
        <v>11514</v>
      </c>
      <c r="C197" s="4" t="s">
        <v>11515</v>
      </c>
      <c r="D197" s="4" t="s">
        <v>11458</v>
      </c>
      <c r="F197" s="5" t="str">
        <f>IFERROR(__xludf.DUMMYFUNCTION("GOOGLETRANSLATE(A197, ""en"", ""hi"")"),"196")</f>
        <v>196</v>
      </c>
      <c r="G197" s="5" t="str">
        <f>IFERROR(__xludf.DUMMYFUNCTION("GOOGLETRANSLATE(B197, ""en"", ""hi"")"),"कौन सा भारतीय त्यौहार, विशेष रूप से पंजाब क्षेत्र में, गिल्ली डंडा को एक प्रमुख गतिविधि के रूप में दर्शाता है?")</f>
        <v>कौन सा भारतीय त्यौहार, विशेष रूप से पंजाब क्षेत्र में, गिल्ली डंडा को एक प्रमुख गतिविधि के रूप में दर्शाता है?</v>
      </c>
      <c r="H197" s="5" t="str">
        <f>IFERROR(__xludf.DUMMYFUNCTION("GOOGLETRANSLATE(C197, ""en"", ""hi"")"),"ए) लोहड़ी, बी) बैसाखी, सी) दिवाली, डी) होली")</f>
        <v>ए) लोहड़ी, बी) बैसाखी, सी) दिवाली, डी) होली</v>
      </c>
      <c r="I197" s="5" t="str">
        <f>IFERROR(__xludf.DUMMYFUNCTION("GOOGLETRANSLATE(D197, ""en"", ""hi"")"),"A) लोहड़ी")</f>
        <v>A) लोहड़ी</v>
      </c>
    </row>
    <row r="198" ht="22.5" customHeight="1">
      <c r="A198" s="3">
        <v>197.0</v>
      </c>
      <c r="B198" s="4" t="s">
        <v>11516</v>
      </c>
      <c r="C198" s="4" t="s">
        <v>11517</v>
      </c>
      <c r="D198" s="4" t="s">
        <v>11462</v>
      </c>
      <c r="F198" s="5" t="str">
        <f>IFERROR(__xludf.DUMMYFUNCTION("GOOGLETRANSLATE(A198, ""en"", ""hi"")"),"197")</f>
        <v>197</v>
      </c>
      <c r="G198" s="5" t="str">
        <f>IFERROR(__xludf.DUMMYFUNCTION("GOOGLETRANSLATE(B198, ""en"", ""hi"")"),"मुगल काल के किस ऐतिहासिक दस्तावेज में गिल्ली डंडा और अन्य पारंपरिक भारतीय खेलों का उल्लेख मिलता है?")</f>
        <v>मुगल काल के किस ऐतिहासिक दस्तावेज में गिल्ली डंडा और अन्य पारंपरिक भारतीय खेलों का उल्लेख मिलता है?</v>
      </c>
      <c r="H198" s="5" t="str">
        <f>IFERROR(__xludf.DUMMYFUNCTION("GOOGLETRANSLATE(C198, ""en"", ""hi"")"),"ए) अकबर नामा, बी) बाबर नामा, सी) हुमायूं नामा, डी) पादशाह नामा")</f>
        <v>ए) अकबर नामा, बी) बाबर नामा, सी) हुमायूं नामा, डी) पादशाह नामा</v>
      </c>
      <c r="I198" s="5" t="str">
        <f>IFERROR(__xludf.DUMMYFUNCTION("GOOGLETRANSLATE(D198, ""en"", ""hi"")"),"A) अकबरनामा")</f>
        <v>A) अकबरनामा</v>
      </c>
    </row>
    <row r="199" ht="22.5" customHeight="1">
      <c r="A199" s="3">
        <v>198.0</v>
      </c>
      <c r="B199" s="4" t="s">
        <v>11518</v>
      </c>
      <c r="C199" s="4" t="s">
        <v>11426</v>
      </c>
      <c r="D199" s="4" t="s">
        <v>4623</v>
      </c>
      <c r="F199" s="5" t="str">
        <f>IFERROR(__xludf.DUMMYFUNCTION("GOOGLETRANSLATE(A199, ""en"", ""hi"")"),"198")</f>
        <v>198</v>
      </c>
      <c r="G199" s="5" t="str">
        <f>IFERROR(__xludf.DUMMYFUNCTION("GOOGLETRANSLATE(B199, ""en"", ""hi"")"),"किस प्राचीन भारतीय राजा का दरबार गिल्ली डंडा जैसे पारंपरिक खेलों को अपनी मनोरंजन गतिविधियों में शामिल करने के लिए जाना जाता था?")</f>
        <v>किस प्राचीन भारतीय राजा का दरबार गिल्ली डंडा जैसे पारंपरिक खेलों को अपनी मनोरंजन गतिविधियों में शामिल करने के लिए जाना जाता था?</v>
      </c>
      <c r="H199" s="5" t="str">
        <f>IFERROR(__xludf.DUMMYFUNCTION("GOOGLETRANSLATE(C199, ""en"", ""hi"")"),"ए) चंद्रगुप्त मौर्य, बी) अशोक, सी) राजा भोज, डी) विक्रमादित्य")</f>
        <v>ए) चंद्रगुप्त मौर्य, बी) अशोक, सी) राजा भोज, डी) विक्रमादित्य</v>
      </c>
      <c r="I199" s="5" t="str">
        <f>IFERROR(__xludf.DUMMYFUNCTION("GOOGLETRANSLATE(D199, ""en"", ""hi"")"),"D) विक्रमादित्य")</f>
        <v>D) विक्रमादित्य</v>
      </c>
    </row>
    <row r="200" ht="22.5" customHeight="1">
      <c r="A200" s="3">
        <v>199.0</v>
      </c>
      <c r="B200" s="4" t="s">
        <v>11519</v>
      </c>
      <c r="C200" s="4" t="s">
        <v>11439</v>
      </c>
      <c r="D200" s="4" t="s">
        <v>7468</v>
      </c>
      <c r="F200" s="5" t="str">
        <f>IFERROR(__xludf.DUMMYFUNCTION("GOOGLETRANSLATE(A200, ""en"", ""hi"")"),"199")</f>
        <v>199</v>
      </c>
      <c r="G200" s="5" t="str">
        <f>IFERROR(__xludf.DUMMYFUNCTION("GOOGLETRANSLATE(B200, ""en"", ""hi"")"),"20वीं सदी के आरंभ में किस भारतीय विद्वान ने गिल्ली डंडा के पारंपरिक खेल और इसके सांस्कृतिक महत्व के बारे में लिखा था?")</f>
        <v>20वीं सदी के आरंभ में किस भारतीय विद्वान ने गिल्ली डंडा के पारंपरिक खेल और इसके सांस्कृतिक महत्व के बारे में लिखा था?</v>
      </c>
      <c r="H200" s="5" t="str">
        <f>IFERROR(__xludf.DUMMYFUNCTION("GOOGLETRANSLATE(C200, ""en"", ""hi"")"),"A) आर. सी. मजूमदार, B) के. एम. मुंशी, C) बी. एन. पांडे, D) एस. राधाकृष्णन")</f>
        <v>A) आर. सी. मजूमदार, B) के. एम. मुंशी, C) बी. एन. पांडे, D) एस. राधाकृष्णन</v>
      </c>
      <c r="I200" s="5" t="str">
        <f>IFERROR(__xludf.DUMMYFUNCTION("GOOGLETRANSLATE(D200, ""en"", ""hi"")"),"A) आर. सी. मजूमदार")</f>
        <v>A) आर. सी. मजूमदार</v>
      </c>
    </row>
    <row r="201" ht="22.5" customHeight="1">
      <c r="A201" s="3">
        <v>200.0</v>
      </c>
      <c r="B201" s="4" t="s">
        <v>11520</v>
      </c>
      <c r="C201" s="4" t="s">
        <v>11521</v>
      </c>
      <c r="D201" s="4" t="s">
        <v>11522</v>
      </c>
      <c r="F201" s="5" t="str">
        <f>IFERROR(__xludf.DUMMYFUNCTION("GOOGLETRANSLATE(A201, ""en"", ""hi"")"),"200")</f>
        <v>200</v>
      </c>
      <c r="G201" s="5" t="str">
        <f>IFERROR(__xludf.DUMMYFUNCTION("GOOGLETRANSLATE(B201, ""en"", ""hi"")"),"कौन सा ऐतिहासिक व्यक्ति औपनिवेशिक काल के दौरान गिल्ली डंडा सहित भारतीय खेलों के विस्तृत विवरण के लिए जाना जाता है?")</f>
        <v>कौन सा ऐतिहासिक व्यक्ति औपनिवेशिक काल के दौरान गिल्ली डंडा सहित भारतीय खेलों के विस्तृत विवरण के लिए जाना जाता है?</v>
      </c>
      <c r="H201" s="5" t="str">
        <f>IFERROR(__xludf.DUMMYFUNCTION("GOOGLETRANSLATE(C201, ""en"", ""hi"")"),"A) फ्रांसिस बुकानन-हैमिल्टन, B) विलियम एडम्स, C) अलेक्जेंडर बर्न्स, D) जेम्स रेनेल")</f>
        <v>A) फ्रांसिस बुकानन-हैमिल्टन, B) विलियम एडम्स, C) अलेक्जेंडर बर्न्स, D) जेम्स रेनेल</v>
      </c>
      <c r="I201" s="5" t="str">
        <f>IFERROR(__xludf.DUMMYFUNCTION("GOOGLETRANSLATE(D201, ""en"", ""hi"")"),"A) फ्रांसिस बुकानन-हैमिल्टन")</f>
        <v>A) फ्रांसिस बुकानन-हैमिल्टन</v>
      </c>
    </row>
    <row r="202" ht="22.5" customHeight="1">
      <c r="A202" s="3">
        <v>201.0</v>
      </c>
      <c r="B202" s="4" t="s">
        <v>11523</v>
      </c>
      <c r="C202" s="4" t="s">
        <v>11483</v>
      </c>
      <c r="D202" s="4" t="s">
        <v>11484</v>
      </c>
      <c r="F202" s="5" t="str">
        <f>IFERROR(__xludf.DUMMYFUNCTION("GOOGLETRANSLATE(A202, ""en"", ""hi"")"),"201")</f>
        <v>201</v>
      </c>
      <c r="G202" s="5" t="str">
        <f>IFERROR(__xludf.DUMMYFUNCTION("GOOGLETRANSLATE(B202, ""en"", ""hi"")"),"किस प्राचीन ग्रंथ में गिल्ली डंडा जैसे खेलों का वर्णन मिलता है, तथा सामाजिक और सांस्कृतिक संदर्भों में उनके महत्व पर बल दिया गया है?")</f>
        <v>किस प्राचीन ग्रंथ में गिल्ली डंडा जैसे खेलों का वर्णन मिलता है, तथा सामाजिक और सांस्कृतिक संदर्भों में उनके महत्व पर बल दिया गया है?</v>
      </c>
      <c r="H202" s="5" t="str">
        <f>IFERROR(__xludf.DUMMYFUNCTION("GOOGLETRANSLATE(C202, ""en"", ""hi"")"),"ए) विष्णु पुराण, बी) भगवद गीता, सी) योग सूत्र, डी) मनुस्मृति")</f>
        <v>ए) विष्णु पुराण, बी) भगवद गीता, सी) योग सूत्र, डी) मनुस्मृति</v>
      </c>
      <c r="I202" s="5" t="str">
        <f>IFERROR(__xludf.DUMMYFUNCTION("GOOGLETRANSLATE(D202, ""en"", ""hi"")"),"A) विष्णु पुराण")</f>
        <v>A) विष्णु पुराण</v>
      </c>
    </row>
    <row r="203" ht="22.5" customHeight="1">
      <c r="A203" s="3">
        <v>202.0</v>
      </c>
      <c r="B203" s="4" t="s">
        <v>11524</v>
      </c>
      <c r="C203" s="4" t="s">
        <v>11525</v>
      </c>
      <c r="D203" s="4" t="s">
        <v>11526</v>
      </c>
      <c r="F203" s="5" t="str">
        <f>IFERROR(__xludf.DUMMYFUNCTION("GOOGLETRANSLATE(A203, ""en"", ""hi"")"),"202")</f>
        <v>202</v>
      </c>
      <c r="G203" s="5" t="str">
        <f>IFERROR(__xludf.DUMMYFUNCTION("GOOGLETRANSLATE(B203, ""en"", ""hi"")"),"कर्नाटक के किस पारंपरिक त्यौहार में गिल्ली डंडा को स्थानीय समारोहों और सामुदायिक गतिविधियों के भाग के रूप में शामिल किया जाता है?")</f>
        <v>कर्नाटक के किस पारंपरिक त्यौहार में गिल्ली डंडा को स्थानीय समारोहों और सामुदायिक गतिविधियों के भाग के रूप में शामिल किया जाता है?</v>
      </c>
      <c r="H203" s="5" t="str">
        <f>IFERROR(__xludf.DUMMYFUNCTION("GOOGLETRANSLATE(C203, ""en"", ""hi"")"),"ए) मकर संक्रांति, बी) पोंगल, सी) उगादि, डी) दशहरा")</f>
        <v>ए) मकर संक्रांति, बी) पोंगल, सी) उगादि, डी) दशहरा</v>
      </c>
      <c r="I203" s="5" t="str">
        <f>IFERROR(__xludf.DUMMYFUNCTION("GOOGLETRANSLATE(D203, ""en"", ""hi"")"),"C) उगादि")</f>
        <v>C) उगादि</v>
      </c>
    </row>
    <row r="204" ht="22.5" customHeight="1">
      <c r="A204" s="3">
        <v>203.0</v>
      </c>
      <c r="B204" s="4" t="s">
        <v>11527</v>
      </c>
      <c r="C204" s="4" t="s">
        <v>11435</v>
      </c>
      <c r="D204" s="4" t="s">
        <v>11407</v>
      </c>
      <c r="F204" s="5" t="str">
        <f>IFERROR(__xludf.DUMMYFUNCTION("GOOGLETRANSLATE(A204, ""en"", ""hi"")"),"203")</f>
        <v>203</v>
      </c>
      <c r="G204" s="5" t="str">
        <f>IFERROR(__xludf.DUMMYFUNCTION("GOOGLETRANSLATE(B204, ""en"", ""hi"")"),"किस प्रसिद्ध भारतीय कवि और लेखक ने ग्रामीण जीवन पर अपने साहित्यिक कार्यों में गिल्ली डंडा जैसे पारंपरिक खेलों का संदर्भ शामिल किया?")</f>
        <v>किस प्रसिद्ध भारतीय कवि और लेखक ने ग्रामीण जीवन पर अपने साहित्यिक कार्यों में गिल्ली डंडा जैसे पारंपरिक खेलों का संदर्भ शामिल किया?</v>
      </c>
      <c r="H204" s="5" t="str">
        <f>IFERROR(__xludf.DUMMYFUNCTION("GOOGLETRANSLATE(C204, ""en"", ""hi"")"),"ए) मुंशी प्रेमचंद, बी) रवींद्रनाथ टैगोर, सी) इस्मत चुगताई, डी) खुशवंत सिंह")</f>
        <v>ए) मुंशी प्रेमचंद, बी) रवींद्रनाथ टैगोर, सी) इस्मत चुगताई, डी) खुशवंत सिंह</v>
      </c>
      <c r="I204" s="5" t="str">
        <f>IFERROR(__xludf.DUMMYFUNCTION("GOOGLETRANSLATE(D204, ""en"", ""hi"")"),"A) मुंशी प्रेमचंद")</f>
        <v>A) मुंशी प्रेमचंद</v>
      </c>
    </row>
    <row r="205" ht="22.5" customHeight="1">
      <c r="A205" s="3">
        <v>204.0</v>
      </c>
      <c r="B205" s="4" t="s">
        <v>11528</v>
      </c>
      <c r="C205" s="4" t="s">
        <v>11411</v>
      </c>
      <c r="D205" s="4" t="s">
        <v>4657</v>
      </c>
      <c r="F205" s="5" t="str">
        <f>IFERROR(__xludf.DUMMYFUNCTION("GOOGLETRANSLATE(A205, ""en"", ""hi"")"),"204")</f>
        <v>204</v>
      </c>
      <c r="G205" s="5" t="str">
        <f>IFERROR(__xludf.DUMMYFUNCTION("GOOGLETRANSLATE(B205, ""en"", ""hi"")"),"किस ऐतिहासिक काल में गिल्ली डंडा का भारतीय युवाओं के बीच एक लोकप्रिय पारंपरिक खेल के रूप में उदय हुआ?")</f>
        <v>किस ऐतिहासिक काल में गिल्ली डंडा का भारतीय युवाओं के बीच एक लोकप्रिय पारंपरिक खेल के रूप में उदय हुआ?</v>
      </c>
      <c r="H205" s="5" t="str">
        <f>IFERROR(__xludf.DUMMYFUNCTION("GOOGLETRANSLATE(C205, ""en"", ""hi"")"),"A) प्राचीन भारत, B) मध्यकालीन भारत, C) मुगल काल, D) ब्रिटिश औपनिवेशिक काल")</f>
        <v>A) प्राचीन भारत, B) मध्यकालीन भारत, C) मुगल काल, D) ब्रिटिश औपनिवेशिक काल</v>
      </c>
      <c r="I205" s="5" t="str">
        <f>IFERROR(__xludf.DUMMYFUNCTION("GOOGLETRANSLATE(D205, ""en"", ""hi"")"),"A) प्राचीन भारत")</f>
        <v>A) प्राचीन भारत</v>
      </c>
    </row>
    <row r="206" ht="22.5" customHeight="1">
      <c r="A206" s="3">
        <v>205.0</v>
      </c>
      <c r="B206" s="4" t="s">
        <v>11529</v>
      </c>
      <c r="C206" s="4" t="s">
        <v>11358</v>
      </c>
      <c r="D206" s="4" t="s">
        <v>11359</v>
      </c>
      <c r="F206" s="5" t="str">
        <f>IFERROR(__xludf.DUMMYFUNCTION("GOOGLETRANSLATE(A206, ""en"", ""hi"")"),"205")</f>
        <v>205</v>
      </c>
      <c r="G206" s="5" t="str">
        <f>IFERROR(__xludf.DUMMYFUNCTION("GOOGLETRANSLATE(B206, ""en"", ""hi"")"),"19वीं शताब्दी में किस ब्रिटिश अधिकारी ने अपनी रिपोर्टों में गिल्ली डंडा सहित पारंपरिक भारतीय खेलों का विस्तृत विवरण दिया?")</f>
        <v>19वीं शताब्दी में किस ब्रिटिश अधिकारी ने अपनी रिपोर्टों में गिल्ली डंडा सहित पारंपरिक भारतीय खेलों का विस्तृत विवरण दिया?</v>
      </c>
      <c r="H206" s="5" t="str">
        <f>IFERROR(__xludf.DUMMYFUNCTION("GOOGLETRANSLATE(C206, ""en"", ""hi"")"),"A) लॉर्ड कर्जन, B) सर विलियम स्लीमन, C) सर जॉर्ज एवरेस्ट, D) लॉर्ड मिंटो")</f>
        <v>A) लॉर्ड कर्जन, B) सर विलियम स्लीमन, C) सर जॉर्ज एवरेस्ट, D) लॉर्ड मिंटो</v>
      </c>
      <c r="I206" s="5" t="str">
        <f>IFERROR(__xludf.DUMMYFUNCTION("GOOGLETRANSLATE(D206, ""en"", ""hi"")"),"बी) सर विलियम स्लीमन")</f>
        <v>बी) सर विलियम स्लीमन</v>
      </c>
    </row>
    <row r="207" ht="22.5" customHeight="1">
      <c r="A207" s="3">
        <v>206.0</v>
      </c>
      <c r="B207" s="4" t="s">
        <v>11530</v>
      </c>
      <c r="C207" s="4" t="s">
        <v>11531</v>
      </c>
      <c r="D207" s="4" t="s">
        <v>11414</v>
      </c>
      <c r="F207" s="5" t="str">
        <f>IFERROR(__xludf.DUMMYFUNCTION("GOOGLETRANSLATE(A207, ""en"", ""hi"")"),"206")</f>
        <v>206</v>
      </c>
      <c r="G207" s="5" t="str">
        <f>IFERROR(__xludf.DUMMYFUNCTION("GOOGLETRANSLATE(B207, ""en"", ""hi"")"),"19वीं शताब्दी के आरंभ में किस ब्रिटिश यात्री ने भारतीय संस्कृति और खेलों के बारे में अपने लेखन में गिल्ली डंडा के अवलोकन को शामिल किया?")</f>
        <v>19वीं शताब्दी के आरंभ में किस ब्रिटिश यात्री ने भारतीय संस्कृति और खेलों के बारे में अपने लेखन में गिल्ली डंडा के अवलोकन को शामिल किया?</v>
      </c>
      <c r="H207" s="5" t="str">
        <f>IFERROR(__xludf.DUMMYFUNCTION("GOOGLETRANSLATE(C207, ""en"", ""hi"")"),"ए) जेम्स रेनेल, बी) फ्रांसिस बुकानन-हैमिल्टन, सी) विलियम एडम्स, डी) अलेक्जेंडर बर्न्स")</f>
        <v>ए) जेम्स रेनेल, बी) फ्रांसिस बुकानन-हैमिल्टन, सी) विलियम एडम्स, डी) अलेक्जेंडर बर्न्स</v>
      </c>
      <c r="I207" s="5" t="str">
        <f>IFERROR(__xludf.DUMMYFUNCTION("GOOGLETRANSLATE(D207, ""en"", ""hi"")"),"बी) फ्रांसिस बुकानन-हैमिल्टन")</f>
        <v>बी) फ्रांसिस बुकानन-हैमिल्टन</v>
      </c>
    </row>
    <row r="208" ht="22.5" customHeight="1">
      <c r="A208" s="3">
        <v>207.0</v>
      </c>
      <c r="B208" s="4" t="s">
        <v>11532</v>
      </c>
      <c r="C208" s="4" t="s">
        <v>11533</v>
      </c>
      <c r="D208" s="4" t="s">
        <v>11375</v>
      </c>
      <c r="F208" s="5" t="str">
        <f>IFERROR(__xludf.DUMMYFUNCTION("GOOGLETRANSLATE(A208, ""en"", ""hi"")"),"207")</f>
        <v>207</v>
      </c>
      <c r="G208" s="5" t="str">
        <f>IFERROR(__xludf.DUMMYFUNCTION("GOOGLETRANSLATE(B208, ""en"", ""hi"")"),"किस भारतीय क्षेत्र में गिल्ली डंडा का एक अनूठा रूप है जिसमें स्थानीय रीति-रिवाज और नियम शामिल हैं?")</f>
        <v>किस भारतीय क्षेत्र में गिल्ली डंडा का एक अनूठा रूप है जिसमें स्थानीय रीति-रिवाज और नियम शामिल हैं?</v>
      </c>
      <c r="H208" s="5" t="str">
        <f>IFERROR(__xludf.DUMMYFUNCTION("GOOGLETRANSLATE(C208, ""en"", ""hi"")"),"A) पूर्वोत्तर भारत, B) दक्षिण भारत, C) पश्चिम भारत, D) मध्य भारत")</f>
        <v>A) पूर्वोत्तर भारत, B) दक्षिण भारत, C) पश्चिम भारत, D) मध्य भारत</v>
      </c>
      <c r="I208" s="5" t="str">
        <f>IFERROR(__xludf.DUMMYFUNCTION("GOOGLETRANSLATE(D208, ""en"", ""hi"")"),"A) पूर्वोत्तर भारत")</f>
        <v>A) पूर्वोत्तर भारत</v>
      </c>
    </row>
    <row r="209" ht="22.5" customHeight="1">
      <c r="A209" s="3">
        <v>208.0</v>
      </c>
      <c r="B209" s="4" t="s">
        <v>11534</v>
      </c>
      <c r="C209" s="4" t="s">
        <v>11535</v>
      </c>
      <c r="D209" s="4" t="s">
        <v>11484</v>
      </c>
      <c r="F209" s="5" t="str">
        <f>IFERROR(__xludf.DUMMYFUNCTION("GOOGLETRANSLATE(A209, ""en"", ""hi"")"),"208")</f>
        <v>208</v>
      </c>
      <c r="G209" s="5" t="str">
        <f>IFERROR(__xludf.DUMMYFUNCTION("GOOGLETRANSLATE(B209, ""en"", ""hi"")"),"कौन सा ऐतिहासिक दस्तावेज प्राचीन भारतीय समाज में गिल्ली डंडा के सामाजिक और सांस्कृतिक महत्व का वर्णन करता है?")</f>
        <v>कौन सा ऐतिहासिक दस्तावेज प्राचीन भारतीय समाज में गिल्ली डंडा के सामाजिक और सांस्कृतिक महत्व का वर्णन करता है?</v>
      </c>
      <c r="H209" s="5" t="str">
        <f>IFERROR(__xludf.DUMMYFUNCTION("GOOGLETRANSLATE(C209, ""en"", ""hi"")"),"ए) विष्णु पुराण, बी) महाभारत, सी) रामायण, डी) मनुस्मृति")</f>
        <v>ए) विष्णु पुराण, बी) महाभारत, सी) रामायण, डी) मनुस्मृति</v>
      </c>
      <c r="I209" s="5" t="str">
        <f>IFERROR(__xludf.DUMMYFUNCTION("GOOGLETRANSLATE(D209, ""en"", ""hi"")"),"A) विष्णु पुराण")</f>
        <v>A) विष्णु पुराण</v>
      </c>
    </row>
    <row r="210" ht="22.5" customHeight="1">
      <c r="A210" s="3">
        <v>209.0</v>
      </c>
      <c r="B210" s="4" t="s">
        <v>11536</v>
      </c>
      <c r="C210" s="4" t="s">
        <v>11537</v>
      </c>
      <c r="D210" s="4" t="s">
        <v>7311</v>
      </c>
      <c r="F210" s="5" t="str">
        <f>IFERROR(__xludf.DUMMYFUNCTION("GOOGLETRANSLATE(A210, ""en"", ""hi"")"),"209")</f>
        <v>209</v>
      </c>
      <c r="G210" s="5" t="str">
        <f>IFERROR(__xludf.DUMMYFUNCTION("GOOGLETRANSLATE(B210, ""en"", ""hi"")"),"कौन सा पारंपरिक भारतीय त्यौहार, विशेष रूप से ग्रामीण क्षेत्रों में, सामुदायिक गतिविधियों के एक भाग के रूप में गिल्ली डंडा को शामिल करता है?")</f>
        <v>कौन सा पारंपरिक भारतीय त्यौहार, विशेष रूप से ग्रामीण क्षेत्रों में, सामुदायिक गतिविधियों के एक भाग के रूप में गिल्ली डंडा को शामिल करता है?</v>
      </c>
      <c r="H210" s="5" t="str">
        <f>IFERROR(__xludf.DUMMYFUNCTION("GOOGLETRANSLATE(C210, ""en"", ""hi"")"),"ए) मकर संक्रांति, बी) होली, सी) दिवाली, डी) पोंगल")</f>
        <v>ए) मकर संक्रांति, बी) होली, सी) दिवाली, डी) पोंगल</v>
      </c>
      <c r="I210" s="5" t="str">
        <f>IFERROR(__xludf.DUMMYFUNCTION("GOOGLETRANSLATE(D210, ""en"", ""hi"")"),"A) मकर संक्रांति")</f>
        <v>A) मकर संक्रांति</v>
      </c>
    </row>
    <row r="211" ht="22.5" customHeight="1">
      <c r="A211" s="3">
        <v>210.0</v>
      </c>
      <c r="B211" s="4" t="s">
        <v>11538</v>
      </c>
      <c r="C211" s="4" t="s">
        <v>11539</v>
      </c>
      <c r="D211" s="4" t="s">
        <v>7468</v>
      </c>
      <c r="F211" s="5" t="str">
        <f>IFERROR(__xludf.DUMMYFUNCTION("GOOGLETRANSLATE(A211, ""en"", ""hi"")"),"210")</f>
        <v>210</v>
      </c>
      <c r="G211" s="5" t="str">
        <f>IFERROR(__xludf.DUMMYFUNCTION("GOOGLETRANSLATE(B211, ""en"", ""hi"")"),"20वीं सदी के आरंभ में किस भारतीय इतिहासकार और विद्वान ने गिल्ली डंडा जैसे पारंपरिक खेलों के ऐतिहासिक महत्व के बारे में लिखा था?")</f>
        <v>20वीं सदी के आरंभ में किस भारतीय इतिहासकार और विद्वान ने गिल्ली डंडा जैसे पारंपरिक खेलों के ऐतिहासिक महत्व के बारे में लिखा था?</v>
      </c>
      <c r="H211" s="5" t="str">
        <f>IFERROR(__xludf.DUMMYFUNCTION("GOOGLETRANSLATE(C211, ""en"", ""hi"")"),"A) आर. सी. मजूमदार, B) के. एम. मुंशी, C) एस. राधाकृष्णन, D) बी. एन. पांडे")</f>
        <v>A) आर. सी. मजूमदार, B) के. एम. मुंशी, C) एस. राधाकृष्णन, D) बी. एन. पांडे</v>
      </c>
      <c r="I211" s="5" t="str">
        <f>IFERROR(__xludf.DUMMYFUNCTION("GOOGLETRANSLATE(D211, ""en"", ""hi"")"),"A) आर. सी. मजूमदार")</f>
        <v>A) आर. सी. मजूमदार</v>
      </c>
    </row>
    <row r="212" ht="22.5" customHeight="1">
      <c r="A212" s="3">
        <v>211.0</v>
      </c>
      <c r="B212" s="4" t="s">
        <v>11540</v>
      </c>
      <c r="C212" s="4" t="s">
        <v>11541</v>
      </c>
      <c r="D212" s="4" t="s">
        <v>11473</v>
      </c>
      <c r="F212" s="5" t="str">
        <f>IFERROR(__xludf.DUMMYFUNCTION("GOOGLETRANSLATE(A212, ""en"", ""hi"")"),"211")</f>
        <v>211</v>
      </c>
      <c r="G212" s="5" t="str">
        <f>IFERROR(__xludf.DUMMYFUNCTION("GOOGLETRANSLATE(B212, ""en"", ""hi"")"),"किस प्राचीन ग्रंथ में गिल्ली डंडा जैसे पारंपरिक खेलों को खेलने के लिए विस्तृत निर्देश शामिल हैं, जो उनके शैक्षिक मूल्य पर प्रकाश डालते हैं?")</f>
        <v>किस प्राचीन ग्रंथ में गिल्ली डंडा जैसे पारंपरिक खेलों को खेलने के लिए विस्तृत निर्देश शामिल हैं, जो उनके शैक्षिक मूल्य पर प्रकाश डालते हैं?</v>
      </c>
      <c r="H212" s="5" t="str">
        <f>IFERROR(__xludf.DUMMYFUNCTION("GOOGLETRANSLATE(C212, ""en"", ""hi"")"),"ए) नाट्यशास्त्र, बी) अर्थशास्त्र, सी) विष्णु पुराण, डी) मनुस्मृति")</f>
        <v>ए) नाट्यशास्त्र, बी) अर्थशास्त्र, सी) विष्णु पुराण, डी) मनुस्मृति</v>
      </c>
      <c r="I212" s="5" t="str">
        <f>IFERROR(__xludf.DUMMYFUNCTION("GOOGLETRANSLATE(D212, ""en"", ""hi"")"),"A) नाट्यशास्त्र")</f>
        <v>A) नाट्यशास्त्र</v>
      </c>
    </row>
    <row r="213" ht="22.5" customHeight="1">
      <c r="A213" s="3">
        <v>212.0</v>
      </c>
      <c r="B213" s="4" t="s">
        <v>11542</v>
      </c>
      <c r="C213" s="4" t="s">
        <v>11543</v>
      </c>
      <c r="D213" s="4" t="s">
        <v>3566</v>
      </c>
      <c r="F213" s="5" t="str">
        <f>IFERROR(__xludf.DUMMYFUNCTION("GOOGLETRANSLATE(A213, ""en"", ""hi"")"),"212")</f>
        <v>212</v>
      </c>
      <c r="G213" s="5" t="str">
        <f>IFERROR(__xludf.DUMMYFUNCTION("GOOGLETRANSLATE(B213, ""en"", ""hi"")"),"मुगल काल के किस ऐतिहासिक व्यक्ति ने भारतीय संस्कृति पर अपने अवलोकन के भाग के रूप में गिल्ली डंडा का दस्तावेजीकरण किया?")</f>
        <v>मुगल काल के किस ऐतिहासिक व्यक्ति ने भारतीय संस्कृति पर अपने अवलोकन के भाग के रूप में गिल्ली डंडा का दस्तावेजीकरण किया?</v>
      </c>
      <c r="H213" s="5" t="str">
        <f>IFERROR(__xludf.DUMMYFUNCTION("GOOGLETRANSLATE(C213, ""en"", ""hi"")"),"ए) बाबर, बी) अकबर, सी) हुमायूं, डी) शाहजहाँ")</f>
        <v>ए) बाबर, बी) अकबर, सी) हुमायूं, डी) शाहजहाँ</v>
      </c>
      <c r="I213" s="5" t="str">
        <f>IFERROR(__xludf.DUMMYFUNCTION("GOOGLETRANSLATE(D213, ""en"", ""hi"")"),"बी) अकबर")</f>
        <v>बी) अकबर</v>
      </c>
    </row>
    <row r="214" ht="22.5" customHeight="1">
      <c r="A214" s="3">
        <v>213.0</v>
      </c>
      <c r="B214" s="4" t="s">
        <v>11544</v>
      </c>
      <c r="C214" s="4" t="s">
        <v>11435</v>
      </c>
      <c r="D214" s="4" t="s">
        <v>11407</v>
      </c>
      <c r="F214" s="5" t="str">
        <f>IFERROR(__xludf.DUMMYFUNCTION("GOOGLETRANSLATE(A214, ""en"", ""hi"")"),"213")</f>
        <v>213</v>
      </c>
      <c r="G214" s="5" t="str">
        <f>IFERROR(__xludf.DUMMYFUNCTION("GOOGLETRANSLATE(B214, ""en"", ""hi"")"),"20वीं सदी के आरंभ में किस भारतीय लेखक ने पारंपरिक ग्रामीण जीवन और खेलों के बारे में अपनी रचनाओं में गिल्ली डंडा को शामिल किया?")</f>
        <v>20वीं सदी के आरंभ में किस भारतीय लेखक ने पारंपरिक ग्रामीण जीवन और खेलों के बारे में अपनी रचनाओं में गिल्ली डंडा को शामिल किया?</v>
      </c>
      <c r="H214" s="5" t="str">
        <f>IFERROR(__xludf.DUMMYFUNCTION("GOOGLETRANSLATE(C214, ""en"", ""hi"")"),"ए) मुंशी प्रेमचंद, बी) रवींद्रनाथ टैगोर, सी) इस्मत चुगताई, डी) खुशवंत सिंह")</f>
        <v>ए) मुंशी प्रेमचंद, बी) रवींद्रनाथ टैगोर, सी) इस्मत चुगताई, डी) खुशवंत सिंह</v>
      </c>
      <c r="I214" s="5" t="str">
        <f>IFERROR(__xludf.DUMMYFUNCTION("GOOGLETRANSLATE(D214, ""en"", ""hi"")"),"A) मुंशी प्रेमचंद")</f>
        <v>A) मुंशी प्रेमचंद</v>
      </c>
    </row>
    <row r="215" ht="22.5" customHeight="1">
      <c r="A215" s="3">
        <v>214.0</v>
      </c>
      <c r="B215" s="4" t="s">
        <v>11545</v>
      </c>
      <c r="C215" s="4" t="s">
        <v>11358</v>
      </c>
      <c r="D215" s="4" t="s">
        <v>11359</v>
      </c>
      <c r="F215" s="5" t="str">
        <f>IFERROR(__xludf.DUMMYFUNCTION("GOOGLETRANSLATE(A215, ""en"", ""hi"")"),"214")</f>
        <v>214</v>
      </c>
      <c r="G215" s="5" t="str">
        <f>IFERROR(__xludf.DUMMYFUNCTION("GOOGLETRANSLATE(B215, ""en"", ""hi"")"),"कौन सा ब्रिटिश औपनिवेशिक अधिकारी भारतीय खेलों के अपने अध्ययन में गिल्ली डंडा की सांस्कृतिक प्रथाओं का दस्तावेजीकरण करने के लिए जाना जाता है?")</f>
        <v>कौन सा ब्रिटिश औपनिवेशिक अधिकारी भारतीय खेलों के अपने अध्ययन में गिल्ली डंडा की सांस्कृतिक प्रथाओं का दस्तावेजीकरण करने के लिए जाना जाता है?</v>
      </c>
      <c r="H215" s="5" t="str">
        <f>IFERROR(__xludf.DUMMYFUNCTION("GOOGLETRANSLATE(C215, ""en"", ""hi"")"),"A) लॉर्ड कर्जन, B) सर विलियम स्लीमन, C) सर जॉर्ज एवरेस्ट, D) लॉर्ड मिंटो")</f>
        <v>A) लॉर्ड कर्जन, B) सर विलियम स्लीमन, C) सर जॉर्ज एवरेस्ट, D) लॉर्ड मिंटो</v>
      </c>
      <c r="I215" s="5" t="str">
        <f>IFERROR(__xludf.DUMMYFUNCTION("GOOGLETRANSLATE(D215, ""en"", ""hi"")"),"बी) सर विलियम स्लीमन")</f>
        <v>बी) सर विलियम स्लीमन</v>
      </c>
    </row>
    <row r="216" ht="22.5" customHeight="1">
      <c r="A216" s="3">
        <v>215.0</v>
      </c>
      <c r="B216" s="4" t="s">
        <v>11546</v>
      </c>
      <c r="C216" s="4" t="s">
        <v>11441</v>
      </c>
      <c r="D216" s="4" t="s">
        <v>11442</v>
      </c>
      <c r="F216" s="5" t="str">
        <f>IFERROR(__xludf.DUMMYFUNCTION("GOOGLETRANSLATE(A216, ""en"", ""hi"")"),"215")</f>
        <v>215</v>
      </c>
      <c r="G216" s="5" t="str">
        <f>IFERROR(__xludf.DUMMYFUNCTION("GOOGLETRANSLATE(B216, ""en"", ""hi"")"),"किस भारतीय कवि ने ग्रामीण और ग्रामीण जीवन के बारे में अपनी कविता में गिल्ली डंडा जैसे पारंपरिक खेलों के बारे में लिखा?")</f>
        <v>किस भारतीय कवि ने ग्रामीण और ग्रामीण जीवन के बारे में अपनी कविता में गिल्ली डंडा जैसे पारंपरिक खेलों के बारे में लिखा?</v>
      </c>
      <c r="H216" s="5" t="str">
        <f>IFERROR(__xludf.DUMMYFUNCTION("GOOGLETRANSLATE(C216, ""en"", ""hi"")"),"ए) कबीर, बी) तुलसीदास, सी) मीराबाई, डी) रवींद्रनाथ टैगोर")</f>
        <v>ए) कबीर, बी) तुलसीदास, सी) मीराबाई, डी) रवींद्रनाथ टैगोर</v>
      </c>
      <c r="I216" s="5" t="str">
        <f>IFERROR(__xludf.DUMMYFUNCTION("GOOGLETRANSLATE(D216, ""en"", ""hi"")"),"A) कबीर")</f>
        <v>A) कबीर</v>
      </c>
    </row>
    <row r="217" ht="22.5" customHeight="1">
      <c r="A217" s="3">
        <v>216.0</v>
      </c>
      <c r="B217" s="4" t="s">
        <v>11547</v>
      </c>
      <c r="C217" s="4" t="s">
        <v>11490</v>
      </c>
      <c r="D217" s="4" t="s">
        <v>4623</v>
      </c>
      <c r="F217" s="5" t="str">
        <f>IFERROR(__xludf.DUMMYFUNCTION("GOOGLETRANSLATE(A217, ""en"", ""hi"")"),"216")</f>
        <v>216</v>
      </c>
      <c r="G217" s="5" t="str">
        <f>IFERROR(__xludf.DUMMYFUNCTION("GOOGLETRANSLATE(B217, ""en"", ""hi"")"),"किस प्राचीन भारतीय राजा का दरबार गिल्ली डंडा जैसे पारंपरिक खेलों को अपने मनोरंजन का हिस्सा बनाने के लिए जाना जाता था?")</f>
        <v>किस प्राचीन भारतीय राजा का दरबार गिल्ली डंडा जैसे पारंपरिक खेलों को अपने मनोरंजन का हिस्सा बनाने के लिए जाना जाता था?</v>
      </c>
      <c r="H217" s="5" t="str">
        <f>IFERROR(__xludf.DUMMYFUNCTION("GOOGLETRANSLATE(C217, ""en"", ""hi"")"),"ए) अशोक, बी) चंद्रगुप्त मौर्य, सी) राजा भोज, डी) विक्रमादित्य")</f>
        <v>ए) अशोक, बी) चंद्रगुप्त मौर्य, सी) राजा भोज, डी) विक्रमादित्य</v>
      </c>
      <c r="I217" s="5" t="str">
        <f>IFERROR(__xludf.DUMMYFUNCTION("GOOGLETRANSLATE(D217, ""en"", ""hi"")"),"D) विक्रमादित्य")</f>
        <v>D) विक्रमादित्य</v>
      </c>
    </row>
    <row r="218" ht="22.5" customHeight="1">
      <c r="A218" s="3">
        <v>217.0</v>
      </c>
      <c r="B218" s="4" t="s">
        <v>11548</v>
      </c>
      <c r="C218" s="4" t="s">
        <v>11475</v>
      </c>
      <c r="D218" s="4" t="s">
        <v>3918</v>
      </c>
      <c r="F218" s="5" t="str">
        <f>IFERROR(__xludf.DUMMYFUNCTION("GOOGLETRANSLATE(A218, ""en"", ""hi"")"),"217")</f>
        <v>217</v>
      </c>
      <c r="G218" s="5" t="str">
        <f>IFERROR(__xludf.DUMMYFUNCTION("GOOGLETRANSLATE(B218, ""en"", ""hi"")"),"कौन सा भारतीय त्यौहार, विशेष रूप से गुजरात में, गिल्ली डंडा को अपने उत्सव के दौरान एक प्रमुख गतिविधि के रूप में शामिल करता है?")</f>
        <v>कौन सा भारतीय त्यौहार, विशेष रूप से गुजरात में, गिल्ली डंडा को अपने उत्सव के दौरान एक प्रमुख गतिविधि के रूप में शामिल करता है?</v>
      </c>
      <c r="H218" s="5" t="str">
        <f>IFERROR(__xludf.DUMMYFUNCTION("GOOGLETRANSLATE(C218, ""en"", ""hi"")"),"ए) नवरात्रि, बी) मकर संक्रांति, सी) दिवाली, डी) होली")</f>
        <v>ए) नवरात्रि, बी) मकर संक्रांति, सी) दिवाली, डी) होली</v>
      </c>
      <c r="I218" s="5" t="str">
        <f>IFERROR(__xludf.DUMMYFUNCTION("GOOGLETRANSLATE(D218, ""en"", ""hi"")"),"बी) मकर संक्रांति")</f>
        <v>बी) मकर संक्रांति</v>
      </c>
    </row>
    <row r="219" ht="22.5" customHeight="1">
      <c r="A219" s="3">
        <v>218.0</v>
      </c>
      <c r="B219" s="4" t="s">
        <v>11549</v>
      </c>
      <c r="C219" s="4" t="s">
        <v>11550</v>
      </c>
      <c r="D219" s="4" t="s">
        <v>7468</v>
      </c>
      <c r="F219" s="5" t="str">
        <f>IFERROR(__xludf.DUMMYFUNCTION("GOOGLETRANSLATE(A219, ""en"", ""hi"")"),"218")</f>
        <v>218</v>
      </c>
      <c r="G219" s="5" t="str">
        <f>IFERROR(__xludf.DUMMYFUNCTION("GOOGLETRANSLATE(B219, ""en"", ""hi"")"),"किस प्रसिद्ध भारतीय इतिहासकार ने गिल्ली डंडा जैसे पारंपरिक खेलों के सांस्कृतिक और ऐतिहासिक महत्व के बारे में लिखा?")</f>
        <v>किस प्रसिद्ध भारतीय इतिहासकार ने गिल्ली डंडा जैसे पारंपरिक खेलों के सांस्कृतिक और ऐतिहासिक महत्व के बारे में लिखा?</v>
      </c>
      <c r="H219" s="5" t="str">
        <f>IFERROR(__xludf.DUMMYFUNCTION("GOOGLETRANSLATE(C219, ""en"", ""hi"")"),"ए) आर. सी. मजूमदार, बी) बिपन चंद्रा, सी) के. एम. पणिक्कर, डी) एस. राधाकृष्णन")</f>
        <v>ए) आर. सी. मजूमदार, बी) बिपन चंद्रा, सी) के. एम. पणिक्कर, डी) एस. राधाकृष्णन</v>
      </c>
      <c r="I219" s="5" t="str">
        <f>IFERROR(__xludf.DUMMYFUNCTION("GOOGLETRANSLATE(D219, ""en"", ""hi"")"),"A) आर. सी. मजूमदार")</f>
        <v>A) आर. सी. मजूमदार</v>
      </c>
    </row>
    <row r="220" ht="22.5" customHeight="1">
      <c r="A220" s="3">
        <v>219.0</v>
      </c>
      <c r="B220" s="4" t="s">
        <v>11551</v>
      </c>
      <c r="C220" s="4" t="s">
        <v>11552</v>
      </c>
      <c r="D220" s="4" t="s">
        <v>11339</v>
      </c>
      <c r="F220" s="5" t="str">
        <f>IFERROR(__xludf.DUMMYFUNCTION("GOOGLETRANSLATE(A220, ""en"", ""hi"")"),"219")</f>
        <v>219</v>
      </c>
      <c r="G220" s="5" t="str">
        <f>IFERROR(__xludf.DUMMYFUNCTION("GOOGLETRANSLATE(B220, ""en"", ""hi"")"),"20वीं सदी के आरंभ में किस भारतीय शोधकर्ता ने स्वदेशी खेलों के अपने अध्ययन में गिल्ली डंडा जैसे पारंपरिक खेलों को शामिल किया?")</f>
        <v>20वीं सदी के आरंभ में किस भारतीय शोधकर्ता ने स्वदेशी खेलों के अपने अध्ययन में गिल्ली डंडा जैसे पारंपरिक खेलों को शामिल किया?</v>
      </c>
      <c r="H220" s="5" t="str">
        <f>IFERROR(__xludf.DUMMYFUNCTION("GOOGLETRANSLATE(C220, ""en"", ""hi"")"),"A) एम. के. गांधी, B) के. एम. मुंशी, C) आर. सी. मजूमदार, D) एस. आर. शर्मा")</f>
        <v>A) एम. के. गांधी, B) के. एम. मुंशी, C) आर. सी. मजूमदार, D) एस. आर. शर्मा</v>
      </c>
      <c r="I220" s="5" t="str">
        <f>IFERROR(__xludf.DUMMYFUNCTION("GOOGLETRANSLATE(D220, ""en"", ""hi"")"),"C) आर. सी. मजूमदार")</f>
        <v>C) आर. सी. मजूमदार</v>
      </c>
    </row>
    <row r="221" ht="22.5" customHeight="1">
      <c r="A221" s="3">
        <v>220.0</v>
      </c>
      <c r="B221" s="4" t="s">
        <v>11553</v>
      </c>
      <c r="C221" s="4" t="s">
        <v>11445</v>
      </c>
      <c r="D221" s="4" t="s">
        <v>4355</v>
      </c>
      <c r="F221" s="5" t="str">
        <f>IFERROR(__xludf.DUMMYFUNCTION("GOOGLETRANSLATE(A221, ""en"", ""hi"")"),"220")</f>
        <v>220</v>
      </c>
      <c r="G221" s="5" t="str">
        <f>IFERROR(__xludf.DUMMYFUNCTION("GOOGLETRANSLATE(B221, ""en"", ""hi"")"),"गिल्ली डंडा के समान कौन सा पारंपरिक भारतीय खेल अक्सर ग्रामीण क्षेत्रों में सामुदायिक त्योहारों और स्थानीय समारोहों के दौरान खेला जाता है?")</f>
        <v>गिल्ली डंडा के समान कौन सा पारंपरिक भारतीय खेल अक्सर ग्रामीण क्षेत्रों में सामुदायिक त्योहारों और स्थानीय समारोहों के दौरान खेला जाता है?</v>
      </c>
      <c r="H221" s="5" t="str">
        <f>IFERROR(__xludf.DUMMYFUNCTION("GOOGLETRANSLATE(C221, ""en"", ""hi"")"),"ए) कबड्डी, बी) सातोलिया, सी) गट्टा-गट्टी, डी) पोलो")</f>
        <v>ए) कबड्डी, बी) सातोलिया, सी) गट्टा-गट्टी, डी) पोलो</v>
      </c>
      <c r="I221" s="5" t="str">
        <f>IFERROR(__xludf.DUMMYFUNCTION("GOOGLETRANSLATE(D221, ""en"", ""hi"")"),"बी) सतोलिया")</f>
        <v>बी) सतोलिया</v>
      </c>
    </row>
    <row r="222" ht="22.5" customHeight="1">
      <c r="A222" s="3">
        <v>221.0</v>
      </c>
      <c r="B222" s="4" t="s">
        <v>11554</v>
      </c>
      <c r="C222" s="4" t="s">
        <v>11533</v>
      </c>
      <c r="D222" s="4" t="s">
        <v>11375</v>
      </c>
      <c r="F222" s="5" t="str">
        <f>IFERROR(__xludf.DUMMYFUNCTION("GOOGLETRANSLATE(A222, ""en"", ""hi"")"),"221")</f>
        <v>221</v>
      </c>
      <c r="G222" s="5" t="str">
        <f>IFERROR(__xludf.DUMMYFUNCTION("GOOGLETRANSLATE(B222, ""en"", ""hi"")"),"कौन सा भारतीय क्षेत्र गिल्ली डंडा के अपने अनूठे संस्करण के लिए जाना जाता है, जिसमें स्थानीय रीति-रिवाज और खेल की विविधताएं शामिल हैं?")</f>
        <v>कौन सा भारतीय क्षेत्र गिल्ली डंडा के अपने अनूठे संस्करण के लिए जाना जाता है, जिसमें स्थानीय रीति-रिवाज और खेल की विविधताएं शामिल हैं?</v>
      </c>
      <c r="H222" s="5" t="str">
        <f>IFERROR(__xludf.DUMMYFUNCTION("GOOGLETRANSLATE(C222, ""en"", ""hi"")"),"A) पूर्वोत्तर भारत, B) दक्षिण भारत, C) पश्चिम भारत, D) मध्य भारत")</f>
        <v>A) पूर्वोत्तर भारत, B) दक्षिण भारत, C) पश्चिम भारत, D) मध्य भारत</v>
      </c>
      <c r="I222" s="5" t="str">
        <f>IFERROR(__xludf.DUMMYFUNCTION("GOOGLETRANSLATE(D222, ""en"", ""hi"")"),"A) पूर्वोत्तर भारत")</f>
        <v>A) पूर्वोत्तर भारत</v>
      </c>
    </row>
    <row r="223" ht="22.5" customHeight="1">
      <c r="A223" s="3">
        <v>222.0</v>
      </c>
      <c r="B223" s="4" t="s">
        <v>11555</v>
      </c>
      <c r="C223" s="4" t="s">
        <v>11556</v>
      </c>
      <c r="D223" s="4" t="s">
        <v>11473</v>
      </c>
      <c r="F223" s="5" t="str">
        <f>IFERROR(__xludf.DUMMYFUNCTION("GOOGLETRANSLATE(A223, ""en"", ""hi"")"),"222")</f>
        <v>222</v>
      </c>
      <c r="G223" s="5" t="str">
        <f>IFERROR(__xludf.DUMMYFUNCTION("GOOGLETRANSLATE(B223, ""en"", ""hi"")"),"प्राचीन भारत का कौन सा ऐतिहासिक ग्रंथ गिल्ली डंडा जैसे खेलों का विस्तृत वर्णन प्रदान करता है, जो शिक्षा में उनकी भूमिका पर ध्यान केंद्रित करता है?")</f>
        <v>प्राचीन भारत का कौन सा ऐतिहासिक ग्रंथ गिल्ली डंडा जैसे खेलों का विस्तृत वर्णन प्रदान करता है, जो शिक्षा में उनकी भूमिका पर ध्यान केंद्रित करता है?</v>
      </c>
      <c r="H223" s="5" t="str">
        <f>IFERROR(__xludf.DUMMYFUNCTION("GOOGLETRANSLATE(C223, ""en"", ""hi"")"),"ए) नाट्यशास्त्र, बी) विष्णु पुराण, सी) रामायण, डी) मनुस्मृति")</f>
        <v>ए) नाट्यशास्त्र, बी) विष्णु पुराण, सी) रामायण, डी) मनुस्मृति</v>
      </c>
      <c r="I223" s="5" t="str">
        <f>IFERROR(__xludf.DUMMYFUNCTION("GOOGLETRANSLATE(D223, ""en"", ""hi"")"),"A) नाट्यशास्त्र")</f>
        <v>A) नाट्यशास्त्र</v>
      </c>
    </row>
    <row r="224" ht="22.5" customHeight="1">
      <c r="A224" s="3">
        <v>223.0</v>
      </c>
      <c r="B224" s="4" t="s">
        <v>11557</v>
      </c>
      <c r="C224" s="4" t="s">
        <v>11435</v>
      </c>
      <c r="D224" s="4" t="s">
        <v>11407</v>
      </c>
      <c r="F224" s="5" t="str">
        <f>IFERROR(__xludf.DUMMYFUNCTION("GOOGLETRANSLATE(A224, ""en"", ""hi"")"),"223")</f>
        <v>223</v>
      </c>
      <c r="G224" s="5" t="str">
        <f>IFERROR(__xludf.DUMMYFUNCTION("GOOGLETRANSLATE(B224, ""en"", ""hi"")"),"20वीं सदी के आरंभ में किस भारतीय लेखक ने अपने साहित्यिक कार्यों में पारंपरिक ग्रामीण जीवन के प्रतीक के रूप में गिल्ली डंडा का प्रयोग किया?")</f>
        <v>20वीं सदी के आरंभ में किस भारतीय लेखक ने अपने साहित्यिक कार्यों में पारंपरिक ग्रामीण जीवन के प्रतीक के रूप में गिल्ली डंडा का प्रयोग किया?</v>
      </c>
      <c r="H224" s="5" t="str">
        <f>IFERROR(__xludf.DUMMYFUNCTION("GOOGLETRANSLATE(C224, ""en"", ""hi"")"),"ए) मुंशी प्रेमचंद, बी) रवींद्रनाथ टैगोर, सी) इस्मत चुगताई, डी) खुशवंत सिंह")</f>
        <v>ए) मुंशी प्रेमचंद, बी) रवींद्रनाथ टैगोर, सी) इस्मत चुगताई, डी) खुशवंत सिंह</v>
      </c>
      <c r="I224" s="5" t="str">
        <f>IFERROR(__xludf.DUMMYFUNCTION("GOOGLETRANSLATE(D224, ""en"", ""hi"")"),"A) मुंशी प्रेमचंद")</f>
        <v>A) मुंशी प्रेमचंद</v>
      </c>
    </row>
    <row r="225" ht="22.5" customHeight="1">
      <c r="A225" s="3">
        <v>224.0</v>
      </c>
      <c r="B225" s="4" t="s">
        <v>11558</v>
      </c>
      <c r="C225" s="4" t="s">
        <v>11539</v>
      </c>
      <c r="D225" s="4" t="s">
        <v>7468</v>
      </c>
      <c r="F225" s="5" t="str">
        <f>IFERROR(__xludf.DUMMYFUNCTION("GOOGLETRANSLATE(A225, ""en"", ""hi"")"),"224")</f>
        <v>224</v>
      </c>
      <c r="G225" s="5" t="str">
        <f>IFERROR(__xludf.DUMMYFUNCTION("GOOGLETRANSLATE(B225, ""en"", ""hi"")"),"किस भारतीय इतिहासकार और विद्वान ने अपने अध्ययन में गिल्ली डंडा जैसे पारंपरिक खेलों के ऐतिहासिक महत्व के बारे में लिखा?")</f>
        <v>किस भारतीय इतिहासकार और विद्वान ने अपने अध्ययन में गिल्ली डंडा जैसे पारंपरिक खेलों के ऐतिहासिक महत्व के बारे में लिखा?</v>
      </c>
      <c r="H225" s="5" t="str">
        <f>IFERROR(__xludf.DUMMYFUNCTION("GOOGLETRANSLATE(C225, ""en"", ""hi"")"),"A) आर. सी. मजूमदार, B) के. एम. मुंशी, C) एस. राधाकृष्णन, D) बी. एन. पांडे")</f>
        <v>A) आर. सी. मजूमदार, B) के. एम. मुंशी, C) एस. राधाकृष्णन, D) बी. एन. पांडे</v>
      </c>
      <c r="I225" s="5" t="str">
        <f>IFERROR(__xludf.DUMMYFUNCTION("GOOGLETRANSLATE(D225, ""en"", ""hi"")"),"A) आर. सी. मजूमदार")</f>
        <v>A) आर. सी. मजूमदार</v>
      </c>
    </row>
    <row r="226" ht="22.5" customHeight="1">
      <c r="A226" s="3">
        <v>225.0</v>
      </c>
      <c r="B226" s="4" t="s">
        <v>11559</v>
      </c>
      <c r="C226" s="4" t="s">
        <v>11560</v>
      </c>
      <c r="D226" s="4" t="s">
        <v>11522</v>
      </c>
      <c r="F226" s="5" t="str">
        <f>IFERROR(__xludf.DUMMYFUNCTION("GOOGLETRANSLATE(A226, ""en"", ""hi"")"),"225")</f>
        <v>225</v>
      </c>
      <c r="G226" s="5" t="str">
        <f>IFERROR(__xludf.DUMMYFUNCTION("GOOGLETRANSLATE(B226, ""en"", ""hi"")"),"किस ब्रिटिश यात्री ने 19वीं शताब्दी में भारतीय संस्कृति पर अपने अवलोकन के भाग के रूप में गिल्ली डंडा के पारंपरिक खेल का दस्तावेजीकरण किया था?")</f>
        <v>किस ब्रिटिश यात्री ने 19वीं शताब्दी में भारतीय संस्कृति पर अपने अवलोकन के भाग के रूप में गिल्ली डंडा के पारंपरिक खेल का दस्तावेजीकरण किया था?</v>
      </c>
      <c r="H226" s="5" t="str">
        <f>IFERROR(__xludf.DUMMYFUNCTION("GOOGLETRANSLATE(C226, ""en"", ""hi"")"),"A) फ्रांसिस बुकानन-हैमिल्टन, B) विलियम एडम्स, C) जेम्स रेनेल, D) अलेक्जेंडर बर्न्स")</f>
        <v>A) फ्रांसिस बुकानन-हैमिल्टन, B) विलियम एडम्स, C) जेम्स रेनेल, D) अलेक्जेंडर बर्न्स</v>
      </c>
      <c r="I226" s="5" t="str">
        <f>IFERROR(__xludf.DUMMYFUNCTION("GOOGLETRANSLATE(D226, ""en"", ""hi"")"),"A) फ्रांसिस बुकानन-हैमिल्टन")</f>
        <v>A) फ्रांसिस बुकानन-हैमिल्टन</v>
      </c>
    </row>
    <row r="227" ht="22.5" customHeight="1">
      <c r="A227" s="3">
        <v>226.0</v>
      </c>
      <c r="B227" s="4" t="s">
        <v>11561</v>
      </c>
      <c r="C227" s="4" t="s">
        <v>11515</v>
      </c>
      <c r="D227" s="4" t="s">
        <v>11500</v>
      </c>
      <c r="F227" s="5" t="str">
        <f>IFERROR(__xludf.DUMMYFUNCTION("GOOGLETRANSLATE(A227, ""en"", ""hi"")"),"226")</f>
        <v>226</v>
      </c>
      <c r="G227" s="5" t="str">
        <f>IFERROR(__xludf.DUMMYFUNCTION("GOOGLETRANSLATE(B227, ""en"", ""hi"")"),"कौन सा भारतीय त्यौहार, विशेष रूप से उत्तर प्रदेश और पंजाब के क्षेत्रों में, स्थानीय सांस्कृतिक गतिविधियों के भाग के रूप में गिल्ली डंडा को शामिल करता है?")</f>
        <v>कौन सा भारतीय त्यौहार, विशेष रूप से उत्तर प्रदेश और पंजाब के क्षेत्रों में, स्थानीय सांस्कृतिक गतिविधियों के भाग के रूप में गिल्ली डंडा को शामिल करता है?</v>
      </c>
      <c r="H227" s="5" t="str">
        <f>IFERROR(__xludf.DUMMYFUNCTION("GOOGLETRANSLATE(C227, ""en"", ""hi"")"),"ए) लोहड़ी, बी) बैसाखी, सी) दिवाली, डी) होली")</f>
        <v>ए) लोहड़ी, बी) बैसाखी, सी) दिवाली, डी) होली</v>
      </c>
      <c r="I227" s="5" t="str">
        <f>IFERROR(__xludf.DUMMYFUNCTION("GOOGLETRANSLATE(D227, ""en"", ""hi"")"),"बी) बैसाखी")</f>
        <v>बी) बैसाखी</v>
      </c>
    </row>
    <row r="228" ht="22.5" customHeight="1">
      <c r="A228" s="3">
        <v>227.0</v>
      </c>
      <c r="B228" s="4" t="s">
        <v>11562</v>
      </c>
      <c r="C228" s="4" t="s">
        <v>11441</v>
      </c>
      <c r="D228" s="4" t="s">
        <v>11442</v>
      </c>
      <c r="F228" s="5" t="str">
        <f>IFERROR(__xludf.DUMMYFUNCTION("GOOGLETRANSLATE(A228, ""en"", ""hi"")"),"227")</f>
        <v>227</v>
      </c>
      <c r="G228" s="5" t="str">
        <f>IFERROR(__xludf.DUMMYFUNCTION("GOOGLETRANSLATE(B228, ""en"", ""hi"")"),"किस प्रसिद्ध भारतीय कवि ने ग्रामीण जीवन पर अपनी रचनाओं में गिल्ली डंडा सहित पारंपरिक खेलों के बारे में लिखा?")</f>
        <v>किस प्रसिद्ध भारतीय कवि ने ग्रामीण जीवन पर अपनी रचनाओं में गिल्ली डंडा सहित पारंपरिक खेलों के बारे में लिखा?</v>
      </c>
      <c r="H228" s="5" t="str">
        <f>IFERROR(__xludf.DUMMYFUNCTION("GOOGLETRANSLATE(C228, ""en"", ""hi"")"),"ए) कबीर, बी) तुलसीदास, सी) मीराबाई, डी) रवींद्रनाथ टैगोर")</f>
        <v>ए) कबीर, बी) तुलसीदास, सी) मीराबाई, डी) रवींद्रनाथ टैगोर</v>
      </c>
      <c r="I228" s="5" t="str">
        <f>IFERROR(__xludf.DUMMYFUNCTION("GOOGLETRANSLATE(D228, ""en"", ""hi"")"),"A) कबीर")</f>
        <v>A) कबीर</v>
      </c>
    </row>
    <row r="229" ht="22.5" customHeight="1">
      <c r="A229" s="3">
        <v>228.0</v>
      </c>
      <c r="B229" s="4" t="s">
        <v>11563</v>
      </c>
      <c r="C229" s="4" t="s">
        <v>11506</v>
      </c>
      <c r="D229" s="4" t="s">
        <v>7225</v>
      </c>
      <c r="F229" s="5" t="str">
        <f>IFERROR(__xludf.DUMMYFUNCTION("GOOGLETRANSLATE(A229, ""en"", ""hi"")"),"228")</f>
        <v>228</v>
      </c>
      <c r="G229" s="5" t="str">
        <f>IFERROR(__xludf.DUMMYFUNCTION("GOOGLETRANSLATE(B229, ""en"", ""hi"")"),"कौन सा भारतीय क्षेत्र आधुनिक प्रभावों के बावजूद स्थानीय त्योहारों और सामुदायिक आयोजनों के माध्यम से गिल्ली डंडा के संरक्षण के लिए जाना जाता है?")</f>
        <v>कौन सा भारतीय क्षेत्र आधुनिक प्रभावों के बावजूद स्थानीय त्योहारों और सामुदायिक आयोजनों के माध्यम से गिल्ली डंडा के संरक्षण के लिए जाना जाता है?</v>
      </c>
      <c r="H229" s="5" t="str">
        <f>IFERROR(__xludf.DUMMYFUNCTION("GOOGLETRANSLATE(C229, ""en"", ""hi"")"),"A) पंजाब, B) पश्चिम बंगाल, C) गुजरात, D) उत्तर प्रदेश")</f>
        <v>A) पंजाब, B) पश्चिम बंगाल, C) गुजरात, D) उत्तर प्रदेश</v>
      </c>
      <c r="I229" s="5" t="str">
        <f>IFERROR(__xludf.DUMMYFUNCTION("GOOGLETRANSLATE(D229, ""en"", ""hi"")"),"बी) पश्चिम बंगाल")</f>
        <v>बी) पश्चिम बंगाल</v>
      </c>
    </row>
    <row r="230" ht="22.5" customHeight="1">
      <c r="A230" s="3">
        <v>229.0</v>
      </c>
      <c r="B230" s="4" t="s">
        <v>11564</v>
      </c>
      <c r="C230" s="4" t="s">
        <v>11560</v>
      </c>
      <c r="D230" s="4" t="s">
        <v>11522</v>
      </c>
      <c r="F230" s="5" t="str">
        <f>IFERROR(__xludf.DUMMYFUNCTION("GOOGLETRANSLATE(A230, ""en"", ""hi"")"),"229")</f>
        <v>229</v>
      </c>
      <c r="G230" s="5" t="str">
        <f>IFERROR(__xludf.DUMMYFUNCTION("GOOGLETRANSLATE(B230, ""en"", ""hi"")"),"19वीं सदी के किस ब्रिटिश विद्वान और यात्री ने गिल्ली डंडा जैसे पारंपरिक भारतीय खेलों को अपने सांस्कृतिक अध्ययन के हिस्से के रूप में प्रलेखित किया?")</f>
        <v>19वीं सदी के किस ब्रिटिश विद्वान और यात्री ने गिल्ली डंडा जैसे पारंपरिक भारतीय खेलों को अपने सांस्कृतिक अध्ययन के हिस्से के रूप में प्रलेखित किया?</v>
      </c>
      <c r="H230" s="5" t="str">
        <f>IFERROR(__xludf.DUMMYFUNCTION("GOOGLETRANSLATE(C230, ""en"", ""hi"")"),"A) फ्रांसिस बुकानन-हैमिल्टन, B) विलियम एडम्स, C) जेम्स रेनेल, D) अलेक्जेंडर बर्न्स")</f>
        <v>A) फ्रांसिस बुकानन-हैमिल्टन, B) विलियम एडम्स, C) जेम्स रेनेल, D) अलेक्जेंडर बर्न्स</v>
      </c>
      <c r="I230" s="5" t="str">
        <f>IFERROR(__xludf.DUMMYFUNCTION("GOOGLETRANSLATE(D230, ""en"", ""hi"")"),"A) फ्रांसिस बुकानन-हैमिल्टन")</f>
        <v>A) फ्रांसिस बुकानन-हैमिल्टन</v>
      </c>
    </row>
    <row r="231" ht="22.5" customHeight="1">
      <c r="A231" s="3">
        <v>230.0</v>
      </c>
      <c r="B231" s="4" t="s">
        <v>11565</v>
      </c>
      <c r="C231" s="4" t="s">
        <v>11566</v>
      </c>
      <c r="D231" s="4" t="s">
        <v>4854</v>
      </c>
      <c r="F231" s="5" t="str">
        <f>IFERROR(__xludf.DUMMYFUNCTION("GOOGLETRANSLATE(A231, ""en"", ""hi"")"),"230")</f>
        <v>230</v>
      </c>
      <c r="G231" s="5" t="str">
        <f>IFERROR(__xludf.DUMMYFUNCTION("GOOGLETRANSLATE(B231, ""en"", ""hi"")"),"कौन सा पारंपरिक भारतीय त्यौहार, विशेष रूप से दक्षिण भारत में, गिल्ली डंडा को इसके उत्सव के दौरान एक प्रमुख गतिविधि के रूप में शामिल करता है?")</f>
        <v>कौन सा पारंपरिक भारतीय त्यौहार, विशेष रूप से दक्षिण भारत में, गिल्ली डंडा को इसके उत्सव के दौरान एक प्रमुख गतिविधि के रूप में शामिल करता है?</v>
      </c>
      <c r="H231" s="5" t="str">
        <f>IFERROR(__xludf.DUMMYFUNCTION("GOOGLETRANSLATE(C231, ""en"", ""hi"")"),"ए) पोंगल, बी) उगादि, सी) मकर संक्रांति, डी) दिवाली")</f>
        <v>ए) पोंगल, बी) उगादि, सी) मकर संक्रांति, डी) दिवाली</v>
      </c>
      <c r="I231" s="5" t="str">
        <f>IFERROR(__xludf.DUMMYFUNCTION("GOOGLETRANSLATE(D231, ""en"", ""hi"")"),"ए) पोंगल")</f>
        <v>ए) पोंगल</v>
      </c>
    </row>
    <row r="232" ht="22.5" customHeight="1">
      <c r="A232" s="3">
        <v>231.0</v>
      </c>
      <c r="B232" s="4" t="s">
        <v>11567</v>
      </c>
      <c r="C232" s="4" t="s">
        <v>11439</v>
      </c>
      <c r="D232" s="4" t="s">
        <v>7468</v>
      </c>
      <c r="F232" s="5" t="str">
        <f>IFERROR(__xludf.DUMMYFUNCTION("GOOGLETRANSLATE(A232, ""en"", ""hi"")"),"231")</f>
        <v>231</v>
      </c>
      <c r="G232" s="5" t="str">
        <f>IFERROR(__xludf.DUMMYFUNCTION("GOOGLETRANSLATE(B232, ""en"", ""hi"")"),"20वीं सदी के आरंभ में किस भारतीय विद्वान ने गिल्ली डंडा जैसे पारंपरिक खेलों के ऐतिहासिक और सांस्कृतिक महत्व के बारे में लिखा था?")</f>
        <v>20वीं सदी के आरंभ में किस भारतीय विद्वान ने गिल्ली डंडा जैसे पारंपरिक खेलों के ऐतिहासिक और सांस्कृतिक महत्व के बारे में लिखा था?</v>
      </c>
      <c r="H232" s="5" t="str">
        <f>IFERROR(__xludf.DUMMYFUNCTION("GOOGLETRANSLATE(C232, ""en"", ""hi"")"),"A) आर. सी. मजूमदार, B) के. एम. मुंशी, C) बी. एन. पांडे, D) एस. राधाकृष्णन")</f>
        <v>A) आर. सी. मजूमदार, B) के. एम. मुंशी, C) बी. एन. पांडे, D) एस. राधाकृष्णन</v>
      </c>
      <c r="I232" s="5" t="str">
        <f>IFERROR(__xludf.DUMMYFUNCTION("GOOGLETRANSLATE(D232, ""en"", ""hi"")"),"A) आर. सी. मजूमदार")</f>
        <v>A) आर. सी. मजूमदार</v>
      </c>
    </row>
    <row r="233" ht="22.5" customHeight="1">
      <c r="A233" s="3">
        <v>232.0</v>
      </c>
      <c r="B233" s="4" t="s">
        <v>11568</v>
      </c>
      <c r="C233" s="4" t="s">
        <v>11552</v>
      </c>
      <c r="D233" s="4" t="s">
        <v>11339</v>
      </c>
      <c r="F233" s="5" t="str">
        <f>IFERROR(__xludf.DUMMYFUNCTION("GOOGLETRANSLATE(A233, ""en"", ""hi"")"),"232")</f>
        <v>232</v>
      </c>
      <c r="G233" s="5" t="str">
        <f>IFERROR(__xludf.DUMMYFUNCTION("GOOGLETRANSLATE(B233, ""en"", ""hi"")"),"20वीं सदी के आरंभ में किस भारतीय शोधकर्ता ने स्वदेशी खेलों और सांस्कृतिक प्रथाओं के अपने अध्ययन में गिल्ली डंडा जैसे पारंपरिक खेलों को शामिल किया?")</f>
        <v>20वीं सदी के आरंभ में किस भारतीय शोधकर्ता ने स्वदेशी खेलों और सांस्कृतिक प्रथाओं के अपने अध्ययन में गिल्ली डंडा जैसे पारंपरिक खेलों को शामिल किया?</v>
      </c>
      <c r="H233" s="5" t="str">
        <f>IFERROR(__xludf.DUMMYFUNCTION("GOOGLETRANSLATE(C233, ""en"", ""hi"")"),"A) एम. के. गांधी, B) के. एम. मुंशी, C) आर. सी. मजूमदार, D) एस. आर. शर्मा")</f>
        <v>A) एम. के. गांधी, B) के. एम. मुंशी, C) आर. सी. मजूमदार, D) एस. आर. शर्मा</v>
      </c>
      <c r="I233" s="5" t="str">
        <f>IFERROR(__xludf.DUMMYFUNCTION("GOOGLETRANSLATE(D233, ""en"", ""hi"")"),"C) आर. सी. मजूमदार")</f>
        <v>C) आर. सी. मजूमदार</v>
      </c>
    </row>
    <row r="234" ht="22.5" customHeight="1">
      <c r="A234" s="3">
        <v>233.0</v>
      </c>
      <c r="B234" s="4" t="s">
        <v>11569</v>
      </c>
      <c r="C234" s="4" t="s">
        <v>11435</v>
      </c>
      <c r="D234" s="4" t="s">
        <v>11407</v>
      </c>
      <c r="F234" s="5" t="str">
        <f>IFERROR(__xludf.DUMMYFUNCTION("GOOGLETRANSLATE(A234, ""en"", ""hi"")"),"233")</f>
        <v>233</v>
      </c>
      <c r="G234" s="5" t="str">
        <f>IFERROR(__xludf.DUMMYFUNCTION("GOOGLETRANSLATE(B234, ""en"", ""hi"")"),"किस प्रसिद्ध भारतीय लेखक ने अपने साहित्यिक कार्यों में ग्रामीण और ग्रामीण जीवन के प्रतीक के रूप में गिल्ली डंडा जैसे पारंपरिक खेलों का उपयोग किया?")</f>
        <v>किस प्रसिद्ध भारतीय लेखक ने अपने साहित्यिक कार्यों में ग्रामीण और ग्रामीण जीवन के प्रतीक के रूप में गिल्ली डंडा जैसे पारंपरिक खेलों का उपयोग किया?</v>
      </c>
      <c r="H234" s="5" t="str">
        <f>IFERROR(__xludf.DUMMYFUNCTION("GOOGLETRANSLATE(C234, ""en"", ""hi"")"),"ए) मुंशी प्रेमचंद, बी) रवींद्रनाथ टैगोर, सी) इस्मत चुगताई, डी) खुशवंत सिंह")</f>
        <v>ए) मुंशी प्रेमचंद, बी) रवींद्रनाथ टैगोर, सी) इस्मत चुगताई, डी) खुशवंत सिंह</v>
      </c>
      <c r="I234" s="5" t="str">
        <f>IFERROR(__xludf.DUMMYFUNCTION("GOOGLETRANSLATE(D234, ""en"", ""hi"")"),"A) मुंशी प्रेमचंद")</f>
        <v>A) मुंशी प्रेमचंद</v>
      </c>
    </row>
    <row r="235" ht="22.5" customHeight="1">
      <c r="A235" s="3">
        <v>234.0</v>
      </c>
      <c r="B235" s="4" t="s">
        <v>11528</v>
      </c>
      <c r="C235" s="4" t="s">
        <v>11411</v>
      </c>
      <c r="D235" s="4" t="s">
        <v>4657</v>
      </c>
      <c r="F235" s="5" t="str">
        <f>IFERROR(__xludf.DUMMYFUNCTION("GOOGLETRANSLATE(A235, ""en"", ""hi"")"),"234")</f>
        <v>234</v>
      </c>
      <c r="G235" s="5" t="str">
        <f>IFERROR(__xludf.DUMMYFUNCTION("GOOGLETRANSLATE(B235, ""en"", ""hi"")"),"किस ऐतिहासिक काल में गिल्ली डंडा का भारतीय युवाओं के बीच एक लोकप्रिय पारंपरिक खेल के रूप में उदय हुआ?")</f>
        <v>किस ऐतिहासिक काल में गिल्ली डंडा का भारतीय युवाओं के बीच एक लोकप्रिय पारंपरिक खेल के रूप में उदय हुआ?</v>
      </c>
      <c r="H235" s="5" t="str">
        <f>IFERROR(__xludf.DUMMYFUNCTION("GOOGLETRANSLATE(C235, ""en"", ""hi"")"),"A) प्राचीन भारत, B) मध्यकालीन भारत, C) मुगल काल, D) ब्रिटिश औपनिवेशिक काल")</f>
        <v>A) प्राचीन भारत, B) मध्यकालीन भारत, C) मुगल काल, D) ब्रिटिश औपनिवेशिक काल</v>
      </c>
      <c r="I235" s="5" t="str">
        <f>IFERROR(__xludf.DUMMYFUNCTION("GOOGLETRANSLATE(D235, ""en"", ""hi"")"),"A) प्राचीन भारत")</f>
        <v>A) प्राचीन भारत</v>
      </c>
    </row>
    <row r="236" ht="22.5" customHeight="1">
      <c r="A236" s="3">
        <v>235.0</v>
      </c>
      <c r="B236" s="4" t="s">
        <v>11570</v>
      </c>
      <c r="C236" s="4" t="s">
        <v>11571</v>
      </c>
      <c r="D236" s="4" t="s">
        <v>11500</v>
      </c>
      <c r="F236" s="5" t="str">
        <f>IFERROR(__xludf.DUMMYFUNCTION("GOOGLETRANSLATE(A236, ""en"", ""hi"")"),"235")</f>
        <v>235</v>
      </c>
      <c r="G236" s="5" t="str">
        <f>IFERROR(__xludf.DUMMYFUNCTION("GOOGLETRANSLATE(B236, ""en"", ""hi"")"),"कौन सा पारंपरिक भारतीय त्यौहार गिल्ली डंडा को एक प्रमुख गतिविधि के रूप में दर्शाता है, विशेष रूप से उत्तर प्रदेश के ग्रामीण समुदायों में?")</f>
        <v>कौन सा पारंपरिक भारतीय त्यौहार गिल्ली डंडा को एक प्रमुख गतिविधि के रूप में दर्शाता है, विशेष रूप से उत्तर प्रदेश के ग्रामीण समुदायों में?</v>
      </c>
      <c r="H236" s="5" t="str">
        <f>IFERROR(__xludf.DUMMYFUNCTION("GOOGLETRANSLATE(C236, ""en"", ""hi"")"),"ए) लोहड़ी, बी) बैसाखी, सी) मकर संक्रांति, डी) होली")</f>
        <v>ए) लोहड़ी, बी) बैसाखी, सी) मकर संक्रांति, डी) होली</v>
      </c>
      <c r="I236" s="5" t="str">
        <f>IFERROR(__xludf.DUMMYFUNCTION("GOOGLETRANSLATE(D236, ""en"", ""hi"")"),"बी) बैसाखी")</f>
        <v>बी) बैसाखी</v>
      </c>
    </row>
    <row r="237" ht="22.5" customHeight="1">
      <c r="A237" s="3">
        <v>236.0</v>
      </c>
      <c r="B237" s="4" t="s">
        <v>11572</v>
      </c>
      <c r="C237" s="4" t="s">
        <v>11435</v>
      </c>
      <c r="D237" s="4" t="s">
        <v>11407</v>
      </c>
      <c r="F237" s="5" t="str">
        <f>IFERROR(__xludf.DUMMYFUNCTION("GOOGLETRANSLATE(A237, ""en"", ""hi"")"),"236")</f>
        <v>236</v>
      </c>
      <c r="G237" s="5" t="str">
        <f>IFERROR(__xludf.DUMMYFUNCTION("GOOGLETRANSLATE(B237, ""en"", ""hi"")"),"किस प्रसिद्ध भारतीय कवि और लेखक ने पारंपरिक ग्रामीण जीवन और खेलों के बारे में अपनी रचनाओं में गिल्ली डंडा को शामिल किया?")</f>
        <v>किस प्रसिद्ध भारतीय कवि और लेखक ने पारंपरिक ग्रामीण जीवन और खेलों के बारे में अपनी रचनाओं में गिल्ली डंडा को शामिल किया?</v>
      </c>
      <c r="H237" s="5" t="str">
        <f>IFERROR(__xludf.DUMMYFUNCTION("GOOGLETRANSLATE(C237, ""en"", ""hi"")"),"ए) मुंशी प्रेमचंद, बी) रवींद्रनाथ टैगोर, सी) इस्मत चुगताई, डी) खुशवंत सिंह")</f>
        <v>ए) मुंशी प्रेमचंद, बी) रवींद्रनाथ टैगोर, सी) इस्मत चुगताई, डी) खुशवंत सिंह</v>
      </c>
      <c r="I237" s="5" t="str">
        <f>IFERROR(__xludf.DUMMYFUNCTION("GOOGLETRANSLATE(D237, ""en"", ""hi"")"),"A) मुंशी प्रेमचंद")</f>
        <v>A) मुंशी प्रेमचंद</v>
      </c>
    </row>
    <row r="238" ht="22.5" customHeight="1">
      <c r="A238" s="3">
        <v>237.0</v>
      </c>
      <c r="B238" s="4" t="s">
        <v>11573</v>
      </c>
      <c r="C238" s="4" t="s">
        <v>11574</v>
      </c>
      <c r="D238" s="4" t="s">
        <v>11575</v>
      </c>
      <c r="F238" s="5" t="str">
        <f>IFERROR(__xludf.DUMMYFUNCTION("GOOGLETRANSLATE(A238, ""en"", ""hi"")"),"237")</f>
        <v>237</v>
      </c>
      <c r="G238" s="5" t="str">
        <f>IFERROR(__xludf.DUMMYFUNCTION("GOOGLETRANSLATE(B238, ""en"", ""hi"")"),"19वीं शताब्दी में किस ब्रिटिश औपनिवेशिक अधिकारी ने भारतीय खेलों के अपने अध्ययन में गिल्ली डंडा की सांस्कृतिक प्रथाओं का दस्तावेजीकरण किया?")</f>
        <v>19वीं शताब्दी में किस ब्रिटिश औपनिवेशिक अधिकारी ने भारतीय खेलों के अपने अध्ययन में गिल्ली डंडा की सांस्कृतिक प्रथाओं का दस्तावेजीकरण किया?</v>
      </c>
      <c r="H238" s="5" t="str">
        <f>IFERROR(__xludf.DUMMYFUNCTION("GOOGLETRANSLATE(C238, ""en"", ""hi"")"),"A) सर विलियम स्लीमन, B) लॉर्ड कर्जन, C) सर जॉर्ज एवरेस्ट, D) लॉर्ड मिंटो")</f>
        <v>A) सर विलियम स्लीमन, B) लॉर्ड कर्जन, C) सर जॉर्ज एवरेस्ट, D) लॉर्ड मिंटो</v>
      </c>
      <c r="I238" s="5" t="str">
        <f>IFERROR(__xludf.DUMMYFUNCTION("GOOGLETRANSLATE(D238, ""en"", ""hi"")"),"A) सर विलियम स्लीमन")</f>
        <v>A) सर विलियम स्लीमन</v>
      </c>
    </row>
    <row r="239" ht="22.5" customHeight="1">
      <c r="A239" s="3">
        <v>238.0</v>
      </c>
      <c r="B239" s="4" t="s">
        <v>11576</v>
      </c>
      <c r="C239" s="4" t="s">
        <v>11533</v>
      </c>
      <c r="D239" s="4" t="s">
        <v>11375</v>
      </c>
      <c r="F239" s="5" t="str">
        <f>IFERROR(__xludf.DUMMYFUNCTION("GOOGLETRANSLATE(A239, ""en"", ""hi"")"),"238")</f>
        <v>238</v>
      </c>
      <c r="G239" s="5" t="str">
        <f>IFERROR(__xludf.DUMMYFUNCTION("GOOGLETRANSLATE(B239, ""en"", ""hi"")"),"कौन सा भारतीय क्षेत्र गिल्ली डंडा के अपने अनूठे संस्करण के लिए जाना जाता है, जिसमें स्थानीय रीति-रिवाज और विविधताएं शामिल हैं?")</f>
        <v>कौन सा भारतीय क्षेत्र गिल्ली डंडा के अपने अनूठे संस्करण के लिए जाना जाता है, जिसमें स्थानीय रीति-रिवाज और विविधताएं शामिल हैं?</v>
      </c>
      <c r="H239" s="5" t="str">
        <f>IFERROR(__xludf.DUMMYFUNCTION("GOOGLETRANSLATE(C239, ""en"", ""hi"")"),"A) पूर्वोत्तर भारत, B) दक्षिण भारत, C) पश्चिम भारत, D) मध्य भारत")</f>
        <v>A) पूर्वोत्तर भारत, B) दक्षिण भारत, C) पश्चिम भारत, D) मध्य भारत</v>
      </c>
      <c r="I239" s="5" t="str">
        <f>IFERROR(__xludf.DUMMYFUNCTION("GOOGLETRANSLATE(D239, ""en"", ""hi"")"),"A) पूर्वोत्तर भारत")</f>
        <v>A) पूर्वोत्तर भारत</v>
      </c>
    </row>
    <row r="240" ht="22.5" customHeight="1">
      <c r="A240" s="3">
        <v>239.0</v>
      </c>
      <c r="B240" s="4" t="s">
        <v>11577</v>
      </c>
      <c r="C240" s="4" t="s">
        <v>11439</v>
      </c>
      <c r="D240" s="4" t="s">
        <v>7468</v>
      </c>
      <c r="F240" s="5" t="str">
        <f>IFERROR(__xludf.DUMMYFUNCTION("GOOGLETRANSLATE(A240, ""en"", ""hi"")"),"239")</f>
        <v>239</v>
      </c>
      <c r="G240" s="5" t="str">
        <f>IFERROR(__xludf.DUMMYFUNCTION("GOOGLETRANSLATE(B240, ""en"", ""hi"")"),"20वीं सदी के आरंभिक भारतीय इतिहासकार ने गिल्ली डंडा जैसे पारंपरिक खेलों के ऐतिहासिक महत्व के बारे में लिखा था?")</f>
        <v>20वीं सदी के आरंभिक भारतीय इतिहासकार ने गिल्ली डंडा जैसे पारंपरिक खेलों के ऐतिहासिक महत्व के बारे में लिखा था?</v>
      </c>
      <c r="H240" s="5" t="str">
        <f>IFERROR(__xludf.DUMMYFUNCTION("GOOGLETRANSLATE(C240, ""en"", ""hi"")"),"A) आर. सी. मजूमदार, B) के. एम. मुंशी, C) बी. एन. पांडे, D) एस. राधाकृष्णन")</f>
        <v>A) आर. सी. मजूमदार, B) के. एम. मुंशी, C) बी. एन. पांडे, D) एस. राधाकृष्णन</v>
      </c>
      <c r="I240" s="5" t="str">
        <f>IFERROR(__xludf.DUMMYFUNCTION("GOOGLETRANSLATE(D240, ""en"", ""hi"")"),"A) आर. सी. मजूमदार")</f>
        <v>A) आर. सी. मजूमदार</v>
      </c>
    </row>
    <row r="241" ht="22.5" customHeight="1">
      <c r="A241" s="3">
        <v>240.0</v>
      </c>
      <c r="B241" s="4" t="s">
        <v>11578</v>
      </c>
      <c r="C241" s="4" t="s">
        <v>11435</v>
      </c>
      <c r="D241" s="4" t="s">
        <v>11407</v>
      </c>
      <c r="F241" s="5" t="str">
        <f>IFERROR(__xludf.DUMMYFUNCTION("GOOGLETRANSLATE(A241, ""en"", ""hi"")"),"240")</f>
        <v>240</v>
      </c>
      <c r="G241" s="5" t="str">
        <f>IFERROR(__xludf.DUMMYFUNCTION("GOOGLETRANSLATE(B241, ""en"", ""hi"")"),"किस भारतीय कवि और लेखक ने ग्रामीण जीवन और पारंपरिक खेलों के बारे में अपनी कहानियों में गिल्ली डंडा का चित्रण किया?")</f>
        <v>किस भारतीय कवि और लेखक ने ग्रामीण जीवन और पारंपरिक खेलों के बारे में अपनी कहानियों में गिल्ली डंडा का चित्रण किया?</v>
      </c>
      <c r="H241" s="5" t="str">
        <f>IFERROR(__xludf.DUMMYFUNCTION("GOOGLETRANSLATE(C241, ""en"", ""hi"")"),"ए) मुंशी प्रेमचंद, बी) रवींद्रनाथ टैगोर, सी) इस्मत चुगताई, डी) खुशवंत सिंह")</f>
        <v>ए) मुंशी प्रेमचंद, बी) रवींद्रनाथ टैगोर, सी) इस्मत चुगताई, डी) खुशवंत सिंह</v>
      </c>
      <c r="I241" s="5" t="str">
        <f>IFERROR(__xludf.DUMMYFUNCTION("GOOGLETRANSLATE(D241, ""en"", ""hi"")"),"A) मुंशी प्रेमचंद")</f>
        <v>A) मुंशी प्रेमचंद</v>
      </c>
    </row>
    <row r="242" ht="22.5" customHeight="1">
      <c r="A242" s="3">
        <v>241.0</v>
      </c>
      <c r="B242" s="4" t="s">
        <v>11579</v>
      </c>
      <c r="C242" s="4" t="s">
        <v>11506</v>
      </c>
      <c r="D242" s="4" t="s">
        <v>7225</v>
      </c>
      <c r="F242" s="5" t="str">
        <f>IFERROR(__xludf.DUMMYFUNCTION("GOOGLETRANSLATE(A242, ""en"", ""hi"")"),"241")</f>
        <v>241</v>
      </c>
      <c r="G242" s="5" t="str">
        <f>IFERROR(__xludf.DUMMYFUNCTION("GOOGLETRANSLATE(B242, ""en"", ""hi"")"),"कौन सा भारतीय क्षेत्र आधुनिक प्रभावों के बावजूद स्थानीय त्योहारों और सांस्कृतिक कार्यक्रमों के माध्यम से गिल्ली डंडा को संरक्षित करने के लिए जाना जाता है?")</f>
        <v>कौन सा भारतीय क्षेत्र आधुनिक प्रभावों के बावजूद स्थानीय त्योहारों और सांस्कृतिक कार्यक्रमों के माध्यम से गिल्ली डंडा को संरक्षित करने के लिए जाना जाता है?</v>
      </c>
      <c r="H242" s="5" t="str">
        <f>IFERROR(__xludf.DUMMYFUNCTION("GOOGLETRANSLATE(C242, ""en"", ""hi"")"),"A) पंजाब, B) पश्चिम बंगाल, C) गुजरात, D) उत्तर प्रदेश")</f>
        <v>A) पंजाब, B) पश्चिम बंगाल, C) गुजरात, D) उत्तर प्रदेश</v>
      </c>
      <c r="I242" s="5" t="str">
        <f>IFERROR(__xludf.DUMMYFUNCTION("GOOGLETRANSLATE(D242, ""en"", ""hi"")"),"बी) पश्चिम बंगाल")</f>
        <v>बी) पश्चिम बंगाल</v>
      </c>
    </row>
    <row r="243" ht="22.5" customHeight="1">
      <c r="A243" s="3">
        <v>242.0</v>
      </c>
      <c r="B243" s="4" t="s">
        <v>11580</v>
      </c>
      <c r="C243" s="4" t="s">
        <v>11574</v>
      </c>
      <c r="D243" s="4" t="s">
        <v>11575</v>
      </c>
      <c r="F243" s="5" t="str">
        <f>IFERROR(__xludf.DUMMYFUNCTION("GOOGLETRANSLATE(A243, ""en"", ""hi"")"),"242")</f>
        <v>242</v>
      </c>
      <c r="G243" s="5" t="str">
        <f>IFERROR(__xludf.DUMMYFUNCTION("GOOGLETRANSLATE(B243, ""en"", ""hi"")"),"20वीं सदी के आरंभ में किस ब्रिटिश शोधकर्ता ने अपने अध्ययन में गिल्ली डंडा जैसे पारंपरिक भारतीय खेलों का दस्तावेजीकरण किया?")</f>
        <v>20वीं सदी के आरंभ में किस ब्रिटिश शोधकर्ता ने अपने अध्ययन में गिल्ली डंडा जैसे पारंपरिक भारतीय खेलों का दस्तावेजीकरण किया?</v>
      </c>
      <c r="H243" s="5" t="str">
        <f>IFERROR(__xludf.DUMMYFUNCTION("GOOGLETRANSLATE(C243, ""en"", ""hi"")"),"A) सर विलियम स्लीमन, B) लॉर्ड कर्जन, C) सर जॉर्ज एवरेस्ट, D) लॉर्ड मिंटो")</f>
        <v>A) सर विलियम स्लीमन, B) लॉर्ड कर्जन, C) सर जॉर्ज एवरेस्ट, D) लॉर्ड मिंटो</v>
      </c>
      <c r="I243" s="5" t="str">
        <f>IFERROR(__xludf.DUMMYFUNCTION("GOOGLETRANSLATE(D243, ""en"", ""hi"")"),"A) सर विलियम स्लीमन")</f>
        <v>A) सर विलियम स्लीमन</v>
      </c>
    </row>
    <row r="244" ht="22.5" customHeight="1">
      <c r="A244" s="3">
        <v>243.0</v>
      </c>
      <c r="B244" s="4" t="s">
        <v>11581</v>
      </c>
      <c r="C244" s="4" t="s">
        <v>11566</v>
      </c>
      <c r="D244" s="4" t="s">
        <v>4854</v>
      </c>
      <c r="F244" s="5" t="str">
        <f>IFERROR(__xludf.DUMMYFUNCTION("GOOGLETRANSLATE(A244, ""en"", ""hi"")"),"243")</f>
        <v>243</v>
      </c>
      <c r="G244" s="5" t="str">
        <f>IFERROR(__xludf.DUMMYFUNCTION("GOOGLETRANSLATE(B244, ""en"", ""hi"")"),"कौन सा पारंपरिक भारतीय त्यौहार, विशेष रूप से तमिलनाडु के ग्रामीण समुदायों में, गिल्ली डंडा को अपने उत्सव का एक महत्वपूर्ण हिस्सा बनाता है?")</f>
        <v>कौन सा पारंपरिक भारतीय त्यौहार, विशेष रूप से तमिलनाडु के ग्रामीण समुदायों में, गिल्ली डंडा को अपने उत्सव का एक महत्वपूर्ण हिस्सा बनाता है?</v>
      </c>
      <c r="H244" s="5" t="str">
        <f>IFERROR(__xludf.DUMMYFUNCTION("GOOGLETRANSLATE(C244, ""en"", ""hi"")"),"ए) पोंगल, बी) उगादि, सी) मकर संक्रांति, डी) दिवाली")</f>
        <v>ए) पोंगल, बी) उगादि, सी) मकर संक्रांति, डी) दिवाली</v>
      </c>
      <c r="I244" s="5" t="str">
        <f>IFERROR(__xludf.DUMMYFUNCTION("GOOGLETRANSLATE(D244, ""en"", ""hi"")"),"ए) पोंगल")</f>
        <v>ए) पोंगल</v>
      </c>
    </row>
    <row r="245" ht="22.5" customHeight="1">
      <c r="A245" s="3">
        <v>244.0</v>
      </c>
      <c r="B245" s="4" t="s">
        <v>11582</v>
      </c>
      <c r="C245" s="4" t="s">
        <v>11439</v>
      </c>
      <c r="D245" s="4" t="s">
        <v>7468</v>
      </c>
      <c r="F245" s="5" t="str">
        <f>IFERROR(__xludf.DUMMYFUNCTION("GOOGLETRANSLATE(A245, ""en"", ""hi"")"),"244")</f>
        <v>244</v>
      </c>
      <c r="G245" s="5" t="str">
        <f>IFERROR(__xludf.DUMMYFUNCTION("GOOGLETRANSLATE(B245, ""en"", ""hi"")"),"20वीं सदी के आरंभ में किस भारतीय इतिहासकार ने गिल्ली डंडा जैसे पारंपरिक खेलों के सांस्कृतिक महत्व का अध्ययन किया?")</f>
        <v>20वीं सदी के आरंभ में किस भारतीय इतिहासकार ने गिल्ली डंडा जैसे पारंपरिक खेलों के सांस्कृतिक महत्व का अध्ययन किया?</v>
      </c>
      <c r="H245" s="5" t="str">
        <f>IFERROR(__xludf.DUMMYFUNCTION("GOOGLETRANSLATE(C245, ""en"", ""hi"")"),"A) आर. सी. मजूमदार, B) के. एम. मुंशी, C) बी. एन. पांडे, D) एस. राधाकृष्णन")</f>
        <v>A) आर. सी. मजूमदार, B) के. एम. मुंशी, C) बी. एन. पांडे, D) एस. राधाकृष्णन</v>
      </c>
      <c r="I245" s="5" t="str">
        <f>IFERROR(__xludf.DUMMYFUNCTION("GOOGLETRANSLATE(D245, ""en"", ""hi"")"),"A) आर. सी. मजूमदार")</f>
        <v>A) आर. सी. मजूमदार</v>
      </c>
    </row>
    <row r="246" ht="22.5" customHeight="1">
      <c r="A246" s="3">
        <v>245.0</v>
      </c>
      <c r="B246" s="4" t="s">
        <v>11583</v>
      </c>
      <c r="C246" s="4" t="s">
        <v>11539</v>
      </c>
      <c r="D246" s="4" t="s">
        <v>7468</v>
      </c>
      <c r="F246" s="5" t="str">
        <f>IFERROR(__xludf.DUMMYFUNCTION("GOOGLETRANSLATE(A246, ""en"", ""hi"")"),"245")</f>
        <v>245</v>
      </c>
      <c r="G246" s="5" t="str">
        <f>IFERROR(__xludf.DUMMYFUNCTION("GOOGLETRANSLATE(B246, ""en"", ""hi"")"),"20वीं सदी के आरंभिक वर्षों का कौन सा प्रसिद्ध भारतीय इतिहासकार अपने सांस्कृतिक अध्ययनों में गिल्ली डंडा जैसे पारंपरिक खेलों का दस्तावेजीकरण करने के लिए जाना जाता है?")</f>
        <v>20वीं सदी के आरंभिक वर्षों का कौन सा प्रसिद्ध भारतीय इतिहासकार अपने सांस्कृतिक अध्ययनों में गिल्ली डंडा जैसे पारंपरिक खेलों का दस्तावेजीकरण करने के लिए जाना जाता है?</v>
      </c>
      <c r="H246" s="5" t="str">
        <f>IFERROR(__xludf.DUMMYFUNCTION("GOOGLETRANSLATE(C246, ""en"", ""hi"")"),"A) आर. सी. मजूमदार, B) के. एम. मुंशी, C) एस. राधाकृष्णन, D) बी. एन. पांडे")</f>
        <v>A) आर. सी. मजूमदार, B) के. एम. मुंशी, C) एस. राधाकृष्णन, D) बी. एन. पांडे</v>
      </c>
      <c r="I246" s="5" t="str">
        <f>IFERROR(__xludf.DUMMYFUNCTION("GOOGLETRANSLATE(D246, ""en"", ""hi"")"),"A) आर. सी. मजूमदार")</f>
        <v>A) आर. सी. मजूमदार</v>
      </c>
    </row>
    <row r="247" ht="22.5" customHeight="1">
      <c r="A247" s="3">
        <v>246.0</v>
      </c>
      <c r="B247" s="4" t="s">
        <v>11584</v>
      </c>
      <c r="C247" s="4" t="s">
        <v>11585</v>
      </c>
      <c r="D247" s="4" t="s">
        <v>2544</v>
      </c>
      <c r="F247" s="5" t="str">
        <f>IFERROR(__xludf.DUMMYFUNCTION("GOOGLETRANSLATE(A247, ""en"", ""hi"")"),"246")</f>
        <v>246</v>
      </c>
      <c r="G247" s="5" t="str">
        <f>IFERROR(__xludf.DUMMYFUNCTION("GOOGLETRANSLATE(B247, ""en"", ""hi"")"),"किस प्राचीन भारतीय महाकाव्य में गिल्ली डंडा जैसे खेलों का उल्लेख मिलता है, जो उनके सांस्कृतिक महत्व को दर्शाता है?")</f>
        <v>किस प्राचीन भारतीय महाकाव्य में गिल्ली डंडा जैसे खेलों का उल्लेख मिलता है, जो उनके सांस्कृतिक महत्व को दर्शाता है?</v>
      </c>
      <c r="H247" s="5" t="str">
        <f>IFERROR(__xludf.DUMMYFUNCTION("GOOGLETRANSLATE(C247, ""en"", ""hi"")"),"ए) रामायण, बी) महाभारत, सी) विष्णु पुराण, डी) मनुस्मृति")</f>
        <v>ए) रामायण, बी) महाभारत, सी) विष्णु पुराण, डी) मनुस्मृति</v>
      </c>
      <c r="I247" s="5" t="str">
        <f>IFERROR(__xludf.DUMMYFUNCTION("GOOGLETRANSLATE(D247, ""en"", ""hi"")"),"बी) महाभारत")</f>
        <v>बी) महाभारत</v>
      </c>
    </row>
    <row r="248" ht="22.5" customHeight="1">
      <c r="A248" s="3">
        <v>247.0</v>
      </c>
      <c r="B248" s="4" t="s">
        <v>11586</v>
      </c>
      <c r="C248" s="4" t="s">
        <v>2588</v>
      </c>
      <c r="D248" s="4" t="s">
        <v>2556</v>
      </c>
      <c r="F248" s="5" t="str">
        <f>IFERROR(__xludf.DUMMYFUNCTION("GOOGLETRANSLATE(A248, ""en"", ""hi"")"),"247")</f>
        <v>247</v>
      </c>
      <c r="G248" s="5" t="str">
        <f>IFERROR(__xludf.DUMMYFUNCTION("GOOGLETRANSLATE(B248, ""en"", ""hi"")"),"कौन सा मुगल सम्राट अपने शासनकाल के दौरान गिल्ली डंडा सहित पारंपरिक भारतीय खेलों में गहरी रुचि के लिए जाना जाता था?")</f>
        <v>कौन सा मुगल सम्राट अपने शासनकाल के दौरान गिल्ली डंडा सहित पारंपरिक भारतीय खेलों में गहरी रुचि के लिए जाना जाता था?</v>
      </c>
      <c r="H248" s="5" t="str">
        <f>IFERROR(__xludf.DUMMYFUNCTION("GOOGLETRANSLATE(C248, ""en"", ""hi"")"),"A) अकबर, B) जहाँगीर, C) शाहजहाँ, D) औरंगज़ेब")</f>
        <v>A) अकबर, B) जहाँगीर, C) शाहजहाँ, D) औरंगज़ेब</v>
      </c>
      <c r="I248" s="5" t="str">
        <f>IFERROR(__xludf.DUMMYFUNCTION("GOOGLETRANSLATE(D248, ""en"", ""hi"")"),"A) अकबर")</f>
        <v>A) अकबर</v>
      </c>
    </row>
    <row r="249" ht="22.5" customHeight="1">
      <c r="A249" s="3">
        <v>248.0</v>
      </c>
      <c r="B249" s="4" t="s">
        <v>11587</v>
      </c>
      <c r="C249" s="4" t="s">
        <v>11574</v>
      </c>
      <c r="D249" s="4" t="s">
        <v>11575</v>
      </c>
      <c r="F249" s="5" t="str">
        <f>IFERROR(__xludf.DUMMYFUNCTION("GOOGLETRANSLATE(A249, ""en"", ""hi"")"),"248")</f>
        <v>248</v>
      </c>
      <c r="G249" s="5" t="str">
        <f>IFERROR(__xludf.DUMMYFUNCTION("GOOGLETRANSLATE(B249, ""en"", ""hi"")"),"19वीं शताब्दी के आरंभ में किस ब्रिटिश अधिकारी के लेखन में गिल्ली डंडा को भारतीय सांस्कृतिक प्रथाओं के भाग के रूप में वर्णित किया गया है?")</f>
        <v>19वीं शताब्दी के आरंभ में किस ब्रिटिश अधिकारी के लेखन में गिल्ली डंडा को भारतीय सांस्कृतिक प्रथाओं के भाग के रूप में वर्णित किया गया है?</v>
      </c>
      <c r="H249" s="5" t="str">
        <f>IFERROR(__xludf.DUMMYFUNCTION("GOOGLETRANSLATE(C249, ""en"", ""hi"")"),"A) सर विलियम स्लीमन, B) लॉर्ड कर्जन, C) सर जॉर्ज एवरेस्ट, D) लॉर्ड मिंटो")</f>
        <v>A) सर विलियम स्लीमन, B) लॉर्ड कर्जन, C) सर जॉर्ज एवरेस्ट, D) लॉर्ड मिंटो</v>
      </c>
      <c r="I249" s="5" t="str">
        <f>IFERROR(__xludf.DUMMYFUNCTION("GOOGLETRANSLATE(D249, ""en"", ""hi"")"),"A) सर विलियम स्लीमन")</f>
        <v>A) सर विलियम स्लीमन</v>
      </c>
    </row>
    <row r="250" ht="22.5" customHeight="1">
      <c r="A250" s="3">
        <v>249.0</v>
      </c>
      <c r="B250" s="4" t="s">
        <v>11588</v>
      </c>
      <c r="C250" s="4" t="s">
        <v>11589</v>
      </c>
      <c r="D250" s="4" t="s">
        <v>11590</v>
      </c>
      <c r="F250" s="5" t="str">
        <f>IFERROR(__xludf.DUMMYFUNCTION("GOOGLETRANSLATE(A250, ""en"", ""hi"")"),"249")</f>
        <v>249</v>
      </c>
      <c r="G250" s="5" t="str">
        <f>IFERROR(__xludf.DUMMYFUNCTION("GOOGLETRANSLATE(B250, ""en"", ""hi"")"),"कौन सा पारंपरिक भारतीय त्यौहार, विशेष रूप से महाराष्ट्र के ग्रामीण क्षेत्रों में, गिल्ली डंडा एक प्रमुख गतिविधि के रूप में मनाया जाता है?")</f>
        <v>कौन सा पारंपरिक भारतीय त्यौहार, विशेष रूप से महाराष्ट्र के ग्रामीण क्षेत्रों में, गिल्ली डंडा एक प्रमुख गतिविधि के रूप में मनाया जाता है?</v>
      </c>
      <c r="H250" s="5" t="str">
        <f>IFERROR(__xludf.DUMMYFUNCTION("GOOGLETRANSLATE(C250, ""en"", ""hi"")"),"ए) गुड़ी पड़वा, बी) दिवाली, सी) मकर संक्रांति, डी) होली")</f>
        <v>ए) गुड़ी पड़वा, बी) दिवाली, सी) मकर संक्रांति, डी) होली</v>
      </c>
      <c r="I250" s="5" t="str">
        <f>IFERROR(__xludf.DUMMYFUNCTION("GOOGLETRANSLATE(D250, ""en"", ""hi"")"),"A) गुड़ी पड़वा")</f>
        <v>A) गुड़ी पड़वा</v>
      </c>
    </row>
    <row r="251" ht="22.5" customHeight="1">
      <c r="A251" s="3">
        <v>250.0</v>
      </c>
      <c r="B251" s="4" t="s">
        <v>11591</v>
      </c>
      <c r="C251" s="4" t="s">
        <v>11592</v>
      </c>
      <c r="D251" s="4" t="s">
        <v>11354</v>
      </c>
      <c r="F251" s="5" t="str">
        <f>IFERROR(__xludf.DUMMYFUNCTION("GOOGLETRANSLATE(A251, ""en"", ""hi"")"),"250")</f>
        <v>250</v>
      </c>
      <c r="G251" s="5" t="str">
        <f>IFERROR(__xludf.DUMMYFUNCTION("GOOGLETRANSLATE(B251, ""en"", ""hi"")"),"किस प्राचीन भारतीय ग्रंथ में गिल्ली डंडा जैसे पारंपरिक खेलों को खेलने के विस्तृत नियम शामिल हैं, जो उनके शैक्षिक मूल्य पर जोर देते हैं?")</f>
        <v>किस प्राचीन भारतीय ग्रंथ में गिल्ली डंडा जैसे पारंपरिक खेलों को खेलने के विस्तृत नियम शामिल हैं, जो उनके शैक्षिक मूल्य पर जोर देते हैं?</v>
      </c>
      <c r="H251" s="5" t="str">
        <f>IFERROR(__xludf.DUMMYFUNCTION("GOOGLETRANSLATE(C251, ""en"", ""hi"")"),"ए) अर्थशास्त्र, बी) नाट्यशास्त्र, सी) विष्णु पुराण, डी) रामायण")</f>
        <v>ए) अर्थशास्त्र, बी) नाट्यशास्त्र, सी) विष्णु पुराण, डी) रामायण</v>
      </c>
      <c r="I251" s="5" t="str">
        <f>IFERROR(__xludf.DUMMYFUNCTION("GOOGLETRANSLATE(D251, ""en"", ""hi"")"),"बी) नाट्यशास्त्र")</f>
        <v>बी) नाट्यशास्त्र</v>
      </c>
    </row>
    <row r="252" ht="22.5" customHeight="1">
      <c r="A252" s="3">
        <v>251.0</v>
      </c>
      <c r="B252" s="4" t="s">
        <v>11593</v>
      </c>
      <c r="C252" s="4" t="s">
        <v>11594</v>
      </c>
      <c r="D252" s="4" t="s">
        <v>3003</v>
      </c>
      <c r="F252" s="5" t="str">
        <f>IFERROR(__xludf.DUMMYFUNCTION("GOOGLETRANSLATE(A252, ""en"", ""hi"")"),"251")</f>
        <v>251</v>
      </c>
      <c r="G252" s="5" t="str">
        <f>IFERROR(__xludf.DUMMYFUNCTION("GOOGLETRANSLATE(B252, ""en"", ""hi"")"),"कौन सा भारतीय राज्य स्थानीय सांस्कृतिक कार्यक्रमों और त्योहारों के माध्यम से गिल्ली डंडा के पारंपरिक खेल को संरक्षित करने के लिए प्रसिद्ध है?")</f>
        <v>कौन सा भारतीय राज्य स्थानीय सांस्कृतिक कार्यक्रमों और त्योहारों के माध्यम से गिल्ली डंडा के पारंपरिक खेल को संरक्षित करने के लिए प्रसिद्ध है?</v>
      </c>
      <c r="H252" s="5" t="str">
        <f>IFERROR(__xludf.DUMMYFUNCTION("GOOGLETRANSLATE(C252, ""en"", ""hi"")"),"ए) पंजाब, बी) उत्तर प्रदेश, सी) तमिलनाडु, डी) कर्नाटक")</f>
        <v>ए) पंजाब, बी) उत्तर प्रदेश, सी) तमिलनाडु, डी) कर्नाटक</v>
      </c>
      <c r="I252" s="5" t="str">
        <f>IFERROR(__xludf.DUMMYFUNCTION("GOOGLETRANSLATE(D252, ""en"", ""hi"")"),"बी) उत्तर प्रदेश")</f>
        <v>बी) उत्तर प्रदेश</v>
      </c>
    </row>
    <row r="253" ht="22.5" customHeight="1">
      <c r="A253" s="3">
        <v>252.0</v>
      </c>
      <c r="B253" s="4" t="s">
        <v>11595</v>
      </c>
      <c r="C253" s="4" t="s">
        <v>11435</v>
      </c>
      <c r="D253" s="4" t="s">
        <v>11407</v>
      </c>
      <c r="F253" s="5" t="str">
        <f>IFERROR(__xludf.DUMMYFUNCTION("GOOGLETRANSLATE(A253, ""en"", ""hi"")"),"252")</f>
        <v>252</v>
      </c>
      <c r="G253" s="5" t="str">
        <f>IFERROR(__xludf.DUMMYFUNCTION("GOOGLETRANSLATE(B253, ""en"", ""hi"")"),"20वीं सदी के किस भारतीय लेखक ने ग्रामीण जीवन के चित्रण में गिल्ली डंडा जैसे पारंपरिक खेलों का संदर्भ शामिल किया?")</f>
        <v>20वीं सदी के किस भारतीय लेखक ने ग्रामीण जीवन के चित्रण में गिल्ली डंडा जैसे पारंपरिक खेलों का संदर्भ शामिल किया?</v>
      </c>
      <c r="H253" s="5" t="str">
        <f>IFERROR(__xludf.DUMMYFUNCTION("GOOGLETRANSLATE(C253, ""en"", ""hi"")"),"ए) मुंशी प्रेमचंद, बी) रवींद्रनाथ टैगोर, सी) इस्मत चुगताई, डी) खुशवंत सिंह")</f>
        <v>ए) मुंशी प्रेमचंद, बी) रवींद्रनाथ टैगोर, सी) इस्मत चुगताई, डी) खुशवंत सिंह</v>
      </c>
      <c r="I253" s="5" t="str">
        <f>IFERROR(__xludf.DUMMYFUNCTION("GOOGLETRANSLATE(D253, ""en"", ""hi"")"),"A) मुंशी प्रेमचंद")</f>
        <v>A) मुंशी प्रेमचंद</v>
      </c>
    </row>
    <row r="254" ht="22.5" customHeight="1">
      <c r="A254" s="3">
        <v>253.0</v>
      </c>
      <c r="B254" s="4" t="s">
        <v>11596</v>
      </c>
      <c r="C254" s="4" t="s">
        <v>11550</v>
      </c>
      <c r="D254" s="4" t="s">
        <v>7468</v>
      </c>
      <c r="F254" s="5" t="str">
        <f>IFERROR(__xludf.DUMMYFUNCTION("GOOGLETRANSLATE(A254, ""en"", ""hi"")"),"253")</f>
        <v>253</v>
      </c>
      <c r="G254" s="5" t="str">
        <f>IFERROR(__xludf.DUMMYFUNCTION("GOOGLETRANSLATE(B254, ""en"", ""hi"")"),"20वीं सदी के आरंभ में किस प्रसिद्ध भारतीय विद्वान और इतिहासकार ने गिल्ली डंडा सहित पारंपरिक खेलों के ऐतिहासिक महत्व की जांच की?")</f>
        <v>20वीं सदी के आरंभ में किस प्रसिद्ध भारतीय विद्वान और इतिहासकार ने गिल्ली डंडा सहित पारंपरिक खेलों के ऐतिहासिक महत्व की जांच की?</v>
      </c>
      <c r="H254" s="5" t="str">
        <f>IFERROR(__xludf.DUMMYFUNCTION("GOOGLETRANSLATE(C254, ""en"", ""hi"")"),"ए) आर. सी. मजूमदार, बी) बिपन चंद्रा, सी) के. एम. पणिक्कर, डी) एस. राधाकृष्णन")</f>
        <v>ए) आर. सी. मजूमदार, बी) बिपन चंद्रा, सी) के. एम. पणिक्कर, डी) एस. राधाकृष्णन</v>
      </c>
      <c r="I254" s="5" t="str">
        <f>IFERROR(__xludf.DUMMYFUNCTION("GOOGLETRANSLATE(D254, ""en"", ""hi"")"),"A) आर. सी. मजूमदार")</f>
        <v>A) आर. सी. मजूमदार</v>
      </c>
    </row>
    <row r="255" ht="22.5" customHeight="1">
      <c r="A255" s="3">
        <v>254.0</v>
      </c>
      <c r="B255" s="4" t="s">
        <v>11597</v>
      </c>
      <c r="C255" s="4" t="s">
        <v>11560</v>
      </c>
      <c r="D255" s="4" t="s">
        <v>11522</v>
      </c>
      <c r="F255" s="5" t="str">
        <f>IFERROR(__xludf.DUMMYFUNCTION("GOOGLETRANSLATE(A255, ""en"", ""hi"")"),"254")</f>
        <v>254</v>
      </c>
      <c r="G255" s="5" t="str">
        <f>IFERROR(__xludf.DUMMYFUNCTION("GOOGLETRANSLATE(B255, ""en"", ""hi"")"),"किस प्रारंभिक ब्रिटिश यात्री ने गिल्ली डंडा के पारंपरिक खेल और ग्रामीण भारतीय समाज में इसकी भूमिका का दस्तावेजीकरण किया?")</f>
        <v>किस प्रारंभिक ब्रिटिश यात्री ने गिल्ली डंडा के पारंपरिक खेल और ग्रामीण भारतीय समाज में इसकी भूमिका का दस्तावेजीकरण किया?</v>
      </c>
      <c r="H255" s="5" t="str">
        <f>IFERROR(__xludf.DUMMYFUNCTION("GOOGLETRANSLATE(C255, ""en"", ""hi"")"),"A) फ्रांसिस बुकानन-हैमिल्टन, B) विलियम एडम्स, C) जेम्स रेनेल, D) अलेक्जेंडर बर्न्स")</f>
        <v>A) फ्रांसिस बुकानन-हैमिल्टन, B) विलियम एडम्स, C) जेम्स रेनेल, D) अलेक्जेंडर बर्न्स</v>
      </c>
      <c r="I255" s="5" t="str">
        <f>IFERROR(__xludf.DUMMYFUNCTION("GOOGLETRANSLATE(D255, ""en"", ""hi"")"),"A) फ्रांसिस बुकानन-हैमिल्टन")</f>
        <v>A) फ्रांसिस बुकानन-हैमिल्टन</v>
      </c>
    </row>
    <row r="256" ht="22.5" customHeight="1">
      <c r="A256" s="3">
        <v>255.0</v>
      </c>
      <c r="B256" s="4" t="s">
        <v>11598</v>
      </c>
      <c r="C256" s="4" t="s">
        <v>11599</v>
      </c>
      <c r="D256" s="4" t="s">
        <v>4703</v>
      </c>
      <c r="F256" s="5" t="str">
        <f>IFERROR(__xludf.DUMMYFUNCTION("GOOGLETRANSLATE(A256, ""en"", ""hi"")"),"255")</f>
        <v>255</v>
      </c>
      <c r="G256" s="5" t="str">
        <f>IFERROR(__xludf.DUMMYFUNCTION("GOOGLETRANSLATE(B256, ""en"", ""hi"")"),"गिल्ली डंडा से निकटता से संबंधित कौन सा पारंपरिक भारतीय खेल अक्सर भारत के ग्रामीण क्षेत्रों में सामुदायिक समारोहों के दौरान खेला जाता है?")</f>
        <v>गिल्ली डंडा से निकटता से संबंधित कौन सा पारंपरिक भारतीय खेल अक्सर भारत के ग्रामीण क्षेत्रों में सामुदायिक समारोहों के दौरान खेला जाता है?</v>
      </c>
      <c r="H256" s="5" t="str">
        <f>IFERROR(__xludf.DUMMYFUNCTION("GOOGLETRANSLATE(C256, ""en"", ""hi"")"),"ए) सतोलिया, बी) कबड्डी, सी) पोलो, डी) गट्टा-गट्टी")</f>
        <v>ए) सतोलिया, बी) कबड्डी, सी) पोलो, डी) गट्टा-गट्टी</v>
      </c>
      <c r="I256" s="5" t="str">
        <f>IFERROR(__xludf.DUMMYFUNCTION("GOOGLETRANSLATE(D256, ""en"", ""hi"")"),"A) सतोलिया")</f>
        <v>A) सतोलिया</v>
      </c>
    </row>
    <row r="257" ht="22.5" customHeight="1">
      <c r="A257" s="3">
        <v>256.0</v>
      </c>
      <c r="B257" s="4" t="s">
        <v>11600</v>
      </c>
      <c r="C257" s="4" t="s">
        <v>11601</v>
      </c>
      <c r="D257" s="4" t="s">
        <v>11602</v>
      </c>
      <c r="F257" s="5" t="str">
        <f>IFERROR(__xludf.DUMMYFUNCTION("GOOGLETRANSLATE(A257, ""en"", ""hi"")"),"256")</f>
        <v>256</v>
      </c>
      <c r="G257" s="5" t="str">
        <f>IFERROR(__xludf.DUMMYFUNCTION("GOOGLETRANSLATE(B257, ""en"", ""hi"")"),"मध्यकालीन काल के किस ऐतिहासिक व्यक्ति ने गिल्ली डंडा जैसे पारंपरिक खेलों सहित भारतीय सांस्कृतिक प्रथाओं के बारे में विस्तार से लिखा?")</f>
        <v>मध्यकालीन काल के किस ऐतिहासिक व्यक्ति ने गिल्ली डंडा जैसे पारंपरिक खेलों सहित भारतीय सांस्कृतिक प्रथाओं के बारे में विस्तार से लिखा?</v>
      </c>
      <c r="H257" s="5" t="str">
        <f>IFERROR(__xludf.DUMMYFUNCTION("GOOGLETRANSLATE(C257, ""en"", ""hi"")"),"ए) अबुल-फ़ज़ल, बी) बाबर, सी) हुमायूँ, डी) शाहजहाँ")</f>
        <v>ए) अबुल-फ़ज़ल, बी) बाबर, सी) हुमायूँ, डी) शाहजहाँ</v>
      </c>
      <c r="I257" s="5" t="str">
        <f>IFERROR(__xludf.DUMMYFUNCTION("GOOGLETRANSLATE(D257, ""en"", ""hi"")"),"A) अबुल-फ़ज़ल")</f>
        <v>A) अबुल-फ़ज़ल</v>
      </c>
    </row>
    <row r="258" ht="22.5" customHeight="1">
      <c r="A258" s="3">
        <v>257.0</v>
      </c>
      <c r="B258" s="4" t="s">
        <v>11603</v>
      </c>
      <c r="C258" s="4" t="s">
        <v>11604</v>
      </c>
      <c r="D258" s="4" t="s">
        <v>11442</v>
      </c>
      <c r="F258" s="5" t="str">
        <f>IFERROR(__xludf.DUMMYFUNCTION("GOOGLETRANSLATE(A258, ""en"", ""hi"")"),"257")</f>
        <v>257</v>
      </c>
      <c r="G258" s="5" t="str">
        <f>IFERROR(__xludf.DUMMYFUNCTION("GOOGLETRANSLATE(B258, ""en"", ""hi"")"),"भक्ति आंदोलन के किस भारतीय कवि ने अपने भक्ति भजनों में गिल्ली डंडा जैसे पारंपरिक खेलों का वर्णन शामिल किया?")</f>
        <v>भक्ति आंदोलन के किस भारतीय कवि ने अपने भक्ति भजनों में गिल्ली डंडा जैसे पारंपरिक खेलों का वर्णन शामिल किया?</v>
      </c>
      <c r="H258" s="5" t="str">
        <f>IFERROR(__xludf.DUMMYFUNCTION("GOOGLETRANSLATE(C258, ""en"", ""hi"")"),"ए) कबीर, बी) तुलसीदास, सी) मीराबाई, डी) सूरदास")</f>
        <v>ए) कबीर, बी) तुलसीदास, सी) मीराबाई, डी) सूरदास</v>
      </c>
      <c r="I258" s="5" t="str">
        <f>IFERROR(__xludf.DUMMYFUNCTION("GOOGLETRANSLATE(D258, ""en"", ""hi"")"),"A) कबीर")</f>
        <v>A) कबीर</v>
      </c>
    </row>
    <row r="259" ht="22.5" customHeight="1">
      <c r="A259" s="3">
        <v>258.0</v>
      </c>
      <c r="B259" s="4" t="s">
        <v>11605</v>
      </c>
      <c r="C259" s="4" t="s">
        <v>11606</v>
      </c>
      <c r="D259" s="4" t="s">
        <v>11607</v>
      </c>
      <c r="F259" s="5" t="str">
        <f>IFERROR(__xludf.DUMMYFUNCTION("GOOGLETRANSLATE(A259, ""en"", ""hi"")"),"258")</f>
        <v>258</v>
      </c>
      <c r="G259" s="5" t="str">
        <f>IFERROR(__xludf.DUMMYFUNCTION("GOOGLETRANSLATE(B259, ""en"", ""hi"")"),"19वीं शताब्दी के किस ब्रिटिश विद्वान और यात्री ने अपने सांस्कृतिक अवलोकनों में गिल्ली डंडा सहित भारतीय खेलों का विस्तृत विवरण प्रदान किया?")</f>
        <v>19वीं शताब्दी के किस ब्रिटिश विद्वान और यात्री ने अपने सांस्कृतिक अवलोकनों में गिल्ली डंडा सहित भारतीय खेलों का विस्तृत विवरण प्रदान किया?</v>
      </c>
      <c r="H259" s="5" t="str">
        <f>IFERROR(__xludf.DUMMYFUNCTION("GOOGLETRANSLATE(C259, ""en"", ""hi"")"),"A) विलियम एडम्स, B) अलेक्जेंडर बर्न्स, C) जेम्स रेनेल, D) फ्रांसिस बुकानन-हैमिल्टन")</f>
        <v>A) विलियम एडम्स, B) अलेक्जेंडर बर्न्स, C) जेम्स रेनेल, D) फ्रांसिस बुकानन-हैमिल्टन</v>
      </c>
      <c r="I259" s="5" t="str">
        <f>IFERROR(__xludf.DUMMYFUNCTION("GOOGLETRANSLATE(D259, ""en"", ""hi"")"),"D) फ्रांसिस बुकानन-हैमिल्टन")</f>
        <v>D) फ्रांसिस बुकानन-हैमिल्टन</v>
      </c>
    </row>
    <row r="260" ht="22.5" customHeight="1">
      <c r="A260" s="3">
        <v>259.0</v>
      </c>
      <c r="B260" s="4" t="s">
        <v>11608</v>
      </c>
      <c r="C260" s="4" t="s">
        <v>11475</v>
      </c>
      <c r="D260" s="4" t="s">
        <v>3918</v>
      </c>
      <c r="F260" s="5" t="str">
        <f>IFERROR(__xludf.DUMMYFUNCTION("GOOGLETRANSLATE(A260, ""en"", ""hi"")"),"259")</f>
        <v>259</v>
      </c>
      <c r="G260" s="5" t="str">
        <f>IFERROR(__xludf.DUMMYFUNCTION("GOOGLETRANSLATE(B260, ""en"", ""hi"")"),"गुजरात के किस पारंपरिक त्यौहार में गिल्ली डंडा को सांस्कृतिक समारोहों और सामुदायिक गतिविधियों के भाग के रूप में शामिल किया जाता है?")</f>
        <v>गुजरात के किस पारंपरिक त्यौहार में गिल्ली डंडा को सांस्कृतिक समारोहों और सामुदायिक गतिविधियों के भाग के रूप में शामिल किया जाता है?</v>
      </c>
      <c r="H260" s="5" t="str">
        <f>IFERROR(__xludf.DUMMYFUNCTION("GOOGLETRANSLATE(C260, ""en"", ""hi"")"),"ए) नवरात्रि, बी) मकर संक्रांति, सी) दिवाली, डी) होली")</f>
        <v>ए) नवरात्रि, बी) मकर संक्रांति, सी) दिवाली, डी) होली</v>
      </c>
      <c r="I260" s="5" t="str">
        <f>IFERROR(__xludf.DUMMYFUNCTION("GOOGLETRANSLATE(D260, ""en"", ""hi"")"),"बी) मकर संक्रांति")</f>
        <v>बी) मकर संक्रांति</v>
      </c>
    </row>
    <row r="261" ht="22.5" customHeight="1">
      <c r="A261" s="3">
        <v>260.0</v>
      </c>
      <c r="B261" s="4" t="s">
        <v>11609</v>
      </c>
      <c r="C261" s="4" t="s">
        <v>11533</v>
      </c>
      <c r="D261" s="4" t="s">
        <v>11375</v>
      </c>
      <c r="F261" s="5" t="str">
        <f>IFERROR(__xludf.DUMMYFUNCTION("GOOGLETRANSLATE(A261, ""en"", ""hi"")"),"260")</f>
        <v>260</v>
      </c>
      <c r="G261" s="5" t="str">
        <f>IFERROR(__xludf.DUMMYFUNCTION("GOOGLETRANSLATE(B261, ""en"", ""hi"")"),"कौन सा भारतीय क्षेत्र गिल्ली डंडा के अपने प्रकार के लिए प्रसिद्ध है, जिसे अक्सर स्थानीय मेलों और पारंपरिक त्योहारों के दौरान खेला जाता है?")</f>
        <v>कौन सा भारतीय क्षेत्र गिल्ली डंडा के अपने प्रकार के लिए प्रसिद्ध है, जिसे अक्सर स्थानीय मेलों और पारंपरिक त्योहारों के दौरान खेला जाता है?</v>
      </c>
      <c r="H261" s="5" t="str">
        <f>IFERROR(__xludf.DUMMYFUNCTION("GOOGLETRANSLATE(C261, ""en"", ""hi"")"),"A) पूर्वोत्तर भारत, B) दक्षिण भारत, C) पश्चिम भारत, D) मध्य भारत")</f>
        <v>A) पूर्वोत्तर भारत, B) दक्षिण भारत, C) पश्चिम भारत, D) मध्य भारत</v>
      </c>
      <c r="I261" s="5" t="str">
        <f>IFERROR(__xludf.DUMMYFUNCTION("GOOGLETRANSLATE(D261, ""en"", ""hi"")"),"A) पूर्वोत्तर भारत")</f>
        <v>A) पूर्वोत्तर भारत</v>
      </c>
    </row>
    <row r="262" ht="22.5" customHeight="1">
      <c r="A262" s="3">
        <v>261.0</v>
      </c>
      <c r="B262" s="4" t="s">
        <v>11610</v>
      </c>
      <c r="C262" s="4" t="s">
        <v>11517</v>
      </c>
      <c r="D262" s="4" t="s">
        <v>11462</v>
      </c>
      <c r="F262" s="5" t="str">
        <f>IFERROR(__xludf.DUMMYFUNCTION("GOOGLETRANSLATE(A262, ""en"", ""hi"")"),"261")</f>
        <v>261</v>
      </c>
      <c r="G262" s="5" t="str">
        <f>IFERROR(__xludf.DUMMYFUNCTION("GOOGLETRANSLATE(B262, ""en"", ""hi"")"),"19वीं शताब्दी के किस ऐतिहासिक दस्तावेज में गिल्ली डंडा और भारतीय सामाजिक जीवन में इसकी भूमिका का विस्तृत वर्णन शामिल है?")</f>
        <v>19वीं शताब्दी के किस ऐतिहासिक दस्तावेज में गिल्ली डंडा और भारतीय सामाजिक जीवन में इसकी भूमिका का विस्तृत वर्णन शामिल है?</v>
      </c>
      <c r="H262" s="5" t="str">
        <f>IFERROR(__xludf.DUMMYFUNCTION("GOOGLETRANSLATE(C262, ""en"", ""hi"")"),"ए) अकबर नामा, बी) बाबर नामा, सी) हुमायूं नामा, डी) पादशाह नामा")</f>
        <v>ए) अकबर नामा, बी) बाबर नामा, सी) हुमायूं नामा, डी) पादशाह नामा</v>
      </c>
      <c r="I262" s="5" t="str">
        <f>IFERROR(__xludf.DUMMYFUNCTION("GOOGLETRANSLATE(D262, ""en"", ""hi"")"),"A) अकबरनामा")</f>
        <v>A) अकबरनामा</v>
      </c>
    </row>
    <row r="263" ht="22.5" customHeight="1">
      <c r="A263" s="3">
        <v>262.0</v>
      </c>
      <c r="B263" s="4" t="s">
        <v>11611</v>
      </c>
      <c r="C263" s="4" t="s">
        <v>11539</v>
      </c>
      <c r="D263" s="4" t="s">
        <v>7468</v>
      </c>
      <c r="F263" s="5" t="str">
        <f>IFERROR(__xludf.DUMMYFUNCTION("GOOGLETRANSLATE(A263, ""en"", ""hi"")"),"262")</f>
        <v>262</v>
      </c>
      <c r="G263" s="5" t="str">
        <f>IFERROR(__xludf.DUMMYFUNCTION("GOOGLETRANSLATE(B263, ""en"", ""hi"")"),"20वीं सदी के आरंभिक भारतीय विद्वान कौन हैं जो गिल्ली डंडा जैसे पारंपरिक खेलों और उनके सांस्कृतिक प्रभावों पर अपने अध्ययन के लिए जाने जाते हैं?")</f>
        <v>20वीं सदी के आरंभिक भारतीय विद्वान कौन हैं जो गिल्ली डंडा जैसे पारंपरिक खेलों और उनके सांस्कृतिक प्रभावों पर अपने अध्ययन के लिए जाने जाते हैं?</v>
      </c>
      <c r="H263" s="5" t="str">
        <f>IFERROR(__xludf.DUMMYFUNCTION("GOOGLETRANSLATE(C263, ""en"", ""hi"")"),"A) आर. सी. मजूमदार, B) के. एम. मुंशी, C) एस. राधाकृष्णन, D) बी. एन. पांडे")</f>
        <v>A) आर. सी. मजूमदार, B) के. एम. मुंशी, C) एस. राधाकृष्णन, D) बी. एन. पांडे</v>
      </c>
      <c r="I263" s="5" t="str">
        <f>IFERROR(__xludf.DUMMYFUNCTION("GOOGLETRANSLATE(D263, ""en"", ""hi"")"),"A) आर. सी. मजूमदार")</f>
        <v>A) आर. सी. मजूमदार</v>
      </c>
    </row>
    <row r="264" ht="22.5" customHeight="1">
      <c r="A264" s="3">
        <v>263.0</v>
      </c>
      <c r="B264" s="4" t="s">
        <v>11612</v>
      </c>
      <c r="C264" s="4" t="s">
        <v>11613</v>
      </c>
      <c r="D264" s="4" t="s">
        <v>3566</v>
      </c>
      <c r="F264" s="5" t="str">
        <f>IFERROR(__xludf.DUMMYFUNCTION("GOOGLETRANSLATE(A264, ""en"", ""hi"")"),"263")</f>
        <v>263</v>
      </c>
      <c r="G264" s="5" t="str">
        <f>IFERROR(__xludf.DUMMYFUNCTION("GOOGLETRANSLATE(B264, ""en"", ""hi"")"),"मध्यकाल के दौरान गिल्ली डंडा सहित पारंपरिक खेलों के विस्तृत विवरण के लिए किस भारतीय ऐतिहासिक व्यक्ति को जाना जाता था?")</f>
        <v>मध्यकाल के दौरान गिल्ली डंडा सहित पारंपरिक खेलों के विस्तृत विवरण के लिए किस भारतीय ऐतिहासिक व्यक्ति को जाना जाता था?</v>
      </c>
      <c r="H264" s="5" t="str">
        <f>IFERROR(__xludf.DUMMYFUNCTION("GOOGLETRANSLATE(C264, ""en"", ""hi"")"),"ए) बाबर, बी) अकबर, सी) हुमायूं, डी) शाहजहाँ")</f>
        <v>ए) बाबर, बी) अकबर, सी) हुमायूं, डी) शाहजहाँ</v>
      </c>
      <c r="I264" s="5" t="str">
        <f>IFERROR(__xludf.DUMMYFUNCTION("GOOGLETRANSLATE(D264, ""en"", ""hi"")"),"बी) अकबर")</f>
        <v>बी) अकबर</v>
      </c>
    </row>
    <row r="265" ht="22.5" customHeight="1">
      <c r="A265" s="3">
        <v>264.0</v>
      </c>
      <c r="B265" s="4" t="s">
        <v>11614</v>
      </c>
      <c r="C265" s="4" t="s">
        <v>11541</v>
      </c>
      <c r="D265" s="4" t="s">
        <v>11473</v>
      </c>
      <c r="F265" s="5" t="str">
        <f>IFERROR(__xludf.DUMMYFUNCTION("GOOGLETRANSLATE(A265, ""en"", ""hi"")"),"264")</f>
        <v>264</v>
      </c>
      <c r="G265" s="5" t="str">
        <f>IFERROR(__xludf.DUMMYFUNCTION("GOOGLETRANSLATE(B265, ""en"", ""hi"")"),"कौन सा प्राचीन भारतीय ग्रंथ शारीरिक प्रशिक्षण और शिक्षा के लिए गिल्ली डंडा जैसे पारंपरिक खेलों के उपयोग के बारे में जानकारी प्रदान करता है?")</f>
        <v>कौन सा प्राचीन भारतीय ग्रंथ शारीरिक प्रशिक्षण और शिक्षा के लिए गिल्ली डंडा जैसे पारंपरिक खेलों के उपयोग के बारे में जानकारी प्रदान करता है?</v>
      </c>
      <c r="H265" s="5" t="str">
        <f>IFERROR(__xludf.DUMMYFUNCTION("GOOGLETRANSLATE(C265, ""en"", ""hi"")"),"ए) नाट्यशास्त्र, बी) अर्थशास्त्र, सी) विष्णु पुराण, डी) मनुस्मृति")</f>
        <v>ए) नाट्यशास्त्र, बी) अर्थशास्त्र, सी) विष्णु पुराण, डी) मनुस्मृति</v>
      </c>
      <c r="I265" s="5" t="str">
        <f>IFERROR(__xludf.DUMMYFUNCTION("GOOGLETRANSLATE(D265, ""en"", ""hi"")"),"A) नाट्यशास्त्र")</f>
        <v>A) नाट्यशास्त्र</v>
      </c>
    </row>
    <row r="266" ht="22.5" customHeight="1">
      <c r="A266" s="3">
        <v>265.0</v>
      </c>
      <c r="B266" s="4" t="s">
        <v>11615</v>
      </c>
      <c r="C266" s="4" t="s">
        <v>11566</v>
      </c>
      <c r="D266" s="4" t="s">
        <v>4854</v>
      </c>
      <c r="F266" s="5" t="str">
        <f>IFERROR(__xludf.DUMMYFUNCTION("GOOGLETRANSLATE(A266, ""en"", ""hi"")"),"265")</f>
        <v>265</v>
      </c>
      <c r="G266" s="5" t="str">
        <f>IFERROR(__xludf.DUMMYFUNCTION("GOOGLETRANSLATE(B266, ""en"", ""hi"")"),"तमिलनाडु में कौन सा भारतीय त्योहार गिल्ली डंडा को अपनी स्थानीय सांस्कृतिक गतिविधियों के हिस्से के रूप में प्रमुखता से पेश करता है?")</f>
        <v>तमिलनाडु में कौन सा भारतीय त्योहार गिल्ली डंडा को अपनी स्थानीय सांस्कृतिक गतिविधियों के हिस्से के रूप में प्रमुखता से पेश करता है?</v>
      </c>
      <c r="H266" s="5" t="str">
        <f>IFERROR(__xludf.DUMMYFUNCTION("GOOGLETRANSLATE(C266, ""en"", ""hi"")"),"ए) पोंगल, बी) उगादि, सी) मकर संक्रांति, डी) दिवाली")</f>
        <v>ए) पोंगल, बी) उगादि, सी) मकर संक्रांति, डी) दिवाली</v>
      </c>
      <c r="I266" s="5" t="str">
        <f>IFERROR(__xludf.DUMMYFUNCTION("GOOGLETRANSLATE(D266, ""en"", ""hi"")"),"ए) पोंगल")</f>
        <v>ए) पोंगल</v>
      </c>
    </row>
    <row r="267" ht="22.5" customHeight="1">
      <c r="A267" s="3">
        <v>266.0</v>
      </c>
      <c r="B267" s="4" t="s">
        <v>11616</v>
      </c>
      <c r="C267" s="4" t="s">
        <v>11439</v>
      </c>
      <c r="D267" s="4" t="s">
        <v>7468</v>
      </c>
      <c r="F267" s="5" t="str">
        <f>IFERROR(__xludf.DUMMYFUNCTION("GOOGLETRANSLATE(A267, ""en"", ""hi"")"),"266")</f>
        <v>266</v>
      </c>
      <c r="G267" s="5" t="str">
        <f>IFERROR(__xludf.DUMMYFUNCTION("GOOGLETRANSLATE(B267, ""en"", ""hi"")"),"20वीं सदी के आरंभ में किस प्रसिद्ध भारतीय इतिहासकार ने अपने शोध में गिल्ली डंडा सहित पारंपरिक खेलों के महत्व की जांच की?")</f>
        <v>20वीं सदी के आरंभ में किस प्रसिद्ध भारतीय इतिहासकार ने अपने शोध में गिल्ली डंडा सहित पारंपरिक खेलों के महत्व की जांच की?</v>
      </c>
      <c r="H267" s="5" t="str">
        <f>IFERROR(__xludf.DUMMYFUNCTION("GOOGLETRANSLATE(C267, ""en"", ""hi"")"),"A) आर. सी. मजूमदार, B) के. एम. मुंशी, C) बी. एन. पांडे, D) एस. राधाकृष्णन")</f>
        <v>A) आर. सी. मजूमदार, B) के. एम. मुंशी, C) बी. एन. पांडे, D) एस. राधाकृष्णन</v>
      </c>
      <c r="I267" s="5" t="str">
        <f>IFERROR(__xludf.DUMMYFUNCTION("GOOGLETRANSLATE(D267, ""en"", ""hi"")"),"A) आर. सी. मजूमदार")</f>
        <v>A) आर. सी. मजूमदार</v>
      </c>
    </row>
    <row r="268" ht="22.5" customHeight="1">
      <c r="A268" s="3">
        <v>267.0</v>
      </c>
      <c r="B268" s="4" t="s">
        <v>11617</v>
      </c>
      <c r="C268" s="4" t="s">
        <v>11599</v>
      </c>
      <c r="D268" s="4" t="s">
        <v>4703</v>
      </c>
      <c r="F268" s="5" t="str">
        <f>IFERROR(__xludf.DUMMYFUNCTION("GOOGLETRANSLATE(A268, ""en"", ""hi"")"),"267")</f>
        <v>267</v>
      </c>
      <c r="G268" s="5" t="str">
        <f>IFERROR(__xludf.DUMMYFUNCTION("GOOGLETRANSLATE(B268, ""en"", ""hi"")"),"उत्तर प्रदेश में गाँव के मेलों और सामुदायिक आयोजनों के दौरान गिल्ली डंडा के साथ कौन सा पारंपरिक भारतीय खेल अक्सर खेला जाता है?")</f>
        <v>उत्तर प्रदेश में गाँव के मेलों और सामुदायिक आयोजनों के दौरान गिल्ली डंडा के साथ कौन सा पारंपरिक भारतीय खेल अक्सर खेला जाता है?</v>
      </c>
      <c r="H268" s="5" t="str">
        <f>IFERROR(__xludf.DUMMYFUNCTION("GOOGLETRANSLATE(C268, ""en"", ""hi"")"),"ए) सतोलिया, बी) कबड्डी, सी) पोलो, डी) गट्टा-गट्टी")</f>
        <v>ए) सतोलिया, बी) कबड्डी, सी) पोलो, डी) गट्टा-गट्टी</v>
      </c>
      <c r="I268" s="5" t="str">
        <f>IFERROR(__xludf.DUMMYFUNCTION("GOOGLETRANSLATE(D268, ""en"", ""hi"")"),"A) सतोलिया")</f>
        <v>A) सतोलिया</v>
      </c>
    </row>
    <row r="269" ht="22.5" customHeight="1">
      <c r="A269" s="3">
        <v>268.0</v>
      </c>
      <c r="B269" s="4" t="s">
        <v>11618</v>
      </c>
      <c r="C269" s="4" t="s">
        <v>11574</v>
      </c>
      <c r="D269" s="4" t="s">
        <v>11575</v>
      </c>
      <c r="F269" s="5" t="str">
        <f>IFERROR(__xludf.DUMMYFUNCTION("GOOGLETRANSLATE(A269, ""en"", ""hi"")"),"268")</f>
        <v>268</v>
      </c>
      <c r="G269" s="5" t="str">
        <f>IFERROR(__xludf.DUMMYFUNCTION("GOOGLETRANSLATE(B269, ""en"", ""hi"")"),"ब्रिटिश औपनिवेशिक काल के किस ऐतिहासिक व्यक्ति ने भारतीय संस्कृति के अपने अध्ययन में गिल्ली डंडा के पारंपरिक खेल का दस्तावेजीकरण किया?")</f>
        <v>ब्रिटिश औपनिवेशिक काल के किस ऐतिहासिक व्यक्ति ने भारतीय संस्कृति के अपने अध्ययन में गिल्ली डंडा के पारंपरिक खेल का दस्तावेजीकरण किया?</v>
      </c>
      <c r="H269" s="5" t="str">
        <f>IFERROR(__xludf.DUMMYFUNCTION("GOOGLETRANSLATE(C269, ""en"", ""hi"")"),"A) सर विलियम स्लीमन, B) लॉर्ड कर्जन, C) सर जॉर्ज एवरेस्ट, D) लॉर्ड मिंटो")</f>
        <v>A) सर विलियम स्लीमन, B) लॉर्ड कर्जन, C) सर जॉर्ज एवरेस्ट, D) लॉर्ड मिंटो</v>
      </c>
      <c r="I269" s="5" t="str">
        <f>IFERROR(__xludf.DUMMYFUNCTION("GOOGLETRANSLATE(D269, ""en"", ""hi"")"),"A) सर विलियम स्लीमन")</f>
        <v>A) सर विलियम स्लीमन</v>
      </c>
    </row>
    <row r="270" ht="22.5" customHeight="1">
      <c r="A270" s="3">
        <v>269.0</v>
      </c>
      <c r="B270" s="4" t="s">
        <v>11619</v>
      </c>
      <c r="C270" s="4" t="s">
        <v>11426</v>
      </c>
      <c r="D270" s="4" t="s">
        <v>4623</v>
      </c>
      <c r="F270" s="5" t="str">
        <f>IFERROR(__xludf.DUMMYFUNCTION("GOOGLETRANSLATE(A270, ""en"", ""hi"")"),"269")</f>
        <v>269</v>
      </c>
      <c r="G270" s="5" t="str">
        <f>IFERROR(__xludf.DUMMYFUNCTION("GOOGLETRANSLATE(B270, ""en"", ""hi"")"),"कौन सा प्राचीन भारतीय राजा अपने दरबारी मनोरंजन के हिस्से के रूप में गिल्ली डंडा सहित पारंपरिक खेलों के संरक्षण के लिए जाना जाता था?")</f>
        <v>कौन सा प्राचीन भारतीय राजा अपने दरबारी मनोरंजन के हिस्से के रूप में गिल्ली डंडा सहित पारंपरिक खेलों के संरक्षण के लिए जाना जाता था?</v>
      </c>
      <c r="H270" s="5" t="str">
        <f>IFERROR(__xludf.DUMMYFUNCTION("GOOGLETRANSLATE(C270, ""en"", ""hi"")"),"ए) चंद्रगुप्त मौर्य, बी) अशोक, सी) राजा भोज, डी) विक्रमादित्य")</f>
        <v>ए) चंद्रगुप्त मौर्य, बी) अशोक, सी) राजा भोज, डी) विक्रमादित्य</v>
      </c>
      <c r="I270" s="5" t="str">
        <f>IFERROR(__xludf.DUMMYFUNCTION("GOOGLETRANSLATE(D270, ""en"", ""hi"")"),"D) विक्रमादित्य")</f>
        <v>D) विक्रमादित्य</v>
      </c>
    </row>
    <row r="271" ht="22.5" customHeight="1">
      <c r="A271" s="3">
        <v>270.0</v>
      </c>
      <c r="B271" s="4" t="s">
        <v>11620</v>
      </c>
      <c r="C271" s="4" t="s">
        <v>11606</v>
      </c>
      <c r="D271" s="4" t="s">
        <v>11607</v>
      </c>
      <c r="F271" s="5" t="str">
        <f>IFERROR(__xludf.DUMMYFUNCTION("GOOGLETRANSLATE(A271, ""en"", ""hi"")"),"270")</f>
        <v>270</v>
      </c>
      <c r="G271" s="5" t="str">
        <f>IFERROR(__xludf.DUMMYFUNCTION("GOOGLETRANSLATE(B271, ""en"", ""hi"")"),"19वीं सदी के किस ब्रिटिश विद्वान ने गिल्ली डंडा सहित पारंपरिक भारतीय खेलों की सांस्कृतिक प्रथाओं के बारे में लिखा?")</f>
        <v>19वीं सदी के किस ब्रिटिश विद्वान ने गिल्ली डंडा सहित पारंपरिक भारतीय खेलों की सांस्कृतिक प्रथाओं के बारे में लिखा?</v>
      </c>
      <c r="H271" s="5" t="str">
        <f>IFERROR(__xludf.DUMMYFUNCTION("GOOGLETRANSLATE(C271, ""en"", ""hi"")"),"A) विलियम एडम्स, B) अलेक्जेंडर बर्न्स, C) जेम्स रेनेल, D) फ्रांसिस बुकानन-हैमिल्टन")</f>
        <v>A) विलियम एडम्स, B) अलेक्जेंडर बर्न्स, C) जेम्स रेनेल, D) फ्रांसिस बुकानन-हैमिल्टन</v>
      </c>
      <c r="I271" s="5" t="str">
        <f>IFERROR(__xludf.DUMMYFUNCTION("GOOGLETRANSLATE(D271, ""en"", ""hi"")"),"D) फ्रांसिस बुकानन-हैमिल्टन")</f>
        <v>D) फ्रांसिस बुकानन-हैमिल्टन</v>
      </c>
    </row>
    <row r="272" ht="22.5" customHeight="1">
      <c r="A272" s="3">
        <v>271.0</v>
      </c>
      <c r="B272" s="4" t="s">
        <v>11621</v>
      </c>
      <c r="C272" s="4" t="s">
        <v>11604</v>
      </c>
      <c r="D272" s="4" t="s">
        <v>11442</v>
      </c>
      <c r="F272" s="5" t="str">
        <f>IFERROR(__xludf.DUMMYFUNCTION("GOOGLETRANSLATE(A272, ""en"", ""hi"")"),"271")</f>
        <v>271</v>
      </c>
      <c r="G272" s="5" t="str">
        <f>IFERROR(__xludf.DUMMYFUNCTION("GOOGLETRANSLATE(B272, ""en"", ""hi"")"),"भक्ति परंपरा के किस भारतीय कवि ने अपनी आध्यात्मिक कविताओं में गिल्ली डंडा जैसे पारंपरिक खेलों का वर्णन शामिल किया?")</f>
        <v>भक्ति परंपरा के किस भारतीय कवि ने अपनी आध्यात्मिक कविताओं में गिल्ली डंडा जैसे पारंपरिक खेलों का वर्णन शामिल किया?</v>
      </c>
      <c r="H272" s="5" t="str">
        <f>IFERROR(__xludf.DUMMYFUNCTION("GOOGLETRANSLATE(C272, ""en"", ""hi"")"),"ए) कबीर, बी) तुलसीदास, सी) मीराबाई, डी) सूरदास")</f>
        <v>ए) कबीर, बी) तुलसीदास, सी) मीराबाई, डी) सूरदास</v>
      </c>
      <c r="I272" s="5" t="str">
        <f>IFERROR(__xludf.DUMMYFUNCTION("GOOGLETRANSLATE(D272, ""en"", ""hi"")"),"A) कबीर")</f>
        <v>A) कबीर</v>
      </c>
    </row>
    <row r="273" ht="22.5" customHeight="1">
      <c r="A273" s="3">
        <v>272.0</v>
      </c>
      <c r="B273" s="4" t="s">
        <v>11622</v>
      </c>
      <c r="C273" s="4" t="s">
        <v>11533</v>
      </c>
      <c r="D273" s="4" t="s">
        <v>11375</v>
      </c>
      <c r="F273" s="5" t="str">
        <f>IFERROR(__xludf.DUMMYFUNCTION("GOOGLETRANSLATE(A273, ""en"", ""hi"")"),"272")</f>
        <v>272</v>
      </c>
      <c r="G273" s="5" t="str">
        <f>IFERROR(__xludf.DUMMYFUNCTION("GOOGLETRANSLATE(B273, ""en"", ""hi"")"),"भारत में कौन सा क्षेत्र स्थानीय सांस्कृतिक उत्सवों और सामुदायिक कार्यक्रमों के दौरान खेले जाने वाले गिल्ली डंडा के विशिष्ट रूप के लिए जाना जाता है?")</f>
        <v>भारत में कौन सा क्षेत्र स्थानीय सांस्कृतिक उत्सवों और सामुदायिक कार्यक्रमों के दौरान खेले जाने वाले गिल्ली डंडा के विशिष्ट रूप के लिए जाना जाता है?</v>
      </c>
      <c r="H273" s="5" t="str">
        <f>IFERROR(__xludf.DUMMYFUNCTION("GOOGLETRANSLATE(C273, ""en"", ""hi"")"),"A) पूर्वोत्तर भारत, B) दक्षिण भारत, C) पश्चिम भारत, D) मध्य भारत")</f>
        <v>A) पूर्वोत्तर भारत, B) दक्षिण भारत, C) पश्चिम भारत, D) मध्य भारत</v>
      </c>
      <c r="I273" s="5" t="str">
        <f>IFERROR(__xludf.DUMMYFUNCTION("GOOGLETRANSLATE(D273, ""en"", ""hi"")"),"A) पूर्वोत्तर भारत")</f>
        <v>A) पूर्वोत्तर भारत</v>
      </c>
    </row>
    <row r="274" ht="22.5" customHeight="1">
      <c r="A274" s="3">
        <v>273.0</v>
      </c>
      <c r="B274" s="4" t="s">
        <v>11623</v>
      </c>
      <c r="C274" s="4" t="s">
        <v>11439</v>
      </c>
      <c r="D274" s="4" t="s">
        <v>7468</v>
      </c>
      <c r="F274" s="5" t="str">
        <f>IFERROR(__xludf.DUMMYFUNCTION("GOOGLETRANSLATE(A274, ""en"", ""hi"")"),"273")</f>
        <v>273</v>
      </c>
      <c r="G274" s="5" t="str">
        <f>IFERROR(__xludf.DUMMYFUNCTION("GOOGLETRANSLATE(B274, ""en"", ""hi"")"),"20वीं सदी के आरंभिक दौर के किस शोधकर्ता ने स्वदेशी खेलों के अध्ययन में गिल्ली डंडा जैसे पारंपरिक खेलों के संरक्षण पर ध्यान केंद्रित किया?")</f>
        <v>20वीं सदी के आरंभिक दौर के किस शोधकर्ता ने स्वदेशी खेलों के अध्ययन में गिल्ली डंडा जैसे पारंपरिक खेलों के संरक्षण पर ध्यान केंद्रित किया?</v>
      </c>
      <c r="H274" s="5" t="str">
        <f>IFERROR(__xludf.DUMMYFUNCTION("GOOGLETRANSLATE(C274, ""en"", ""hi"")"),"A) आर. सी. मजूमदार, B) के. एम. मुंशी, C) बी. एन. पांडे, D) एस. राधाकृष्णन")</f>
        <v>A) आर. सी. मजूमदार, B) के. एम. मुंशी, C) बी. एन. पांडे, D) एस. राधाकृष्णन</v>
      </c>
      <c r="I274" s="5" t="str">
        <f>IFERROR(__xludf.DUMMYFUNCTION("GOOGLETRANSLATE(D274, ""en"", ""hi"")"),"A) आर. सी. मजूमदार")</f>
        <v>A) आर. सी. मजूमदार</v>
      </c>
    </row>
    <row r="275" ht="22.5" customHeight="1">
      <c r="A275" s="3">
        <v>274.0</v>
      </c>
      <c r="B275" s="4" t="s">
        <v>11624</v>
      </c>
      <c r="C275" s="4" t="s">
        <v>11566</v>
      </c>
      <c r="D275" s="4" t="s">
        <v>4854</v>
      </c>
      <c r="F275" s="5" t="str">
        <f>IFERROR(__xludf.DUMMYFUNCTION("GOOGLETRANSLATE(A275, ""en"", ""hi"")"),"274")</f>
        <v>274</v>
      </c>
      <c r="G275" s="5" t="str">
        <f>IFERROR(__xludf.DUMMYFUNCTION("GOOGLETRANSLATE(B275, ""en"", ""hi"")"),"कौन सा भारतीय त्यौहार, विशेष रूप से तमिलनाडु के ग्रामीण क्षेत्रों में, गिल्ली डंडा को एक पारंपरिक गतिविधि के रूप में प्रमुखता से प्रदर्शित करता है?")</f>
        <v>कौन सा भारतीय त्यौहार, विशेष रूप से तमिलनाडु के ग्रामीण क्षेत्रों में, गिल्ली डंडा को एक पारंपरिक गतिविधि के रूप में प्रमुखता से प्रदर्शित करता है?</v>
      </c>
      <c r="H275" s="5" t="str">
        <f>IFERROR(__xludf.DUMMYFUNCTION("GOOGLETRANSLATE(C275, ""en"", ""hi"")"),"ए) पोंगल, बी) उगादि, सी) मकर संक्रांति, डी) दिवाली")</f>
        <v>ए) पोंगल, बी) उगादि, सी) मकर संक्रांति, डी) दिवाली</v>
      </c>
      <c r="I275" s="5" t="str">
        <f>IFERROR(__xludf.DUMMYFUNCTION("GOOGLETRANSLATE(D275, ""en"", ""hi"")"),"ए) पोंगल")</f>
        <v>ए) पोंगल</v>
      </c>
    </row>
    <row r="276" ht="22.5" customHeight="1">
      <c r="A276" s="3">
        <v>275.0</v>
      </c>
      <c r="B276" s="4" t="s">
        <v>11625</v>
      </c>
      <c r="C276" s="4" t="s">
        <v>11626</v>
      </c>
      <c r="D276" s="4" t="s">
        <v>11354</v>
      </c>
      <c r="F276" s="5" t="str">
        <f>IFERROR(__xludf.DUMMYFUNCTION("GOOGLETRANSLATE(A276, ""en"", ""hi"")"),"275")</f>
        <v>275</v>
      </c>
      <c r="G276" s="5" t="str">
        <f>IFERROR(__xludf.DUMMYFUNCTION("GOOGLETRANSLATE(B276, ""en"", ""hi"")"),"कौन सा भारतीय ऐतिहासिक ग्रंथ गिल्ली डंडा जैसे पारंपरिक खेलों को प्राचीन शैक्षिक प्रथाओं के हिस्से के रूप में वर्णित करता है?")</f>
        <v>कौन सा भारतीय ऐतिहासिक ग्रंथ गिल्ली डंडा जैसे पारंपरिक खेलों को प्राचीन शैक्षिक प्रथाओं के हिस्से के रूप में वर्णित करता है?</v>
      </c>
      <c r="H276" s="5" t="str">
        <f>IFERROR(__xludf.DUMMYFUNCTION("GOOGLETRANSLATE(C276, ""en"", ""hi"")"),"ए) अर्थशास्त्र, बी) नाट्यशास्त्र, सी) विष्णु पुराण, डी) मनुस्मृति")</f>
        <v>ए) अर्थशास्त्र, बी) नाट्यशास्त्र, सी) विष्णु पुराण, डी) मनुस्मृति</v>
      </c>
      <c r="I276" s="5" t="str">
        <f>IFERROR(__xludf.DUMMYFUNCTION("GOOGLETRANSLATE(D276, ""en"", ""hi"")"),"बी) नाट्यशास्त्र")</f>
        <v>बी) नाट्यशास्त्र</v>
      </c>
    </row>
    <row r="277" ht="22.5" customHeight="1">
      <c r="A277" s="3">
        <v>276.0</v>
      </c>
      <c r="B277" s="4" t="s">
        <v>11627</v>
      </c>
      <c r="C277" s="4" t="s">
        <v>11628</v>
      </c>
      <c r="D277" s="4" t="s">
        <v>2852</v>
      </c>
      <c r="F277" s="5" t="str">
        <f>IFERROR(__xludf.DUMMYFUNCTION("GOOGLETRANSLATE(A277, ""en"", ""hi"")"),"276")</f>
        <v>276</v>
      </c>
      <c r="G277" s="5" t="str">
        <f>IFERROR(__xludf.DUMMYFUNCTION("GOOGLETRANSLATE(B277, ""en"", ""hi"")"),"कौन सा मध्यकालीन भारतीय राजा गिल्ली डंडा सहित पारंपरिक खेलों के संरक्षण के लिए जाना जाता था और अपने दरबार में इनके अभ्यास को प्रोत्साहित करता था?")</f>
        <v>कौन सा मध्यकालीन भारतीय राजा गिल्ली डंडा सहित पारंपरिक खेलों के संरक्षण के लिए जाना जाता था और अपने दरबार में इनके अभ्यास को प्रोत्साहित करता था?</v>
      </c>
      <c r="H277" s="5" t="str">
        <f>IFERROR(__xludf.DUMMYFUNCTION("GOOGLETRANSLATE(C277, ""en"", ""hi"")"),"ए) राजा भोज, बी) विक्रमादित्य, सी) अशोक, डी) चंद्रगुप्त मौर्य")</f>
        <v>ए) राजा भोज, बी) विक्रमादित्य, सी) अशोक, डी) चंद्रगुप्त मौर्य</v>
      </c>
      <c r="I277" s="5" t="str">
        <f>IFERROR(__xludf.DUMMYFUNCTION("GOOGLETRANSLATE(D277, ""en"", ""hi"")"),"बी) विक्रमादित्य")</f>
        <v>बी) विक्रमादित्य</v>
      </c>
    </row>
    <row r="278" ht="22.5" customHeight="1">
      <c r="A278" s="3">
        <v>277.0</v>
      </c>
      <c r="B278" s="4" t="s">
        <v>11629</v>
      </c>
      <c r="C278" s="4" t="s">
        <v>11550</v>
      </c>
      <c r="D278" s="4" t="s">
        <v>7468</v>
      </c>
      <c r="F278" s="5" t="str">
        <f>IFERROR(__xludf.DUMMYFUNCTION("GOOGLETRANSLATE(A278, ""en"", ""hi"")"),"277")</f>
        <v>277</v>
      </c>
      <c r="G278" s="5" t="str">
        <f>IFERROR(__xludf.DUMMYFUNCTION("GOOGLETRANSLATE(B278, ""en"", ""hi"")"),"20वीं सदी के आरंभ में किस प्रसिद्ध भारतीय इतिहासकार ने भारतीय समाज में गिल्ली डंडा जैसे पारंपरिक खेलों की भूमिका का अध्ययन किया?")</f>
        <v>20वीं सदी के आरंभ में किस प्रसिद्ध भारतीय इतिहासकार ने भारतीय समाज में गिल्ली डंडा जैसे पारंपरिक खेलों की भूमिका का अध्ययन किया?</v>
      </c>
      <c r="H278" s="5" t="str">
        <f>IFERROR(__xludf.DUMMYFUNCTION("GOOGLETRANSLATE(C278, ""en"", ""hi"")"),"ए) आर. सी. मजूमदार, बी) बिपन चंद्रा, सी) के. एम. पणिक्कर, डी) एस. राधाकृष्णन")</f>
        <v>ए) आर. सी. मजूमदार, बी) बिपन चंद्रा, सी) के. एम. पणिक्कर, डी) एस. राधाकृष्णन</v>
      </c>
      <c r="I278" s="5" t="str">
        <f>IFERROR(__xludf.DUMMYFUNCTION("GOOGLETRANSLATE(D278, ""en"", ""hi"")"),"A) आर. सी. मजूमदार")</f>
        <v>A) आर. सी. मजूमदार</v>
      </c>
    </row>
    <row r="279" ht="22.5" customHeight="1">
      <c r="A279" s="3">
        <v>278.0</v>
      </c>
      <c r="B279" s="4" t="s">
        <v>11630</v>
      </c>
      <c r="C279" s="4" t="s">
        <v>11560</v>
      </c>
      <c r="D279" s="4" t="s">
        <v>11522</v>
      </c>
      <c r="F279" s="5" t="str">
        <f>IFERROR(__xludf.DUMMYFUNCTION("GOOGLETRANSLATE(A279, ""en"", ""hi"")"),"278")</f>
        <v>278</v>
      </c>
      <c r="G279" s="5" t="str">
        <f>IFERROR(__xludf.DUMMYFUNCTION("GOOGLETRANSLATE(B279, ""en"", ""hi"")"),"किस प्रारंभिक ब्रिटिश यात्री के लेखन में भारत की सांस्कृतिक खोज के भाग के रूप में गिल्ली डंडा के विस्तृत अवलोकन शामिल हैं?")</f>
        <v>किस प्रारंभिक ब्रिटिश यात्री के लेखन में भारत की सांस्कृतिक खोज के भाग के रूप में गिल्ली डंडा के विस्तृत अवलोकन शामिल हैं?</v>
      </c>
      <c r="H279" s="5" t="str">
        <f>IFERROR(__xludf.DUMMYFUNCTION("GOOGLETRANSLATE(C279, ""en"", ""hi"")"),"A) फ्रांसिस बुकानन-हैमिल्टन, B) विलियम एडम्स, C) जेम्स रेनेल, D) अलेक्जेंडर बर्न्स")</f>
        <v>A) फ्रांसिस बुकानन-हैमिल्टन, B) विलियम एडम्स, C) जेम्स रेनेल, D) अलेक्जेंडर बर्न्स</v>
      </c>
      <c r="I279" s="5" t="str">
        <f>IFERROR(__xludf.DUMMYFUNCTION("GOOGLETRANSLATE(D279, ""en"", ""hi"")"),"A) फ्रांसिस बुकानन-हैमिल्टन")</f>
        <v>A) फ्रांसिस बुकानन-हैमिल्टन</v>
      </c>
    </row>
    <row r="280" ht="22.5" customHeight="1">
      <c r="A280" s="3">
        <v>279.0</v>
      </c>
      <c r="B280" s="4" t="s">
        <v>11631</v>
      </c>
      <c r="C280" s="4" t="s">
        <v>11515</v>
      </c>
      <c r="D280" s="4" t="s">
        <v>11500</v>
      </c>
      <c r="F280" s="5" t="str">
        <f>IFERROR(__xludf.DUMMYFUNCTION("GOOGLETRANSLATE(A280, ""en"", ""hi"")"),"279")</f>
        <v>279</v>
      </c>
      <c r="G280" s="5" t="str">
        <f>IFERROR(__xludf.DUMMYFUNCTION("GOOGLETRANSLATE(B280, ""en"", ""hi"")"),"कौन सा भारतीय त्यौहार, जो विशेष रूप से पंजाब के ग्रामीण भागों में मनाया जाता है, में गिल्ली डंडा एक केंद्रीय पारंपरिक खेल के रूप में शामिल है?")</f>
        <v>कौन सा भारतीय त्यौहार, जो विशेष रूप से पंजाब के ग्रामीण भागों में मनाया जाता है, में गिल्ली डंडा एक केंद्रीय पारंपरिक खेल के रूप में शामिल है?</v>
      </c>
      <c r="H280" s="5" t="str">
        <f>IFERROR(__xludf.DUMMYFUNCTION("GOOGLETRANSLATE(C280, ""en"", ""hi"")"),"ए) लोहड़ी, बी) बैसाखी, सी) दिवाली, डी) होली")</f>
        <v>ए) लोहड़ी, बी) बैसाखी, सी) दिवाली, डी) होली</v>
      </c>
      <c r="I280" s="5" t="str">
        <f>IFERROR(__xludf.DUMMYFUNCTION("GOOGLETRANSLATE(D280, ""en"", ""hi"")"),"बी) बैसाखी")</f>
        <v>बी) बैसाखी</v>
      </c>
    </row>
    <row r="281" ht="22.5" customHeight="1">
      <c r="A281" s="3">
        <v>280.0</v>
      </c>
      <c r="B281" s="4" t="s">
        <v>11632</v>
      </c>
      <c r="C281" s="4" t="s">
        <v>11439</v>
      </c>
      <c r="D281" s="4" t="s">
        <v>7468</v>
      </c>
      <c r="F281" s="5" t="str">
        <f>IFERROR(__xludf.DUMMYFUNCTION("GOOGLETRANSLATE(A281, ""en"", ""hi"")"),"280")</f>
        <v>280</v>
      </c>
      <c r="G281" s="5" t="str">
        <f>IFERROR(__xludf.DUMMYFUNCTION("GOOGLETRANSLATE(B281, ""en"", ""hi"")"),"20वीं सदी के आरंभ में किस भारतीय शोधकर्ता ने सांस्कृतिक प्रथाओं के अपने अध्ययन में गिल्ली डंडा जैसे पारंपरिक खेलों को शामिल किया?")</f>
        <v>20वीं सदी के आरंभ में किस भारतीय शोधकर्ता ने सांस्कृतिक प्रथाओं के अपने अध्ययन में गिल्ली डंडा जैसे पारंपरिक खेलों को शामिल किया?</v>
      </c>
      <c r="H281" s="5" t="str">
        <f>IFERROR(__xludf.DUMMYFUNCTION("GOOGLETRANSLATE(C281, ""en"", ""hi"")"),"A) आर. सी. मजूमदार, B) के. एम. मुंशी, C) बी. एन. पांडे, D) एस. राधाकृष्णन")</f>
        <v>A) आर. सी. मजूमदार, B) के. एम. मुंशी, C) बी. एन. पांडे, D) एस. राधाकृष्णन</v>
      </c>
      <c r="I281" s="5" t="str">
        <f>IFERROR(__xludf.DUMMYFUNCTION("GOOGLETRANSLATE(D281, ""en"", ""hi"")"),"A) आर. सी. मजूमदार")</f>
        <v>A) आर. सी. मजूमदार</v>
      </c>
    </row>
    <row r="282" ht="22.5" customHeight="1">
      <c r="A282" s="3">
        <v>281.0</v>
      </c>
      <c r="B282" s="4" t="s">
        <v>11633</v>
      </c>
      <c r="C282" s="4" t="s">
        <v>11574</v>
      </c>
      <c r="D282" s="4" t="s">
        <v>11575</v>
      </c>
      <c r="F282" s="5" t="str">
        <f>IFERROR(__xludf.DUMMYFUNCTION("GOOGLETRANSLATE(A282, ""en"", ""hi"")"),"281")</f>
        <v>281</v>
      </c>
      <c r="G282" s="5" t="str">
        <f>IFERROR(__xludf.DUMMYFUNCTION("GOOGLETRANSLATE(B282, ""en"", ""hi"")"),"19वीं सदी के किस ब्रिटिश औपनिवेशिक प्रशासक ने भारतीय रीति-रिवाजों पर अपने लेखन में गिल्ली डंडा जैसे पारंपरिक खेलों के महत्व को प्रलेखित किया?")</f>
        <v>19वीं सदी के किस ब्रिटिश औपनिवेशिक प्रशासक ने भारतीय रीति-रिवाजों पर अपने लेखन में गिल्ली डंडा जैसे पारंपरिक खेलों के महत्व को प्रलेखित किया?</v>
      </c>
      <c r="H282" s="5" t="str">
        <f>IFERROR(__xludf.DUMMYFUNCTION("GOOGLETRANSLATE(C282, ""en"", ""hi"")"),"A) सर विलियम स्लीमन, B) लॉर्ड कर्जन, C) सर जॉर्ज एवरेस्ट, D) लॉर्ड मिंटो")</f>
        <v>A) सर विलियम स्लीमन, B) लॉर्ड कर्जन, C) सर जॉर्ज एवरेस्ट, D) लॉर्ड मिंटो</v>
      </c>
      <c r="I282" s="5" t="str">
        <f>IFERROR(__xludf.DUMMYFUNCTION("GOOGLETRANSLATE(D282, ""en"", ""hi"")"),"A) सर विलियम स्लीमन")</f>
        <v>A) सर विलियम स्लीमन</v>
      </c>
    </row>
    <row r="283" ht="22.5" customHeight="1">
      <c r="A283" s="3">
        <v>282.0</v>
      </c>
      <c r="B283" s="4" t="s">
        <v>11634</v>
      </c>
      <c r="C283" s="4" t="s">
        <v>11604</v>
      </c>
      <c r="D283" s="4" t="s">
        <v>11442</v>
      </c>
      <c r="F283" s="5" t="str">
        <f>IFERROR(__xludf.DUMMYFUNCTION("GOOGLETRANSLATE(A283, ""en"", ""hi"")"),"282")</f>
        <v>282</v>
      </c>
      <c r="G283" s="5" t="str">
        <f>IFERROR(__xludf.DUMMYFUNCTION("GOOGLETRANSLATE(B283, ""en"", ""hi"")"),"भक्ति आंदोलन के किस भारतीय कवि ने अपने आध्यात्मिक छंदों और भजनों में गिल्ली डंडा जैसे पारंपरिक खेलों का वर्णन किया?")</f>
        <v>भक्ति आंदोलन के किस भारतीय कवि ने अपने आध्यात्मिक छंदों और भजनों में गिल्ली डंडा जैसे पारंपरिक खेलों का वर्णन किया?</v>
      </c>
      <c r="H283" s="5" t="str">
        <f>IFERROR(__xludf.DUMMYFUNCTION("GOOGLETRANSLATE(C283, ""en"", ""hi"")"),"ए) कबीर, बी) तुलसीदास, सी) मीराबाई, डी) सूरदास")</f>
        <v>ए) कबीर, बी) तुलसीदास, सी) मीराबाई, डी) सूरदास</v>
      </c>
      <c r="I283" s="5" t="str">
        <f>IFERROR(__xludf.DUMMYFUNCTION("GOOGLETRANSLATE(D283, ""en"", ""hi"")"),"A) कबीर")</f>
        <v>A) कबीर</v>
      </c>
    </row>
    <row r="284" ht="22.5" customHeight="1">
      <c r="A284" s="3">
        <v>283.0</v>
      </c>
      <c r="B284" s="4" t="s">
        <v>11635</v>
      </c>
      <c r="C284" s="4" t="s">
        <v>11533</v>
      </c>
      <c r="D284" s="4" t="s">
        <v>11375</v>
      </c>
      <c r="F284" s="5" t="str">
        <f>IFERROR(__xludf.DUMMYFUNCTION("GOOGLETRANSLATE(A284, ""en"", ""hi"")"),"283")</f>
        <v>283</v>
      </c>
      <c r="G284" s="5" t="str">
        <f>IFERROR(__xludf.DUMMYFUNCTION("GOOGLETRANSLATE(B284, ""en"", ""hi"")"),"किस भारतीय क्षेत्र का गिल्ली डंडा का अनूठा संस्करण अक्सर स्थानीय त्योहारों और सांस्कृतिक कार्यक्रमों में दिखाया जाता है?")</f>
        <v>किस भारतीय क्षेत्र का गिल्ली डंडा का अनूठा संस्करण अक्सर स्थानीय त्योहारों और सांस्कृतिक कार्यक्रमों में दिखाया जाता है?</v>
      </c>
      <c r="H284" s="5" t="str">
        <f>IFERROR(__xludf.DUMMYFUNCTION("GOOGLETRANSLATE(C284, ""en"", ""hi"")"),"A) पूर्वोत्तर भारत, B) दक्षिण भारत, C) पश्चिम भारत, D) मध्य भारत")</f>
        <v>A) पूर्वोत्तर भारत, B) दक्षिण भारत, C) पश्चिम भारत, D) मध्य भारत</v>
      </c>
      <c r="I284" s="5" t="str">
        <f>IFERROR(__xludf.DUMMYFUNCTION("GOOGLETRANSLATE(D284, ""en"", ""hi"")"),"A) पूर्वोत्तर भारत")</f>
        <v>A) पूर्वोत्तर भारत</v>
      </c>
    </row>
    <row r="285" ht="22.5" customHeight="1">
      <c r="A285" s="3">
        <v>284.0</v>
      </c>
      <c r="B285" s="4" t="s">
        <v>11636</v>
      </c>
      <c r="C285" s="4" t="s">
        <v>11439</v>
      </c>
      <c r="D285" s="4" t="s">
        <v>7468</v>
      </c>
      <c r="F285" s="5" t="str">
        <f>IFERROR(__xludf.DUMMYFUNCTION("GOOGLETRANSLATE(A285, ""en"", ""hi"")"),"284")</f>
        <v>284</v>
      </c>
      <c r="G285" s="5" t="str">
        <f>IFERROR(__xludf.DUMMYFUNCTION("GOOGLETRANSLATE(B285, ""en"", ""hi"")"),"20वीं सदी के आरंभिक भारतीय इतिहासकार ने भारत की सांस्कृतिक विरासत में गिल्ली डंडा जैसे पारंपरिक खेलों की भूमिका का अध्ययन किया?")</f>
        <v>20वीं सदी के आरंभिक भारतीय इतिहासकार ने भारत की सांस्कृतिक विरासत में गिल्ली डंडा जैसे पारंपरिक खेलों की भूमिका का अध्ययन किया?</v>
      </c>
      <c r="H285" s="5" t="str">
        <f>IFERROR(__xludf.DUMMYFUNCTION("GOOGLETRANSLATE(C285, ""en"", ""hi"")"),"A) आर. सी. मजूमदार, B) के. एम. मुंशी, C) बी. एन. पांडे, D) एस. राधाकृष्णन")</f>
        <v>A) आर. सी. मजूमदार, B) के. एम. मुंशी, C) बी. एन. पांडे, D) एस. राधाकृष्णन</v>
      </c>
      <c r="I285" s="5" t="str">
        <f>IFERROR(__xludf.DUMMYFUNCTION("GOOGLETRANSLATE(D285, ""en"", ""hi"")"),"A) आर. सी. मजूमदार")</f>
        <v>A) आर. सी. मजूमदार</v>
      </c>
    </row>
    <row r="286" ht="22.5" customHeight="1">
      <c r="A286" s="3">
        <v>285.0</v>
      </c>
      <c r="B286" s="4" t="s">
        <v>11637</v>
      </c>
      <c r="C286" s="4" t="s">
        <v>11566</v>
      </c>
      <c r="D286" s="4" t="s">
        <v>4854</v>
      </c>
      <c r="F286" s="5" t="str">
        <f>IFERROR(__xludf.DUMMYFUNCTION("GOOGLETRANSLATE(A286, ""en"", ""hi"")"),"285")</f>
        <v>285</v>
      </c>
      <c r="G286" s="5" t="str">
        <f>IFERROR(__xludf.DUMMYFUNCTION("GOOGLETRANSLATE(B286, ""en"", ""hi"")"),"तमिलनाडु में मनाया जाने वाला कौन सा भारतीय त्यौहार गिल्ली डंडा को अपने पारंपरिक उत्सव के प्रमुख तत्व के रूप में शामिल करता है?")</f>
        <v>तमिलनाडु में मनाया जाने वाला कौन सा भारतीय त्यौहार गिल्ली डंडा को अपने पारंपरिक उत्सव के प्रमुख तत्व के रूप में शामिल करता है?</v>
      </c>
      <c r="H286" s="5" t="str">
        <f>IFERROR(__xludf.DUMMYFUNCTION("GOOGLETRANSLATE(C286, ""en"", ""hi"")"),"ए) पोंगल, बी) उगादि, सी) मकर संक्रांति, डी) दिवाली")</f>
        <v>ए) पोंगल, बी) उगादि, सी) मकर संक्रांति, डी) दिवाली</v>
      </c>
      <c r="I286" s="5" t="str">
        <f>IFERROR(__xludf.DUMMYFUNCTION("GOOGLETRANSLATE(D286, ""en"", ""hi"")"),"ए) पोंगल")</f>
        <v>ए) पोंगल</v>
      </c>
    </row>
    <row r="287" ht="22.5" customHeight="1">
      <c r="A287" s="3">
        <v>286.0</v>
      </c>
      <c r="B287" s="4" t="s">
        <v>11638</v>
      </c>
      <c r="C287" s="4" t="s">
        <v>11541</v>
      </c>
      <c r="D287" s="4" t="s">
        <v>11473</v>
      </c>
      <c r="F287" s="5" t="str">
        <f>IFERROR(__xludf.DUMMYFUNCTION("GOOGLETRANSLATE(A287, ""en"", ""hi"")"),"286")</f>
        <v>286</v>
      </c>
      <c r="G287" s="5" t="str">
        <f>IFERROR(__xludf.DUMMYFUNCTION("GOOGLETRANSLATE(B287, ""en"", ""hi"")"),"कौन सा प्राचीन भारतीय ग्रंथ शारीरिक फिटनेस और शिक्षा को बढ़ावा देने में गिल्ली डंडा जैसे खेलों की भूमिका का वर्णन करता है?")</f>
        <v>कौन सा प्राचीन भारतीय ग्रंथ शारीरिक फिटनेस और शिक्षा को बढ़ावा देने में गिल्ली डंडा जैसे खेलों की भूमिका का वर्णन करता है?</v>
      </c>
      <c r="H287" s="5" t="str">
        <f>IFERROR(__xludf.DUMMYFUNCTION("GOOGLETRANSLATE(C287, ""en"", ""hi"")"),"ए) नाट्यशास्त्र, बी) अर्थशास्त्र, सी) विष्णु पुराण, डी) मनुस्मृति")</f>
        <v>ए) नाट्यशास्त्र, बी) अर्थशास्त्र, सी) विष्णु पुराण, डी) मनुस्मृति</v>
      </c>
      <c r="I287" s="5" t="str">
        <f>IFERROR(__xludf.DUMMYFUNCTION("GOOGLETRANSLATE(D287, ""en"", ""hi"")"),"A) नाट्यशास्त्र")</f>
        <v>A) नाट्यशास्त्र</v>
      </c>
    </row>
    <row r="288" ht="22.5" customHeight="1">
      <c r="A288" s="3">
        <v>287.0</v>
      </c>
      <c r="B288" s="4" t="s">
        <v>11639</v>
      </c>
      <c r="C288" s="4" t="s">
        <v>11640</v>
      </c>
      <c r="D288" s="4" t="s">
        <v>11641</v>
      </c>
      <c r="F288" s="5" t="str">
        <f>IFERROR(__xludf.DUMMYFUNCTION("GOOGLETRANSLATE(A288, ""en"", ""hi"")"),"287")</f>
        <v>287</v>
      </c>
      <c r="G288" s="5" t="str">
        <f>IFERROR(__xludf.DUMMYFUNCTION("GOOGLETRANSLATE(B288, ""en"", ""hi"")"),"किस मध्यकालीन भारतीय शासक ने अपने दरबारी जीवन में गिल्ली डंडा सहित पारंपरिक खेलों के अभ्यास को प्रोत्साहित किया?")</f>
        <v>किस मध्यकालीन भारतीय शासक ने अपने दरबारी जीवन में गिल्ली डंडा सहित पारंपरिक खेलों के अभ्यास को प्रोत्साहित किया?</v>
      </c>
      <c r="H288" s="5" t="str">
        <f>IFERROR(__xludf.DUMMYFUNCTION("GOOGLETRANSLATE(C288, ""en"", ""hi"")"),"ए) विक्रमादित्य, बी) राजा भोज, सी) अशोक, डी) चंद्रगुप्त मौर्य")</f>
        <v>ए) विक्रमादित्य, बी) राजा भोज, सी) अशोक, डी) चंद्रगुप्त मौर्य</v>
      </c>
      <c r="I288" s="5" t="str">
        <f>IFERROR(__xludf.DUMMYFUNCTION("GOOGLETRANSLATE(D288, ""en"", ""hi"")"),"A) विक्रमादित्य")</f>
        <v>A) विक्रमादित्य</v>
      </c>
    </row>
    <row r="289" ht="22.5" customHeight="1">
      <c r="A289" s="3">
        <v>288.0</v>
      </c>
      <c r="B289" s="4" t="s">
        <v>11642</v>
      </c>
      <c r="C289" s="4" t="s">
        <v>11439</v>
      </c>
      <c r="D289" s="4" t="s">
        <v>7468</v>
      </c>
      <c r="F289" s="5" t="str">
        <f>IFERROR(__xludf.DUMMYFUNCTION("GOOGLETRANSLATE(A289, ""en"", ""hi"")"),"288")</f>
        <v>288</v>
      </c>
      <c r="G289" s="5" t="str">
        <f>IFERROR(__xludf.DUMMYFUNCTION("GOOGLETRANSLATE(B289, ""en"", ""hi"")"),"20वीं सदी के आरंभिक काल के किस इतिहासकार ने भारतीय सांस्कृतिक प्रथाओं पर अपने अध्ययन के भाग के रूप में गिल्ली डंडा के पारंपरिक खेल का दस्तावेजीकरण किया?")</f>
        <v>20वीं सदी के आरंभिक काल के किस इतिहासकार ने भारतीय सांस्कृतिक प्रथाओं पर अपने अध्ययन के भाग के रूप में गिल्ली डंडा के पारंपरिक खेल का दस्तावेजीकरण किया?</v>
      </c>
      <c r="H289" s="5" t="str">
        <f>IFERROR(__xludf.DUMMYFUNCTION("GOOGLETRANSLATE(C289, ""en"", ""hi"")"),"A) आर. सी. मजूमदार, B) के. एम. मुंशी, C) बी. एन. पांडे, D) एस. राधाकृष्णन")</f>
        <v>A) आर. सी. मजूमदार, B) के. एम. मुंशी, C) बी. एन. पांडे, D) एस. राधाकृष्णन</v>
      </c>
      <c r="I289" s="5" t="str">
        <f>IFERROR(__xludf.DUMMYFUNCTION("GOOGLETRANSLATE(D289, ""en"", ""hi"")"),"A) आर. सी. मजूमदार")</f>
        <v>A) आर. सी. मजूमदार</v>
      </c>
    </row>
    <row r="290" ht="22.5" customHeight="1">
      <c r="A290" s="3">
        <v>289.0</v>
      </c>
      <c r="B290" s="4" t="s">
        <v>11643</v>
      </c>
      <c r="C290" s="4" t="s">
        <v>11560</v>
      </c>
      <c r="D290" s="4" t="s">
        <v>11522</v>
      </c>
      <c r="F290" s="5" t="str">
        <f>IFERROR(__xludf.DUMMYFUNCTION("GOOGLETRANSLATE(A290, ""en"", ""hi"")"),"289")</f>
        <v>289</v>
      </c>
      <c r="G290" s="5" t="str">
        <f>IFERROR(__xludf.DUMMYFUNCTION("GOOGLETRANSLATE(B290, ""en"", ""hi"")"),"किस ब्रिटिश यात्री के 19वीं सदी के वृत्तांतों में भारतीय गांवों में गिल्ली डंडा के पारंपरिक खेल पर टिप्पणियां शामिल हैं?")</f>
        <v>किस ब्रिटिश यात्री के 19वीं सदी के वृत्तांतों में भारतीय गांवों में गिल्ली डंडा के पारंपरिक खेल पर टिप्पणियां शामिल हैं?</v>
      </c>
      <c r="H290" s="5" t="str">
        <f>IFERROR(__xludf.DUMMYFUNCTION("GOOGLETRANSLATE(C290, ""en"", ""hi"")"),"A) फ्रांसिस बुकानन-हैमिल्टन, B) विलियम एडम्स, C) जेम्स रेनेल, D) अलेक्जेंडर बर्न्स")</f>
        <v>A) फ्रांसिस बुकानन-हैमिल्टन, B) विलियम एडम्स, C) जेम्स रेनेल, D) अलेक्जेंडर बर्न्स</v>
      </c>
      <c r="I290" s="5" t="str">
        <f>IFERROR(__xludf.DUMMYFUNCTION("GOOGLETRANSLATE(D290, ""en"", ""hi"")"),"A) फ्रांसिस बुकानन-हैमिल्टन")</f>
        <v>A) फ्रांसिस बुकानन-हैमिल्टन</v>
      </c>
    </row>
    <row r="291" ht="22.5" customHeight="1">
      <c r="A291" s="3">
        <v>290.0</v>
      </c>
      <c r="B291" s="4" t="s">
        <v>11644</v>
      </c>
      <c r="C291" s="4" t="s">
        <v>11645</v>
      </c>
      <c r="D291" s="4" t="s">
        <v>11348</v>
      </c>
      <c r="F291" s="5" t="str">
        <f>IFERROR(__xludf.DUMMYFUNCTION("GOOGLETRANSLATE(A291, ""en"", ""hi"")"),"290")</f>
        <v>290</v>
      </c>
      <c r="G291" s="5" t="str">
        <f>IFERROR(__xludf.DUMMYFUNCTION("GOOGLETRANSLATE(B291, ""en"", ""hi"")"),"उत्तर प्रदेश के किस पारंपरिक त्यौहार में गिल्ली डंडा को सामुदायिक उत्सव के रूप में प्रमुखता से शामिल किया जाता है?")</f>
        <v>उत्तर प्रदेश के किस पारंपरिक त्यौहार में गिल्ली डंडा को सामुदायिक उत्सव के रूप में प्रमुखता से शामिल किया जाता है?</v>
      </c>
      <c r="H291" s="5" t="str">
        <f>IFERROR(__xludf.DUMMYFUNCTION("GOOGLETRANSLATE(C291, ""en"", ""hi"")"),"ए) बैसाखी, बी) लोहड़ी, सी) मकर संक्रांति, डी) होली")</f>
        <v>ए) बैसाखी, बी) लोहड़ी, सी) मकर संक्रांति, डी) होली</v>
      </c>
      <c r="I291" s="5" t="str">
        <f>IFERROR(__xludf.DUMMYFUNCTION("GOOGLETRANSLATE(D291, ""en"", ""hi"")"),"A) बैसाखी")</f>
        <v>A) बैसाखी</v>
      </c>
    </row>
    <row r="292" ht="22.5" customHeight="1">
      <c r="A292" s="3">
        <v>291.0</v>
      </c>
      <c r="B292" s="4" t="s">
        <v>11646</v>
      </c>
      <c r="C292" s="4" t="s">
        <v>11628</v>
      </c>
      <c r="D292" s="4" t="s">
        <v>2852</v>
      </c>
      <c r="F292" s="5" t="str">
        <f>IFERROR(__xludf.DUMMYFUNCTION("GOOGLETRANSLATE(A292, ""en"", ""hi"")"),"291")</f>
        <v>291</v>
      </c>
      <c r="G292" s="5" t="str">
        <f>IFERROR(__xludf.DUMMYFUNCTION("GOOGLETRANSLATE(B292, ""en"", ""hi"")"),"कौन सा प्राचीन भारतीय राजा गिल्ली डंडा सहित पारंपरिक खेलों के संरक्षण और उनके अभ्यास को बढ़ावा देने के लिए जाना जाता था?")</f>
        <v>कौन सा प्राचीन भारतीय राजा गिल्ली डंडा सहित पारंपरिक खेलों के संरक्षण और उनके अभ्यास को बढ़ावा देने के लिए जाना जाता था?</v>
      </c>
      <c r="H292" s="5" t="str">
        <f>IFERROR(__xludf.DUMMYFUNCTION("GOOGLETRANSLATE(C292, ""en"", ""hi"")"),"ए) राजा भोज, बी) विक्रमादित्य, सी) अशोक, डी) चंद्रगुप्त मौर्य")</f>
        <v>ए) राजा भोज, बी) विक्रमादित्य, सी) अशोक, डी) चंद्रगुप्त मौर्य</v>
      </c>
      <c r="I292" s="5" t="str">
        <f>IFERROR(__xludf.DUMMYFUNCTION("GOOGLETRANSLATE(D292, ""en"", ""hi"")"),"बी) विक्रमादित्य")</f>
        <v>बी) विक्रमादित्य</v>
      </c>
    </row>
    <row r="293" ht="22.5" customHeight="1">
      <c r="A293" s="3">
        <v>292.0</v>
      </c>
      <c r="B293" s="4" t="s">
        <v>11647</v>
      </c>
      <c r="C293" s="4" t="s">
        <v>11439</v>
      </c>
      <c r="D293" s="4" t="s">
        <v>7468</v>
      </c>
      <c r="F293" s="5" t="str">
        <f>IFERROR(__xludf.DUMMYFUNCTION("GOOGLETRANSLATE(A293, ""en"", ""hi"")"),"292")</f>
        <v>292</v>
      </c>
      <c r="G293" s="5" t="str">
        <f>IFERROR(__xludf.DUMMYFUNCTION("GOOGLETRANSLATE(B293, ""en"", ""hi"")"),"20वीं सदी के आरंभिक दौर के किस शोधकर्ता ने भारत में सांस्कृतिक प्रथाओं के अपने अध्ययन में गिल्ली डंडा जैसे पारंपरिक खेलों को शामिल किया?")</f>
        <v>20वीं सदी के आरंभिक दौर के किस शोधकर्ता ने भारत में सांस्कृतिक प्रथाओं के अपने अध्ययन में गिल्ली डंडा जैसे पारंपरिक खेलों को शामिल किया?</v>
      </c>
      <c r="H293" s="5" t="str">
        <f>IFERROR(__xludf.DUMMYFUNCTION("GOOGLETRANSLATE(C293, ""en"", ""hi"")"),"A) आर. सी. मजूमदार, B) के. एम. मुंशी, C) बी. एन. पांडे, D) एस. राधाकृष्णन")</f>
        <v>A) आर. सी. मजूमदार, B) के. एम. मुंशी, C) बी. एन. पांडे, D) एस. राधाकृष्णन</v>
      </c>
      <c r="I293" s="5" t="str">
        <f>IFERROR(__xludf.DUMMYFUNCTION("GOOGLETRANSLATE(D293, ""en"", ""hi"")"),"A) आर. सी. मजूमदार")</f>
        <v>A) आर. सी. मजूमदार</v>
      </c>
    </row>
    <row r="294" ht="22.5" customHeight="1">
      <c r="A294" s="3">
        <v>293.0</v>
      </c>
      <c r="B294" s="4" t="s">
        <v>11648</v>
      </c>
      <c r="C294" s="4" t="s">
        <v>11649</v>
      </c>
      <c r="D294" s="4" t="s">
        <v>7311</v>
      </c>
      <c r="F294" s="5" t="str">
        <f>IFERROR(__xludf.DUMMYFUNCTION("GOOGLETRANSLATE(A294, ""en"", ""hi"")"),"293")</f>
        <v>293</v>
      </c>
      <c r="G294" s="5" t="str">
        <f>IFERROR(__xludf.DUMMYFUNCTION("GOOGLETRANSLATE(B294, ""en"", ""hi"")"),"गुजरात में कौन सा भारतीय त्यौहार गिल्ली डंडा को स्थानीय उत्सव का एक महत्वपूर्ण हिस्सा बनाता है?")</f>
        <v>गुजरात में कौन सा भारतीय त्यौहार गिल्ली डंडा को स्थानीय उत्सव का एक महत्वपूर्ण हिस्सा बनाता है?</v>
      </c>
      <c r="H294" s="5" t="str">
        <f>IFERROR(__xludf.DUMMYFUNCTION("GOOGLETRANSLATE(C294, ""en"", ""hi"")"),"ए) मकर संक्रांति, बी) नवरात्रि, सी) दिवाली, डी) होली")</f>
        <v>ए) मकर संक्रांति, बी) नवरात्रि, सी) दिवाली, डी) होली</v>
      </c>
      <c r="I294" s="5" t="str">
        <f>IFERROR(__xludf.DUMMYFUNCTION("GOOGLETRANSLATE(D294, ""en"", ""hi"")"),"A) मकर संक्रांति")</f>
        <v>A) मकर संक्रांति</v>
      </c>
    </row>
    <row r="295" ht="22.5" customHeight="1">
      <c r="A295" s="3">
        <v>294.0</v>
      </c>
      <c r="B295" s="4" t="s">
        <v>11650</v>
      </c>
      <c r="C295" s="4" t="s">
        <v>11574</v>
      </c>
      <c r="D295" s="4" t="s">
        <v>11575</v>
      </c>
      <c r="F295" s="5" t="str">
        <f>IFERROR(__xludf.DUMMYFUNCTION("GOOGLETRANSLATE(A295, ""en"", ""hi"")"),"294")</f>
        <v>294</v>
      </c>
      <c r="G295" s="5" t="str">
        <f>IFERROR(__xludf.DUMMYFUNCTION("GOOGLETRANSLATE(B295, ""en"", ""hi"")"),"19वीं सदी के किस ब्रिटिश विद्वान के अध्ययन में भारत में गिल्ली डंडा जैसे पारंपरिक खेलों का विस्तृत विवरण शामिल था?")</f>
        <v>19वीं सदी के किस ब्रिटिश विद्वान के अध्ययन में भारत में गिल्ली डंडा जैसे पारंपरिक खेलों का विस्तृत विवरण शामिल था?</v>
      </c>
      <c r="H295" s="5" t="str">
        <f>IFERROR(__xludf.DUMMYFUNCTION("GOOGLETRANSLATE(C295, ""en"", ""hi"")"),"A) सर विलियम स्लीमन, B) लॉर्ड कर्जन, C) सर जॉर्ज एवरेस्ट, D) लॉर्ड मिंटो")</f>
        <v>A) सर विलियम स्लीमन, B) लॉर्ड कर्जन, C) सर जॉर्ज एवरेस्ट, D) लॉर्ड मिंटो</v>
      </c>
      <c r="I295" s="5" t="str">
        <f>IFERROR(__xludf.DUMMYFUNCTION("GOOGLETRANSLATE(D295, ""en"", ""hi"")"),"A) सर विलियम स्लीमन")</f>
        <v>A) सर विलियम स्लीमन</v>
      </c>
    </row>
    <row r="296" ht="22.5" customHeight="1">
      <c r="A296" s="3">
        <v>295.0</v>
      </c>
      <c r="B296" s="4" t="s">
        <v>11651</v>
      </c>
      <c r="C296" s="4" t="s">
        <v>11604</v>
      </c>
      <c r="D296" s="4" t="s">
        <v>11442</v>
      </c>
      <c r="F296" s="5" t="str">
        <f>IFERROR(__xludf.DUMMYFUNCTION("GOOGLETRANSLATE(A296, ""en"", ""hi"")"),"295")</f>
        <v>295</v>
      </c>
      <c r="G296" s="5" t="str">
        <f>IFERROR(__xludf.DUMMYFUNCTION("GOOGLETRANSLATE(B296, ""en"", ""hi"")"),"भक्ति आंदोलन के किस कवि ने अपने भक्ति साहित्य में गिल्ली डंडा सहित पारंपरिक खेलों का वर्णन किया?")</f>
        <v>भक्ति आंदोलन के किस कवि ने अपने भक्ति साहित्य में गिल्ली डंडा सहित पारंपरिक खेलों का वर्णन किया?</v>
      </c>
      <c r="H296" s="5" t="str">
        <f>IFERROR(__xludf.DUMMYFUNCTION("GOOGLETRANSLATE(C296, ""en"", ""hi"")"),"ए) कबीर, बी) तुलसीदास, सी) मीराबाई, डी) सूरदास")</f>
        <v>ए) कबीर, बी) तुलसीदास, सी) मीराबाई, डी) सूरदास</v>
      </c>
      <c r="I296" s="5" t="str">
        <f>IFERROR(__xludf.DUMMYFUNCTION("GOOGLETRANSLATE(D296, ""en"", ""hi"")"),"A) कबीर")</f>
        <v>A) कबीर</v>
      </c>
    </row>
    <row r="297" ht="22.5" customHeight="1">
      <c r="A297" s="3">
        <v>296.0</v>
      </c>
      <c r="B297" s="4" t="s">
        <v>11652</v>
      </c>
      <c r="C297" s="4" t="s">
        <v>11533</v>
      </c>
      <c r="D297" s="4" t="s">
        <v>11375</v>
      </c>
      <c r="F297" s="5" t="str">
        <f>IFERROR(__xludf.DUMMYFUNCTION("GOOGLETRANSLATE(A297, ""en"", ""hi"")"),"296")</f>
        <v>296</v>
      </c>
      <c r="G297" s="5" t="str">
        <f>IFERROR(__xludf.DUMMYFUNCTION("GOOGLETRANSLATE(B297, ""en"", ""hi"")"),"कौन सा भारतीय क्षेत्र स्थानीय सांस्कृतिक उत्सवों और सामुदायिक कार्यक्रमों के दौरान मनाए जाने वाले गिल्ली डंडा की अनूठी प्रथा के लिए जाना जाता है?")</f>
        <v>कौन सा भारतीय क्षेत्र स्थानीय सांस्कृतिक उत्सवों और सामुदायिक कार्यक्रमों के दौरान मनाए जाने वाले गिल्ली डंडा की अनूठी प्रथा के लिए जाना जाता है?</v>
      </c>
      <c r="H297" s="5" t="str">
        <f>IFERROR(__xludf.DUMMYFUNCTION("GOOGLETRANSLATE(C297, ""en"", ""hi"")"),"A) पूर्वोत्तर भारत, B) दक्षिण भारत, C) पश्चिम भारत, D) मध्य भारत")</f>
        <v>A) पूर्वोत्तर भारत, B) दक्षिण भारत, C) पश्चिम भारत, D) मध्य भारत</v>
      </c>
      <c r="I297" s="5" t="str">
        <f>IFERROR(__xludf.DUMMYFUNCTION("GOOGLETRANSLATE(D297, ""en"", ""hi"")"),"A) पूर्वोत्तर भारत")</f>
        <v>A) पूर्वोत्तर भारत</v>
      </c>
    </row>
    <row r="298" ht="22.5" customHeight="1">
      <c r="A298" s="3">
        <v>297.0</v>
      </c>
      <c r="B298" s="4" t="s">
        <v>11653</v>
      </c>
      <c r="C298" s="4" t="s">
        <v>11439</v>
      </c>
      <c r="D298" s="4" t="s">
        <v>7468</v>
      </c>
      <c r="F298" s="5" t="str">
        <f>IFERROR(__xludf.DUMMYFUNCTION("GOOGLETRANSLATE(A298, ""en"", ""hi"")"),"297")</f>
        <v>297</v>
      </c>
      <c r="G298" s="5" t="str">
        <f>IFERROR(__xludf.DUMMYFUNCTION("GOOGLETRANSLATE(B298, ""en"", ""hi"")"),"20वीं सदी के आरंभ में किस भारतीय इतिहासकार ने गिल्ली डंडा जैसे पारंपरिक खेलों के सांस्कृतिक महत्व पर ध्यान केंद्रित किया?")</f>
        <v>20वीं सदी के आरंभ में किस भारतीय इतिहासकार ने गिल्ली डंडा जैसे पारंपरिक खेलों के सांस्कृतिक महत्व पर ध्यान केंद्रित किया?</v>
      </c>
      <c r="H298" s="5" t="str">
        <f>IFERROR(__xludf.DUMMYFUNCTION("GOOGLETRANSLATE(C298, ""en"", ""hi"")"),"A) आर. सी. मजूमदार, B) के. एम. मुंशी, C) बी. एन. पांडे, D) एस. राधाकृष्णन")</f>
        <v>A) आर. सी. मजूमदार, B) के. एम. मुंशी, C) बी. एन. पांडे, D) एस. राधाकृष्णन</v>
      </c>
      <c r="I298" s="5" t="str">
        <f>IFERROR(__xludf.DUMMYFUNCTION("GOOGLETRANSLATE(D298, ""en"", ""hi"")"),"A) आर. सी. मजूमदार")</f>
        <v>A) आर. सी. मजूमदार</v>
      </c>
    </row>
    <row r="299" ht="22.5" customHeight="1">
      <c r="A299" s="3">
        <v>298.0</v>
      </c>
      <c r="B299" s="4" t="s">
        <v>11654</v>
      </c>
      <c r="C299" s="4" t="s">
        <v>11560</v>
      </c>
      <c r="D299" s="4" t="s">
        <v>11522</v>
      </c>
      <c r="F299" s="5" t="str">
        <f>IFERROR(__xludf.DUMMYFUNCTION("GOOGLETRANSLATE(A299, ""en"", ""hi"")"),"298")</f>
        <v>298</v>
      </c>
      <c r="G299" s="5" t="str">
        <f>IFERROR(__xludf.DUMMYFUNCTION("GOOGLETRANSLATE(B299, ""en"", ""hi"")"),"20वीं सदी के आरंभ में किस ब्रिटिश यात्री ने भारतीय सांस्कृतिक प्रथाओं के दस्तावेजीकरण के भाग के रूप में गिल्ली डंडा के अवलोकन को शामिल किया?")</f>
        <v>20वीं सदी के आरंभ में किस ब्रिटिश यात्री ने भारतीय सांस्कृतिक प्रथाओं के दस्तावेजीकरण के भाग के रूप में गिल्ली डंडा के अवलोकन को शामिल किया?</v>
      </c>
      <c r="H299" s="5" t="str">
        <f>IFERROR(__xludf.DUMMYFUNCTION("GOOGLETRANSLATE(C299, ""en"", ""hi"")"),"A) फ्रांसिस बुकानन-हैमिल्टन, B) विलियम एडम्स, C) जेम्स रेनेल, D) अलेक्जेंडर बर्न्स")</f>
        <v>A) फ्रांसिस बुकानन-हैमिल्टन, B) विलियम एडम्स, C) जेम्स रेनेल, D) अलेक्जेंडर बर्न्स</v>
      </c>
      <c r="I299" s="5" t="str">
        <f>IFERROR(__xludf.DUMMYFUNCTION("GOOGLETRANSLATE(D299, ""en"", ""hi"")"),"A) फ्रांसिस बुकानन-हैमिल्टन")</f>
        <v>A) फ्रांसिस बुकानन-हैमिल्टन</v>
      </c>
    </row>
    <row r="300" ht="22.5" customHeight="1">
      <c r="A300" s="3">
        <v>299.0</v>
      </c>
      <c r="B300" s="4" t="s">
        <v>11655</v>
      </c>
      <c r="C300" s="4" t="s">
        <v>11566</v>
      </c>
      <c r="D300" s="4" t="s">
        <v>4854</v>
      </c>
      <c r="F300" s="5" t="str">
        <f>IFERROR(__xludf.DUMMYFUNCTION("GOOGLETRANSLATE(A300, ""en"", ""hi"")"),"299")</f>
        <v>299</v>
      </c>
      <c r="G300" s="5" t="str">
        <f>IFERROR(__xludf.DUMMYFUNCTION("GOOGLETRANSLATE(B300, ""en"", ""hi"")"),"तमिलनाडु का कौन सा पारंपरिक त्यौहार गिल्ली डंडा को अपने उत्सव की एक प्रमुख विशेषता के रूप में शामिल करता है?")</f>
        <v>तमिलनाडु का कौन सा पारंपरिक त्यौहार गिल्ली डंडा को अपने उत्सव की एक प्रमुख विशेषता के रूप में शामिल करता है?</v>
      </c>
      <c r="H300" s="5" t="str">
        <f>IFERROR(__xludf.DUMMYFUNCTION("GOOGLETRANSLATE(C300, ""en"", ""hi"")"),"ए) पोंगल, बी) उगादि, सी) मकर संक्रांति, डी) दिवाली")</f>
        <v>ए) पोंगल, बी) उगादि, सी) मकर संक्रांति, डी) दिवाली</v>
      </c>
      <c r="I300" s="5" t="str">
        <f>IFERROR(__xludf.DUMMYFUNCTION("GOOGLETRANSLATE(D300, ""en"", ""hi"")"),"ए) पोंगल")</f>
        <v>ए) पोंगल</v>
      </c>
    </row>
    <row r="301" ht="22.5" customHeight="1">
      <c r="A301" s="3">
        <v>300.0</v>
      </c>
      <c r="B301" s="4" t="s">
        <v>11614</v>
      </c>
      <c r="C301" s="4" t="s">
        <v>11541</v>
      </c>
      <c r="D301" s="4" t="s">
        <v>11473</v>
      </c>
      <c r="F301" s="5" t="str">
        <f>IFERROR(__xludf.DUMMYFUNCTION("GOOGLETRANSLATE(A301, ""en"", ""hi"")"),"300")</f>
        <v>300</v>
      </c>
      <c r="G301" s="5" t="str">
        <f>IFERROR(__xludf.DUMMYFUNCTION("GOOGLETRANSLATE(B301, ""en"", ""hi"")"),"कौन सा प्राचीन भारतीय ग्रंथ शारीरिक प्रशिक्षण और शिक्षा के लिए गिल्ली डंडा जैसे पारंपरिक खेलों के उपयोग के बारे में जानकारी प्रदान करता है?")</f>
        <v>कौन सा प्राचीन भारतीय ग्रंथ शारीरिक प्रशिक्षण और शिक्षा के लिए गिल्ली डंडा जैसे पारंपरिक खेलों के उपयोग के बारे में जानकारी प्रदान करता है?</v>
      </c>
      <c r="H301" s="5" t="str">
        <f>IFERROR(__xludf.DUMMYFUNCTION("GOOGLETRANSLATE(C301, ""en"", ""hi"")"),"ए) नाट्यशास्त्र, बी) अर्थशास्त्र, सी) विष्णु पुराण, डी) मनुस्मृति")</f>
        <v>ए) नाट्यशास्त्र, बी) अर्थशास्त्र, सी) विष्णु पुराण, डी) मनुस्मृति</v>
      </c>
      <c r="I301" s="5" t="str">
        <f>IFERROR(__xludf.DUMMYFUNCTION("GOOGLETRANSLATE(D301, ""en"", ""hi"")"),"A) नाट्यशास्त्र")</f>
        <v>A) नाट्यशास्त्र</v>
      </c>
    </row>
    <row r="302" ht="22.5" customHeight="1">
      <c r="A302" s="3">
        <v>301.0</v>
      </c>
      <c r="B302" s="4" t="s">
        <v>11656</v>
      </c>
      <c r="C302" s="4" t="s">
        <v>11640</v>
      </c>
      <c r="D302" s="4" t="s">
        <v>11641</v>
      </c>
      <c r="F302" s="5" t="str">
        <f>IFERROR(__xludf.DUMMYFUNCTION("GOOGLETRANSLATE(A302, ""en"", ""hi"")"),"301")</f>
        <v>301</v>
      </c>
      <c r="G302" s="5" t="str">
        <f>IFERROR(__xludf.DUMMYFUNCTION("GOOGLETRANSLATE(B302, ""en"", ""hi"")"),"कौन सा मध्यकालीन भारतीय राजा अपने दरबार और स्थानीय उत्सवों में गिल्ली डंडा जैसे पारंपरिक खेलों को प्रोत्साहित करने के लिए जाना जाता है?")</f>
        <v>कौन सा मध्यकालीन भारतीय राजा अपने दरबार और स्थानीय उत्सवों में गिल्ली डंडा जैसे पारंपरिक खेलों को प्रोत्साहित करने के लिए जाना जाता है?</v>
      </c>
      <c r="H302" s="5" t="str">
        <f>IFERROR(__xludf.DUMMYFUNCTION("GOOGLETRANSLATE(C302, ""en"", ""hi"")"),"ए) विक्रमादित्य, बी) राजा भोज, सी) अशोक, डी) चंद्रगुप्त मौर्य")</f>
        <v>ए) विक्रमादित्य, बी) राजा भोज, सी) अशोक, डी) चंद्रगुप्त मौर्य</v>
      </c>
      <c r="I302" s="5" t="str">
        <f>IFERROR(__xludf.DUMMYFUNCTION("GOOGLETRANSLATE(D302, ""en"", ""hi"")"),"A) विक्रमादित्य")</f>
        <v>A) विक्रमादित्य</v>
      </c>
    </row>
    <row r="303" ht="22.5" customHeight="1">
      <c r="A303" s="3">
        <v>302.0</v>
      </c>
      <c r="B303" s="4" t="s">
        <v>11657</v>
      </c>
      <c r="C303" s="4" t="s">
        <v>11439</v>
      </c>
      <c r="D303" s="4" t="s">
        <v>7468</v>
      </c>
      <c r="F303" s="5" t="str">
        <f>IFERROR(__xludf.DUMMYFUNCTION("GOOGLETRANSLATE(A303, ""en"", ""hi"")"),"302")</f>
        <v>302</v>
      </c>
      <c r="G303" s="5" t="str">
        <f>IFERROR(__xludf.DUMMYFUNCTION("GOOGLETRANSLATE(B303, ""en"", ""hi"")"),"20वीं सदी के आरंभिक इतिहासकार ने भारतीय सांस्कृतिक विरासत के अपने अध्ययन में गिल्ली डंडा जैसे पारंपरिक खेलों का दस्तावेजीकरण किया?")</f>
        <v>20वीं सदी के आरंभिक इतिहासकार ने भारतीय सांस्कृतिक विरासत के अपने अध्ययन में गिल्ली डंडा जैसे पारंपरिक खेलों का दस्तावेजीकरण किया?</v>
      </c>
      <c r="H303" s="5" t="str">
        <f>IFERROR(__xludf.DUMMYFUNCTION("GOOGLETRANSLATE(C303, ""en"", ""hi"")"),"A) आर. सी. मजूमदार, B) के. एम. मुंशी, C) बी. एन. पांडे, D) एस. राधाकृष्णन")</f>
        <v>A) आर. सी. मजूमदार, B) के. एम. मुंशी, C) बी. एन. पांडे, D) एस. राधाकृष्णन</v>
      </c>
      <c r="I303" s="5" t="str">
        <f>IFERROR(__xludf.DUMMYFUNCTION("GOOGLETRANSLATE(D303, ""en"", ""hi"")"),"A) आर. सी. मजूमदार")</f>
        <v>A) आर. सी. मजूमदार</v>
      </c>
    </row>
    <row r="304" ht="22.5" customHeight="1">
      <c r="A304" s="3">
        <v>303.0</v>
      </c>
      <c r="B304" s="4" t="s">
        <v>11658</v>
      </c>
      <c r="C304" s="4" t="s">
        <v>11574</v>
      </c>
      <c r="D304" s="4" t="s">
        <v>11575</v>
      </c>
      <c r="F304" s="5" t="str">
        <f>IFERROR(__xludf.DUMMYFUNCTION("GOOGLETRANSLATE(A304, ""en"", ""hi"")"),"303")</f>
        <v>303</v>
      </c>
      <c r="G304" s="5" t="str">
        <f>IFERROR(__xludf.DUMMYFUNCTION("GOOGLETRANSLATE(B304, ""en"", ""hi"")"),"19वीं सदी के किस ब्रिटिश विद्वान ने भारत की खोज के दौरान गिल्ली डंडा जैसे पारंपरिक खेलों का विस्तृत विवरण प्रदान किया?")</f>
        <v>19वीं सदी के किस ब्रिटिश विद्वान ने भारत की खोज के दौरान गिल्ली डंडा जैसे पारंपरिक खेलों का विस्तृत विवरण प्रदान किया?</v>
      </c>
      <c r="H304" s="5" t="str">
        <f>IFERROR(__xludf.DUMMYFUNCTION("GOOGLETRANSLATE(C304, ""en"", ""hi"")"),"A) सर विलियम स्लीमन, B) लॉर्ड कर्जन, C) सर जॉर्ज एवरेस्ट, D) लॉर्ड मिंटो")</f>
        <v>A) सर विलियम स्लीमन, B) लॉर्ड कर्जन, C) सर जॉर्ज एवरेस्ट, D) लॉर्ड मिंटो</v>
      </c>
      <c r="I304" s="5" t="str">
        <f>IFERROR(__xludf.DUMMYFUNCTION("GOOGLETRANSLATE(D304, ""en"", ""hi"")"),"A) सर विलियम स्लीमन")</f>
        <v>A) सर विलियम स्लीमन</v>
      </c>
    </row>
    <row r="305" ht="22.5" customHeight="1">
      <c r="A305" s="3">
        <v>304.0</v>
      </c>
      <c r="B305" s="4" t="s">
        <v>11659</v>
      </c>
      <c r="C305" s="4" t="s">
        <v>11604</v>
      </c>
      <c r="D305" s="4" t="s">
        <v>11442</v>
      </c>
      <c r="F305" s="5" t="str">
        <f>IFERROR(__xludf.DUMMYFUNCTION("GOOGLETRANSLATE(A305, ""en"", ""hi"")"),"304")</f>
        <v>304</v>
      </c>
      <c r="G305" s="5" t="str">
        <f>IFERROR(__xludf.DUMMYFUNCTION("GOOGLETRANSLATE(B305, ""en"", ""hi"")"),"भक्ति आंदोलन के किस भारतीय कवि ने गिल्ली डंडा सहित पारंपरिक खेलों का वर्णन अपनी आध्यात्मिक कविता में शामिल किया?")</f>
        <v>भक्ति आंदोलन के किस भारतीय कवि ने गिल्ली डंडा सहित पारंपरिक खेलों का वर्णन अपनी आध्यात्मिक कविता में शामिल किया?</v>
      </c>
      <c r="H305" s="5" t="str">
        <f>IFERROR(__xludf.DUMMYFUNCTION("GOOGLETRANSLATE(C305, ""en"", ""hi"")"),"ए) कबीर, बी) तुलसीदास, सी) मीराबाई, डी) सूरदास")</f>
        <v>ए) कबीर, बी) तुलसीदास, सी) मीराबाई, डी) सूरदास</v>
      </c>
      <c r="I305" s="5" t="str">
        <f>IFERROR(__xludf.DUMMYFUNCTION("GOOGLETRANSLATE(D305, ""en"", ""hi"")"),"A) कबीर")</f>
        <v>A) कबीर</v>
      </c>
    </row>
    <row r="306" ht="22.5" customHeight="1">
      <c r="A306" s="3">
        <v>305.0</v>
      </c>
      <c r="B306" s="4" t="s">
        <v>11660</v>
      </c>
      <c r="C306" s="4" t="s">
        <v>11533</v>
      </c>
      <c r="D306" s="4" t="s">
        <v>11375</v>
      </c>
      <c r="F306" s="5" t="str">
        <f>IFERROR(__xludf.DUMMYFUNCTION("GOOGLETRANSLATE(A306, ""en"", ""hi"")"),"305")</f>
        <v>305</v>
      </c>
      <c r="G306" s="5" t="str">
        <f>IFERROR(__xludf.DUMMYFUNCTION("GOOGLETRANSLATE(B306, ""en"", ""hi"")"),"भारत का कौन सा क्षेत्र स्थानीय मेलों और सांस्कृतिक समारोहों के दौरान खेले जाने वाले गिल्ली डंडा की विशिष्ट शैली के लिए जाना जाता है?")</f>
        <v>भारत का कौन सा क्षेत्र स्थानीय मेलों और सांस्कृतिक समारोहों के दौरान खेले जाने वाले गिल्ली डंडा की विशिष्ट शैली के लिए जाना जाता है?</v>
      </c>
      <c r="H306" s="5" t="str">
        <f>IFERROR(__xludf.DUMMYFUNCTION("GOOGLETRANSLATE(C306, ""en"", ""hi"")"),"A) पूर्वोत्तर भारत, B) दक्षिण भारत, C) पश्चिम भारत, D) मध्य भारत")</f>
        <v>A) पूर्वोत्तर भारत, B) दक्षिण भारत, C) पश्चिम भारत, D) मध्य भारत</v>
      </c>
      <c r="I306" s="5" t="str">
        <f>IFERROR(__xludf.DUMMYFUNCTION("GOOGLETRANSLATE(D306, ""en"", ""hi"")"),"A) पूर्वोत्तर भारत")</f>
        <v>A) पूर्वोत्तर भारत</v>
      </c>
    </row>
    <row r="307" ht="22.5" customHeight="1">
      <c r="A307" s="3">
        <v>306.0</v>
      </c>
      <c r="B307" s="4" t="s">
        <v>11661</v>
      </c>
      <c r="C307" s="4" t="s">
        <v>11439</v>
      </c>
      <c r="D307" s="4" t="s">
        <v>7468</v>
      </c>
      <c r="F307" s="5" t="str">
        <f>IFERROR(__xludf.DUMMYFUNCTION("GOOGLETRANSLATE(A307, ""en"", ""hi"")"),"306")</f>
        <v>306</v>
      </c>
      <c r="G307" s="5" t="str">
        <f>IFERROR(__xludf.DUMMYFUNCTION("GOOGLETRANSLATE(B307, ""en"", ""hi"")"),"20वीं सदी के आरंभिक भारतीय इतिहासकार ने गिल्ली डंडा जैसे पारंपरिक खेलों के भारतीय समाज पर पड़ने वाले प्रभाव का अध्ययन किया?")</f>
        <v>20वीं सदी के आरंभिक भारतीय इतिहासकार ने गिल्ली डंडा जैसे पारंपरिक खेलों के भारतीय समाज पर पड़ने वाले प्रभाव का अध्ययन किया?</v>
      </c>
      <c r="H307" s="5" t="str">
        <f>IFERROR(__xludf.DUMMYFUNCTION("GOOGLETRANSLATE(C307, ""en"", ""hi"")"),"A) आर. सी. मजूमदार, B) के. एम. मुंशी, C) बी. एन. पांडे, D) एस. राधाकृष्णन")</f>
        <v>A) आर. सी. मजूमदार, B) के. एम. मुंशी, C) बी. एन. पांडे, D) एस. राधाकृष्णन</v>
      </c>
      <c r="I307" s="5" t="str">
        <f>IFERROR(__xludf.DUMMYFUNCTION("GOOGLETRANSLATE(D307, ""en"", ""hi"")"),"A) आर. सी. मजूमदार")</f>
        <v>A) आर. सी. मजूमदार</v>
      </c>
    </row>
    <row r="308" ht="22.5" customHeight="1">
      <c r="A308" s="3">
        <v>307.0</v>
      </c>
      <c r="B308" s="4" t="s">
        <v>11662</v>
      </c>
      <c r="C308" s="4" t="s">
        <v>11649</v>
      </c>
      <c r="D308" s="4" t="s">
        <v>7311</v>
      </c>
      <c r="F308" s="5" t="str">
        <f>IFERROR(__xludf.DUMMYFUNCTION("GOOGLETRANSLATE(A308, ""en"", ""hi"")"),"307")</f>
        <v>307</v>
      </c>
      <c r="G308" s="5" t="str">
        <f>IFERROR(__xludf.DUMMYFUNCTION("GOOGLETRANSLATE(B308, ""en"", ""hi"")"),"गुजरात का कौन सा पारंपरिक त्यौहार गिल्ली डंडा को एक महत्वपूर्ण सांस्कृतिक गतिविधि के रूप में उजागर करता है?")</f>
        <v>गुजरात का कौन सा पारंपरिक त्यौहार गिल्ली डंडा को एक महत्वपूर्ण सांस्कृतिक गतिविधि के रूप में उजागर करता है?</v>
      </c>
      <c r="H308" s="5" t="str">
        <f>IFERROR(__xludf.DUMMYFUNCTION("GOOGLETRANSLATE(C308, ""en"", ""hi"")"),"ए) मकर संक्रांति, बी) नवरात्रि, सी) दिवाली, डी) होली")</f>
        <v>ए) मकर संक्रांति, बी) नवरात्रि, सी) दिवाली, डी) होली</v>
      </c>
      <c r="I308" s="5" t="str">
        <f>IFERROR(__xludf.DUMMYFUNCTION("GOOGLETRANSLATE(D308, ""en"", ""hi"")"),"A) मकर संक्रांति")</f>
        <v>A) मकर संक्रांति</v>
      </c>
    </row>
    <row r="309" ht="22.5" customHeight="1">
      <c r="A309" s="3">
        <v>308.0</v>
      </c>
      <c r="B309" s="4" t="s">
        <v>11663</v>
      </c>
      <c r="C309" s="4" t="s">
        <v>11574</v>
      </c>
      <c r="D309" s="4" t="s">
        <v>11575</v>
      </c>
      <c r="F309" s="5" t="str">
        <f>IFERROR(__xludf.DUMMYFUNCTION("GOOGLETRANSLATE(A309, ""en"", ""hi"")"),"308")</f>
        <v>308</v>
      </c>
      <c r="G309" s="5" t="str">
        <f>IFERROR(__xludf.DUMMYFUNCTION("GOOGLETRANSLATE(B309, ""en"", ""hi"")"),"19वीं सदी के किस ब्रिटिश औपनिवेशिक विद्वान को गिल्ली डंडा जैसे पारंपरिक भारतीय खेलों का दस्तावेजीकरण करने के लिए जाना जाता है?")</f>
        <v>19वीं सदी के किस ब्रिटिश औपनिवेशिक विद्वान को गिल्ली डंडा जैसे पारंपरिक भारतीय खेलों का दस्तावेजीकरण करने के लिए जाना जाता है?</v>
      </c>
      <c r="H309" s="5" t="str">
        <f>IFERROR(__xludf.DUMMYFUNCTION("GOOGLETRANSLATE(C309, ""en"", ""hi"")"),"A) सर विलियम स्लीमन, B) लॉर्ड कर्जन, C) सर जॉर्ज एवरेस्ट, D) लॉर्ड मिंटो")</f>
        <v>A) सर विलियम स्लीमन, B) लॉर्ड कर्जन, C) सर जॉर्ज एवरेस्ट, D) लॉर्ड मिंटो</v>
      </c>
      <c r="I309" s="5" t="str">
        <f>IFERROR(__xludf.DUMMYFUNCTION("GOOGLETRANSLATE(D309, ""en"", ""hi"")"),"A) सर विलियम स्लीमन")</f>
        <v>A) सर विलियम स्लीमन</v>
      </c>
    </row>
    <row r="310" ht="22.5" customHeight="1">
      <c r="A310" s="3">
        <v>309.0</v>
      </c>
      <c r="B310" s="4" t="s">
        <v>11664</v>
      </c>
      <c r="C310" s="4" t="s">
        <v>11604</v>
      </c>
      <c r="D310" s="4" t="s">
        <v>11442</v>
      </c>
      <c r="F310" s="5" t="str">
        <f>IFERROR(__xludf.DUMMYFUNCTION("GOOGLETRANSLATE(A310, ""en"", ""hi"")"),"309")</f>
        <v>309</v>
      </c>
      <c r="G310" s="5" t="str">
        <f>IFERROR(__xludf.DUMMYFUNCTION("GOOGLETRANSLATE(B310, ""en"", ""hi"")"),"किस भक्ति कवि ने अपने भक्ति साहित्य में गिल्ली डंडा सहित पारंपरिक खेलों के बारे में लिखा?")</f>
        <v>किस भक्ति कवि ने अपने भक्ति साहित्य में गिल्ली डंडा सहित पारंपरिक खेलों के बारे में लिखा?</v>
      </c>
      <c r="H310" s="5" t="str">
        <f>IFERROR(__xludf.DUMMYFUNCTION("GOOGLETRANSLATE(C310, ""en"", ""hi"")"),"ए) कबीर, बी) तुलसीदास, सी) मीराबाई, डी) सूरदास")</f>
        <v>ए) कबीर, बी) तुलसीदास, सी) मीराबाई, डी) सूरदास</v>
      </c>
      <c r="I310" s="5" t="str">
        <f>IFERROR(__xludf.DUMMYFUNCTION("GOOGLETRANSLATE(D310, ""en"", ""hi"")"),"A) कबीर")</f>
        <v>A) कबीर</v>
      </c>
    </row>
    <row r="311" ht="22.5" customHeight="1">
      <c r="A311" s="3">
        <v>310.0</v>
      </c>
      <c r="B311" s="4" t="s">
        <v>11665</v>
      </c>
      <c r="C311" s="4" t="s">
        <v>11533</v>
      </c>
      <c r="D311" s="4" t="s">
        <v>11375</v>
      </c>
      <c r="F311" s="5" t="str">
        <f>IFERROR(__xludf.DUMMYFUNCTION("GOOGLETRANSLATE(A311, ""en"", ""hi"")"),"310")</f>
        <v>310</v>
      </c>
      <c r="G311" s="5" t="str">
        <f>IFERROR(__xludf.DUMMYFUNCTION("GOOGLETRANSLATE(B311, ""en"", ""hi"")"),"भारत के किस क्षेत्र में गिल्ली डंडा का अपना संस्करण है, जिसे स्थानीय त्योहारों और सांस्कृतिक कार्यक्रमों में प्रमुखता से प्रदर्शित किया जाता है?")</f>
        <v>भारत के किस क्षेत्र में गिल्ली डंडा का अपना संस्करण है, जिसे स्थानीय त्योहारों और सांस्कृतिक कार्यक्रमों में प्रमुखता से प्रदर्शित किया जाता है?</v>
      </c>
      <c r="H311" s="5" t="str">
        <f>IFERROR(__xludf.DUMMYFUNCTION("GOOGLETRANSLATE(C311, ""en"", ""hi"")"),"A) पूर्वोत्तर भारत, B) दक्षिण भारत, C) पश्चिम भारत, D) मध्य भारत")</f>
        <v>A) पूर्वोत्तर भारत, B) दक्षिण भारत, C) पश्चिम भारत, D) मध्य भारत</v>
      </c>
      <c r="I311" s="5" t="str">
        <f>IFERROR(__xludf.DUMMYFUNCTION("GOOGLETRANSLATE(D311, ""en"", ""hi"")"),"A) पूर्वोत्तर भारत")</f>
        <v>A) पूर्वोत्तर भारत</v>
      </c>
    </row>
    <row r="312" ht="22.5" customHeight="1">
      <c r="A312" s="3">
        <v>311.0</v>
      </c>
      <c r="B312" s="4" t="s">
        <v>11666</v>
      </c>
      <c r="C312" s="4" t="s">
        <v>11439</v>
      </c>
      <c r="D312" s="4" t="s">
        <v>7468</v>
      </c>
      <c r="F312" s="5" t="str">
        <f>IFERROR(__xludf.DUMMYFUNCTION("GOOGLETRANSLATE(A312, ""en"", ""hi"")"),"311")</f>
        <v>311</v>
      </c>
      <c r="G312" s="5" t="str">
        <f>IFERROR(__xludf.DUMMYFUNCTION("GOOGLETRANSLATE(B312, ""en"", ""hi"")"),"20वीं सदी के आरंभ में किस भारतीय इतिहासकार ने अपने शोध में गिल्ली डंडा जैसे पारंपरिक खेलों के महत्व की जांच की?")</f>
        <v>20वीं सदी के आरंभ में किस भारतीय इतिहासकार ने अपने शोध में गिल्ली डंडा जैसे पारंपरिक खेलों के महत्व की जांच की?</v>
      </c>
      <c r="H312" s="5" t="str">
        <f>IFERROR(__xludf.DUMMYFUNCTION("GOOGLETRANSLATE(C312, ""en"", ""hi"")"),"A) आर. सी. मजूमदार, B) के. एम. मुंशी, C) बी. एन. पांडे, D) एस. राधाकृष्णन")</f>
        <v>A) आर. सी. मजूमदार, B) के. एम. मुंशी, C) बी. एन. पांडे, D) एस. राधाकृष्णन</v>
      </c>
      <c r="I312" s="5" t="str">
        <f>IFERROR(__xludf.DUMMYFUNCTION("GOOGLETRANSLATE(D312, ""en"", ""hi"")"),"A) आर. सी. मजूमदार")</f>
        <v>A) आर. सी. मजूमदार</v>
      </c>
    </row>
    <row r="313" ht="22.5" customHeight="1">
      <c r="A313" s="3">
        <v>312.0</v>
      </c>
      <c r="B313" s="4" t="s">
        <v>11667</v>
      </c>
      <c r="C313" s="4" t="s">
        <v>11560</v>
      </c>
      <c r="D313" s="4" t="s">
        <v>11522</v>
      </c>
      <c r="F313" s="5" t="str">
        <f>IFERROR(__xludf.DUMMYFUNCTION("GOOGLETRANSLATE(A313, ""en"", ""hi"")"),"312")</f>
        <v>312</v>
      </c>
      <c r="G313" s="5" t="str">
        <f>IFERROR(__xludf.DUMMYFUNCTION("GOOGLETRANSLATE(B313, ""en"", ""hi"")"),"19वीं शताब्दी के किस ब्रिटिश यात्री के वृत्तांत में भारत में गिल्ली डंडा जैसे पारंपरिक खेलों का विस्तृत अवलोकन शामिल है?")</f>
        <v>19वीं शताब्दी के किस ब्रिटिश यात्री के वृत्तांत में भारत में गिल्ली डंडा जैसे पारंपरिक खेलों का विस्तृत अवलोकन शामिल है?</v>
      </c>
      <c r="H313" s="5" t="str">
        <f>IFERROR(__xludf.DUMMYFUNCTION("GOOGLETRANSLATE(C313, ""en"", ""hi"")"),"A) फ्रांसिस बुकानन-हैमिल्टन, B) विलियम एडम्स, C) जेम्स रेनेल, D) अलेक्जेंडर बर्न्स")</f>
        <v>A) फ्रांसिस बुकानन-हैमिल्टन, B) विलियम एडम्स, C) जेम्स रेनेल, D) अलेक्जेंडर बर्न्स</v>
      </c>
      <c r="I313" s="5" t="str">
        <f>IFERROR(__xludf.DUMMYFUNCTION("GOOGLETRANSLATE(D313, ""en"", ""hi"")"),"A) फ्रांसिस बुकानन-हैमिल्टन")</f>
        <v>A) फ्रांसिस बुकानन-हैमिल्टन</v>
      </c>
    </row>
    <row r="314" ht="22.5" customHeight="1">
      <c r="A314" s="3">
        <v>313.0</v>
      </c>
      <c r="B314" s="4" t="s">
        <v>11668</v>
      </c>
      <c r="C314" s="4" t="s">
        <v>11566</v>
      </c>
      <c r="D314" s="4" t="s">
        <v>4854</v>
      </c>
      <c r="F314" s="5" t="str">
        <f>IFERROR(__xludf.DUMMYFUNCTION("GOOGLETRANSLATE(A314, ""en"", ""hi"")"),"313")</f>
        <v>313</v>
      </c>
      <c r="G314" s="5" t="str">
        <f>IFERROR(__xludf.DUMMYFUNCTION("GOOGLETRANSLATE(B314, ""en"", ""hi"")"),"तमिलनाडु में मनाया जाने वाला कौन सा भारतीय त्यौहार अपने सांस्कृतिक कार्यक्रम के हिस्से के रूप में गिल्ली डंडा को प्रमुखता से प्रदर्शित करता है?")</f>
        <v>तमिलनाडु में मनाया जाने वाला कौन सा भारतीय त्यौहार अपने सांस्कृतिक कार्यक्रम के हिस्से के रूप में गिल्ली डंडा को प्रमुखता से प्रदर्शित करता है?</v>
      </c>
      <c r="H314" s="5" t="str">
        <f>IFERROR(__xludf.DUMMYFUNCTION("GOOGLETRANSLATE(C314, ""en"", ""hi"")"),"ए) पोंगल, बी) उगादि, सी) मकर संक्रांति, डी) दिवाली")</f>
        <v>ए) पोंगल, बी) उगादि, सी) मकर संक्रांति, डी) दिवाली</v>
      </c>
      <c r="I314" s="5" t="str">
        <f>IFERROR(__xludf.DUMMYFUNCTION("GOOGLETRANSLATE(D314, ""en"", ""hi"")"),"ए) पोंगल")</f>
        <v>ए) पोंगल</v>
      </c>
    </row>
    <row r="315" ht="22.5" customHeight="1">
      <c r="A315" s="3">
        <v>314.0</v>
      </c>
      <c r="B315" s="4" t="s">
        <v>11669</v>
      </c>
      <c r="C315" s="4" t="s">
        <v>11541</v>
      </c>
      <c r="D315" s="4" t="s">
        <v>11473</v>
      </c>
      <c r="F315" s="5" t="str">
        <f>IFERROR(__xludf.DUMMYFUNCTION("GOOGLETRANSLATE(A315, ""en"", ""hi"")"),"314")</f>
        <v>314</v>
      </c>
      <c r="G315" s="5" t="str">
        <f>IFERROR(__xludf.DUMMYFUNCTION("GOOGLETRANSLATE(B315, ""en"", ""hi"")"),"कौन सा प्राचीन भारतीय ग्रंथ शारीरिक शिक्षा और समाजीकरण में गिल्ली डंडा जैसे पारंपरिक खेलों की भूमिका को रेखांकित करता है?")</f>
        <v>कौन सा प्राचीन भारतीय ग्रंथ शारीरिक शिक्षा और समाजीकरण में गिल्ली डंडा जैसे पारंपरिक खेलों की भूमिका को रेखांकित करता है?</v>
      </c>
      <c r="H315" s="5" t="str">
        <f>IFERROR(__xludf.DUMMYFUNCTION("GOOGLETRANSLATE(C315, ""en"", ""hi"")"),"ए) नाट्यशास्त्र, बी) अर्थशास्त्र, सी) विष्णु पुराण, डी) मनुस्मृति")</f>
        <v>ए) नाट्यशास्त्र, बी) अर्थशास्त्र, सी) विष्णु पुराण, डी) मनुस्मृति</v>
      </c>
      <c r="I315" s="5" t="str">
        <f>IFERROR(__xludf.DUMMYFUNCTION("GOOGLETRANSLATE(D315, ""en"", ""hi"")"),"A) नाट्यशास्त्र")</f>
        <v>A) नाट्यशास्त्र</v>
      </c>
    </row>
    <row r="316" ht="22.5" customHeight="1">
      <c r="A316" s="3">
        <v>315.0</v>
      </c>
      <c r="B316" s="4" t="s">
        <v>11670</v>
      </c>
      <c r="C316" s="4" t="s">
        <v>11640</v>
      </c>
      <c r="D316" s="4" t="s">
        <v>11641</v>
      </c>
      <c r="F316" s="5" t="str">
        <f>IFERROR(__xludf.DUMMYFUNCTION("GOOGLETRANSLATE(A316, ""en"", ""hi"")"),"315")</f>
        <v>315</v>
      </c>
      <c r="G316" s="5" t="str">
        <f>IFERROR(__xludf.DUMMYFUNCTION("GOOGLETRANSLATE(B316, ""en"", ""hi"")"),"कौन सा मध्यकालीन भारतीय राजा अपने दरबार और स्थानीय समारोहों में गिल्ली डंडा सहित पारंपरिक खेलों को प्रोत्साहित करने के लिए जाना जाता था?")</f>
        <v>कौन सा मध्यकालीन भारतीय राजा अपने दरबार और स्थानीय समारोहों में गिल्ली डंडा सहित पारंपरिक खेलों को प्रोत्साहित करने के लिए जाना जाता था?</v>
      </c>
      <c r="H316" s="5" t="str">
        <f>IFERROR(__xludf.DUMMYFUNCTION("GOOGLETRANSLATE(C316, ""en"", ""hi"")"),"ए) विक्रमादित्य, बी) राजा भोज, सी) अशोक, डी) चंद्रगुप्त मौर्य")</f>
        <v>ए) विक्रमादित्य, बी) राजा भोज, सी) अशोक, डी) चंद्रगुप्त मौर्य</v>
      </c>
      <c r="I316" s="5" t="str">
        <f>IFERROR(__xludf.DUMMYFUNCTION("GOOGLETRANSLATE(D316, ""en"", ""hi"")"),"A) विक्रमादित्य")</f>
        <v>A) विक्रमादित्य</v>
      </c>
    </row>
    <row r="317" ht="22.5" customHeight="1">
      <c r="A317" s="3">
        <v>316.0</v>
      </c>
      <c r="B317" s="4" t="s">
        <v>11671</v>
      </c>
      <c r="C317" s="4" t="s">
        <v>11439</v>
      </c>
      <c r="D317" s="4" t="s">
        <v>7468</v>
      </c>
      <c r="F317" s="5" t="str">
        <f>IFERROR(__xludf.DUMMYFUNCTION("GOOGLETRANSLATE(A317, ""en"", ""hi"")"),"316")</f>
        <v>316</v>
      </c>
      <c r="G317" s="5" t="str">
        <f>IFERROR(__xludf.DUMMYFUNCTION("GOOGLETRANSLATE(B317, ""en"", ""hi"")"),"20वीं सदी के आरंभिक भारतीय विद्वान में से कौन गिल्ली डंडा जैसे पारंपरिक खेलों और उनके सांस्कृतिक महत्व पर अपने शोध के लिए प्रसिद्ध है?")</f>
        <v>20वीं सदी के आरंभिक भारतीय विद्वान में से कौन गिल्ली डंडा जैसे पारंपरिक खेलों और उनके सांस्कृतिक महत्व पर अपने शोध के लिए प्रसिद्ध है?</v>
      </c>
      <c r="H317" s="5" t="str">
        <f>IFERROR(__xludf.DUMMYFUNCTION("GOOGLETRANSLATE(C317, ""en"", ""hi"")"),"A) आर. सी. मजूमदार, B) के. एम. मुंशी, C) बी. एन. पांडे, D) एस. राधाकृष्णन")</f>
        <v>A) आर. सी. मजूमदार, B) के. एम. मुंशी, C) बी. एन. पांडे, D) एस. राधाकृष्णन</v>
      </c>
      <c r="I317" s="5" t="str">
        <f>IFERROR(__xludf.DUMMYFUNCTION("GOOGLETRANSLATE(D317, ""en"", ""hi"")"),"A) आर. सी. मजूमदार")</f>
        <v>A) आर. सी. मजूमदार</v>
      </c>
    </row>
    <row r="318" ht="22.5" customHeight="1">
      <c r="A318" s="3">
        <v>317.0</v>
      </c>
      <c r="B318" s="4" t="s">
        <v>11672</v>
      </c>
      <c r="C318" s="4" t="s">
        <v>11574</v>
      </c>
      <c r="D318" s="4" t="s">
        <v>11575</v>
      </c>
      <c r="F318" s="5" t="str">
        <f>IFERROR(__xludf.DUMMYFUNCTION("GOOGLETRANSLATE(A318, ""en"", ""hi"")"),"317")</f>
        <v>317</v>
      </c>
      <c r="G318" s="5" t="str">
        <f>IFERROR(__xludf.DUMMYFUNCTION("GOOGLETRANSLATE(B318, ""en"", ""hi"")"),"19वीं सदी के किस ब्रिटिश विद्वान ने भारत में गिल्ली डंडा सहित पारंपरिक खेलों की सांस्कृतिक प्रथाओं का दस्तावेजीकरण किया?")</f>
        <v>19वीं सदी के किस ब्रिटिश विद्वान ने भारत में गिल्ली डंडा सहित पारंपरिक खेलों की सांस्कृतिक प्रथाओं का दस्तावेजीकरण किया?</v>
      </c>
      <c r="H318" s="5" t="str">
        <f>IFERROR(__xludf.DUMMYFUNCTION("GOOGLETRANSLATE(C318, ""en"", ""hi"")"),"A) सर विलियम स्लीमन, B) लॉर्ड कर्जन, C) सर जॉर्ज एवरेस्ट, D) लॉर्ड मिंटो")</f>
        <v>A) सर विलियम स्लीमन, B) लॉर्ड कर्जन, C) सर जॉर्ज एवरेस्ट, D) लॉर्ड मिंटो</v>
      </c>
      <c r="I318" s="5" t="str">
        <f>IFERROR(__xludf.DUMMYFUNCTION("GOOGLETRANSLATE(D318, ""en"", ""hi"")"),"A) सर विलियम स्लीमन")</f>
        <v>A) सर विलियम स्लीमन</v>
      </c>
    </row>
    <row r="319" ht="22.5" customHeight="1">
      <c r="A319" s="3">
        <v>318.0</v>
      </c>
      <c r="B319" s="4" t="s">
        <v>11673</v>
      </c>
      <c r="C319" s="4" t="s">
        <v>11604</v>
      </c>
      <c r="D319" s="4" t="s">
        <v>11442</v>
      </c>
      <c r="F319" s="5" t="str">
        <f>IFERROR(__xludf.DUMMYFUNCTION("GOOGLETRANSLATE(A319, ""en"", ""hi"")"),"318")</f>
        <v>318</v>
      </c>
      <c r="G319" s="5" t="str">
        <f>IFERROR(__xludf.DUMMYFUNCTION("GOOGLETRANSLATE(B319, ""en"", ""hi"")"),"भक्ति आंदोलन के किस कवि ने अपने भक्ति भजनों में गिल्ली डंडा जैसे पारंपरिक खेलों का वर्णन शामिल किया?")</f>
        <v>भक्ति आंदोलन के किस कवि ने अपने भक्ति भजनों में गिल्ली डंडा जैसे पारंपरिक खेलों का वर्णन शामिल किया?</v>
      </c>
      <c r="H319" s="5" t="str">
        <f>IFERROR(__xludf.DUMMYFUNCTION("GOOGLETRANSLATE(C319, ""en"", ""hi"")"),"ए) कबीर, बी) तुलसीदास, सी) मीराबाई, डी) सूरदास")</f>
        <v>ए) कबीर, बी) तुलसीदास, सी) मीराबाई, डी) सूरदास</v>
      </c>
      <c r="I319" s="5" t="str">
        <f>IFERROR(__xludf.DUMMYFUNCTION("GOOGLETRANSLATE(D319, ""en"", ""hi"")"),"A) कबीर")</f>
        <v>A) कबीर</v>
      </c>
    </row>
    <row r="320" ht="22.5" customHeight="1">
      <c r="A320" s="3">
        <v>319.0</v>
      </c>
      <c r="B320" s="4" t="s">
        <v>11674</v>
      </c>
      <c r="C320" s="4" t="s">
        <v>11533</v>
      </c>
      <c r="D320" s="4" t="s">
        <v>11375</v>
      </c>
      <c r="F320" s="5" t="str">
        <f>IFERROR(__xludf.DUMMYFUNCTION("GOOGLETRANSLATE(A320, ""en"", ""hi"")"),"319")</f>
        <v>319</v>
      </c>
      <c r="G320" s="5" t="str">
        <f>IFERROR(__xludf.DUMMYFUNCTION("GOOGLETRANSLATE(B320, ""en"", ""hi"")"),"भारत में कौन सा क्षेत्र गिल्ली डंडा के अपने संस्करण के लिए प्रसिद्ध है, जिसे अक्सर स्थानीय मेलों और सांस्कृतिक उत्सवों के दौरान खेला जाता है?")</f>
        <v>भारत में कौन सा क्षेत्र गिल्ली डंडा के अपने संस्करण के लिए प्रसिद्ध है, जिसे अक्सर स्थानीय मेलों और सांस्कृतिक उत्सवों के दौरान खेला जाता है?</v>
      </c>
      <c r="H320" s="5" t="str">
        <f>IFERROR(__xludf.DUMMYFUNCTION("GOOGLETRANSLATE(C320, ""en"", ""hi"")"),"A) पूर्वोत्तर भारत, B) दक्षिण भारत, C) पश्चिम भारत, D) मध्य भारत")</f>
        <v>A) पूर्वोत्तर भारत, B) दक्षिण भारत, C) पश्चिम भारत, D) मध्य भारत</v>
      </c>
      <c r="I320" s="5" t="str">
        <f>IFERROR(__xludf.DUMMYFUNCTION("GOOGLETRANSLATE(D320, ""en"", ""hi"")"),"A) पूर्वोत्तर भारत")</f>
        <v>A) पूर्वोत्तर भारत</v>
      </c>
    </row>
    <row r="321" ht="22.5" customHeight="1">
      <c r="A321" s="3">
        <v>320.0</v>
      </c>
      <c r="B321" s="4" t="s">
        <v>11675</v>
      </c>
      <c r="C321" s="4" t="s">
        <v>11439</v>
      </c>
      <c r="D321" s="4" t="s">
        <v>7468</v>
      </c>
      <c r="F321" s="5" t="str">
        <f>IFERROR(__xludf.DUMMYFUNCTION("GOOGLETRANSLATE(A321, ""en"", ""hi"")"),"320")</f>
        <v>320</v>
      </c>
      <c r="G321" s="5" t="str">
        <f>IFERROR(__xludf.DUMMYFUNCTION("GOOGLETRANSLATE(B321, ""en"", ""hi"")"),"20वीं सदी के आरंभिक इतिहासकार ने भारतीय समाज पर गिल्ली डंडा जैसे पारंपरिक खेलों के प्रभाव का अध्ययन किया?")</f>
        <v>20वीं सदी के आरंभिक इतिहासकार ने भारतीय समाज पर गिल्ली डंडा जैसे पारंपरिक खेलों के प्रभाव का अध्ययन किया?</v>
      </c>
      <c r="H321" s="5" t="str">
        <f>IFERROR(__xludf.DUMMYFUNCTION("GOOGLETRANSLATE(C321, ""en"", ""hi"")"),"A) आर. सी. मजूमदार, B) के. एम. मुंशी, C) बी. एन. पांडे, D) एस. राधाकृष्णन")</f>
        <v>A) आर. सी. मजूमदार, B) के. एम. मुंशी, C) बी. एन. पांडे, D) एस. राधाकृष्णन</v>
      </c>
      <c r="I321" s="5" t="str">
        <f>IFERROR(__xludf.DUMMYFUNCTION("GOOGLETRANSLATE(D321, ""en"", ""hi"")"),"A) आर. सी. मजूमदार")</f>
        <v>A) आर. सी. मजूमदार</v>
      </c>
    </row>
    <row r="322" ht="22.5" customHeight="1">
      <c r="A322" s="3">
        <v>321.0</v>
      </c>
      <c r="B322" s="4" t="s">
        <v>11676</v>
      </c>
      <c r="C322" s="4" t="s">
        <v>11649</v>
      </c>
      <c r="D322" s="4" t="s">
        <v>7311</v>
      </c>
      <c r="F322" s="5" t="str">
        <f>IFERROR(__xludf.DUMMYFUNCTION("GOOGLETRANSLATE(A322, ""en"", ""hi"")"),"321")</f>
        <v>321</v>
      </c>
      <c r="G322" s="5" t="str">
        <f>IFERROR(__xludf.DUMMYFUNCTION("GOOGLETRANSLATE(B322, ""en"", ""hi"")"),"गुजरात के किस पारंपरिक त्यौहार में गिल्ली डंडा को सांस्कृतिक समारोह के एक भाग के रूप में प्रमुखता से शामिल किया जाता है?")</f>
        <v>गुजरात के किस पारंपरिक त्यौहार में गिल्ली डंडा को सांस्कृतिक समारोह के एक भाग के रूप में प्रमुखता से शामिल किया जाता है?</v>
      </c>
      <c r="H322" s="5" t="str">
        <f>IFERROR(__xludf.DUMMYFUNCTION("GOOGLETRANSLATE(C322, ""en"", ""hi"")"),"ए) मकर संक्रांति, बी) नवरात्रि, सी) दिवाली, डी) होली")</f>
        <v>ए) मकर संक्रांति, बी) नवरात्रि, सी) दिवाली, डी) होली</v>
      </c>
      <c r="I322" s="5" t="str">
        <f>IFERROR(__xludf.DUMMYFUNCTION("GOOGLETRANSLATE(D322, ""en"", ""hi"")"),"A) मकर संक्रांति")</f>
        <v>A) मकर संक्रांति</v>
      </c>
    </row>
    <row r="323" ht="22.5" customHeight="1">
      <c r="A323" s="3">
        <v>322.0</v>
      </c>
      <c r="B323" s="4" t="s">
        <v>11677</v>
      </c>
      <c r="C323" s="4" t="s">
        <v>11574</v>
      </c>
      <c r="D323" s="4" t="s">
        <v>11575</v>
      </c>
      <c r="F323" s="5" t="str">
        <f>IFERROR(__xludf.DUMMYFUNCTION("GOOGLETRANSLATE(A323, ""en"", ""hi"")"),"322")</f>
        <v>322</v>
      </c>
      <c r="G323" s="5" t="str">
        <f>IFERROR(__xludf.DUMMYFUNCTION("GOOGLETRANSLATE(B323, ""en"", ""hi"")"),"19वीं सदी के किस ब्रिटिश विद्वान ने भारतीय सांस्कृतिक प्रथाओं की खोज में गिल्ली डंडा जैसे पारंपरिक भारतीय खेलों का दस्तावेजीकरण किया?")</f>
        <v>19वीं सदी के किस ब्रिटिश विद्वान ने भारतीय सांस्कृतिक प्रथाओं की खोज में गिल्ली डंडा जैसे पारंपरिक भारतीय खेलों का दस्तावेजीकरण किया?</v>
      </c>
      <c r="H323" s="5" t="str">
        <f>IFERROR(__xludf.DUMMYFUNCTION("GOOGLETRANSLATE(C323, ""en"", ""hi"")"),"A) सर विलियम स्लीमन, B) लॉर्ड कर्जन, C) सर जॉर्ज एवरेस्ट, D) लॉर्ड मिंटो")</f>
        <v>A) सर विलियम स्लीमन, B) लॉर्ड कर्जन, C) सर जॉर्ज एवरेस्ट, D) लॉर्ड मिंटो</v>
      </c>
      <c r="I323" s="5" t="str">
        <f>IFERROR(__xludf.DUMMYFUNCTION("GOOGLETRANSLATE(D323, ""en"", ""hi"")"),"A) सर विलियम स्लीमन")</f>
        <v>A) सर विलियम स्लीमन</v>
      </c>
    </row>
    <row r="324" ht="22.5" customHeight="1">
      <c r="A324" s="3">
        <v>323.0</v>
      </c>
      <c r="B324" s="4" t="s">
        <v>11678</v>
      </c>
      <c r="C324" s="4" t="s">
        <v>11604</v>
      </c>
      <c r="D324" s="4" t="s">
        <v>11442</v>
      </c>
      <c r="F324" s="5" t="str">
        <f>IFERROR(__xludf.DUMMYFUNCTION("GOOGLETRANSLATE(A324, ""en"", ""hi"")"),"323")</f>
        <v>323</v>
      </c>
      <c r="G324" s="5" t="str">
        <f>IFERROR(__xludf.DUMMYFUNCTION("GOOGLETRANSLATE(B324, ""en"", ""hi"")"),"किस भक्ति कवि ने अपने आध्यात्मिक और भक्ति साहित्य में गिल्ली डंडा जैसे पारंपरिक खेलों का वर्णन किया है?")</f>
        <v>किस भक्ति कवि ने अपने आध्यात्मिक और भक्ति साहित्य में गिल्ली डंडा जैसे पारंपरिक खेलों का वर्णन किया है?</v>
      </c>
      <c r="H324" s="5" t="str">
        <f>IFERROR(__xludf.DUMMYFUNCTION("GOOGLETRANSLATE(C324, ""en"", ""hi"")"),"ए) कबीर, बी) तुलसीदास, सी) मीराबाई, डी) सूरदास")</f>
        <v>ए) कबीर, बी) तुलसीदास, सी) मीराबाई, डी) सूरदास</v>
      </c>
      <c r="I324" s="5" t="str">
        <f>IFERROR(__xludf.DUMMYFUNCTION("GOOGLETRANSLATE(D324, ""en"", ""hi"")"),"A) कबीर")</f>
        <v>A) कबीर</v>
      </c>
    </row>
    <row r="325" ht="22.5" customHeight="1">
      <c r="A325" s="3">
        <v>324.0</v>
      </c>
      <c r="B325" s="4" t="s">
        <v>11679</v>
      </c>
      <c r="C325" s="4" t="s">
        <v>11533</v>
      </c>
      <c r="D325" s="4" t="s">
        <v>11375</v>
      </c>
      <c r="F325" s="5" t="str">
        <f>IFERROR(__xludf.DUMMYFUNCTION("GOOGLETRANSLATE(A325, ""en"", ""hi"")"),"324")</f>
        <v>324</v>
      </c>
      <c r="G325" s="5" t="str">
        <f>IFERROR(__xludf.DUMMYFUNCTION("GOOGLETRANSLATE(B325, ""en"", ""hi"")"),"किस भारतीय क्षेत्र की गिल्ली डंडा की अनूठी प्रथा स्थानीय मेलों और सांस्कृतिक समारोहों के दौरान प्रमुखता से प्रदर्शित की जाती है?")</f>
        <v>किस भारतीय क्षेत्र की गिल्ली डंडा की अनूठी प्रथा स्थानीय मेलों और सांस्कृतिक समारोहों के दौरान प्रमुखता से प्रदर्शित की जाती है?</v>
      </c>
      <c r="H325" s="5" t="str">
        <f>IFERROR(__xludf.DUMMYFUNCTION("GOOGLETRANSLATE(C325, ""en"", ""hi"")"),"A) पूर्वोत्तर भारत, B) दक्षिण भारत, C) पश्चिम भारत, D) मध्य भारत")</f>
        <v>A) पूर्वोत्तर भारत, B) दक्षिण भारत, C) पश्चिम भारत, D) मध्य भारत</v>
      </c>
      <c r="I325" s="5" t="str">
        <f>IFERROR(__xludf.DUMMYFUNCTION("GOOGLETRANSLATE(D325, ""en"", ""hi"")"),"A) पूर्वोत्तर भारत")</f>
        <v>A) पूर्वोत्तर भारत</v>
      </c>
    </row>
    <row r="326" ht="22.5" customHeight="1">
      <c r="A326" s="3">
        <v>325.0</v>
      </c>
      <c r="B326" s="4" t="s">
        <v>11680</v>
      </c>
      <c r="C326" s="4" t="s">
        <v>11439</v>
      </c>
      <c r="D326" s="4" t="s">
        <v>7468</v>
      </c>
      <c r="F326" s="5" t="str">
        <f>IFERROR(__xludf.DUMMYFUNCTION("GOOGLETRANSLATE(A326, ""en"", ""hi"")"),"325")</f>
        <v>325</v>
      </c>
      <c r="G326" s="5" t="str">
        <f>IFERROR(__xludf.DUMMYFUNCTION("GOOGLETRANSLATE(B326, ""en"", ""hi"")"),"20वीं सदी के आरंभ में किस भारतीय इतिहासकार ने गिल्ली डंडा जैसे पारंपरिक खेलों और उनके सांस्कृतिक महत्व पर व्यापक शोध किया?")</f>
        <v>20वीं सदी के आरंभ में किस भारतीय इतिहासकार ने गिल्ली डंडा जैसे पारंपरिक खेलों और उनके सांस्कृतिक महत्व पर व्यापक शोध किया?</v>
      </c>
      <c r="H326" s="5" t="str">
        <f>IFERROR(__xludf.DUMMYFUNCTION("GOOGLETRANSLATE(C326, ""en"", ""hi"")"),"A) आर. सी. मजूमदार, B) के. एम. मुंशी, C) बी. एन. पांडे, D) एस. राधाकृष्णन")</f>
        <v>A) आर. सी. मजूमदार, B) के. एम. मुंशी, C) बी. एन. पांडे, D) एस. राधाकृष्णन</v>
      </c>
      <c r="I326" s="5" t="str">
        <f>IFERROR(__xludf.DUMMYFUNCTION("GOOGLETRANSLATE(D326, ""en"", ""hi"")"),"A) आर. सी. मजूमदार")</f>
        <v>A) आर. सी. मजूमदार</v>
      </c>
    </row>
    <row r="327" ht="22.5" customHeight="1">
      <c r="A327" s="3">
        <v>326.0</v>
      </c>
      <c r="B327" s="4" t="s">
        <v>11681</v>
      </c>
      <c r="C327" s="4" t="s">
        <v>11560</v>
      </c>
      <c r="D327" s="4" t="s">
        <v>11522</v>
      </c>
      <c r="F327" s="5" t="str">
        <f>IFERROR(__xludf.DUMMYFUNCTION("GOOGLETRANSLATE(A327, ""en"", ""hi"")"),"326")</f>
        <v>326</v>
      </c>
      <c r="G327" s="5" t="str">
        <f>IFERROR(__xludf.DUMMYFUNCTION("GOOGLETRANSLATE(B327, ""en"", ""hi"")"),"किस ब्रिटिश यात्री के 19वीं सदी के लेखों में भारतीय गांवों में गिल्ली डंडा के पारंपरिक खेल का विस्तृत अवलोकन मिलता है?")</f>
        <v>किस ब्रिटिश यात्री के 19वीं सदी के लेखों में भारतीय गांवों में गिल्ली डंडा के पारंपरिक खेल का विस्तृत अवलोकन मिलता है?</v>
      </c>
      <c r="H327" s="5" t="str">
        <f>IFERROR(__xludf.DUMMYFUNCTION("GOOGLETRANSLATE(C327, ""en"", ""hi"")"),"A) फ्रांसिस बुकानन-हैमिल्टन, B) विलियम एडम्स, C) जेम्स रेनेल, D) अलेक्जेंडर बर्न्स")</f>
        <v>A) फ्रांसिस बुकानन-हैमिल्टन, B) विलियम एडम्स, C) जेम्स रेनेल, D) अलेक्जेंडर बर्न्स</v>
      </c>
      <c r="I327" s="5" t="str">
        <f>IFERROR(__xludf.DUMMYFUNCTION("GOOGLETRANSLATE(D327, ""en"", ""hi"")"),"A) फ्रांसिस बुकानन-हैमिल्टन")</f>
        <v>A) फ्रांसिस बुकानन-हैमिल्टन</v>
      </c>
    </row>
    <row r="328" ht="22.5" customHeight="1">
      <c r="A328" s="3">
        <v>327.0</v>
      </c>
      <c r="B328" s="4" t="s">
        <v>11682</v>
      </c>
      <c r="C328" s="4" t="s">
        <v>11683</v>
      </c>
      <c r="D328" s="4" t="s">
        <v>37</v>
      </c>
      <c r="F328" s="5" t="str">
        <f>IFERROR(__xludf.DUMMYFUNCTION("GOOGLETRANSLATE(A328, ""en"", ""hi"")"),"327")</f>
        <v>327</v>
      </c>
      <c r="G328" s="5" t="str">
        <f>IFERROR(__xludf.DUMMYFUNCTION("GOOGLETRANSLATE(B328, ""en"", ""hi"")"),"ऐसा माना जाता है कि गिल्ली डंडा की उत्पत्ति किस देश में हुई थी?")</f>
        <v>ऐसा माना जाता है कि गिल्ली डंडा की उत्पत्ति किस देश में हुई थी?</v>
      </c>
      <c r="H328" s="5" t="str">
        <f>IFERROR(__xludf.DUMMYFUNCTION("GOOGLETRANSLATE(C328, ""en"", ""hi"")"),"A) भारत, B) चीन, C) ग्रीस, D) मिस्र")</f>
        <v>A) भारत, B) चीन, C) ग्रीस, D) मिस्र</v>
      </c>
      <c r="I328" s="5" t="str">
        <f>IFERROR(__xludf.DUMMYFUNCTION("GOOGLETRANSLATE(D328, ""en"", ""hi"")"),"ए) भारत")</f>
        <v>ए) भारत</v>
      </c>
    </row>
    <row r="329" ht="22.5" customHeight="1">
      <c r="A329" s="3">
        <v>328.0</v>
      </c>
      <c r="B329" s="4" t="s">
        <v>11684</v>
      </c>
      <c r="C329" s="4" t="s">
        <v>11685</v>
      </c>
      <c r="D329" s="4" t="s">
        <v>11686</v>
      </c>
      <c r="F329" s="5" t="str">
        <f>IFERROR(__xludf.DUMMYFUNCTION("GOOGLETRANSLATE(A329, ""en"", ""hi"")"),"328")</f>
        <v>328</v>
      </c>
      <c r="G329" s="5" t="str">
        <f>IFERROR(__xludf.DUMMYFUNCTION("GOOGLETRANSLATE(B329, ""en"", ""hi"")"),"गिल्ली डंडा किस प्राचीन यूरोपीय खेल से मिलता जुलता है?")</f>
        <v>गिल्ली डंडा किस प्राचीन यूरोपीय खेल से मिलता जुलता है?</v>
      </c>
      <c r="H329" s="5" t="str">
        <f>IFERROR(__xludf.DUMMYFUNCTION("GOOGLETRANSLATE(C329, ""en"", ""hi"")"),"A) क्रिकेट, B) बेसबॉल, C) टिप-कैट, D) पोलो")</f>
        <v>A) क्रिकेट, B) बेसबॉल, C) टिप-कैट, D) पोलो</v>
      </c>
      <c r="I329" s="5" t="str">
        <f>IFERROR(__xludf.DUMMYFUNCTION("GOOGLETRANSLATE(D329, ""en"", ""hi"")"),"C) टिप-कैट")</f>
        <v>C) टिप-कैट</v>
      </c>
    </row>
    <row r="330" ht="22.5" customHeight="1">
      <c r="A330" s="3">
        <v>329.0</v>
      </c>
      <c r="B330" s="4" t="s">
        <v>11687</v>
      </c>
      <c r="C330" s="4" t="s">
        <v>11688</v>
      </c>
      <c r="D330" s="4" t="s">
        <v>11689</v>
      </c>
      <c r="F330" s="5" t="str">
        <f>IFERROR(__xludf.DUMMYFUNCTION("GOOGLETRANSLATE(A330, ""en"", ""hi"")"),"329")</f>
        <v>329</v>
      </c>
      <c r="G330" s="5" t="str">
        <f>IFERROR(__xludf.DUMMYFUNCTION("GOOGLETRANSLATE(B330, ""en"", ""hi"")"),"प्राचीन काल में गिल्ली डंडा भारत में किस सामाजिक वर्ग द्वारा खेला जाता था?")</f>
        <v>प्राचीन काल में गिल्ली डंडा भारत में किस सामाजिक वर्ग द्वारा खेला जाता था?</v>
      </c>
      <c r="H330" s="5" t="str">
        <f>IFERROR(__xludf.DUMMYFUNCTION("GOOGLETRANSLATE(C330, ""en"", ""hi"")"),"A) कुलीन, B) सैनिक, C) किसान, D) पुजारी")</f>
        <v>A) कुलीन, B) सैनिक, C) किसान, D) पुजारी</v>
      </c>
      <c r="I330" s="5" t="str">
        <f>IFERROR(__xludf.DUMMYFUNCTION("GOOGLETRANSLATE(D330, ""en"", ""hi"")"),"C) किसान")</f>
        <v>C) किसान</v>
      </c>
    </row>
    <row r="331" ht="22.5" customHeight="1">
      <c r="A331" s="3">
        <v>330.0</v>
      </c>
      <c r="B331" s="4" t="s">
        <v>11690</v>
      </c>
      <c r="C331" s="4" t="s">
        <v>3733</v>
      </c>
      <c r="D331" s="4" t="s">
        <v>3365</v>
      </c>
      <c r="F331" s="5" t="str">
        <f>IFERROR(__xludf.DUMMYFUNCTION("GOOGLETRANSLATE(A331, ""en"", ""hi"")"),"330")</f>
        <v>330</v>
      </c>
      <c r="G331" s="5" t="str">
        <f>IFERROR(__xludf.DUMMYFUNCTION("GOOGLETRANSLATE(B331, ""en"", ""hi"")"),"किस ऐतिहासिक भारतीय ग्रंथ में गिल्ली डंडा जैसे खेल का उल्लेख है?")</f>
        <v>किस ऐतिहासिक भारतीय ग्रंथ में गिल्ली डंडा जैसे खेल का उल्लेख है?</v>
      </c>
      <c r="H331" s="5" t="str">
        <f>IFERROR(__xludf.DUMMYFUNCTION("GOOGLETRANSLATE(C331, ""en"", ""hi"")"),"ए) महाभारत, बी) रामायण, सी) अर्थशास्त्र, डी) मनुस्मृति")</f>
        <v>ए) महाभारत, बी) रामायण, सी) अर्थशास्त्र, डी) मनुस्मृति</v>
      </c>
      <c r="I331" s="5" t="str">
        <f>IFERROR(__xludf.DUMMYFUNCTION("GOOGLETRANSLATE(D331, ""en"", ""hi"")"),"C) अर्थशास्त्र")</f>
        <v>C) अर्थशास्त्र</v>
      </c>
    </row>
    <row r="332" ht="22.5" customHeight="1">
      <c r="A332" s="3">
        <v>331.0</v>
      </c>
      <c r="B332" s="4" t="s">
        <v>11691</v>
      </c>
      <c r="C332" s="4" t="s">
        <v>11692</v>
      </c>
      <c r="D332" s="4" t="s">
        <v>10479</v>
      </c>
      <c r="F332" s="5" t="str">
        <f>IFERROR(__xludf.DUMMYFUNCTION("GOOGLETRANSLATE(A332, ""en"", ""hi"")"),"331")</f>
        <v>331</v>
      </c>
      <c r="G332" s="5" t="str">
        <f>IFERROR(__xludf.DUMMYFUNCTION("GOOGLETRANSLATE(B332, ""en"", ""hi"")"),"गिल्ली डंडा में गिल्ली आमतौर पर किस सामग्री से बनी होती है?")</f>
        <v>गिल्ली डंडा में गिल्ली आमतौर पर किस सामग्री से बनी होती है?</v>
      </c>
      <c r="H332" s="5" t="str">
        <f>IFERROR(__xludf.DUMMYFUNCTION("GOOGLETRANSLATE(C332, ""en"", ""hi"")"),"A) पत्थर, B) धातु, C) लकड़ी, D) मिट्टी")</f>
        <v>A) पत्थर, B) धातु, C) लकड़ी, D) मिट्टी</v>
      </c>
      <c r="I332" s="5" t="str">
        <f>IFERROR(__xludf.DUMMYFUNCTION("GOOGLETRANSLATE(D332, ""en"", ""hi"")"),"C) लकड़ी")</f>
        <v>C) लकड़ी</v>
      </c>
    </row>
    <row r="333" ht="22.5" customHeight="1">
      <c r="A333" s="3">
        <v>332.0</v>
      </c>
      <c r="B333" s="4" t="s">
        <v>11693</v>
      </c>
      <c r="C333" s="4" t="s">
        <v>11694</v>
      </c>
      <c r="D333" s="4" t="s">
        <v>11695</v>
      </c>
      <c r="F333" s="5" t="str">
        <f>IFERROR(__xludf.DUMMYFUNCTION("GOOGLETRANSLATE(A333, ""en"", ""hi"")"),"332")</f>
        <v>332</v>
      </c>
      <c r="G333" s="5" t="str">
        <f>IFERROR(__xludf.DUMMYFUNCTION("GOOGLETRANSLATE(B333, ""en"", ""hi"")"),"गिल्ली डंडा की उत्पत्ति भारतीय इतिहास के किस काल में मानी जाती है?")</f>
        <v>गिल्ली डंडा की उत्पत्ति भारतीय इतिहास के किस काल में मानी जाती है?</v>
      </c>
      <c r="H333" s="5" t="str">
        <f>IFERROR(__xludf.DUMMYFUNCTION("GOOGLETRANSLATE(C333, ""en"", ""hi"")"),"A) वैदिक काल, B) गुप्त साम्राज्य, C) मौर्य साम्राज्य, D) मुगल काल")</f>
        <v>A) वैदिक काल, B) गुप्त साम्राज्य, C) मौर्य साम्राज्य, D) मुगल काल</v>
      </c>
      <c r="I333" s="5" t="str">
        <f>IFERROR(__xludf.DUMMYFUNCTION("GOOGLETRANSLATE(D333, ""en"", ""hi"")"),"A) वैदिक काल")</f>
        <v>A) वैदिक काल</v>
      </c>
    </row>
    <row r="334" ht="22.5" customHeight="1">
      <c r="A334" s="3">
        <v>333.0</v>
      </c>
      <c r="B334" s="4" t="s">
        <v>11696</v>
      </c>
      <c r="C334" s="4" t="s">
        <v>11697</v>
      </c>
      <c r="D334" s="4" t="s">
        <v>11698</v>
      </c>
      <c r="F334" s="5" t="str">
        <f>IFERROR(__xludf.DUMMYFUNCTION("GOOGLETRANSLATE(A334, ""en"", ""hi"")"),"333")</f>
        <v>333</v>
      </c>
      <c r="G334" s="5" t="str">
        <f>IFERROR(__xludf.DUMMYFUNCTION("GOOGLETRANSLATE(B334, ""en"", ""hi"")"),"इनमें से किस देश में गिल्ली डंडा जैसा खेल भी है?")</f>
        <v>इनमें से किस देश में गिल्ली डंडा जैसा खेल भी है?</v>
      </c>
      <c r="H334" s="5" t="str">
        <f>IFERROR(__xludf.DUMMYFUNCTION("GOOGLETRANSLATE(C334, ""en"", ""hi"")"),"A) जापान, B) रूस, C) इटली, D) अफगानिस्तान")</f>
        <v>A) जापान, B) रूस, C) इटली, D) अफगानिस्तान</v>
      </c>
      <c r="I334" s="5" t="str">
        <f>IFERROR(__xludf.DUMMYFUNCTION("GOOGLETRANSLATE(D334, ""en"", ""hi"")"),"D) अफगानिस्तान")</f>
        <v>D) अफगानिस्तान</v>
      </c>
    </row>
    <row r="335" ht="22.5" customHeight="1">
      <c r="A335" s="3">
        <v>334.0</v>
      </c>
      <c r="B335" s="4" t="s">
        <v>11699</v>
      </c>
      <c r="C335" s="4" t="s">
        <v>11700</v>
      </c>
      <c r="D335" s="4" t="s">
        <v>11701</v>
      </c>
      <c r="F335" s="5" t="str">
        <f>IFERROR(__xludf.DUMMYFUNCTION("GOOGLETRANSLATE(A335, ""en"", ""hi"")"),"334")</f>
        <v>334</v>
      </c>
      <c r="G335" s="5" t="str">
        <f>IFERROR(__xludf.DUMMYFUNCTION("GOOGLETRANSLATE(B335, ""en"", ""hi"")"),"प्राचीन भारतीय गांवों में गिल्ली डंडा मुख्य रूप से किसके द्वारा खेला जाता था?")</f>
        <v>प्राचीन भारतीय गांवों में गिल्ली डंडा मुख्य रूप से किसके द्वारा खेला जाता था?</v>
      </c>
      <c r="H335" s="5" t="str">
        <f>IFERROR(__xludf.DUMMYFUNCTION("GOOGLETRANSLATE(C335, ""en"", ""hi"")"),"A) पुरुष, B) महिलाएं, C) बच्चे, D) बुजुर्ग")</f>
        <v>A) पुरुष, B) महिलाएं, C) बच्चे, D) बुजुर्ग</v>
      </c>
      <c r="I335" s="5" t="str">
        <f>IFERROR(__xludf.DUMMYFUNCTION("GOOGLETRANSLATE(D335, ""en"", ""hi"")"),"सी) बच्चे")</f>
        <v>सी) बच्चे</v>
      </c>
    </row>
    <row r="336" ht="22.5" customHeight="1">
      <c r="A336" s="3">
        <v>335.0</v>
      </c>
      <c r="B336" s="4" t="s">
        <v>11702</v>
      </c>
      <c r="C336" s="4" t="s">
        <v>11703</v>
      </c>
      <c r="D336" s="4" t="s">
        <v>10356</v>
      </c>
      <c r="F336" s="5" t="str">
        <f>IFERROR(__xludf.DUMMYFUNCTION("GOOGLETRANSLATE(A336, ""en"", ""hi"")"),"335")</f>
        <v>335</v>
      </c>
      <c r="G336" s="5" t="str">
        <f>IFERROR(__xludf.DUMMYFUNCTION("GOOGLETRANSLATE(B336, ""en"", ""hi"")"),"गिल्ली डंडा का खेल किस ऐतिहासिक भारतीय राजवंश के दौरान लोकप्रिय था?")</f>
        <v>गिल्ली डंडा का खेल किस ऐतिहासिक भारतीय राजवंश के दौरान लोकप्रिय था?</v>
      </c>
      <c r="H336" s="5" t="str">
        <f>IFERROR(__xludf.DUMMYFUNCTION("GOOGLETRANSLATE(C336, ""en"", ""hi"")"),"A) मराठा साम्राज्य, B) चोल वंश, C) गुप्त वंश, D) मुगल साम्राज्य")</f>
        <v>A) मराठा साम्राज्य, B) चोल वंश, C) गुप्त वंश, D) मुगल साम्राज्य</v>
      </c>
      <c r="I336" s="5" t="str">
        <f>IFERROR(__xludf.DUMMYFUNCTION("GOOGLETRANSLATE(D336, ""en"", ""hi"")"),"बी) चोल राजवंश")</f>
        <v>बी) चोल राजवंश</v>
      </c>
    </row>
    <row r="337" ht="22.5" customHeight="1">
      <c r="A337" s="3">
        <v>336.0</v>
      </c>
      <c r="B337" s="4" t="s">
        <v>11704</v>
      </c>
      <c r="C337" s="4" t="s">
        <v>11705</v>
      </c>
      <c r="D337" s="4" t="s">
        <v>7222</v>
      </c>
      <c r="F337" s="5" t="str">
        <f>IFERROR(__xludf.DUMMYFUNCTION("GOOGLETRANSLATE(A337, ""en"", ""hi"")"),"336")</f>
        <v>336</v>
      </c>
      <c r="G337" s="5" t="str">
        <f>IFERROR(__xludf.DUMMYFUNCTION("GOOGLETRANSLATE(B337, ""en"", ""hi"")"),"कौन से प्रसिद्ध भारतीय नेता बचपन में गिल्ली डंडा खेलने के लिए जाने जाते थे?")</f>
        <v>कौन से प्रसिद्ध भारतीय नेता बचपन में गिल्ली डंडा खेलने के लिए जाने जाते थे?</v>
      </c>
      <c r="H337" s="5" t="str">
        <f>IFERROR(__xludf.DUMMYFUNCTION("GOOGLETRANSLATE(C337, ""en"", ""hi"")"),"A) महात्मा गांधी, B) भगत सिंह, C) सुभाष चंद्र बोस, D) जवाहरलाल नेहरू")</f>
        <v>A) महात्मा गांधी, B) भगत सिंह, C) सुभाष चंद्र बोस, D) जवाहरलाल नेहरू</v>
      </c>
      <c r="I337" s="5" t="str">
        <f>IFERROR(__xludf.DUMMYFUNCTION("GOOGLETRANSLATE(D337, ""en"", ""hi"")"),"A) महात्मा गांधी")</f>
        <v>A) महात्मा गांधी</v>
      </c>
    </row>
    <row r="338" ht="22.5" customHeight="1">
      <c r="A338" s="3">
        <v>337.0</v>
      </c>
      <c r="B338" s="4" t="s">
        <v>11706</v>
      </c>
      <c r="C338" s="4" t="s">
        <v>11707</v>
      </c>
      <c r="D338" s="4" t="s">
        <v>11708</v>
      </c>
      <c r="F338" s="5" t="str">
        <f>IFERROR(__xludf.DUMMYFUNCTION("GOOGLETRANSLATE(A338, ""en"", ""hi"")"),"337")</f>
        <v>337</v>
      </c>
      <c r="G338" s="5" t="str">
        <f>IFERROR(__xludf.DUMMYFUNCTION("GOOGLETRANSLATE(B338, ""en"", ""hi"")"),"गिल्ली डंडा जैसे खेल का सबसे पहला उल्लेख किस प्राचीन सभ्यता से मिलता है?")</f>
        <v>गिल्ली डंडा जैसे खेल का सबसे पहला उल्लेख किस प्राचीन सभ्यता से मिलता है?</v>
      </c>
      <c r="H338" s="5" t="str">
        <f>IFERROR(__xludf.DUMMYFUNCTION("GOOGLETRANSLATE(C338, ""en"", ""hi"")"),"A) मेसोपोटामिया, B) सिंधु घाटी, C) रोमन, D) ग्रीक")</f>
        <v>A) मेसोपोटामिया, B) सिंधु घाटी, C) रोमन, D) ग्रीक</v>
      </c>
      <c r="I338" s="5" t="str">
        <f>IFERROR(__xludf.DUMMYFUNCTION("GOOGLETRANSLATE(D338, ""en"", ""hi"")"),"बी) सिंधु घाटी")</f>
        <v>बी) सिंधु घाटी</v>
      </c>
    </row>
    <row r="339" ht="22.5" customHeight="1">
      <c r="A339" s="3">
        <v>338.0</v>
      </c>
      <c r="B339" s="4" t="s">
        <v>11709</v>
      </c>
      <c r="C339" s="4" t="s">
        <v>11710</v>
      </c>
      <c r="D339" s="4" t="s">
        <v>11711</v>
      </c>
      <c r="F339" s="5" t="str">
        <f>IFERROR(__xludf.DUMMYFUNCTION("GOOGLETRANSLATE(A339, ""en"", ""hi"")"),"338")</f>
        <v>338</v>
      </c>
      <c r="G339" s="5" t="str">
        <f>IFERROR(__xludf.DUMMYFUNCTION("GOOGLETRANSLATE(B339, ""en"", ""hi"")"),"गिल्ली डंडा खेल में 'डंडा' क्या दर्शाता है?")</f>
        <v>गिल्ली डंडा खेल में 'डंडा' क्या दर्शाता है?</v>
      </c>
      <c r="H339" s="5" t="str">
        <f>IFERROR(__xludf.DUMMYFUNCTION("GOOGLETRANSLATE(C339, ""en"", ""hi"")"),"A) एक छोटी गेंद, B) एक लकड़ी की छड़ी, C) एक पत्थर, D) एक धातु का बल्ला")</f>
        <v>A) एक छोटी गेंद, B) एक लकड़ी की छड़ी, C) एक पत्थर, D) एक धातु का बल्ला</v>
      </c>
      <c r="I339" s="5" t="str">
        <f>IFERROR(__xludf.DUMMYFUNCTION("GOOGLETRANSLATE(D339, ""en"", ""hi"")"),"बी) एक लकड़ी की छड़ी")</f>
        <v>बी) एक लकड़ी की छड़ी</v>
      </c>
    </row>
    <row r="340" ht="22.5" customHeight="1">
      <c r="A340" s="3">
        <v>339.0</v>
      </c>
      <c r="B340" s="4" t="s">
        <v>11712</v>
      </c>
      <c r="C340" s="4" t="s">
        <v>11713</v>
      </c>
      <c r="D340" s="4" t="s">
        <v>11714</v>
      </c>
      <c r="F340" s="5" t="str">
        <f>IFERROR(__xludf.DUMMYFUNCTION("GOOGLETRANSLATE(A340, ""en"", ""hi"")"),"339")</f>
        <v>339</v>
      </c>
      <c r="G340" s="5" t="str">
        <f>IFERROR(__xludf.DUMMYFUNCTION("GOOGLETRANSLATE(B340, ""en"", ""hi"")"),"अंग्रेजों द्वारा शुरू किए गए किस खेल के कारण गिल्ली डंडा की लोकप्रियता में कमी आई?")</f>
        <v>अंग्रेजों द्वारा शुरू किए गए किस खेल के कारण गिल्ली डंडा की लोकप्रियता में कमी आई?</v>
      </c>
      <c r="H340" s="5" t="str">
        <f>IFERROR(__xludf.DUMMYFUNCTION("GOOGLETRANSLATE(C340, ""en"", ""hi"")"),"A) फुटबॉल, B) क्रिकेट, C) टेनिस, D) रग्बी")</f>
        <v>A) फुटबॉल, B) क्रिकेट, C) टेनिस, D) रग्बी</v>
      </c>
      <c r="I340" s="5" t="str">
        <f>IFERROR(__xludf.DUMMYFUNCTION("GOOGLETRANSLATE(D340, ""en"", ""hi"")"),"बी) क्रिकेट")</f>
        <v>बी) क्रिकेट</v>
      </c>
    </row>
    <row r="341" ht="22.5" customHeight="1">
      <c r="A341" s="3">
        <v>340.0</v>
      </c>
      <c r="B341" s="4" t="s">
        <v>11715</v>
      </c>
      <c r="C341" s="4" t="s">
        <v>11716</v>
      </c>
      <c r="D341" s="4" t="s">
        <v>11177</v>
      </c>
      <c r="F341" s="5" t="str">
        <f>IFERROR(__xludf.DUMMYFUNCTION("GOOGLETRANSLATE(A341, ""en"", ""hi"")"),"340")</f>
        <v>340</v>
      </c>
      <c r="G341" s="5" t="str">
        <f>IFERROR(__xludf.DUMMYFUNCTION("GOOGLETRANSLATE(B341, ""en"", ""hi"")"),"गिल्ली डंडा का उल्लेख भारतीय लोककथा के किस रूप में मिलता है?")</f>
        <v>गिल्ली डंडा का उल्लेख भारतीय लोककथा के किस रूप में मिलता है?</v>
      </c>
      <c r="H341" s="5" t="str">
        <f>IFERROR(__xludf.DUMMYFUNCTION("GOOGLETRANSLATE(C341, ""en"", ""hi"")"),"ए) रामचरितमानस, बी) पंचतंत्र, सी) जातक कथाएं, डी) अकबर-बीरबल कहानियां")</f>
        <v>ए) रामचरितमानस, बी) पंचतंत्र, सी) जातक कथाएं, डी) अकबर-बीरबल कहानियां</v>
      </c>
      <c r="I341" s="5" t="str">
        <f>IFERROR(__xludf.DUMMYFUNCTION("GOOGLETRANSLATE(D341, ""en"", ""hi"")"),"बी) पंचतंत्र")</f>
        <v>बी) पंचतंत्र</v>
      </c>
    </row>
    <row r="342" ht="22.5" customHeight="1">
      <c r="A342" s="3">
        <v>341.0</v>
      </c>
      <c r="B342" s="4" t="s">
        <v>11717</v>
      </c>
      <c r="C342" s="4" t="s">
        <v>4360</v>
      </c>
      <c r="D342" s="4" t="s">
        <v>4361</v>
      </c>
      <c r="F342" s="5" t="str">
        <f>IFERROR(__xludf.DUMMYFUNCTION("GOOGLETRANSLATE(A342, ""en"", ""hi"")"),"341")</f>
        <v>341</v>
      </c>
      <c r="G342" s="5" t="str">
        <f>IFERROR(__xludf.DUMMYFUNCTION("GOOGLETRANSLATE(B342, ""en"", ""hi"")"),"मध्यकाल में गिल्ली डंडा भारत के किस भाग में सर्वाधिक लोकप्रिय था?")</f>
        <v>मध्यकाल में गिल्ली डंडा भारत के किस भाग में सर्वाधिक लोकप्रिय था?</v>
      </c>
      <c r="H342" s="5" t="str">
        <f>IFERROR(__xludf.DUMMYFUNCTION("GOOGLETRANSLATE(C342, ""en"", ""hi"")"),"A) उत्तर भारत, B) दक्षिण भारत, C) पूर्वी भारत, D) पश्चिम भारत")</f>
        <v>A) उत्तर भारत, B) दक्षिण भारत, C) पूर्वी भारत, D) पश्चिम भारत</v>
      </c>
      <c r="I342" s="5" t="str">
        <f>IFERROR(__xludf.DUMMYFUNCTION("GOOGLETRANSLATE(D342, ""en"", ""hi"")"),"A) उत्तर भारत")</f>
        <v>A) उत्तर भारत</v>
      </c>
    </row>
    <row r="343" ht="22.5" customHeight="1">
      <c r="A343" s="3">
        <v>342.0</v>
      </c>
      <c r="B343" s="4" t="s">
        <v>11718</v>
      </c>
      <c r="C343" s="4" t="s">
        <v>11719</v>
      </c>
      <c r="D343" s="4" t="s">
        <v>2556</v>
      </c>
      <c r="F343" s="5" t="str">
        <f>IFERROR(__xludf.DUMMYFUNCTION("GOOGLETRANSLATE(A343, ""en"", ""hi"")"),"342")</f>
        <v>342</v>
      </c>
      <c r="G343" s="5" t="str">
        <f>IFERROR(__xludf.DUMMYFUNCTION("GOOGLETRANSLATE(B343, ""en"", ""hi"")"),"किस मुगल बादशाह के बारे में अफवाह है कि वह गिल्ली डंडा देखने का शौकीन था?")</f>
        <v>किस मुगल बादशाह के बारे में अफवाह है कि वह गिल्ली डंडा देखने का शौकीन था?</v>
      </c>
      <c r="H343" s="5" t="str">
        <f>IFERROR(__xludf.DUMMYFUNCTION("GOOGLETRANSLATE(C343, ""en"", ""hi"")"),"A) अकबर, B) औरंगजेब, C) जहांगीर, D) बाबर")</f>
        <v>A) अकबर, B) औरंगजेब, C) जहांगीर, D) बाबर</v>
      </c>
      <c r="I343" s="5" t="str">
        <f>IFERROR(__xludf.DUMMYFUNCTION("GOOGLETRANSLATE(D343, ""en"", ""hi"")"),"A) अकबर")</f>
        <v>A) अकबर</v>
      </c>
    </row>
    <row r="344" ht="22.5" customHeight="1">
      <c r="A344" s="3">
        <v>343.0</v>
      </c>
      <c r="B344" s="4" t="s">
        <v>11720</v>
      </c>
      <c r="C344" s="4" t="s">
        <v>11721</v>
      </c>
      <c r="D344" s="4" t="s">
        <v>11722</v>
      </c>
      <c r="F344" s="5" t="str">
        <f>IFERROR(__xludf.DUMMYFUNCTION("GOOGLETRANSLATE(A344, ""en"", ""hi"")"),"343")</f>
        <v>343</v>
      </c>
      <c r="G344" s="5" t="str">
        <f>IFERROR(__xludf.DUMMYFUNCTION("GOOGLETRANSLATE(B344, ""en"", ""hi"")"),"गिल्ली डंडा खेल में गिल्ली को किससे मारा जाता है?")</f>
        <v>गिल्ली डंडा खेल में गिल्ली को किससे मारा जाता है?</v>
      </c>
      <c r="H344" s="5" t="str">
        <f>IFERROR(__xludf.DUMMYFUNCTION("GOOGLETRANSLATE(C344, ""en"", ""hi"")"),"A) एक पत्थर, B) एक बल्ला, C) एक डंडा, D) एक हथौड़ा")</f>
        <v>A) एक पत्थर, B) एक बल्ला, C) एक डंडा, D) एक हथौड़ा</v>
      </c>
      <c r="I344" s="5" t="str">
        <f>IFERROR(__xludf.DUMMYFUNCTION("GOOGLETRANSLATE(D344, ""en"", ""hi"")"),"C) एक डंडा")</f>
        <v>C) एक डंडा</v>
      </c>
    </row>
    <row r="345" ht="22.5" customHeight="1">
      <c r="A345" s="3">
        <v>344.0</v>
      </c>
      <c r="B345" s="4" t="s">
        <v>11723</v>
      </c>
      <c r="C345" s="4" t="s">
        <v>11724</v>
      </c>
      <c r="D345" s="4" t="s">
        <v>11080</v>
      </c>
      <c r="F345" s="5" t="str">
        <f>IFERROR(__xludf.DUMMYFUNCTION("GOOGLETRANSLATE(A345, ""en"", ""hi"")"),"344")</f>
        <v>344</v>
      </c>
      <c r="G345" s="5" t="str">
        <f>IFERROR(__xludf.DUMMYFUNCTION("GOOGLETRANSLATE(B345, ""en"", ""hi"")"),"गिल्ली डंडा किस अमेरिकी खेल से समानता रखता है?")</f>
        <v>गिल्ली डंडा किस अमेरिकी खेल से समानता रखता है?</v>
      </c>
      <c r="H345" s="5" t="str">
        <f>IFERROR(__xludf.DUMMYFUNCTION("GOOGLETRANSLATE(C345, ""en"", ""hi"")"),"A) बास्केटबॉल, B) बेसबॉल, C) फुटबॉल, D) आइस हॉकी")</f>
        <v>A) बास्केटबॉल, B) बेसबॉल, C) फुटबॉल, D) आइस हॉकी</v>
      </c>
      <c r="I345" s="5" t="str">
        <f>IFERROR(__xludf.DUMMYFUNCTION("GOOGLETRANSLATE(D345, ""en"", ""hi"")"),"बी) बेसबॉल")</f>
        <v>बी) बेसबॉल</v>
      </c>
    </row>
    <row r="346" ht="22.5" customHeight="1">
      <c r="A346" s="3">
        <v>345.0</v>
      </c>
      <c r="B346" s="4" t="s">
        <v>11725</v>
      </c>
      <c r="C346" s="4" t="s">
        <v>11726</v>
      </c>
      <c r="D346" s="4" t="s">
        <v>11727</v>
      </c>
      <c r="F346" s="5" t="str">
        <f>IFERROR(__xludf.DUMMYFUNCTION("GOOGLETRANSLATE(A346, ""en"", ""hi"")"),"345")</f>
        <v>345</v>
      </c>
      <c r="G346" s="5" t="str">
        <f>IFERROR(__xludf.DUMMYFUNCTION("GOOGLETRANSLATE(B346, ""en"", ""hi"")"),"गिल्ली डंडा किस भारतीय राजा के शासनकाल के दौरान एक लोकप्रिय खेल था?")</f>
        <v>गिल्ली डंडा किस भारतीय राजा के शासनकाल के दौरान एक लोकप्रिय खेल था?</v>
      </c>
      <c r="H346" s="5" t="str">
        <f>IFERROR(__xludf.DUMMYFUNCTION("GOOGLETRANSLATE(C346, ""en"", ""hi"")"),"ए) अशोक, बी) हर्षवर्द्धन, सी) राजा राजा चोल, डी) शिवाजी")</f>
        <v>ए) अशोक, बी) हर्षवर्द्धन, सी) राजा राजा चोल, डी) शिवाजी</v>
      </c>
      <c r="I346" s="5" t="str">
        <f>IFERROR(__xludf.DUMMYFUNCTION("GOOGLETRANSLATE(D346, ""en"", ""hi"")"),"D) शिवाजी")</f>
        <v>D) शिवाजी</v>
      </c>
    </row>
    <row r="347" ht="22.5" customHeight="1">
      <c r="A347" s="3">
        <v>346.0</v>
      </c>
      <c r="B347" s="4" t="s">
        <v>11728</v>
      </c>
      <c r="C347" s="4" t="s">
        <v>11729</v>
      </c>
      <c r="D347" s="4" t="s">
        <v>11730</v>
      </c>
      <c r="F347" s="5" t="str">
        <f>IFERROR(__xludf.DUMMYFUNCTION("GOOGLETRANSLATE(A347, ""en"", ""hi"")"),"346")</f>
        <v>346</v>
      </c>
      <c r="G347" s="5" t="str">
        <f>IFERROR(__xludf.DUMMYFUNCTION("GOOGLETRANSLATE(B347, ""en"", ""hi"")"),"पारंपरिक गिल्ली डंडा में डंडे की लंबाई लगभग कितने इंच होती है?")</f>
        <v>पारंपरिक गिल्ली डंडा में डंडे की लंबाई लगभग कितने इंच होती है?</v>
      </c>
      <c r="H347" s="5" t="str">
        <f>IFERROR(__xludf.DUMMYFUNCTION("GOOGLETRANSLATE(C347, ""en"", ""hi"")"),"ए) 10-12 इंच, बी) 20-25 इंच, सी) 15-18 इंच, डी) 5-8 इंच")</f>
        <v>ए) 10-12 इंच, बी) 20-25 इंच, सी) 15-18 इंच, डी) 5-8 इंच</v>
      </c>
      <c r="I347" s="5" t="str">
        <f>IFERROR(__xludf.DUMMYFUNCTION("GOOGLETRANSLATE(D347, ""en"", ""hi"")"),"बी) 20-25 इंच")</f>
        <v>बी) 20-25 इंच</v>
      </c>
    </row>
    <row r="348" ht="22.5" customHeight="1">
      <c r="A348" s="3">
        <v>347.0</v>
      </c>
      <c r="B348" s="4" t="s">
        <v>11731</v>
      </c>
      <c r="C348" s="4" t="s">
        <v>11732</v>
      </c>
      <c r="D348" s="4" t="s">
        <v>11733</v>
      </c>
      <c r="F348" s="5" t="str">
        <f>IFERROR(__xludf.DUMMYFUNCTION("GOOGLETRANSLATE(A348, ""en"", ""hi"")"),"347")</f>
        <v>347</v>
      </c>
      <c r="G348" s="5" t="str">
        <f>IFERROR(__xludf.DUMMYFUNCTION("GOOGLETRANSLATE(B348, ""en"", ""hi"")"),"किस प्रसिद्ध भारतीय महाकाव्य कवि ने गिल्ली डंडा जैसे खेल का वर्णन किया है?")</f>
        <v>किस प्रसिद्ध भारतीय महाकाव्य कवि ने गिल्ली डंडा जैसे खेल का वर्णन किया है?</v>
      </c>
      <c r="H348" s="5" t="str">
        <f>IFERROR(__xludf.DUMMYFUNCTION("GOOGLETRANSLATE(C348, ""en"", ""hi"")"),"ए) वाल्मिकी, बी) कालिदास, सी) वेद व्यास, डी) तुलसीदास")</f>
        <v>ए) वाल्मिकी, बी) कालिदास, सी) वेद व्यास, डी) तुलसीदास</v>
      </c>
      <c r="I348" s="5" t="str">
        <f>IFERROR(__xludf.DUMMYFUNCTION("GOOGLETRANSLATE(D348, ""en"", ""hi"")"),"B) कालिदास")</f>
        <v>B) कालिदास</v>
      </c>
    </row>
    <row r="349" ht="22.5" customHeight="1">
      <c r="A349" s="3">
        <v>348.0</v>
      </c>
      <c r="B349" s="4" t="s">
        <v>11734</v>
      </c>
      <c r="C349" s="4" t="s">
        <v>11735</v>
      </c>
      <c r="D349" s="4" t="s">
        <v>11736</v>
      </c>
      <c r="F349" s="5" t="str">
        <f>IFERROR(__xludf.DUMMYFUNCTION("GOOGLETRANSLATE(A349, ""en"", ""hi"")"),"348")</f>
        <v>348</v>
      </c>
      <c r="G349" s="5" t="str">
        <f>IFERROR(__xludf.DUMMYFUNCTION("GOOGLETRANSLATE(B349, ""en"", ""hi"")"),"भारत के ग्रामीण क्षेत्रों में गिल्ली डंडा को अक्सर किस नाम से जाना जाता है?")</f>
        <v>भारत के ग्रामीण क्षेत्रों में गिल्ली डंडा को अक्सर किस नाम से जाना जाता है?</v>
      </c>
      <c r="H349" s="5" t="str">
        <f>IFERROR(__xludf.DUMMYFUNCTION("GOOGLETRANSLATE(C349, ""en"", ""hi"")"),"ए) कुट्टियुम कोलुम, बी) चुंगा, सी) थप्पा, डी) गोटी")</f>
        <v>ए) कुट्टियुम कोलुम, बी) चुंगा, सी) थप्पा, डी) गोटी</v>
      </c>
      <c r="I349" s="5" t="str">
        <f>IFERROR(__xludf.DUMMYFUNCTION("GOOGLETRANSLATE(D349, ""en"", ""hi"")"),"A) कुट्टियुम कोलम")</f>
        <v>A) कुट्टियुम कोलम</v>
      </c>
    </row>
    <row r="350" ht="22.5" customHeight="1">
      <c r="A350" s="3">
        <v>349.0</v>
      </c>
      <c r="B350" s="4" t="s">
        <v>11737</v>
      </c>
      <c r="C350" s="4" t="s">
        <v>11738</v>
      </c>
      <c r="D350" s="4" t="s">
        <v>6292</v>
      </c>
      <c r="F350" s="5" t="str">
        <f>IFERROR(__xludf.DUMMYFUNCTION("GOOGLETRANSLATE(A350, ""en"", ""hi"")"),"349")</f>
        <v>349</v>
      </c>
      <c r="G350" s="5" t="str">
        <f>IFERROR(__xludf.DUMMYFUNCTION("GOOGLETRANSLATE(B350, ""en"", ""hi"")"),"भारत के किस पड़ोसी देश में भी गिल्ली डंडा जैसा पारंपरिक खेल है?")</f>
        <v>भारत के किस पड़ोसी देश में भी गिल्ली डंडा जैसा पारंपरिक खेल है?</v>
      </c>
      <c r="H350" s="5" t="str">
        <f>IFERROR(__xludf.DUMMYFUNCTION("GOOGLETRANSLATE(C350, ""en"", ""hi"")"),"A) बांग्लादेश, B) नेपाल, C) भूटान, D) श्रीलंका")</f>
        <v>A) बांग्लादेश, B) नेपाल, C) भूटान, D) श्रीलंका</v>
      </c>
      <c r="I350" s="5" t="str">
        <f>IFERROR(__xludf.DUMMYFUNCTION("GOOGLETRANSLATE(D350, ""en"", ""hi"")"),"बी) नेपाल")</f>
        <v>बी) नेपाल</v>
      </c>
    </row>
    <row r="351" ht="22.5" customHeight="1">
      <c r="A351" s="3">
        <v>350.0</v>
      </c>
      <c r="B351" s="4" t="s">
        <v>11739</v>
      </c>
      <c r="C351" s="4" t="s">
        <v>4118</v>
      </c>
      <c r="D351" s="4" t="s">
        <v>2893</v>
      </c>
      <c r="F351" s="5" t="str">
        <f>IFERROR(__xludf.DUMMYFUNCTION("GOOGLETRANSLATE(A351, ""en"", ""hi"")"),"350")</f>
        <v>350</v>
      </c>
      <c r="G351" s="5" t="str">
        <f>IFERROR(__xludf.DUMMYFUNCTION("GOOGLETRANSLATE(B351, ""en"", ""hi"")"),"किस भारतीय त्यौहार के दौरान ग्रामीण क्षेत्रों में गिल्ली डंडा अक्सर खेला जाता है?")</f>
        <v>किस भारतीय त्यौहार के दौरान ग्रामीण क्षेत्रों में गिल्ली डंडा अक्सर खेला जाता है?</v>
      </c>
      <c r="H351" s="5" t="str">
        <f>IFERROR(__xludf.DUMMYFUNCTION("GOOGLETRANSLATE(C351, ""en"", ""hi"")"),"ए) दिवाली, बी) होली, सी) पोंगल, डी) मकर संक्रांति")</f>
        <v>ए) दिवाली, बी) होली, सी) पोंगल, डी) मकर संक्रांति</v>
      </c>
      <c r="I351" s="5" t="str">
        <f>IFERROR(__xludf.DUMMYFUNCTION("GOOGLETRANSLATE(D351, ""en"", ""hi"")"),"D) मकर संक्रांति")</f>
        <v>D) मकर संक्रांति</v>
      </c>
    </row>
    <row r="352" ht="22.5" customHeight="1">
      <c r="A352" s="3">
        <v>351.0</v>
      </c>
      <c r="B352" s="4" t="s">
        <v>11740</v>
      </c>
      <c r="C352" s="4" t="s">
        <v>11741</v>
      </c>
      <c r="D352" s="4" t="s">
        <v>11742</v>
      </c>
      <c r="F352" s="5" t="str">
        <f>IFERROR(__xludf.DUMMYFUNCTION("GOOGLETRANSLATE(A352, ""en"", ""hi"")"),"351")</f>
        <v>351</v>
      </c>
      <c r="G352" s="5" t="str">
        <f>IFERROR(__xludf.DUMMYFUNCTION("GOOGLETRANSLATE(B352, ""en"", ""hi"")"),"भारतीय पौराणिक कथाओं में कौन सा ऐतिहासिक पात्र गिल्ली डंडा जैसे खेल से जुड़ा है?")</f>
        <v>भारतीय पौराणिक कथाओं में कौन सा ऐतिहासिक पात्र गिल्ली डंडा जैसे खेल से जुड़ा है?</v>
      </c>
      <c r="H352" s="5" t="str">
        <f>IFERROR(__xludf.DUMMYFUNCTION("GOOGLETRANSLATE(C352, ""en"", ""hi"")"),"A) कृष्ण, B) अर्जुन, C) भीम, D) कर्ण")</f>
        <v>A) कृष्ण, B) अर्जुन, C) भीम, D) कर्ण</v>
      </c>
      <c r="I352" s="5" t="str">
        <f>IFERROR(__xludf.DUMMYFUNCTION("GOOGLETRANSLATE(D352, ""en"", ""hi"")"),"A) कृष्ण")</f>
        <v>A) कृष्ण</v>
      </c>
    </row>
    <row r="353" ht="22.5" customHeight="1">
      <c r="A353" s="3">
        <v>352.0</v>
      </c>
      <c r="B353" s="4" t="s">
        <v>11743</v>
      </c>
      <c r="C353" s="4" t="s">
        <v>11744</v>
      </c>
      <c r="D353" s="4" t="s">
        <v>11745</v>
      </c>
      <c r="F353" s="5" t="str">
        <f>IFERROR(__xludf.DUMMYFUNCTION("GOOGLETRANSLATE(A353, ""en"", ""hi"")"),"352")</f>
        <v>352</v>
      </c>
      <c r="G353" s="5" t="str">
        <f>IFERROR(__xludf.DUMMYFUNCTION("GOOGLETRANSLATE(B353, ""en"", ""hi"")"),"पारंपरिक गिल्ली डंडा में विजेता का निर्धारण कैसे होता है?")</f>
        <v>पारंपरिक गिल्ली डंडा में विजेता का निर्धारण कैसे होता है?</v>
      </c>
      <c r="H353" s="5" t="str">
        <f>IFERROR(__xludf.DUMMYFUNCTION("GOOGLETRANSLATE(C353, ""en"", ""hi"")"),"A) सबसे अधिक अंक, B) गिल्ली का सबसे लंबा प्रहार, C) सबसे अधिक चक्कर पूरे करना, D) सबसे तेज धावक")</f>
        <v>A) सबसे अधिक अंक, B) गिल्ली का सबसे लंबा प्रहार, C) सबसे अधिक चक्कर पूरे करना, D) सबसे तेज धावक</v>
      </c>
      <c r="I353" s="5" t="str">
        <f>IFERROR(__xludf.DUMMYFUNCTION("GOOGLETRANSLATE(D353, ""en"", ""hi"")"),"बी) गिल्ली का सबसे लंबा हिट")</f>
        <v>बी) गिल्ली का सबसे लंबा हिट</v>
      </c>
    </row>
    <row r="354" ht="22.5" customHeight="1">
      <c r="A354" s="3">
        <v>353.0</v>
      </c>
      <c r="B354" s="4" t="s">
        <v>11746</v>
      </c>
      <c r="C354" s="4" t="s">
        <v>11747</v>
      </c>
      <c r="D354" s="4" t="s">
        <v>11748</v>
      </c>
      <c r="F354" s="5" t="str">
        <f>IFERROR(__xludf.DUMMYFUNCTION("GOOGLETRANSLATE(A354, ""en"", ""hi"")"),"353")</f>
        <v>353</v>
      </c>
      <c r="G354" s="5" t="str">
        <f>IFERROR(__xludf.DUMMYFUNCTION("GOOGLETRANSLATE(B354, ""en"", ""hi"")"),"गिल्ली डंडा मुख्यतः किस प्रकार के परिवेश में खेला जाता था?")</f>
        <v>गिल्ली डंडा मुख्यतः किस प्रकार के परिवेश में खेला जाता था?</v>
      </c>
      <c r="H354" s="5" t="str">
        <f>IFERROR(__xludf.DUMMYFUNCTION("GOOGLETRANSLATE(C354, ""en"", ""hi"")"),"A) शहरी सड़कें, B) गाँव के खेत, C) शाही दरबार, D) मंदिर परिसर")</f>
        <v>A) शहरी सड़कें, B) गाँव के खेत, C) शाही दरबार, D) मंदिर परिसर</v>
      </c>
      <c r="I354" s="5" t="str">
        <f>IFERROR(__xludf.DUMMYFUNCTION("GOOGLETRANSLATE(D354, ""en"", ""hi"")"),"बी) गाँव के खेत")</f>
        <v>बी) गाँव के खेत</v>
      </c>
    </row>
    <row r="355" ht="22.5" customHeight="1">
      <c r="A355" s="3">
        <v>354.0</v>
      </c>
      <c r="B355" s="4" t="s">
        <v>11749</v>
      </c>
      <c r="C355" s="4" t="s">
        <v>11750</v>
      </c>
      <c r="D355" s="4" t="s">
        <v>11751</v>
      </c>
      <c r="F355" s="5" t="str">
        <f>IFERROR(__xludf.DUMMYFUNCTION("GOOGLETRANSLATE(A355, ""en"", ""hi"")"),"354")</f>
        <v>354</v>
      </c>
      <c r="G355" s="5" t="str">
        <f>IFERROR(__xludf.DUMMYFUNCTION("GOOGLETRANSLATE(B355, ""en"", ""hi"")"),"प्राचीन भारतीय समाज में गिल्ली डंडा का क्या महत्व था?")</f>
        <v>प्राचीन भारतीय समाज में गिल्ली डंडा का क्या महत्व था?</v>
      </c>
      <c r="H355" s="5" t="str">
        <f>IFERROR(__xludf.DUMMYFUNCTION("GOOGLETRANSLATE(C355, ""en"", ""hi"")"),"A) मनोरंजन, B) शारीरिक प्रशिक्षण, C) आध्यात्मिक अभ्यास, D) शैक्षिक उपकरण")</f>
        <v>A) मनोरंजन, B) शारीरिक प्रशिक्षण, C) आध्यात्मिक अभ्यास, D) शैक्षिक उपकरण</v>
      </c>
      <c r="I355" s="5" t="str">
        <f>IFERROR(__xludf.DUMMYFUNCTION("GOOGLETRANSLATE(D355, ""en"", ""hi"")"),"बी) शारीरिक प्रशिक्षण")</f>
        <v>बी) शारीरिक प्रशिक्षण</v>
      </c>
    </row>
    <row r="356" ht="22.5" customHeight="1">
      <c r="A356" s="3">
        <v>355.0</v>
      </c>
      <c r="B356" s="4" t="s">
        <v>11752</v>
      </c>
      <c r="C356" s="4" t="s">
        <v>11753</v>
      </c>
      <c r="D356" s="4" t="s">
        <v>11754</v>
      </c>
      <c r="F356" s="5" t="str">
        <f>IFERROR(__xludf.DUMMYFUNCTION("GOOGLETRANSLATE(A356, ""en"", ""hi"")"),"355")</f>
        <v>355</v>
      </c>
      <c r="G356" s="5" t="str">
        <f>IFERROR(__xludf.DUMMYFUNCTION("GOOGLETRANSLATE(B356, ""en"", ""hi"")"),"ऐसा माना जाता है कि किस प्राचीन भारतीय सभ्यता ने गिल्ली डंडा के प्रारंभिक स्वरूप में योगदान दिया था?")</f>
        <v>ऐसा माना जाता है कि किस प्राचीन भारतीय सभ्यता ने गिल्ली डंडा के प्रारंभिक स्वरूप में योगदान दिया था?</v>
      </c>
      <c r="H356" s="5" t="str">
        <f>IFERROR(__xludf.DUMMYFUNCTION("GOOGLETRANSLATE(C356, ""en"", ""hi"")"),"A) सिंधु घाटी सभ्यता, B) आर्य, C) मुगल, D) मराठा")</f>
        <v>A) सिंधु घाटी सभ्यता, B) आर्य, C) मुगल, D) मराठा</v>
      </c>
      <c r="I356" s="5" t="str">
        <f>IFERROR(__xludf.DUMMYFUNCTION("GOOGLETRANSLATE(D356, ""en"", ""hi"")"),"A) सिंधु घाटी सभ्यता")</f>
        <v>A) सिंधु घाटी सभ्यता</v>
      </c>
    </row>
    <row r="357" ht="22.5" customHeight="1">
      <c r="A357" s="3">
        <v>356.0</v>
      </c>
      <c r="B357" s="4" t="s">
        <v>11755</v>
      </c>
      <c r="C357" s="4" t="s">
        <v>11756</v>
      </c>
      <c r="D357" s="4" t="s">
        <v>66</v>
      </c>
      <c r="F357" s="5" t="str">
        <f>IFERROR(__xludf.DUMMYFUNCTION("GOOGLETRANSLATE(A357, ""en"", ""hi"")"),"356")</f>
        <v>356</v>
      </c>
      <c r="G357" s="5" t="str">
        <f>IFERROR(__xludf.DUMMYFUNCTION("GOOGLETRANSLATE(B357, ""en"", ""hi"")"),"गिल्ली डंडा का उल्लेख किस क्षेत्र की स्थानीय किंवदंतियों और मौखिक इतिहास में किया गया है?")</f>
        <v>गिल्ली डंडा का उल्लेख किस क्षेत्र की स्थानीय किंवदंतियों और मौखिक इतिहास में किया गया है?</v>
      </c>
      <c r="H357" s="5" t="str">
        <f>IFERROR(__xludf.DUMMYFUNCTION("GOOGLETRANSLATE(C357, ""en"", ""hi"")"),"A) पंजाब, B) राजस्थान, C) केरल, D) गुजरात")</f>
        <v>A) पंजाब, B) राजस्थान, C) केरल, D) गुजरात</v>
      </c>
      <c r="I357" s="5" t="str">
        <f>IFERROR(__xludf.DUMMYFUNCTION("GOOGLETRANSLATE(D357, ""en"", ""hi"")"),"A) पंजाब")</f>
        <v>A) पंजाब</v>
      </c>
    </row>
    <row r="358" ht="22.5" customHeight="1">
      <c r="A358" s="3">
        <v>357.0</v>
      </c>
      <c r="B358" s="4" t="s">
        <v>11757</v>
      </c>
      <c r="C358" s="4" t="s">
        <v>11758</v>
      </c>
      <c r="D358" s="4" t="s">
        <v>179</v>
      </c>
      <c r="F358" s="5" t="str">
        <f>IFERROR(__xludf.DUMMYFUNCTION("GOOGLETRANSLATE(A358, ""en"", ""hi"")"),"357")</f>
        <v>357</v>
      </c>
      <c r="G358" s="5" t="str">
        <f>IFERROR(__xludf.DUMMYFUNCTION("GOOGLETRANSLATE(B358, ""en"", ""hi"")"),"भारत के किस राज्य में गिल्ली डंडा को 'डांगगुलि' कहा जाता है?")</f>
        <v>भारत के किस राज्य में गिल्ली डंडा को 'डांगगुलि' कहा जाता है?</v>
      </c>
      <c r="H358" s="5" t="str">
        <f>IFERROR(__xludf.DUMMYFUNCTION("GOOGLETRANSLATE(C358, ""en"", ""hi"")"),"A) पश्चिम बंगाल, B) तमिलनाडु, C) केरल, D) महाराष्ट्र")</f>
        <v>A) पश्चिम बंगाल, B) तमिलनाडु, C) केरल, D) महाराष्ट्र</v>
      </c>
      <c r="I358" s="5" t="str">
        <f>IFERROR(__xludf.DUMMYFUNCTION("GOOGLETRANSLATE(D358, ""en"", ""hi"")"),"ए) पश्चिम बंगाल")</f>
        <v>ए) पश्चिम बंगाल</v>
      </c>
    </row>
    <row r="359" ht="22.5" customHeight="1">
      <c r="A359" s="3">
        <v>358.0</v>
      </c>
      <c r="B359" s="4" t="s">
        <v>11759</v>
      </c>
      <c r="C359" s="4" t="s">
        <v>11760</v>
      </c>
      <c r="D359" s="4" t="s">
        <v>11761</v>
      </c>
      <c r="F359" s="5" t="str">
        <f>IFERROR(__xludf.DUMMYFUNCTION("GOOGLETRANSLATE(A359, ""en"", ""hi"")"),"358")</f>
        <v>358</v>
      </c>
      <c r="G359" s="5" t="str">
        <f>IFERROR(__xludf.DUMMYFUNCTION("GOOGLETRANSLATE(B359, ""en"", ""hi"")"),"प्राचीन भारत में गिल्ली डंडा प्रायः किस समूह द्वारा मनोरंजन के रूप में खेला जाता था?")</f>
        <v>प्राचीन भारत में गिल्ली डंडा प्रायः किस समूह द्वारा मनोरंजन के रूप में खेला जाता था?</v>
      </c>
      <c r="H359" s="5" t="str">
        <f>IFERROR(__xludf.DUMMYFUNCTION("GOOGLETRANSLATE(C359, ""en"", ""hi"")"),"A) पुजारी, B) योद्धा, C) आम लोग, D) व्यापारी")</f>
        <v>A) पुजारी, B) योद्धा, C) आम लोग, D) व्यापारी</v>
      </c>
      <c r="I359" s="5" t="str">
        <f>IFERROR(__xludf.DUMMYFUNCTION("GOOGLETRANSLATE(D359, ""en"", ""hi"")"),"सी) आम लोग")</f>
        <v>सी) आम लोग</v>
      </c>
    </row>
    <row r="360" ht="22.5" customHeight="1">
      <c r="A360" s="3">
        <v>359.0</v>
      </c>
      <c r="B360" s="4" t="s">
        <v>11762</v>
      </c>
      <c r="C360" s="4" t="s">
        <v>11763</v>
      </c>
      <c r="D360" s="4" t="s">
        <v>11764</v>
      </c>
      <c r="F360" s="5" t="str">
        <f>IFERROR(__xludf.DUMMYFUNCTION("GOOGLETRANSLATE(A360, ""en"", ""hi"")"),"359")</f>
        <v>359</v>
      </c>
      <c r="G360" s="5" t="str">
        <f>IFERROR(__xludf.DUMMYFUNCTION("GOOGLETRANSLATE(B360, ""en"", ""hi"")"),"गिल्ली डंडा का खेल व्यापार मार्गों के माध्यम से किस दक्षिण-पूर्व एशियाई देश में फैला?")</f>
        <v>गिल्ली डंडा का खेल व्यापार मार्गों के माध्यम से किस दक्षिण-पूर्व एशियाई देश में फैला?</v>
      </c>
      <c r="H360" s="5" t="str">
        <f>IFERROR(__xludf.DUMMYFUNCTION("GOOGLETRANSLATE(C360, ""en"", ""hi"")"),"A) थाईलैंड, B) म्यांमार, C) इंडोनेशिया, D) वियतनाम")</f>
        <v>A) थाईलैंड, B) म्यांमार, C) इंडोनेशिया, D) वियतनाम</v>
      </c>
      <c r="I360" s="5" t="str">
        <f>IFERROR(__xludf.DUMMYFUNCTION("GOOGLETRANSLATE(D360, ""en"", ""hi"")"),"बी) म्यांमार")</f>
        <v>बी) म्यांमार</v>
      </c>
    </row>
    <row r="361" ht="22.5" customHeight="1">
      <c r="A361" s="3">
        <v>360.0</v>
      </c>
      <c r="B361" s="4" t="s">
        <v>11765</v>
      </c>
      <c r="C361" s="4" t="s">
        <v>11766</v>
      </c>
      <c r="D361" s="4" t="s">
        <v>11767</v>
      </c>
      <c r="F361" s="5" t="str">
        <f>IFERROR(__xludf.DUMMYFUNCTION("GOOGLETRANSLATE(A361, ""en"", ""hi"")"),"360")</f>
        <v>360</v>
      </c>
      <c r="G361" s="5" t="str">
        <f>IFERROR(__xludf.DUMMYFUNCTION("GOOGLETRANSLATE(B361, ""en"", ""hi"")"),"प्राचीन भारत में गिल्ली डंडा मुख्यतः किस लिंग द्वारा खेला जाता था?")</f>
        <v>प्राचीन भारत में गिल्ली डंडा मुख्यतः किस लिंग द्वारा खेला जाता था?</v>
      </c>
      <c r="H361" s="5" t="str">
        <f>IFERROR(__xludf.DUMMYFUNCTION("GOOGLETRANSLATE(C361, ""en"", ""hi"")"),"A) पुरुष, B) महिला, C) दोनों समान रूप से, D) केवल बच्चे")</f>
        <v>A) पुरुष, B) महिला, C) दोनों समान रूप से, D) केवल बच्चे</v>
      </c>
      <c r="I361" s="5" t="str">
        <f>IFERROR(__xludf.DUMMYFUNCTION("GOOGLETRANSLATE(D361, ""en"", ""hi"")"),"ए) पुरुष")</f>
        <v>ए) पुरुष</v>
      </c>
    </row>
    <row r="362" ht="22.5" customHeight="1">
      <c r="A362" s="3">
        <v>361.0</v>
      </c>
      <c r="B362" s="4" t="s">
        <v>11768</v>
      </c>
      <c r="C362" s="4" t="s">
        <v>11769</v>
      </c>
      <c r="D362" s="4" t="s">
        <v>3566</v>
      </c>
      <c r="F362" s="5" t="str">
        <f>IFERROR(__xludf.DUMMYFUNCTION("GOOGLETRANSLATE(A362, ""en"", ""hi"")"),"361")</f>
        <v>361</v>
      </c>
      <c r="G362" s="5" t="str">
        <f>IFERROR(__xludf.DUMMYFUNCTION("GOOGLETRANSLATE(B362, ""en"", ""hi"")"),"किस भारतीय सम्राट ने गिल्ली डंडा जैसे पारंपरिक खेलों को प्रोत्साहित किया था?")</f>
        <v>किस भारतीय सम्राट ने गिल्ली डंडा जैसे पारंपरिक खेलों को प्रोत्साहित किया था?</v>
      </c>
      <c r="H362" s="5" t="str">
        <f>IFERROR(__xludf.DUMMYFUNCTION("GOOGLETRANSLATE(C362, ""en"", ""hi"")"),"ए) अशोक, बी) अकबर, सी) चंद्रगुप्त मौर्य, डी) हर्षवर्द्धन")</f>
        <v>ए) अशोक, बी) अकबर, सी) चंद्रगुप्त मौर्य, डी) हर्षवर्द्धन</v>
      </c>
      <c r="I362" s="5" t="str">
        <f>IFERROR(__xludf.DUMMYFUNCTION("GOOGLETRANSLATE(D362, ""en"", ""hi"")"),"बी) अकबर")</f>
        <v>बी) अकबर</v>
      </c>
    </row>
    <row r="363" ht="22.5" customHeight="1">
      <c r="A363" s="3">
        <v>362.0</v>
      </c>
      <c r="B363" s="4" t="s">
        <v>11770</v>
      </c>
      <c r="C363" s="4" t="s">
        <v>11771</v>
      </c>
      <c r="D363" s="4" t="s">
        <v>11772</v>
      </c>
      <c r="F363" s="5" t="str">
        <f>IFERROR(__xludf.DUMMYFUNCTION("GOOGLETRANSLATE(A363, ""en"", ""hi"")"),"362")</f>
        <v>362</v>
      </c>
      <c r="G363" s="5" t="str">
        <f>IFERROR(__xludf.DUMMYFUNCTION("GOOGLETRANSLATE(B363, ""en"", ""hi"")"),"ऐसा माना जाता है कि गिल्ली डंडा किस संस्कृति की अवकाश गतिविधियों का हिस्सा था?")</f>
        <v>ऐसा माना जाता है कि गिल्ली डंडा किस संस्कृति की अवकाश गतिविधियों का हिस्सा था?</v>
      </c>
      <c r="H363" s="5" t="str">
        <f>IFERROR(__xludf.DUMMYFUNCTION("GOOGLETRANSLATE(C363, ""en"", ""hi"")"),"A) द्रविड़, B) आर्य, C) मुगल, D) ब्रिटिश औपनिवेशिक")</f>
        <v>A) द्रविड़, B) आर्य, C) मुगल, D) ब्रिटिश औपनिवेशिक</v>
      </c>
      <c r="I363" s="5" t="str">
        <f>IFERROR(__xludf.DUMMYFUNCTION("GOOGLETRANSLATE(D363, ""en"", ""hi"")"),"बी) आर्यन")</f>
        <v>बी) आर्यन</v>
      </c>
    </row>
    <row r="364" ht="22.5" customHeight="1">
      <c r="A364" s="3">
        <v>363.0</v>
      </c>
      <c r="B364" s="4" t="s">
        <v>11773</v>
      </c>
      <c r="C364" s="4" t="s">
        <v>11774</v>
      </c>
      <c r="D364" s="4" t="s">
        <v>3365</v>
      </c>
      <c r="F364" s="5" t="str">
        <f>IFERROR(__xludf.DUMMYFUNCTION("GOOGLETRANSLATE(A364, ""en"", ""hi"")"),"363")</f>
        <v>363</v>
      </c>
      <c r="G364" s="5" t="str">
        <f>IFERROR(__xludf.DUMMYFUNCTION("GOOGLETRANSLATE(B364, ""en"", ""hi"")"),"किस प्राचीन भारतीय पुस्तक में गिल्ली डंडा के समान खेल को 'दंडपट्ट' के रूप में वर्णित किया गया है?")</f>
        <v>किस प्राचीन भारतीय पुस्तक में गिल्ली डंडा के समान खेल को 'दंडपट्ट' के रूप में वर्णित किया गया है?</v>
      </c>
      <c r="H364" s="5" t="str">
        <f>IFERROR(__xludf.DUMMYFUNCTION("GOOGLETRANSLATE(C364, ""en"", ""hi"")"),"ए) महाभारत, बी) वेद, सी) अर्थशास्त्र, डी) कामसूत्र")</f>
        <v>ए) महाभारत, बी) वेद, सी) अर्थशास्त्र, डी) कामसूत्र</v>
      </c>
      <c r="I364" s="5" t="str">
        <f>IFERROR(__xludf.DUMMYFUNCTION("GOOGLETRANSLATE(D364, ""en"", ""hi"")"),"C) अर्थशास्त्र")</f>
        <v>C) अर्थशास्त्र</v>
      </c>
    </row>
    <row r="365" ht="22.5" customHeight="1">
      <c r="A365" s="3">
        <v>364.0</v>
      </c>
      <c r="B365" s="4" t="s">
        <v>11775</v>
      </c>
      <c r="C365" s="4" t="s">
        <v>11776</v>
      </c>
      <c r="D365" s="4" t="s">
        <v>3875</v>
      </c>
      <c r="F365" s="5" t="str">
        <f>IFERROR(__xludf.DUMMYFUNCTION("GOOGLETRANSLATE(A365, ""en"", ""hi"")"),"364")</f>
        <v>364</v>
      </c>
      <c r="G365" s="5" t="str">
        <f>IFERROR(__xludf.DUMMYFUNCTION("GOOGLETRANSLATE(B365, ""en"", ""hi"")"),"भारत का कौन सा क्षेत्र ऐतिहासिक रूप से गिल्ली डंडा के एक रूप जिसे 'चिन्नी डांडू' कहा जाता है, के लिए जाना जाता है?")</f>
        <v>भारत का कौन सा क्षेत्र ऐतिहासिक रूप से गिल्ली डंडा के एक रूप जिसे 'चिन्नी डांडू' कहा जाता है, के लिए जाना जाता है?</v>
      </c>
      <c r="H365" s="5" t="str">
        <f>IFERROR(__xludf.DUMMYFUNCTION("GOOGLETRANSLATE(C365, ""en"", ""hi"")"),"ए) तमिलनाडु, बी) महाराष्ट्र, सी) कर्नाटक, डी) बिहार")</f>
        <v>ए) तमिलनाडु, बी) महाराष्ट्र, सी) कर्नाटक, डी) बिहार</v>
      </c>
      <c r="I365" s="5" t="str">
        <f>IFERROR(__xludf.DUMMYFUNCTION("GOOGLETRANSLATE(D365, ""en"", ""hi"")"),"C) कर्नाटक")</f>
        <v>C) कर्नाटक</v>
      </c>
    </row>
    <row r="366" ht="22.5" customHeight="1">
      <c r="A366" s="3">
        <v>365.0</v>
      </c>
      <c r="B366" s="4" t="s">
        <v>11777</v>
      </c>
      <c r="C366" s="4" t="s">
        <v>11778</v>
      </c>
      <c r="D366" s="4" t="s">
        <v>11779</v>
      </c>
      <c r="F366" s="5" t="str">
        <f>IFERROR(__xludf.DUMMYFUNCTION("GOOGLETRANSLATE(A366, ""en"", ""hi"")"),"365")</f>
        <v>365</v>
      </c>
      <c r="G366" s="5" t="str">
        <f>IFERROR(__xludf.DUMMYFUNCTION("GOOGLETRANSLATE(B366, ""en"", ""hi"")"),"गिल्ली डंडा में प्रयुक्त छड़ी को प्राचीन भारतीय साहित्य में क्या कहा जाता है?")</f>
        <v>गिल्ली डंडा में प्रयुक्त छड़ी को प्राचीन भारतीय साहित्य में क्या कहा जाता है?</v>
      </c>
      <c r="H366" s="5" t="str">
        <f>IFERROR(__xludf.DUMMYFUNCTION("GOOGLETRANSLATE(C366, ""en"", ""hi"")"),"ए) यस्ति, बी) दंड, सी) वाणा, डी) शक्ति")</f>
        <v>ए) यस्ति, बी) दंड, सी) वाणा, डी) शक्ति</v>
      </c>
      <c r="I366" s="5" t="str">
        <f>IFERROR(__xludf.DUMMYFUNCTION("GOOGLETRANSLATE(D366, ""en"", ""hi"")"),"बी) डंडा")</f>
        <v>बी) डंडा</v>
      </c>
    </row>
    <row r="367" ht="22.5" customHeight="1">
      <c r="A367" s="3">
        <v>366.0</v>
      </c>
      <c r="B367" s="4" t="s">
        <v>11780</v>
      </c>
      <c r="C367" s="4" t="s">
        <v>11781</v>
      </c>
      <c r="D367" s="4" t="s">
        <v>11782</v>
      </c>
      <c r="F367" s="5" t="str">
        <f>IFERROR(__xludf.DUMMYFUNCTION("GOOGLETRANSLATE(A367, ""en"", ""hi"")"),"366")</f>
        <v>366</v>
      </c>
      <c r="G367" s="5" t="str">
        <f>IFERROR(__xludf.DUMMYFUNCTION("GOOGLETRANSLATE(B367, ""en"", ""hi"")"),"20वीं सदी के आरंभ में किस स्वतंत्रता सेनानी ने भारतीय संस्कृति को पुनर्जीवित करने के लिए गिल्ली डंडा जैसे पारंपरिक खेलों को बढ़ावा दिया?")</f>
        <v>20वीं सदी के आरंभ में किस स्वतंत्रता सेनानी ने भारतीय संस्कृति को पुनर्जीवित करने के लिए गिल्ली डंडा जैसे पारंपरिक खेलों को बढ़ावा दिया?</v>
      </c>
      <c r="H367" s="5" t="str">
        <f>IFERROR(__xludf.DUMMYFUNCTION("GOOGLETRANSLATE(C367, ""en"", ""hi"")"),"ए) बाल गंगाधर तिलक, बी) महात्मा गांधी, सी) भगत सिंह, डी) सरदार पटेल")</f>
        <v>ए) बाल गंगाधर तिलक, बी) महात्मा गांधी, सी) भगत सिंह, डी) सरदार पटेल</v>
      </c>
      <c r="I367" s="5" t="str">
        <f>IFERROR(__xludf.DUMMYFUNCTION("GOOGLETRANSLATE(D367, ""en"", ""hi"")"),"A) बाल गंगाधर तिलक")</f>
        <v>A) बाल गंगाधर तिलक</v>
      </c>
    </row>
    <row r="368" ht="22.5" customHeight="1">
      <c r="A368" s="3">
        <v>367.0</v>
      </c>
      <c r="B368" s="4" t="s">
        <v>11783</v>
      </c>
      <c r="C368" s="4" t="s">
        <v>11784</v>
      </c>
      <c r="D368" s="4" t="s">
        <v>11785</v>
      </c>
      <c r="F368" s="5" t="str">
        <f>IFERROR(__xludf.DUMMYFUNCTION("GOOGLETRANSLATE(A368, ""en"", ""hi"")"),"367")</f>
        <v>367</v>
      </c>
      <c r="G368" s="5" t="str">
        <f>IFERROR(__xludf.DUMMYFUNCTION("GOOGLETRANSLATE(B368, ""en"", ""hi"")"),"ब्रिटिश औपनिवेशिक काल के दौरान गिल्ली डंडा किस खेल से प्रभावित था?")</f>
        <v>ब्रिटिश औपनिवेशिक काल के दौरान गिल्ली डंडा किस खेल से प्रभावित था?</v>
      </c>
      <c r="H368" s="5" t="str">
        <f>IFERROR(__xludf.DUMMYFUNCTION("GOOGLETRANSLATE(C368, ""en"", ""hi"")"),"A) फुटबॉल, B) टेनिस, C) पोलो, D) क्रिकेट")</f>
        <v>A) फुटबॉल, B) टेनिस, C) पोलो, D) क्रिकेट</v>
      </c>
      <c r="I368" s="5" t="str">
        <f>IFERROR(__xludf.DUMMYFUNCTION("GOOGLETRANSLATE(D368, ""en"", ""hi"")"),"D) क्रिकेट")</f>
        <v>D) क्रिकेट</v>
      </c>
    </row>
    <row r="369" ht="22.5" customHeight="1">
      <c r="A369" s="3">
        <v>368.0</v>
      </c>
      <c r="B369" s="4" t="s">
        <v>11786</v>
      </c>
      <c r="C369" s="4" t="s">
        <v>11787</v>
      </c>
      <c r="D369" s="4" t="s">
        <v>3301</v>
      </c>
      <c r="F369" s="5" t="str">
        <f>IFERROR(__xludf.DUMMYFUNCTION("GOOGLETRANSLATE(A369, ""en"", ""hi"")"),"368")</f>
        <v>368</v>
      </c>
      <c r="G369" s="5" t="str">
        <f>IFERROR(__xludf.DUMMYFUNCTION("GOOGLETRANSLATE(B369, ""en"", ""hi"")"),"गिल्ली डंडा का खेल किस भारतीय शासक के शासनकाल में सैनिकों द्वारा खेला जाता था?")</f>
        <v>गिल्ली डंडा का खेल किस भारतीय शासक के शासनकाल में सैनिकों द्वारा खेला जाता था?</v>
      </c>
      <c r="H369" s="5" t="str">
        <f>IFERROR(__xludf.DUMMYFUNCTION("GOOGLETRANSLATE(C369, ""en"", ""hi"")"),"ए) टीपू सुल्तान, बी) पृथ्वीराज चौहान, सी) शिवाजी महाराज, डी) रानी लक्ष्मीबाई")</f>
        <v>ए) टीपू सुल्तान, बी) पृथ्वीराज चौहान, सी) शिवाजी महाराज, डी) रानी लक्ष्मीबाई</v>
      </c>
      <c r="I369" s="5" t="str">
        <f>IFERROR(__xludf.DUMMYFUNCTION("GOOGLETRANSLATE(D369, ""en"", ""hi"")"),"C) शिवाजी महाराज")</f>
        <v>C) शिवाजी महाराज</v>
      </c>
    </row>
    <row r="370" ht="22.5" customHeight="1">
      <c r="A370" s="3">
        <v>369.0</v>
      </c>
      <c r="B370" s="4" t="s">
        <v>11788</v>
      </c>
      <c r="C370" s="4" t="s">
        <v>11789</v>
      </c>
      <c r="D370" s="4" t="s">
        <v>11790</v>
      </c>
      <c r="F370" s="5" t="str">
        <f>IFERROR(__xludf.DUMMYFUNCTION("GOOGLETRANSLATE(A370, ""en"", ""hi"")"),"369")</f>
        <v>369</v>
      </c>
      <c r="G370" s="5" t="str">
        <f>IFERROR(__xludf.DUMMYFUNCTION("GOOGLETRANSLATE(B370, ""en"", ""hi"")"),"गिल्ली डंडा किस प्राचीन फ़ारसी खेल से समानता रखता है?")</f>
        <v>गिल्ली डंडा किस प्राचीन फ़ारसी खेल से समानता रखता है?</v>
      </c>
      <c r="H370" s="5" t="str">
        <f>IFERROR(__xludf.DUMMYFUNCTION("GOOGLETRANSLATE(C370, ""en"", ""hi"")"),"ए) बुज़काशी, बी) पोलो, सी) चोगन, डी) टिप-कैट")</f>
        <v>ए) बुज़काशी, बी) पोलो, सी) चोगन, डी) टिप-कैट</v>
      </c>
      <c r="I370" s="5" t="str">
        <f>IFERROR(__xludf.DUMMYFUNCTION("GOOGLETRANSLATE(D370, ""en"", ""hi"")"),"C) चोगन")</f>
        <v>C) चोगन</v>
      </c>
    </row>
    <row r="371" ht="22.5" customHeight="1">
      <c r="A371" s="3">
        <v>370.0</v>
      </c>
      <c r="B371" s="4" t="s">
        <v>11791</v>
      </c>
      <c r="C371" s="4" t="s">
        <v>11792</v>
      </c>
      <c r="D371" s="4" t="s">
        <v>11793</v>
      </c>
      <c r="F371" s="5" t="str">
        <f>IFERROR(__xludf.DUMMYFUNCTION("GOOGLETRANSLATE(A371, ""en"", ""hi"")"),"370")</f>
        <v>370</v>
      </c>
      <c r="G371" s="5" t="str">
        <f>IFERROR(__xludf.DUMMYFUNCTION("GOOGLETRANSLATE(B371, ""en"", ""hi"")"),"किस क्षेत्र में गिल्ली डंडा को 'लिप्पा' भी कहा जाता था?")</f>
        <v>किस क्षेत्र में गिल्ली डंडा को 'लिप्पा' भी कहा जाता था?</v>
      </c>
      <c r="H371" s="5" t="str">
        <f>IFERROR(__xludf.DUMMYFUNCTION("GOOGLETRANSLATE(C371, ""en"", ""hi"")"),"A) नेपाल, B) गुजरात, C) उत्तर प्रदेश, D) हिमाचल प्रदेश")</f>
        <v>A) नेपाल, B) गुजरात, C) उत्तर प्रदेश, D) हिमाचल प्रदेश</v>
      </c>
      <c r="I371" s="5" t="str">
        <f>IFERROR(__xludf.DUMMYFUNCTION("GOOGLETRANSLATE(D371, ""en"", ""hi"")"),"D) हिमाचल प्रदेश")</f>
        <v>D) हिमाचल प्रदेश</v>
      </c>
    </row>
    <row r="372" ht="22.5" customHeight="1">
      <c r="A372" s="3">
        <v>371.0</v>
      </c>
      <c r="B372" s="4" t="s">
        <v>11794</v>
      </c>
      <c r="C372" s="4" t="s">
        <v>11795</v>
      </c>
      <c r="D372" s="4" t="s">
        <v>1924</v>
      </c>
      <c r="F372" s="5" t="str">
        <f>IFERROR(__xludf.DUMMYFUNCTION("GOOGLETRANSLATE(A372, ""en"", ""hi"")"),"371")</f>
        <v>371</v>
      </c>
      <c r="G372" s="5" t="str">
        <f>IFERROR(__xludf.DUMMYFUNCTION("GOOGLETRANSLATE(B372, ""en"", ""hi"")"),"1900 के दशक के प्रारंभ में किस भारतीय राज्य ने गिल्ली डंडा को अपने सांस्कृतिक उत्सव के हिस्से के रूप में मनाया?")</f>
        <v>1900 के दशक के प्रारंभ में किस भारतीय राज्य ने गिल्ली डंडा को अपने सांस्कृतिक उत्सव के हिस्से के रूप में मनाया?</v>
      </c>
      <c r="H372" s="5" t="str">
        <f>IFERROR(__xludf.DUMMYFUNCTION("GOOGLETRANSLATE(C372, ""en"", ""hi"")"),"A) ओडिशा, B) तमिलनाडु, C) पंजाब, D) राजस्थान")</f>
        <v>A) ओडिशा, B) तमिलनाडु, C) पंजाब, D) राजस्थान</v>
      </c>
      <c r="I372" s="5" t="str">
        <f>IFERROR(__xludf.DUMMYFUNCTION("GOOGLETRANSLATE(D372, ""en"", ""hi"")"),"C) पंजाब")</f>
        <v>C) पंजाब</v>
      </c>
    </row>
    <row r="373" ht="22.5" customHeight="1">
      <c r="A373" s="3">
        <v>372.0</v>
      </c>
      <c r="B373" s="4" t="s">
        <v>11796</v>
      </c>
      <c r="C373" s="4" t="s">
        <v>11797</v>
      </c>
      <c r="D373" s="4" t="s">
        <v>11798</v>
      </c>
      <c r="F373" s="5" t="str">
        <f>IFERROR(__xludf.DUMMYFUNCTION("GOOGLETRANSLATE(A373, ""en"", ""hi"")"),"372")</f>
        <v>372</v>
      </c>
      <c r="G373" s="5" t="str">
        <f>IFERROR(__xludf.DUMMYFUNCTION("GOOGLETRANSLATE(B373, ""en"", ""hi"")"),"गिल्ली डंडा में लकड़ी के डंडों का प्रयोग किस भारतीय काल से शुरू हुआ?")</f>
        <v>गिल्ली डंडा में लकड़ी के डंडों का प्रयोग किस भारतीय काल से शुरू हुआ?</v>
      </c>
      <c r="H373" s="5" t="str">
        <f>IFERROR(__xludf.DUMMYFUNCTION("GOOGLETRANSLATE(C373, ""en"", ""hi"")"),"A) हड़प्पा काल, B) मौर्य काल, C) वैदिक काल, D) मुगल काल")</f>
        <v>A) हड़प्पा काल, B) मौर्य काल, C) वैदिक काल, D) मुगल काल</v>
      </c>
      <c r="I373" s="5" t="str">
        <f>IFERROR(__xludf.DUMMYFUNCTION("GOOGLETRANSLATE(D373, ""en"", ""hi"")"),"C) वैदिक काल")</f>
        <v>C) वैदिक काल</v>
      </c>
    </row>
    <row r="374" ht="22.5" customHeight="1">
      <c r="A374" s="3">
        <v>373.0</v>
      </c>
      <c r="B374" s="4" t="s">
        <v>11799</v>
      </c>
      <c r="C374" s="4" t="s">
        <v>11800</v>
      </c>
      <c r="D374" s="4" t="s">
        <v>11801</v>
      </c>
      <c r="F374" s="5" t="str">
        <f>IFERROR(__xludf.DUMMYFUNCTION("GOOGLETRANSLATE(A374, ""en"", ""hi"")"),"373")</f>
        <v>373</v>
      </c>
      <c r="G374" s="5" t="str">
        <f>IFERROR(__xludf.DUMMYFUNCTION("GOOGLETRANSLATE(B374, ""en"", ""hi"")"),"किस प्रसिद्ध प्राचीन भारतीय योद्धा को बचपन में गिल्ली डंडा जैसे खेल खेलने के लिए जाना जाता है?")</f>
        <v>किस प्रसिद्ध प्राचीन भारतीय योद्धा को बचपन में गिल्ली डंडा जैसे खेल खेलने के लिए जाना जाता है?</v>
      </c>
      <c r="H374" s="5" t="str">
        <f>IFERROR(__xludf.DUMMYFUNCTION("GOOGLETRANSLATE(C374, ""en"", ""hi"")"),"ए) अशोक, बी) पृथ्वीराज चौहान, सी) अर्जुन, डी) कर्ण")</f>
        <v>ए) अशोक, बी) पृथ्वीराज चौहान, सी) अर्जुन, डी) कर्ण</v>
      </c>
      <c r="I374" s="5" t="str">
        <f>IFERROR(__xludf.DUMMYFUNCTION("GOOGLETRANSLATE(D374, ""en"", ""hi"")"),"बी) पृथ्वीराज चौहान")</f>
        <v>बी) पृथ्वीराज चौहान</v>
      </c>
    </row>
    <row r="375" ht="22.5" customHeight="1">
      <c r="A375" s="3">
        <v>374.0</v>
      </c>
      <c r="B375" s="4" t="s">
        <v>11802</v>
      </c>
      <c r="C375" s="4" t="s">
        <v>11803</v>
      </c>
      <c r="D375" s="4" t="s">
        <v>11804</v>
      </c>
      <c r="F375" s="5" t="str">
        <f>IFERROR(__xludf.DUMMYFUNCTION("GOOGLETRANSLATE(A375, ""en"", ""hi"")"),"374")</f>
        <v>374</v>
      </c>
      <c r="G375" s="5" t="str">
        <f>IFERROR(__xludf.DUMMYFUNCTION("GOOGLETRANSLATE(B375, ""en"", ""hi"")"),"प्राचीन भारत में गिल्ली डंडा खेलने का मुख्य उद्देश्य क्या था?")</f>
        <v>प्राचीन भारत में गिल्ली डंडा खेलने का मुख्य उद्देश्य क्या था?</v>
      </c>
      <c r="H375" s="5" t="str">
        <f>IFERROR(__xludf.DUMMYFUNCTION("GOOGLETRANSLATE(C375, ""en"", ""hi"")"),"A) आध्यात्मिकता, B) मनोरंजन, C) शारीरिक फिटनेस, D) सामाजिकता")</f>
        <v>A) आध्यात्मिकता, B) मनोरंजन, C) शारीरिक फिटनेस, D) सामाजिकता</v>
      </c>
      <c r="I375" s="5" t="str">
        <f>IFERROR(__xludf.DUMMYFUNCTION("GOOGLETRANSLATE(D375, ""en"", ""hi"")"),"सी) शारीरिक फिटनेस")</f>
        <v>सी) शारीरिक फिटनेस</v>
      </c>
    </row>
    <row r="376" ht="22.5" customHeight="1">
      <c r="A376" s="3">
        <v>375.0</v>
      </c>
      <c r="B376" s="4" t="s">
        <v>11805</v>
      </c>
      <c r="C376" s="4" t="s">
        <v>11806</v>
      </c>
      <c r="D376" s="4" t="s">
        <v>11807</v>
      </c>
      <c r="F376" s="5" t="str">
        <f>IFERROR(__xludf.DUMMYFUNCTION("GOOGLETRANSLATE(A376, ""en"", ""hi"")"),"375")</f>
        <v>375</v>
      </c>
      <c r="G376" s="5" t="str">
        <f>IFERROR(__xludf.DUMMYFUNCTION("GOOGLETRANSLATE(B376, ""en"", ""hi"")"),"गिल्ली डंडा की तुलना अक्सर प्राचीन रोम में लोकप्रिय किस खेल से की जाती है?")</f>
        <v>गिल्ली डंडा की तुलना अक्सर प्राचीन रोम में लोकप्रिय किस खेल से की जाती है?</v>
      </c>
      <c r="H376" s="5" t="str">
        <f>IFERROR(__xludf.DUMMYFUNCTION("GOOGLETRANSLATE(C376, ""en"", ""hi"")"),"A) ग्लैडिएटर लड़ाई, B) रथ दौड़, C) हार्पस्टम, D) टिप-कैट")</f>
        <v>A) ग्लैडिएटर लड़ाई, B) रथ दौड़, C) हार्पस्टम, D) टिप-कैट</v>
      </c>
      <c r="I376" s="5" t="str">
        <f>IFERROR(__xludf.DUMMYFUNCTION("GOOGLETRANSLATE(D376, ""en"", ""hi"")"),"D) टिप-कैट")</f>
        <v>D) टिप-कैट</v>
      </c>
    </row>
    <row r="377" ht="22.5" customHeight="1">
      <c r="A377" s="3">
        <v>376.0</v>
      </c>
      <c r="B377" s="4" t="s">
        <v>11808</v>
      </c>
      <c r="C377" s="4" t="s">
        <v>11809</v>
      </c>
      <c r="D377" s="4" t="s">
        <v>3451</v>
      </c>
      <c r="F377" s="5" t="str">
        <f>IFERROR(__xludf.DUMMYFUNCTION("GOOGLETRANSLATE(A377, ""en"", ""hi"")"),"376")</f>
        <v>376</v>
      </c>
      <c r="G377" s="5" t="str">
        <f>IFERROR(__xludf.DUMMYFUNCTION("GOOGLETRANSLATE(B377, ""en"", ""hi"")"),"किस प्राचीन भारतीय दार्शनिक ने गिल्ली डंडा जैसे मनोरंजक खेलों को मानसिक शक्ति बढ़ाने का एक तरीका बताया था?")</f>
        <v>किस प्राचीन भारतीय दार्शनिक ने गिल्ली डंडा जैसे मनोरंजक खेलों को मानसिक शक्ति बढ़ाने का एक तरीका बताया था?</v>
      </c>
      <c r="H377" s="5" t="str">
        <f>IFERROR(__xludf.DUMMYFUNCTION("GOOGLETRANSLATE(C377, ""en"", ""hi"")"),"ए)चाणक्य,बी)पतंजलि,सी)शंकराचार्य,डी)नागार्जुन")</f>
        <v>ए)चाणक्य,बी)पतंजलि,सी)शंकराचार्य,डी)नागार्जुन</v>
      </c>
      <c r="I377" s="5" t="str">
        <f>IFERROR(__xludf.DUMMYFUNCTION("GOOGLETRANSLATE(D377, ""en"", ""hi"")"),"A) चाणक्य")</f>
        <v>A) चाणक्य</v>
      </c>
    </row>
    <row r="378" ht="22.5" customHeight="1">
      <c r="A378" s="3">
        <v>377.0</v>
      </c>
      <c r="B378" s="4" t="s">
        <v>11810</v>
      </c>
      <c r="C378" s="4" t="s">
        <v>11811</v>
      </c>
      <c r="D378" s="4" t="s">
        <v>11812</v>
      </c>
      <c r="F378" s="5" t="str">
        <f>IFERROR(__xludf.DUMMYFUNCTION("GOOGLETRANSLATE(A378, ""en"", ""hi"")"),"377")</f>
        <v>377</v>
      </c>
      <c r="G378" s="5" t="str">
        <f>IFERROR(__xludf.DUMMYFUNCTION("GOOGLETRANSLATE(B378, ""en"", ""hi"")"),"ऐसा माना जाता है कि गिल्ली डंडा ने किस आधुनिक खेल के निर्माण को प्रभावित किया?")</f>
        <v>ऐसा माना जाता है कि गिल्ली डंडा ने किस आधुनिक खेल के निर्माण को प्रभावित किया?</v>
      </c>
      <c r="H378" s="5" t="str">
        <f>IFERROR(__xludf.DUMMYFUNCTION("GOOGLETRANSLATE(C378, ""en"", ""hi"")"),"A) बेसबॉल, B) बैडमिंटन, C) क्रिकेट, D) टेनिस")</f>
        <v>A) बेसबॉल, B) बैडमिंटन, C) क्रिकेट, D) टेनिस</v>
      </c>
      <c r="I378" s="5" t="str">
        <f>IFERROR(__xludf.DUMMYFUNCTION("GOOGLETRANSLATE(D378, ""en"", ""hi"")"),"बेसबॉल")</f>
        <v>बेसबॉल</v>
      </c>
    </row>
    <row r="379" ht="22.5" customHeight="1">
      <c r="A379" s="3">
        <v>378.0</v>
      </c>
      <c r="B379" s="4" t="s">
        <v>11813</v>
      </c>
      <c r="C379" s="4" t="s">
        <v>11814</v>
      </c>
      <c r="D379" s="4" t="s">
        <v>11815</v>
      </c>
      <c r="F379" s="5" t="str">
        <f>IFERROR(__xludf.DUMMYFUNCTION("GOOGLETRANSLATE(A379, ""en"", ""hi"")"),"378")</f>
        <v>378</v>
      </c>
      <c r="G379" s="5" t="str">
        <f>IFERROR(__xludf.DUMMYFUNCTION("GOOGLETRANSLATE(B379, ""en"", ""hi"")"),"कुछ क्षेत्रों में गिल्ली डंडा किस मौसम का पारंपरिक खेल माना जाता है?")</f>
        <v>कुछ क्षेत्रों में गिल्ली डंडा किस मौसम का पारंपरिक खेल माना जाता है?</v>
      </c>
      <c r="H379" s="5" t="str">
        <f>IFERROR(__xludf.DUMMYFUNCTION("GOOGLETRANSLATE(C379, ""en"", ""hi"")"),"A) शीत ऋतु, B) वसंत ऋतु, C) मानसून, D) ग्रीष्म ऋतु")</f>
        <v>A) शीत ऋतु, B) वसंत ऋतु, C) मानसून, D) ग्रीष्म ऋतु</v>
      </c>
      <c r="I379" s="5" t="str">
        <f>IFERROR(__xludf.DUMMYFUNCTION("GOOGLETRANSLATE(D379, ""en"", ""hi"")"),"बी) वसंत")</f>
        <v>बी) वसंत</v>
      </c>
    </row>
    <row r="380" ht="22.5" customHeight="1">
      <c r="A380" s="3">
        <v>379.0</v>
      </c>
      <c r="B380" s="4" t="s">
        <v>11816</v>
      </c>
      <c r="C380" s="4" t="s">
        <v>11817</v>
      </c>
      <c r="D380" s="4" t="s">
        <v>11818</v>
      </c>
      <c r="F380" s="5" t="str">
        <f>IFERROR(__xludf.DUMMYFUNCTION("GOOGLETRANSLATE(A380, ""en"", ""hi"")"),"379")</f>
        <v>379</v>
      </c>
      <c r="G380" s="5" t="str">
        <f>IFERROR(__xludf.DUMMYFUNCTION("GOOGLETRANSLATE(B380, ""en"", ""hi"")"),"कौन सा भारतीय शासक पारंपरिक खेल उत्सवों की मेजबानी के लिए जाना जाता था जिसमें गिल्ली डंडा भी शामिल था?")</f>
        <v>कौन सा भारतीय शासक पारंपरिक खेल उत्सवों की मेजबानी के लिए जाना जाता था जिसमें गिल्ली डंडा भी शामिल था?</v>
      </c>
      <c r="H380" s="5" t="str">
        <f>IFERROR(__xludf.DUMMYFUNCTION("GOOGLETRANSLATE(C380, ""en"", ""hi"")"),"A) महाराणा प्रताप, B) रणजीत सिंह, C) राजेंद्र चोल, D) बाजी राव प्रथम")</f>
        <v>A) महाराणा प्रताप, B) रणजीत सिंह, C) राजेंद्र चोल, D) बाजी राव प्रथम</v>
      </c>
      <c r="I380" s="5" t="str">
        <f>IFERROR(__xludf.DUMMYFUNCTION("GOOGLETRANSLATE(D380, ""en"", ""hi"")"),"बी) रणजीत सिंह")</f>
        <v>बी) रणजीत सिंह</v>
      </c>
    </row>
    <row r="381" ht="22.5" customHeight="1">
      <c r="A381" s="3">
        <v>380.0</v>
      </c>
      <c r="B381" s="4" t="s">
        <v>11819</v>
      </c>
      <c r="C381" s="4" t="s">
        <v>11820</v>
      </c>
      <c r="D381" s="4" t="s">
        <v>7495</v>
      </c>
      <c r="F381" s="5" t="str">
        <f>IFERROR(__xludf.DUMMYFUNCTION("GOOGLETRANSLATE(A381, ""en"", ""hi"")"),"380")</f>
        <v>380</v>
      </c>
      <c r="G381" s="5" t="str">
        <f>IFERROR(__xludf.DUMMYFUNCTION("GOOGLETRANSLATE(B381, ""en"", ""hi"")"),"गिल्ली डंडा की लोकप्रियता किस ऐतिहासिक काल में कम होने लगी?")</f>
        <v>गिल्ली डंडा की लोकप्रियता किस ऐतिहासिक काल में कम होने लगी?</v>
      </c>
      <c r="H381" s="5" t="str">
        <f>IFERROR(__xludf.DUMMYFUNCTION("GOOGLETRANSLATE(C381, ""en"", ""hi"")"),"A) गुप्त काल, B) ब्रिटिश औपनिवेशिक युग, C) मुगल काल, D) स्वतंत्रता के बाद")</f>
        <v>A) गुप्त काल, B) ब्रिटिश औपनिवेशिक युग, C) मुगल काल, D) स्वतंत्रता के बाद</v>
      </c>
      <c r="I381" s="5" t="str">
        <f>IFERROR(__xludf.DUMMYFUNCTION("GOOGLETRANSLATE(D381, ""en"", ""hi"")"),"बी) ब्रिटिश औपनिवेशिक युग")</f>
        <v>बी) ब्रिटिश औपनिवेशिक युग</v>
      </c>
    </row>
    <row r="382" ht="22.5" customHeight="1">
      <c r="A382" s="3">
        <v>381.0</v>
      </c>
      <c r="B382" s="4" t="s">
        <v>11821</v>
      </c>
      <c r="C382" s="4" t="s">
        <v>11822</v>
      </c>
      <c r="D382" s="4" t="s">
        <v>11714</v>
      </c>
      <c r="F382" s="5" t="str">
        <f>IFERROR(__xludf.DUMMYFUNCTION("GOOGLETRANSLATE(A382, ""en"", ""hi"")"),"381")</f>
        <v>381</v>
      </c>
      <c r="G382" s="5" t="str">
        <f>IFERROR(__xludf.DUMMYFUNCTION("GOOGLETRANSLATE(B382, ""en"", ""hi"")"),"ब्रिटेन द्वारा शुरू किये गए किस खेल ने गिल्ली डंडा के पतन में योगदान दिया?")</f>
        <v>ब्रिटेन द्वारा शुरू किये गए किस खेल ने गिल्ली डंडा के पतन में योगदान दिया?</v>
      </c>
      <c r="H382" s="5" t="str">
        <f>IFERROR(__xludf.DUMMYFUNCTION("GOOGLETRANSLATE(C382, ""en"", ""hi"")"),"A) फुटबॉल, B) क्रिकेट, C) रग्बी, D) फील्ड हॉकी")</f>
        <v>A) फुटबॉल, B) क्रिकेट, C) रग्बी, D) फील्ड हॉकी</v>
      </c>
      <c r="I382" s="5" t="str">
        <f>IFERROR(__xludf.DUMMYFUNCTION("GOOGLETRANSLATE(D382, ""en"", ""hi"")"),"बी) क्रिकेट")</f>
        <v>बी) क्रिकेट</v>
      </c>
    </row>
    <row r="383" ht="22.5" customHeight="1">
      <c r="A383" s="3">
        <v>382.0</v>
      </c>
      <c r="B383" s="4" t="s">
        <v>11823</v>
      </c>
      <c r="C383" s="4" t="s">
        <v>11824</v>
      </c>
      <c r="D383" s="4" t="s">
        <v>66</v>
      </c>
      <c r="F383" s="5" t="str">
        <f>IFERROR(__xludf.DUMMYFUNCTION("GOOGLETRANSLATE(A383, ""en"", ""hi"")"),"382")</f>
        <v>382</v>
      </c>
      <c r="G383" s="5" t="str">
        <f>IFERROR(__xludf.DUMMYFUNCTION("GOOGLETRANSLATE(B383, ""en"", ""hi"")"),"भारत के किस भाग में गिल्ली डंडा आमतौर पर फसल उत्सव के खेल के रूप में खेला जाता था?")</f>
        <v>भारत के किस भाग में गिल्ली डंडा आमतौर पर फसल उत्सव के खेल के रूप में खेला जाता था?</v>
      </c>
      <c r="H383" s="5" t="str">
        <f>IFERROR(__xludf.DUMMYFUNCTION("GOOGLETRANSLATE(C383, ""en"", ""hi"")"),"A) पंजाब, B) केरल, C) मध्य प्रदेश, D) असम")</f>
        <v>A) पंजाब, B) केरल, C) मध्य प्रदेश, D) असम</v>
      </c>
      <c r="I383" s="5" t="str">
        <f>IFERROR(__xludf.DUMMYFUNCTION("GOOGLETRANSLATE(D383, ""en"", ""hi"")"),"A) पंजाब")</f>
        <v>A) पंजाब</v>
      </c>
    </row>
    <row r="384" ht="22.5" customHeight="1">
      <c r="A384" s="3">
        <v>383.0</v>
      </c>
      <c r="B384" s="4" t="s">
        <v>11825</v>
      </c>
      <c r="C384" s="4" t="s">
        <v>11826</v>
      </c>
      <c r="D384" s="4" t="s">
        <v>11827</v>
      </c>
      <c r="F384" s="5" t="str">
        <f>IFERROR(__xludf.DUMMYFUNCTION("GOOGLETRANSLATE(A384, ""en"", ""hi"")"),"383")</f>
        <v>383</v>
      </c>
      <c r="G384" s="5" t="str">
        <f>IFERROR(__xludf.DUMMYFUNCTION("GOOGLETRANSLATE(B384, ""en"", ""hi"")"),"ऐसा माना जाता है कि किस प्राचीन सभ्यता ने दक्षिण एशिया में गिल्ली डंडा के प्रसार को प्रभावित किया?")</f>
        <v>ऐसा माना जाता है कि किस प्राचीन सभ्यता ने दक्षिण एशिया में गिल्ली डंडा के प्रसार को प्रभावित किया?</v>
      </c>
      <c r="H384" s="5" t="str">
        <f>IFERROR(__xludf.DUMMYFUNCTION("GOOGLETRANSLATE(C384, ""en"", ""hi"")"),"A) मेसोपोटामिया, B) ग्रीक, C) आर्यन, D) सिंधु घाटी")</f>
        <v>A) मेसोपोटामिया, B) ग्रीक, C) आर्यन, D) सिंधु घाटी</v>
      </c>
      <c r="I384" s="5" t="str">
        <f>IFERROR(__xludf.DUMMYFUNCTION("GOOGLETRANSLATE(D384, ""en"", ""hi"")"),"D) सिंधु घाटी")</f>
        <v>D) सिंधु घाटी</v>
      </c>
    </row>
    <row r="385" ht="22.5" customHeight="1">
      <c r="A385" s="3">
        <v>384.0</v>
      </c>
      <c r="B385" s="4" t="s">
        <v>11828</v>
      </c>
      <c r="C385" s="4" t="s">
        <v>11829</v>
      </c>
      <c r="D385" s="4" t="s">
        <v>2598</v>
      </c>
      <c r="F385" s="5" t="str">
        <f>IFERROR(__xludf.DUMMYFUNCTION("GOOGLETRANSLATE(A385, ""en"", ""hi"")"),"384")</f>
        <v>384</v>
      </c>
      <c r="G385" s="5" t="str">
        <f>IFERROR(__xludf.DUMMYFUNCTION("GOOGLETRANSLATE(B385, ""en"", ""hi"")"),"गिल्ली डंडा अक्सर किस प्रकार के भारतीय ग्रामीण उत्सवों में शामिल किया जाता था?")</f>
        <v>गिल्ली डंडा अक्सर किस प्रकार के भारतीय ग्रामीण उत्सवों में शामिल किया जाता था?</v>
      </c>
      <c r="H385" s="5" t="str">
        <f>IFERROR(__xludf.DUMMYFUNCTION("GOOGLETRANSLATE(C385, ""en"", ""hi"")"),"A) फसल उत्सव, B) धार्मिक समारोह, C) विवाह, D) मंदिर मेले")</f>
        <v>A) फसल उत्सव, B) धार्मिक समारोह, C) विवाह, D) मंदिर मेले</v>
      </c>
      <c r="I385" s="5" t="str">
        <f>IFERROR(__xludf.DUMMYFUNCTION("GOOGLETRANSLATE(D385, ""en"", ""hi"")"),"A) फसल उत्सव")</f>
        <v>A) फसल उत्सव</v>
      </c>
    </row>
    <row r="386" ht="22.5" customHeight="1">
      <c r="A386" s="3">
        <v>385.0</v>
      </c>
      <c r="B386" s="4" t="s">
        <v>11830</v>
      </c>
      <c r="C386" s="4" t="s">
        <v>11831</v>
      </c>
      <c r="D386" s="4" t="s">
        <v>11832</v>
      </c>
      <c r="F386" s="5" t="str">
        <f>IFERROR(__xludf.DUMMYFUNCTION("GOOGLETRANSLATE(A386, ""en"", ""hi"")"),"385")</f>
        <v>385</v>
      </c>
      <c r="G386" s="5" t="str">
        <f>IFERROR(__xludf.DUMMYFUNCTION("GOOGLETRANSLATE(B386, ""en"", ""hi"")"),"मध्यकालीन भारत में गिल्ली डंडा कभी-कभी किस कृषि मौसम के अंत का जश्न मनाने के लिए खेला जाता था?")</f>
        <v>मध्यकालीन भारत में गिल्ली डंडा कभी-कभी किस कृषि मौसम के अंत का जश्न मनाने के लिए खेला जाता था?</v>
      </c>
      <c r="H386" s="5" t="str">
        <f>IFERROR(__xludf.DUMMYFUNCTION("GOOGLETRANSLATE(C386, ""en"", ""hi"")"),"ए) रबी, बी) खरीफ, सी) जायद, डी) मानसून")</f>
        <v>ए) रबी, बी) खरीफ, सी) जायद, डी) मानसून</v>
      </c>
      <c r="I386" s="5" t="str">
        <f>IFERROR(__xludf.DUMMYFUNCTION("GOOGLETRANSLATE(D386, ""en"", ""hi"")"),"बी) खरीफ")</f>
        <v>बी) खरीफ</v>
      </c>
    </row>
    <row r="387" ht="22.5" customHeight="1">
      <c r="A387" s="3">
        <v>386.0</v>
      </c>
      <c r="B387" s="4" t="s">
        <v>11833</v>
      </c>
      <c r="C387" s="4" t="s">
        <v>11834</v>
      </c>
      <c r="D387" s="4" t="s">
        <v>3602</v>
      </c>
      <c r="F387" s="5" t="str">
        <f>IFERROR(__xludf.DUMMYFUNCTION("GOOGLETRANSLATE(A387, ""en"", ""hi"")"),"386")</f>
        <v>386</v>
      </c>
      <c r="G387" s="5" t="str">
        <f>IFERROR(__xludf.DUMMYFUNCTION("GOOGLETRANSLATE(B387, ""en"", ""hi"")"),"किस प्रसिद्ध मुगलकालीन ग्रंथ में गिल्ली डंडा जैसे खेल का उल्लेख है?")</f>
        <v>किस प्रसिद्ध मुगलकालीन ग्रंथ में गिल्ली डंडा जैसे खेल का उल्लेख है?</v>
      </c>
      <c r="H387" s="5" t="str">
        <f>IFERROR(__xludf.DUMMYFUNCTION("GOOGLETRANSLATE(C387, ""en"", ""hi"")"),"ए) बाबरनामा, बी) अकबरनामा, सी) आईन-ए-अकबरी, डी) तुज़क-ए-जहांगीरी")</f>
        <v>ए) बाबरनामा, बी) अकबरनामा, सी) आईन-ए-अकबरी, डी) तुज़क-ए-जहांगीरी</v>
      </c>
      <c r="I387" s="5" t="str">
        <f>IFERROR(__xludf.DUMMYFUNCTION("GOOGLETRANSLATE(D387, ""en"", ""hi"")"),"C) आइन-ए-अकबरी")</f>
        <v>C) आइन-ए-अकबरी</v>
      </c>
    </row>
    <row r="388" ht="22.5" customHeight="1">
      <c r="A388" s="3">
        <v>387.0</v>
      </c>
      <c r="B388" s="4" t="s">
        <v>11835</v>
      </c>
      <c r="C388" s="4" t="s">
        <v>11836</v>
      </c>
      <c r="D388" s="4" t="s">
        <v>11701</v>
      </c>
      <c r="F388" s="5" t="str">
        <f>IFERROR(__xludf.DUMMYFUNCTION("GOOGLETRANSLATE(A388, ""en"", ""hi"")"),"387")</f>
        <v>387</v>
      </c>
      <c r="G388" s="5" t="str">
        <f>IFERROR(__xludf.DUMMYFUNCTION("GOOGLETRANSLATE(B388, ""en"", ""hi"")"),"ग्रामीण भारत में गिल्ली डंडा किस आयु वर्ग के बीच एक लोकप्रिय खेल था?")</f>
        <v>ग्रामीण भारत में गिल्ली डंडा किस आयु वर्ग के बीच एक लोकप्रिय खेल था?</v>
      </c>
      <c r="H388" s="5" t="str">
        <f>IFERROR(__xludf.DUMMYFUNCTION("GOOGLETRANSLATE(C388, ""en"", ""hi"")"),"A) वयस्क, B) बुजुर्ग, C) बच्चे, D) महिलाएं")</f>
        <v>A) वयस्क, B) बुजुर्ग, C) बच्चे, D) महिलाएं</v>
      </c>
      <c r="I388" s="5" t="str">
        <f>IFERROR(__xludf.DUMMYFUNCTION("GOOGLETRANSLATE(D388, ""en"", ""hi"")"),"सी) बच्चे")</f>
        <v>सी) बच्चे</v>
      </c>
    </row>
    <row r="389" ht="22.5" customHeight="1">
      <c r="A389" s="3">
        <v>388.0</v>
      </c>
      <c r="B389" s="4" t="s">
        <v>11837</v>
      </c>
      <c r="C389" s="4" t="s">
        <v>8240</v>
      </c>
      <c r="D389" s="4" t="s">
        <v>28</v>
      </c>
      <c r="F389" s="5" t="str">
        <f>IFERROR(__xludf.DUMMYFUNCTION("GOOGLETRANSLATE(A389, ""en"", ""hi"")"),"388")</f>
        <v>388</v>
      </c>
      <c r="G389" s="5" t="str">
        <f>IFERROR(__xludf.DUMMYFUNCTION("GOOGLETRANSLATE(B389, ""en"", ""hi"")"),"गिल्ली डंडा भारत के अलावा किस देश में सबसे पुराने पारंपरिक खेलों में से एक माना जाता है?")</f>
        <v>गिल्ली डंडा भारत के अलावा किस देश में सबसे पुराने पारंपरिक खेलों में से एक माना जाता है?</v>
      </c>
      <c r="H389" s="5" t="str">
        <f>IFERROR(__xludf.DUMMYFUNCTION("GOOGLETRANSLATE(C389, ""en"", ""hi"")"),"A) बांग्लादेश, B) पाकिस्तान, C) श्रीलंका, D) नेपाल")</f>
        <v>A) बांग्लादेश, B) पाकिस्तान, C) श्रीलंका, D) नेपाल</v>
      </c>
      <c r="I389" s="5" t="str">
        <f>IFERROR(__xludf.DUMMYFUNCTION("GOOGLETRANSLATE(D389, ""en"", ""hi"")"),"बी) पाकिस्तान")</f>
        <v>बी) पाकिस्तान</v>
      </c>
    </row>
    <row r="390" ht="22.5" customHeight="1">
      <c r="A390" s="3">
        <v>389.0</v>
      </c>
      <c r="B390" s="4" t="s">
        <v>11838</v>
      </c>
      <c r="C390" s="4" t="s">
        <v>11839</v>
      </c>
      <c r="D390" s="4" t="s">
        <v>49</v>
      </c>
      <c r="F390" s="5" t="str">
        <f>IFERROR(__xludf.DUMMYFUNCTION("GOOGLETRANSLATE(A390, ""en"", ""hi"")"),"389")</f>
        <v>389</v>
      </c>
      <c r="G390" s="5" t="str">
        <f>IFERROR(__xludf.DUMMYFUNCTION("GOOGLETRANSLATE(B390, ""en"", ""hi"")"),"भारत के किस क्षेत्र में गिल्ली डंडा को 'डंडो' कहा जाता है?")</f>
        <v>भारत के किस क्षेत्र में गिल्ली डंडा को 'डंडो' कहा जाता है?</v>
      </c>
      <c r="H390" s="5" t="str">
        <f>IFERROR(__xludf.DUMMYFUNCTION("GOOGLETRANSLATE(C390, ""en"", ""hi"")"),"ए) गुजरात, बी) बिहार, सी) ओडिशा, डी) उत्तर प्रदेश")</f>
        <v>ए) गुजरात, बी) बिहार, सी) ओडिशा, डी) उत्तर प्रदेश</v>
      </c>
      <c r="I390" s="5" t="str">
        <f>IFERROR(__xludf.DUMMYFUNCTION("GOOGLETRANSLATE(D390, ""en"", ""hi"")"),"A) गुजरात")</f>
        <v>A) गुजरात</v>
      </c>
    </row>
    <row r="391" ht="22.5" customHeight="1">
      <c r="A391" s="3">
        <v>390.0</v>
      </c>
      <c r="B391" s="4" t="s">
        <v>11840</v>
      </c>
      <c r="C391" s="4" t="s">
        <v>11841</v>
      </c>
      <c r="D391" s="4" t="s">
        <v>3881</v>
      </c>
      <c r="F391" s="5" t="str">
        <f>IFERROR(__xludf.DUMMYFUNCTION("GOOGLETRANSLATE(A391, ""en"", ""hi"")"),"390")</f>
        <v>390</v>
      </c>
      <c r="G391" s="5" t="str">
        <f>IFERROR(__xludf.DUMMYFUNCTION("GOOGLETRANSLATE(B391, ""en"", ""hi"")"),"गिल्ली डंडा दक्षिण भारत में किस राजवंश के शासनकाल के दौरान लोकप्रिय हुआ?")</f>
        <v>गिल्ली डंडा दक्षिण भारत में किस राजवंश के शासनकाल के दौरान लोकप्रिय हुआ?</v>
      </c>
      <c r="H391" s="5" t="str">
        <f>IFERROR(__xludf.DUMMYFUNCTION("GOOGLETRANSLATE(C391, ""en"", ""hi"")"),"ए) पांड्य, बी) चोल, सी) चेर, डी) पल्लव")</f>
        <v>ए) पांड्य, बी) चोल, सी) चेर, डी) पल्लव</v>
      </c>
      <c r="I391" s="5" t="str">
        <f>IFERROR(__xludf.DUMMYFUNCTION("GOOGLETRANSLATE(D391, ""en"", ""hi"")"),"बी) चोल")</f>
        <v>बी) चोल</v>
      </c>
    </row>
    <row r="392" ht="22.5" customHeight="1">
      <c r="A392" s="3">
        <v>391.0</v>
      </c>
      <c r="B392" s="4" t="s">
        <v>11842</v>
      </c>
      <c r="C392" s="4" t="s">
        <v>11843</v>
      </c>
      <c r="D392" s="4" t="s">
        <v>11844</v>
      </c>
      <c r="F392" s="5" t="str">
        <f>IFERROR(__xludf.DUMMYFUNCTION("GOOGLETRANSLATE(A392, ""en"", ""hi"")"),"391")</f>
        <v>391</v>
      </c>
      <c r="G392" s="5" t="str">
        <f>IFERROR(__xludf.DUMMYFUNCTION("GOOGLETRANSLATE(B392, ""en"", ""hi"")"),"प्राचीन काल में गिल्ली डंडा मुख्यतः दिन के किस समय खेला जाता था?")</f>
        <v>प्राचीन काल में गिल्ली डंडा मुख्यतः दिन के किस समय खेला जाता था?</v>
      </c>
      <c r="H392" s="5" t="str">
        <f>IFERROR(__xludf.DUMMYFUNCTION("GOOGLETRANSLATE(C392, ""en"", ""hi"")"),"A) सुबह, B) दोपहर, C) शाम, D) रात")</f>
        <v>A) सुबह, B) दोपहर, C) शाम, D) रात</v>
      </c>
      <c r="I392" s="5" t="str">
        <f>IFERROR(__xludf.DUMMYFUNCTION("GOOGLETRANSLATE(D392, ""en"", ""hi"")"),"ए) सुबह")</f>
        <v>ए) सुबह</v>
      </c>
    </row>
    <row r="393" ht="22.5" customHeight="1">
      <c r="A393" s="3">
        <v>392.0</v>
      </c>
      <c r="B393" s="4" t="s">
        <v>11845</v>
      </c>
      <c r="C393" s="4" t="s">
        <v>11846</v>
      </c>
      <c r="D393" s="4" t="s">
        <v>11847</v>
      </c>
      <c r="F393" s="5" t="str">
        <f>IFERROR(__xludf.DUMMYFUNCTION("GOOGLETRANSLATE(A393, ""en"", ""hi"")"),"392")</f>
        <v>392</v>
      </c>
      <c r="G393" s="5" t="str">
        <f>IFERROR(__xludf.DUMMYFUNCTION("GOOGLETRANSLATE(B393, ""en"", ""hi"")"),"ग्रामीण भारत में गिल्ली डंडा की लोकप्रियता किस कारण से बढ़ी?")</f>
        <v>ग्रामीण भारत में गिल्ली डंडा की लोकप्रियता किस कारण से बढ़ी?</v>
      </c>
      <c r="H393" s="5" t="str">
        <f>IFERROR(__xludf.DUMMYFUNCTION("GOOGLETRANSLATE(C393, ""en"", ""hi"")"),"A) सामग्री की सुलभता, B) धार्मिक महत्व, C) शाही संरक्षण, D) युद्ध प्रथाएँ")</f>
        <v>A) सामग्री की सुलभता, B) धार्मिक महत्व, C) शाही संरक्षण, D) युद्ध प्रथाएँ</v>
      </c>
      <c r="I393" s="5" t="str">
        <f>IFERROR(__xludf.DUMMYFUNCTION("GOOGLETRANSLATE(D393, ""en"", ""hi"")"),"ए) सामग्री की पहुंच")</f>
        <v>ए) सामग्री की पहुंच</v>
      </c>
    </row>
    <row r="394" ht="22.5" customHeight="1">
      <c r="A394" s="3">
        <v>393.0</v>
      </c>
      <c r="B394" s="4" t="s">
        <v>11848</v>
      </c>
      <c r="C394" s="4" t="s">
        <v>11849</v>
      </c>
      <c r="D394" s="4" t="s">
        <v>8761</v>
      </c>
      <c r="F394" s="5" t="str">
        <f>IFERROR(__xludf.DUMMYFUNCTION("GOOGLETRANSLATE(A394, ""en"", ""hi"")"),"393")</f>
        <v>393</v>
      </c>
      <c r="G394" s="5" t="str">
        <f>IFERROR(__xludf.DUMMYFUNCTION("GOOGLETRANSLATE(B394, ""en"", ""hi"")"),"कौन सा प्राचीन ग्रंथ गिल्ली डंडा को 'क्रीड़ाविधि', जिसका अर्थ है 'छड़ी का खेल' कहा गया है?")</f>
        <v>कौन सा प्राचीन ग्रंथ गिल्ली डंडा को 'क्रीड़ाविधि', जिसका अर्थ है 'छड़ी का खेल' कहा गया है?</v>
      </c>
      <c r="H394" s="5" t="str">
        <f>IFERROR(__xludf.DUMMYFUNCTION("GOOGLETRANSLATE(C394, ""en"", ""hi"")"),"ए) रामायण, बी) मनुस्मृति, सी) भागवत पुराण, डी) संगम साहित्य")</f>
        <v>ए) रामायण, बी) मनुस्मृति, सी) भागवत पुराण, डी) संगम साहित्य</v>
      </c>
      <c r="I394" s="5" t="str">
        <f>IFERROR(__xludf.DUMMYFUNCTION("GOOGLETRANSLATE(D394, ""en"", ""hi"")"),"D) संगम साहित्य")</f>
        <v>D) संगम साहित्य</v>
      </c>
    </row>
    <row r="395" ht="22.5" customHeight="1">
      <c r="A395" s="3">
        <v>394.0</v>
      </c>
      <c r="B395" s="4" t="s">
        <v>11850</v>
      </c>
      <c r="C395" s="4" t="s">
        <v>11851</v>
      </c>
      <c r="D395" s="4" t="s">
        <v>9563</v>
      </c>
      <c r="F395" s="5" t="str">
        <f>IFERROR(__xludf.DUMMYFUNCTION("GOOGLETRANSLATE(A395, ""en"", ""hi"")"),"394")</f>
        <v>394</v>
      </c>
      <c r="G395" s="5" t="str">
        <f>IFERROR(__xludf.DUMMYFUNCTION("GOOGLETRANSLATE(B395, ""en"", ""hi"")"),"गिल्ली और डंडा बनाने के लिए पारंपरिक रूप से किस प्रकार की लकड़ी को प्राथमिकता दी जाती थी?")</f>
        <v>गिल्ली और डंडा बनाने के लिए पारंपरिक रूप से किस प्रकार की लकड़ी को प्राथमिकता दी जाती थी?</v>
      </c>
      <c r="H395" s="5" t="str">
        <f>IFERROR(__xludf.DUMMYFUNCTION("GOOGLETRANSLATE(C395, ""en"", ""hi"")"),"A) बांस, B) सागौन, C) नीम, D) चंदन")</f>
        <v>A) बांस, B) सागौन, C) नीम, D) चंदन</v>
      </c>
      <c r="I395" s="5" t="str">
        <f>IFERROR(__xludf.DUMMYFUNCTION("GOOGLETRANSLATE(D395, ""en"", ""hi"")"),"A) बांस")</f>
        <v>A) बांस</v>
      </c>
    </row>
    <row r="396" ht="22.5" customHeight="1">
      <c r="A396" s="3">
        <v>395.0</v>
      </c>
      <c r="B396" s="4" t="s">
        <v>11852</v>
      </c>
      <c r="C396" s="4" t="s">
        <v>11853</v>
      </c>
      <c r="D396" s="4" t="s">
        <v>9548</v>
      </c>
      <c r="F396" s="5" t="str">
        <f>IFERROR(__xludf.DUMMYFUNCTION("GOOGLETRANSLATE(A396, ""en"", ""hi"")"),"395")</f>
        <v>395</v>
      </c>
      <c r="G396" s="5" t="str">
        <f>IFERROR(__xludf.DUMMYFUNCTION("GOOGLETRANSLATE(B396, ""en"", ""hi"")"),"गिल्ली डंडा किस ऐतिहासिक घटना के माध्यम से दक्षिण पूर्व एशिया में फैला?")</f>
        <v>गिल्ली डंडा किस ऐतिहासिक घटना के माध्यम से दक्षिण पूर्व एशिया में फैला?</v>
      </c>
      <c r="H396" s="5" t="str">
        <f>IFERROR(__xludf.DUMMYFUNCTION("GOOGLETRANSLATE(C396, ""en"", ""hi"")"),"A) व्यापार मार्ग, B) भारतीय प्रवासी, C) विजय अभियान, D) बौद्ध भिक्षु")</f>
        <v>A) व्यापार मार्ग, B) भारतीय प्रवासी, C) विजय अभियान, D) बौद्ध भिक्षु</v>
      </c>
      <c r="I396" s="5" t="str">
        <f>IFERROR(__xludf.DUMMYFUNCTION("GOOGLETRANSLATE(D396, ""en"", ""hi"")"),"ए) व्यापार मार्ग")</f>
        <v>ए) व्यापार मार्ग</v>
      </c>
    </row>
    <row r="397" ht="22.5" customHeight="1">
      <c r="A397" s="3">
        <v>396.0</v>
      </c>
      <c r="B397" s="4" t="s">
        <v>11854</v>
      </c>
      <c r="C397" s="4" t="s">
        <v>3956</v>
      </c>
      <c r="D397" s="4" t="s">
        <v>2646</v>
      </c>
      <c r="F397" s="5" t="str">
        <f>IFERROR(__xludf.DUMMYFUNCTION("GOOGLETRANSLATE(A397, ""en"", ""hi"")"),"396")</f>
        <v>396</v>
      </c>
      <c r="G397" s="5" t="str">
        <f>IFERROR(__xludf.DUMMYFUNCTION("GOOGLETRANSLATE(B397, ""en"", ""hi"")"),"पारंपरिक भारतीय गांवों में गिल्ली डंडा प्रतियोगिताएं किस त्यौहार के दौरान आयोजित की जाती थीं?")</f>
        <v>पारंपरिक भारतीय गांवों में गिल्ली डंडा प्रतियोगिताएं किस त्यौहार के दौरान आयोजित की जाती थीं?</v>
      </c>
      <c r="H397" s="5" t="str">
        <f>IFERROR(__xludf.DUMMYFUNCTION("GOOGLETRANSLATE(C397, ""en"", ""hi"")"),"ए) होली, बी) दिवाली, सी) मकर संक्रांति, डी) पोंगल")</f>
        <v>ए) होली, बी) दिवाली, सी) मकर संक्रांति, डी) पोंगल</v>
      </c>
      <c r="I397" s="5" t="str">
        <f>IFERROR(__xludf.DUMMYFUNCTION("GOOGLETRANSLATE(D397, ""en"", ""hi"")"),"C) मकर संक्रांति")</f>
        <v>C) मकर संक्रांति</v>
      </c>
    </row>
    <row r="398" ht="22.5" customHeight="1">
      <c r="A398" s="3">
        <v>397.0</v>
      </c>
      <c r="B398" s="4" t="s">
        <v>11855</v>
      </c>
      <c r="C398" s="4" t="s">
        <v>11856</v>
      </c>
      <c r="D398" s="4" t="s">
        <v>11392</v>
      </c>
      <c r="F398" s="5" t="str">
        <f>IFERROR(__xludf.DUMMYFUNCTION("GOOGLETRANSLATE(A398, ""en"", ""hi"")"),"397")</f>
        <v>397</v>
      </c>
      <c r="G398" s="5" t="str">
        <f>IFERROR(__xludf.DUMMYFUNCTION("GOOGLETRANSLATE(B398, ""en"", ""hi"")"),"प्राचीन भारत में गिल्ली डंडा का प्रयोग किस कौशल के प्रशिक्षण के रूप में किया जाता था?")</f>
        <v>प्राचीन भारत में गिल्ली डंडा का प्रयोग किस कौशल के प्रशिक्षण के रूप में किया जाता था?</v>
      </c>
      <c r="H398" s="5" t="str">
        <f>IFERROR(__xludf.DUMMYFUNCTION("GOOGLETRANSLATE(C398, ""en"", ""hi"")"),"A) तलवारबाजी, B) तीरंदाजी, C) कुश्ती, D) घुड़सवारी")</f>
        <v>A) तलवारबाजी, B) तीरंदाजी, C) कुश्ती, D) घुड़सवारी</v>
      </c>
      <c r="I398" s="5" t="str">
        <f>IFERROR(__xludf.DUMMYFUNCTION("GOOGLETRANSLATE(D398, ""en"", ""hi"")"),"बी) तीरंदाजी")</f>
        <v>बी) तीरंदाजी</v>
      </c>
    </row>
    <row r="399" ht="22.5" customHeight="1">
      <c r="A399" s="3">
        <v>398.0</v>
      </c>
      <c r="B399" s="4" t="s">
        <v>11857</v>
      </c>
      <c r="C399" s="4" t="s">
        <v>11858</v>
      </c>
      <c r="D399" s="4" t="s">
        <v>222</v>
      </c>
      <c r="F399" s="5" t="str">
        <f>IFERROR(__xludf.DUMMYFUNCTION("GOOGLETRANSLATE(A399, ""en"", ""hi"")"),"398")</f>
        <v>398</v>
      </c>
      <c r="G399" s="5" t="str">
        <f>IFERROR(__xludf.DUMMYFUNCTION("GOOGLETRANSLATE(B399, ""en"", ""hi"")"),"किस महाकाव्य में ग्राम्य जीवन के वर्णन में गिल्ली डंडा जैसे खेल का उल्लेख है?")</f>
        <v>किस महाकाव्य में ग्राम्य जीवन के वर्णन में गिल्ली डंडा जैसे खेल का उल्लेख है?</v>
      </c>
      <c r="H399" s="5" t="str">
        <f>IFERROR(__xludf.DUMMYFUNCTION("GOOGLETRANSLATE(C399, ""en"", ""hi"")"),"ए) महाभारत, बी) रामायण, सी) भगवद गीता, डी) हरिवंश")</f>
        <v>ए) महाभारत, बी) रामायण, सी) भगवद गीता, डी) हरिवंश</v>
      </c>
      <c r="I399" s="5" t="str">
        <f>IFERROR(__xludf.DUMMYFUNCTION("GOOGLETRANSLATE(D399, ""en"", ""hi"")"),"A) महाभारत")</f>
        <v>A) महाभारत</v>
      </c>
    </row>
    <row r="400" ht="22.5" customHeight="1">
      <c r="A400" s="3">
        <v>399.0</v>
      </c>
      <c r="B400" s="4" t="s">
        <v>11859</v>
      </c>
      <c r="C400" s="4" t="s">
        <v>11860</v>
      </c>
      <c r="D400" s="4" t="s">
        <v>11861</v>
      </c>
      <c r="F400" s="5" t="str">
        <f>IFERROR(__xludf.DUMMYFUNCTION("GOOGLETRANSLATE(A400, ""en"", ""hi"")"),"399")</f>
        <v>399</v>
      </c>
      <c r="G400" s="5" t="str">
        <f>IFERROR(__xludf.DUMMYFUNCTION("GOOGLETRANSLATE(B400, ""en"", ""hi"")"),"गिल्ली डंडा पारंपरिक रूप से इनमें से किस आदिवासी समुदाय में एक लोकप्रिय खेल था?")</f>
        <v>गिल्ली डंडा पारंपरिक रूप से इनमें से किस आदिवासी समुदाय में एक लोकप्रिय खेल था?</v>
      </c>
      <c r="H400" s="5" t="str">
        <f>IFERROR(__xludf.DUMMYFUNCTION("GOOGLETRANSLATE(C400, ""en"", ""hi"")"),"ए) संथाल, बी) भील, सी) गोंड, डी) टोडा")</f>
        <v>ए) संथाल, बी) भील, सी) गोंड, डी) टोडा</v>
      </c>
      <c r="I400" s="5" t="str">
        <f>IFERROR(__xludf.DUMMYFUNCTION("GOOGLETRANSLATE(D400, ""en"", ""hi"")"),"B) भील")</f>
        <v>B) भील</v>
      </c>
    </row>
    <row r="401" ht="22.5" customHeight="1">
      <c r="A401" s="3">
        <v>400.0</v>
      </c>
      <c r="B401" s="4" t="s">
        <v>11862</v>
      </c>
      <c r="C401" s="4" t="s">
        <v>11863</v>
      </c>
      <c r="D401" s="4" t="s">
        <v>11864</v>
      </c>
      <c r="F401" s="5" t="str">
        <f>IFERROR(__xludf.DUMMYFUNCTION("GOOGLETRANSLATE(A401, ""en"", ""hi"")"),"400")</f>
        <v>400</v>
      </c>
      <c r="G401" s="5" t="str">
        <f>IFERROR(__xludf.DUMMYFUNCTION("GOOGLETRANSLATE(B401, ""en"", ""hi"")"),"मुगल काल के दौरान गिल्ली डंडा कभी-कभी किस अन्य पारंपरिक खेल के साथ खेला जाता था?")</f>
        <v>मुगल काल के दौरान गिल्ली डंडा कभी-कभी किस अन्य पारंपरिक खेल के साथ खेला जाता था?</v>
      </c>
      <c r="H401" s="5" t="str">
        <f>IFERROR(__xludf.DUMMYFUNCTION("GOOGLETRANSLATE(C401, ""en"", ""hi"")"),"ए)कबड्डी, बी)पिट्ठू,सी)पचीसी,डी)चौपर")</f>
        <v>ए)कबड्डी, बी)पिट्ठू,सी)पचीसी,डी)चौपर</v>
      </c>
      <c r="I401" s="5" t="str">
        <f>IFERROR(__xludf.DUMMYFUNCTION("GOOGLETRANSLATE(D401, ""en"", ""hi"")"),"बी) पिठू")</f>
        <v>बी) पिठू</v>
      </c>
    </row>
    <row r="402" ht="22.5" customHeight="1">
      <c r="A402" s="3">
        <v>401.0</v>
      </c>
      <c r="B402" s="4" t="s">
        <v>11865</v>
      </c>
      <c r="C402" s="4" t="s">
        <v>11866</v>
      </c>
      <c r="D402" s="4" t="s">
        <v>4046</v>
      </c>
      <c r="F402" s="5" t="str">
        <f>IFERROR(__xludf.DUMMYFUNCTION("GOOGLETRANSLATE(A402, ""en"", ""hi"")"),"401")</f>
        <v>401</v>
      </c>
      <c r="G402" s="5" t="str">
        <f>IFERROR(__xludf.DUMMYFUNCTION("GOOGLETRANSLATE(B402, ""en"", ""hi"")"),"मध्यकाल के दौरान भारत आने वाले किस विदेशी आगंतुक ने गिल्ली डंडा जैसा कोई खेल देखा था?")</f>
        <v>मध्यकाल के दौरान भारत आने वाले किस विदेशी आगंतुक ने गिल्ली डंडा जैसा कोई खेल देखा था?</v>
      </c>
      <c r="H402" s="5" t="str">
        <f>IFERROR(__xludf.DUMMYFUNCTION("GOOGLETRANSLATE(C402, ""en"", ""hi"")"),"ए) इब्न बतूता, बी) अल-बिरूनी, सी) फा-हिएन, डी) मार्को पोलो")</f>
        <v>ए) इब्न बतूता, बी) अल-बिरूनी, सी) फा-हिएन, डी) मार्को पोलो</v>
      </c>
      <c r="I402" s="5" t="str">
        <f>IFERROR(__xludf.DUMMYFUNCTION("GOOGLETRANSLATE(D402, ""en"", ""hi"")"),"B) अल-बिरूनी")</f>
        <v>B) अल-बिरूनी</v>
      </c>
    </row>
    <row r="403" ht="22.5" customHeight="1">
      <c r="A403" s="3">
        <v>402.0</v>
      </c>
      <c r="B403" s="4" t="s">
        <v>11867</v>
      </c>
      <c r="C403" s="4" t="s">
        <v>11868</v>
      </c>
      <c r="D403" s="4" t="s">
        <v>11869</v>
      </c>
      <c r="F403" s="5" t="str">
        <f>IFERROR(__xludf.DUMMYFUNCTION("GOOGLETRANSLATE(A403, ""en"", ""hi"")"),"402")</f>
        <v>402</v>
      </c>
      <c r="G403" s="5" t="str">
        <f>IFERROR(__xludf.DUMMYFUNCTION("GOOGLETRANSLATE(B403, ""en"", ""hi"")"),"ग्रामीण भारत में गिल्ली डंडा कभी-कभी किस प्राचीन त्यौहार की याद में खेला जाता था?")</f>
        <v>ग्रामीण भारत में गिल्ली डंडा कभी-कभी किस प्राचीन त्यौहार की याद में खेला जाता था?</v>
      </c>
      <c r="H403" s="5" t="str">
        <f>IFERROR(__xludf.DUMMYFUNCTION("GOOGLETRANSLATE(C403, ""en"", ""hi"")"),"ए) इंद्र उत्सव, बी) रथ यात्रा, सी) नाग पंचमी, डी) कार्तिक पूर्णिमा")</f>
        <v>ए) इंद्र उत्सव, बी) रथ यात्रा, सी) नाग पंचमी, डी) कार्तिक पूर्णिमा</v>
      </c>
      <c r="I403" s="5" t="str">
        <f>IFERROR(__xludf.DUMMYFUNCTION("GOOGLETRANSLATE(D403, ""en"", ""hi"")"),"A) इंद्र उत्सव")</f>
        <v>A) इंद्र उत्सव</v>
      </c>
    </row>
    <row r="404" ht="22.5" customHeight="1">
      <c r="A404" s="3">
        <v>403.0</v>
      </c>
      <c r="B404" s="4" t="s">
        <v>11870</v>
      </c>
      <c r="C404" s="4" t="s">
        <v>11871</v>
      </c>
      <c r="D404" s="4" t="s">
        <v>11872</v>
      </c>
      <c r="F404" s="5" t="str">
        <f>IFERROR(__xludf.DUMMYFUNCTION("GOOGLETRANSLATE(A404, ""en"", ""hi"")"),"403")</f>
        <v>403</v>
      </c>
      <c r="G404" s="5" t="str">
        <f>IFERROR(__xludf.DUMMYFUNCTION("GOOGLETRANSLATE(B404, ""en"", ""hi"")"),"किस शताब्दी में गिल्ली डंडा उत्तरी भारत में व्यापक रूप से प्रचलित हो गया?")</f>
        <v>किस शताब्दी में गिल्ली डंडा उत्तरी भारत में व्यापक रूप से प्रचलित हो गया?</v>
      </c>
      <c r="H404" s="5" t="str">
        <f>IFERROR(__xludf.DUMMYFUNCTION("GOOGLETRANSLATE(C404, ""en"", ""hi"")"),"A) 5वीं शताब्दी ईसा पूर्व, B) पहली शताब्दी ई., C) 7वीं शताब्दी ई., D) 10वीं शताब्दी ई.")</f>
        <v>A) 5वीं शताब्दी ईसा पूर्व, B) पहली शताब्दी ई., C) 7वीं शताब्दी ई., D) 10वीं शताब्दी ई.</v>
      </c>
      <c r="I404" s="5" t="str">
        <f>IFERROR(__xludf.DUMMYFUNCTION("GOOGLETRANSLATE(D404, ""en"", ""hi"")"),"सी) 7वीं शताब्दी ई.")</f>
        <v>सी) 7वीं शताब्दी ई.</v>
      </c>
    </row>
    <row r="405" ht="22.5" customHeight="1">
      <c r="A405" s="3">
        <v>404.0</v>
      </c>
      <c r="B405" s="4" t="s">
        <v>11873</v>
      </c>
      <c r="C405" s="4" t="s">
        <v>11874</v>
      </c>
      <c r="D405" s="4" t="s">
        <v>11875</v>
      </c>
      <c r="F405" s="5" t="str">
        <f>IFERROR(__xludf.DUMMYFUNCTION("GOOGLETRANSLATE(A405, ""en"", ""hi"")"),"404")</f>
        <v>404</v>
      </c>
      <c r="G405" s="5" t="str">
        <f>IFERROR(__xludf.DUMMYFUNCTION("GOOGLETRANSLATE(B405, ""en"", ""hi"")"),"गिल्ली डंडा का संबंध किस प्राचीन वैदिक खेल से है?")</f>
        <v>गिल्ली डंडा का संबंध किस प्राचीन वैदिक खेल से है?</v>
      </c>
      <c r="H405" s="5" t="str">
        <f>IFERROR(__xludf.DUMMYFUNCTION("GOOGLETRANSLATE(C405, ""en"", ""hi"")"),"ए) चतुरंग, बी) धनुर्विद्या, सी) युद्ध, डी) अश्वमेध")</f>
        <v>ए) चतुरंग, बी) धनुर्विद्या, सी) युद्ध, डी) अश्वमेध</v>
      </c>
      <c r="I405" s="5" t="str">
        <f>IFERROR(__xludf.DUMMYFUNCTION("GOOGLETRANSLATE(D405, ""en"", ""hi"")"),"बी) धनुर्विद्या")</f>
        <v>बी) धनुर्विद्या</v>
      </c>
    </row>
    <row r="406" ht="22.5" customHeight="1">
      <c r="A406" s="3">
        <v>405.0</v>
      </c>
      <c r="B406" s="4" t="s">
        <v>11876</v>
      </c>
      <c r="C406" s="4" t="s">
        <v>11877</v>
      </c>
      <c r="D406" s="4" t="s">
        <v>222</v>
      </c>
      <c r="F406" s="5" t="str">
        <f>IFERROR(__xludf.DUMMYFUNCTION("GOOGLETRANSLATE(A406, ""en"", ""hi"")"),"405")</f>
        <v>405</v>
      </c>
      <c r="G406" s="5" t="str">
        <f>IFERROR(__xludf.DUMMYFUNCTION("GOOGLETRANSLATE(B406, ""en"", ""hi"")"),"कौन सा प्राचीन भारतीय ग्रंथ गिल्ली डंडा को एक ऐसे खेल के रूप में संदर्भित करता है जो ग्रामीण परंपराओं का हिस्सा था?")</f>
        <v>कौन सा प्राचीन भारतीय ग्रंथ गिल्ली डंडा को एक ऐसे खेल के रूप में संदर्भित करता है जो ग्रामीण परंपराओं का हिस्सा था?</v>
      </c>
      <c r="H406" s="5" t="str">
        <f>IFERROR(__xludf.DUMMYFUNCTION("GOOGLETRANSLATE(C406, ""en"", ""hi"")"),"ए) महाभारत, बी) मनुस्मृति, सी) अथर्ववेद, डी) बृहददेशी")</f>
        <v>ए) महाभारत, बी) मनुस्मृति, सी) अथर्ववेद, डी) बृहददेशी</v>
      </c>
      <c r="I406" s="5" t="str">
        <f>IFERROR(__xludf.DUMMYFUNCTION("GOOGLETRANSLATE(D406, ""en"", ""hi"")"),"A) महाभारत")</f>
        <v>A) महाभारत</v>
      </c>
    </row>
    <row r="407" ht="22.5" customHeight="1">
      <c r="A407" s="3">
        <v>406.0</v>
      </c>
      <c r="B407" s="4" t="s">
        <v>11878</v>
      </c>
      <c r="C407" s="4" t="s">
        <v>11879</v>
      </c>
      <c r="D407" s="4" t="s">
        <v>11754</v>
      </c>
      <c r="F407" s="5" t="str">
        <f>IFERROR(__xludf.DUMMYFUNCTION("GOOGLETRANSLATE(A407, ""en"", ""hi"")"),"406")</f>
        <v>406</v>
      </c>
      <c r="G407" s="5" t="str">
        <f>IFERROR(__xludf.DUMMYFUNCTION("GOOGLETRANSLATE(B407, ""en"", ""hi"")"),"गिल्ली डंडा की उत्पत्ति किस प्रारंभिक भारतीय सभ्यता से मानी जाती है?")</f>
        <v>गिल्ली डंडा की उत्पत्ति किस प्रारंभिक भारतीय सभ्यता से मानी जाती है?</v>
      </c>
      <c r="H407" s="5" t="str">
        <f>IFERROR(__xludf.DUMMYFUNCTION("GOOGLETRANSLATE(C407, ""en"", ""hi"")"),"A) सिंधु घाटी सभ्यता, B) गुप्त साम्राज्य, C) मौर्य साम्राज्य, D) चोल वंश")</f>
        <v>A) सिंधु घाटी सभ्यता, B) गुप्त साम्राज्य, C) मौर्य साम्राज्य, D) चोल वंश</v>
      </c>
      <c r="I407" s="5" t="str">
        <f>IFERROR(__xludf.DUMMYFUNCTION("GOOGLETRANSLATE(D407, ""en"", ""hi"")"),"A) सिंधु घाटी सभ्यता")</f>
        <v>A) सिंधु घाटी सभ्यता</v>
      </c>
    </row>
    <row r="408" ht="22.5" customHeight="1">
      <c r="A408" s="3">
        <v>407.0</v>
      </c>
      <c r="B408" s="4" t="s">
        <v>11880</v>
      </c>
      <c r="C408" s="4" t="s">
        <v>11881</v>
      </c>
      <c r="D408" s="4" t="s">
        <v>11882</v>
      </c>
      <c r="F408" s="5" t="str">
        <f>IFERROR(__xludf.DUMMYFUNCTION("GOOGLETRANSLATE(A408, ""en"", ""hi"")"),"407")</f>
        <v>407</v>
      </c>
      <c r="G408" s="5" t="str">
        <f>IFERROR(__xludf.DUMMYFUNCTION("GOOGLETRANSLATE(B408, ""en"", ""hi"")"),"मध्यकालीन भारत में गिल्ली डंडा किन शासकों के आंगनों में खेला जाता था?")</f>
        <v>मध्यकालीन भारत में गिल्ली डंडा किन शासकों के आंगनों में खेला जाता था?</v>
      </c>
      <c r="H408" s="5" t="str">
        <f>IFERROR(__xludf.DUMMYFUNCTION("GOOGLETRANSLATE(C408, ""en"", ""hi"")"),"A) मुगल सम्राट, B) राजपूत राजा, C) मराठा योद्धा, D) विजयनगर शासक")</f>
        <v>A) मुगल सम्राट, B) राजपूत राजा, C) मराठा योद्धा, D) विजयनगर शासक</v>
      </c>
      <c r="I408" s="5" t="str">
        <f>IFERROR(__xludf.DUMMYFUNCTION("GOOGLETRANSLATE(D408, ""en"", ""hi"")"),"बी) राजपूत राजाओं")</f>
        <v>बी) राजपूत राजाओं</v>
      </c>
    </row>
    <row r="409" ht="22.5" customHeight="1">
      <c r="A409" s="3">
        <v>408.0</v>
      </c>
      <c r="B409" s="4" t="s">
        <v>11883</v>
      </c>
      <c r="C409" s="4" t="s">
        <v>2948</v>
      </c>
      <c r="D409" s="4" t="s">
        <v>2544</v>
      </c>
      <c r="F409" s="5" t="str">
        <f>IFERROR(__xludf.DUMMYFUNCTION("GOOGLETRANSLATE(A409, ""en"", ""hi"")"),"408")</f>
        <v>408</v>
      </c>
      <c r="G409" s="5" t="str">
        <f>IFERROR(__xludf.DUMMYFUNCTION("GOOGLETRANSLATE(B409, ""en"", ""hi"")"),"किस प्रसिद्ध भारतीय महाकाव्य में गिल्ली डंडा जैसे खेल का उल्लेख है?")</f>
        <v>किस प्रसिद्ध भारतीय महाकाव्य में गिल्ली डंडा जैसे खेल का उल्लेख है?</v>
      </c>
      <c r="H409" s="5" t="str">
        <f>IFERROR(__xludf.DUMMYFUNCTION("GOOGLETRANSLATE(C409, ""en"", ""hi"")"),"ए) रामायण, बी) महाभारत, सी) भगवद गीता, डी) उपनिषद")</f>
        <v>ए) रामायण, बी) महाभारत, सी) भगवद गीता, डी) उपनिषद</v>
      </c>
      <c r="I409" s="5" t="str">
        <f>IFERROR(__xludf.DUMMYFUNCTION("GOOGLETRANSLATE(D409, ""en"", ""hi"")"),"बी) महाभारत")</f>
        <v>बी) महाभारत</v>
      </c>
    </row>
    <row r="410" ht="22.5" customHeight="1">
      <c r="A410" s="3">
        <v>409.0</v>
      </c>
      <c r="B410" s="4" t="s">
        <v>11884</v>
      </c>
      <c r="C410" s="4" t="s">
        <v>11885</v>
      </c>
      <c r="D410" s="4" t="s">
        <v>11886</v>
      </c>
      <c r="F410" s="5" t="str">
        <f>IFERROR(__xludf.DUMMYFUNCTION("GOOGLETRANSLATE(A410, ""en"", ""hi"")"),"409")</f>
        <v>409</v>
      </c>
      <c r="G410" s="5" t="str">
        <f>IFERROR(__xludf.DUMMYFUNCTION("GOOGLETRANSLATE(B410, ""en"", ""hi"")"),"कौन सी ऐतिहासिक भारतीय हस्ती अपनी युवावस्था में गिल्ली डंडा खेलने के लिए जानी जाती थी?")</f>
        <v>कौन सी ऐतिहासिक भारतीय हस्ती अपनी युवावस्था में गिल्ली डंडा खेलने के लिए जानी जाती थी?</v>
      </c>
      <c r="H410" s="5" t="str">
        <f>IFERROR(__xludf.DUMMYFUNCTION("GOOGLETRANSLATE(C410, ""en"", ""hi"")"),"A) महात्मा गांधी, B) भगत सिंह, C) सुभाष चंद्र बोस, D) राजा राम मोहन राय")</f>
        <v>A) महात्मा गांधी, B) भगत सिंह, C) सुभाष चंद्र बोस, D) राजा राम मोहन राय</v>
      </c>
      <c r="I410" s="5" t="str">
        <f>IFERROR(__xludf.DUMMYFUNCTION("GOOGLETRANSLATE(D410, ""en"", ""hi"")"),"बी) भगत सिंह")</f>
        <v>बी) भगत सिंह</v>
      </c>
    </row>
    <row r="411" ht="22.5" customHeight="1">
      <c r="A411" s="3">
        <v>410.0</v>
      </c>
      <c r="B411" s="4" t="s">
        <v>11887</v>
      </c>
      <c r="C411" s="4" t="s">
        <v>11888</v>
      </c>
      <c r="D411" s="4" t="s">
        <v>11889</v>
      </c>
      <c r="F411" s="5" t="str">
        <f>IFERROR(__xludf.DUMMYFUNCTION("GOOGLETRANSLATE(A411, ""en"", ""hi"")"),"410")</f>
        <v>410</v>
      </c>
      <c r="G411" s="5" t="str">
        <f>IFERROR(__xludf.DUMMYFUNCTION("GOOGLETRANSLATE(B411, ""en"", ""hi"")"),"कहा जाता है कि प्राचीन भारत में सैनिकों द्वारा गिल्ली डंडा किस कौशल को सुधारने के लिए खेला जाता था?")</f>
        <v>कहा जाता है कि प्राचीन भारत में सैनिकों द्वारा गिल्ली डंडा किस कौशल को सुधारने के लिए खेला जाता था?</v>
      </c>
      <c r="H411" s="5" t="str">
        <f>IFERROR(__xludf.DUMMYFUNCTION("GOOGLETRANSLATE(C411, ""en"", ""hi"")"),"A) चपलता, B) तीरंदाजी, C) संतुलन, D) समन्वय")</f>
        <v>A) चपलता, B) तीरंदाजी, C) संतुलन, D) समन्वय</v>
      </c>
      <c r="I411" s="5" t="str">
        <f>IFERROR(__xludf.DUMMYFUNCTION("GOOGLETRANSLATE(D411, ""en"", ""hi"")"),"डी) समन्वय")</f>
        <v>डी) समन्वय</v>
      </c>
    </row>
    <row r="412" ht="22.5" customHeight="1">
      <c r="A412" s="3">
        <v>411.0</v>
      </c>
      <c r="B412" s="4" t="s">
        <v>11890</v>
      </c>
      <c r="C412" s="4" t="s">
        <v>11891</v>
      </c>
      <c r="D412" s="4" t="s">
        <v>11892</v>
      </c>
      <c r="F412" s="5" t="str">
        <f>IFERROR(__xludf.DUMMYFUNCTION("GOOGLETRANSLATE(A412, ""en"", ""hi"")"),"411")</f>
        <v>411</v>
      </c>
      <c r="G412" s="5" t="str">
        <f>IFERROR(__xludf.DUMMYFUNCTION("GOOGLETRANSLATE(B412, ""en"", ""hi"")"),"दक्षिण भारत में गिल्ली डंडा को ऐतिहासिक रूप से किस स्थानीय नाम से जाना जाता है?")</f>
        <v>दक्षिण भारत में गिल्ली डंडा को ऐतिहासिक रूप से किस स्थानीय नाम से जाना जाता है?</v>
      </c>
      <c r="H412" s="5" t="str">
        <f>IFERROR(__xludf.DUMMYFUNCTION("GOOGLETRANSLATE(C412, ""en"", ""hi"")"),"ए) वट्टी डांडू, बी) गोटी, सी) कांचा, डी) चिन्नी डांडू")</f>
        <v>ए) वट्टी डांडू, बी) गोटी, सी) कांचा, डी) चिन्नी डांडू</v>
      </c>
      <c r="I412" s="5" t="str">
        <f>IFERROR(__xludf.DUMMYFUNCTION("GOOGLETRANSLATE(D412, ""en"", ""hi"")"),"D) चिन्नी दंडु")</f>
        <v>D) चिन्नी दंडु</v>
      </c>
    </row>
    <row r="413" ht="22.5" customHeight="1">
      <c r="A413" s="3">
        <v>412.0</v>
      </c>
      <c r="B413" s="4" t="s">
        <v>11893</v>
      </c>
      <c r="C413" s="4" t="s">
        <v>11894</v>
      </c>
      <c r="D413" s="4" t="s">
        <v>66</v>
      </c>
      <c r="F413" s="5" t="str">
        <f>IFERROR(__xludf.DUMMYFUNCTION("GOOGLETRANSLATE(A413, ""en"", ""hi"")"),"412")</f>
        <v>412</v>
      </c>
      <c r="G413" s="5" t="str">
        <f>IFERROR(__xludf.DUMMYFUNCTION("GOOGLETRANSLATE(B413, ""en"", ""hi"")"),"भारत का कौन सा क्षेत्र फसल उत्सव के दौरान गिल्ली डंडा को एक पारंपरिक खेल मानता है?")</f>
        <v>भारत का कौन सा क्षेत्र फसल उत्सव के दौरान गिल्ली डंडा को एक पारंपरिक खेल मानता है?</v>
      </c>
      <c r="H413" s="5" t="str">
        <f>IFERROR(__xludf.DUMMYFUNCTION("GOOGLETRANSLATE(C413, ""en"", ""hi"")"),"ए) पंजाब, बी) राजस्थान, सी) केरल, डी) असम")</f>
        <v>ए) पंजाब, बी) राजस्थान, सी) केरल, डी) असम</v>
      </c>
      <c r="I413" s="5" t="str">
        <f>IFERROR(__xludf.DUMMYFUNCTION("GOOGLETRANSLATE(D413, ""en"", ""hi"")"),"A) पंजाब")</f>
        <v>A) पंजाब</v>
      </c>
    </row>
    <row r="414" ht="22.5" customHeight="1">
      <c r="A414" s="3">
        <v>413.0</v>
      </c>
      <c r="B414" s="4" t="s">
        <v>11895</v>
      </c>
      <c r="C414" s="4" t="s">
        <v>11896</v>
      </c>
      <c r="D414" s="4" t="s">
        <v>4161</v>
      </c>
      <c r="F414" s="5" t="str">
        <f>IFERROR(__xludf.DUMMYFUNCTION("GOOGLETRANSLATE(A414, ""en"", ""hi"")"),"413")</f>
        <v>413</v>
      </c>
      <c r="G414" s="5" t="str">
        <f>IFERROR(__xludf.DUMMYFUNCTION("GOOGLETRANSLATE(B414, ""en"", ""hi"")"),"माना जाता है कि गिल्ली और डंडा का प्रयोग किस प्राचीन भारतीय प्रथा का प्रतीकात्मक प्रतिनिधित्व करता है?")</f>
        <v>माना जाता है कि गिल्ली और डंडा का प्रयोग किस प्राचीन भारतीय प्रथा का प्रतीकात्मक प्रतिनिधित्व करता है?</v>
      </c>
      <c r="H414" s="5" t="str">
        <f>IFERROR(__xludf.DUMMYFUNCTION("GOOGLETRANSLATE(C414, ""en"", ""hi"")"),"A) योग, B) मार्शल आर्ट, C) अध्यात्म, D) कृषि")</f>
        <v>A) योग, B) मार्शल आर्ट, C) अध्यात्म, D) कृषि</v>
      </c>
      <c r="I414" s="5" t="str">
        <f>IFERROR(__xludf.DUMMYFUNCTION("GOOGLETRANSLATE(D414, ""en"", ""hi"")"),"बी) मार्शल आर्ट")</f>
        <v>बी) मार्शल आर्ट</v>
      </c>
    </row>
    <row r="415" ht="22.5" customHeight="1">
      <c r="A415" s="3">
        <v>414.0</v>
      </c>
      <c r="B415" s="4" t="s">
        <v>11897</v>
      </c>
      <c r="C415" s="4" t="s">
        <v>11898</v>
      </c>
      <c r="D415" s="4" t="s">
        <v>7800</v>
      </c>
      <c r="F415" s="5" t="str">
        <f>IFERROR(__xludf.DUMMYFUNCTION("GOOGLETRANSLATE(A415, ""en"", ""hi"")"),"414")</f>
        <v>414</v>
      </c>
      <c r="G415" s="5" t="str">
        <f>IFERROR(__xludf.DUMMYFUNCTION("GOOGLETRANSLATE(B415, ""en"", ""hi"")"),"गिल्ली डंडा किस भारतीय साम्राज्य के शहरी केंद्रों में एक सड़क खेल के रूप में खेला जाता था?")</f>
        <v>गिल्ली डंडा किस भारतीय साम्राज्य के शहरी केंद्रों में एक सड़क खेल के रूप में खेला जाता था?</v>
      </c>
      <c r="H415" s="5" t="str">
        <f>IFERROR(__xludf.DUMMYFUNCTION("GOOGLETRANSLATE(C415, ""en"", ""hi"")"),"A) मुगल साम्राज्य, B) मराठा साम्राज्य, C) गुप्त साम्राज्य, D) चोल साम्राज्य")</f>
        <v>A) मुगल साम्राज्य, B) मराठा साम्राज्य, C) गुप्त साम्राज्य, D) चोल साम्राज्य</v>
      </c>
      <c r="I415" s="5" t="str">
        <f>IFERROR(__xludf.DUMMYFUNCTION("GOOGLETRANSLATE(D415, ""en"", ""hi"")"),"A) मुगल साम्राज्य")</f>
        <v>A) मुगल साम्राज्य</v>
      </c>
    </row>
    <row r="416" ht="22.5" customHeight="1">
      <c r="A416" s="3">
        <v>415.0</v>
      </c>
      <c r="B416" s="4" t="s">
        <v>11899</v>
      </c>
      <c r="C416" s="4" t="s">
        <v>11900</v>
      </c>
      <c r="D416" s="4" t="s">
        <v>11901</v>
      </c>
      <c r="F416" s="5" t="str">
        <f>IFERROR(__xludf.DUMMYFUNCTION("GOOGLETRANSLATE(A416, ""en"", ""hi"")"),"415")</f>
        <v>415</v>
      </c>
      <c r="G416" s="5" t="str">
        <f>IFERROR(__xludf.DUMMYFUNCTION("GOOGLETRANSLATE(B416, ""en"", ""hi"")"),"ऐसा माना जाता है कि किस साम्राज्य के सैनिक युद्धों के बीच खाली समय में गिल्ली डंडा खेलते थे?")</f>
        <v>ऐसा माना जाता है कि किस साम्राज्य के सैनिक युद्धों के बीच खाली समय में गिल्ली डंडा खेलते थे?</v>
      </c>
      <c r="H416" s="5" t="str">
        <f>IFERROR(__xludf.DUMMYFUNCTION("GOOGLETRANSLATE(C416, ""en"", ""hi"")"),"A) मौर्य साम्राज्य, B) चालुक्य साम्राज्य, C) विजयनगर साम्राज्य, D) मराठा साम्राज्य")</f>
        <v>A) मौर्य साम्राज्य, B) चालुक्य साम्राज्य, C) विजयनगर साम्राज्य, D) मराठा साम्राज्य</v>
      </c>
      <c r="I416" s="5" t="str">
        <f>IFERROR(__xludf.DUMMYFUNCTION("GOOGLETRANSLATE(D416, ""en"", ""hi"")"),"D) मराठा साम्राज्य")</f>
        <v>D) मराठा साम्राज्य</v>
      </c>
    </row>
    <row r="417" ht="22.5" customHeight="1">
      <c r="A417" s="3">
        <v>416.0</v>
      </c>
      <c r="B417" s="4" t="s">
        <v>11902</v>
      </c>
      <c r="C417" s="4" t="s">
        <v>11903</v>
      </c>
      <c r="D417" s="4" t="s">
        <v>2598</v>
      </c>
      <c r="F417" s="5" t="str">
        <f>IFERROR(__xludf.DUMMYFUNCTION("GOOGLETRANSLATE(A417, ""en"", ""hi"")"),"416")</f>
        <v>416</v>
      </c>
      <c r="G417" s="5" t="str">
        <f>IFERROR(__xludf.DUMMYFUNCTION("GOOGLETRANSLATE(B417, ""en"", ""hi"")"),"भारतीय गांवों में गिल्ली डंडा अक्सर किस महत्वपूर्ण अवसर पर खेला जाता था?")</f>
        <v>भारतीय गांवों में गिल्ली डंडा अक्सर किस महत्वपूर्ण अवसर पर खेला जाता था?</v>
      </c>
      <c r="H417" s="5" t="str">
        <f>IFERROR(__xludf.DUMMYFUNCTION("GOOGLETRANSLATE(C417, ""en"", ""hi"")"),"A) फसल उत्सव, B) विवाह, C) राज्याभिषेक, D) विजय उत्सव")</f>
        <v>A) फसल उत्सव, B) विवाह, C) राज्याभिषेक, D) विजय उत्सव</v>
      </c>
      <c r="I417" s="5" t="str">
        <f>IFERROR(__xludf.DUMMYFUNCTION("GOOGLETRANSLATE(D417, ""en"", ""hi"")"),"A) फसल उत्सव")</f>
        <v>A) फसल उत्सव</v>
      </c>
    </row>
    <row r="418" ht="22.5" customHeight="1">
      <c r="A418" s="3">
        <v>417.0</v>
      </c>
      <c r="B418" s="4" t="s">
        <v>11904</v>
      </c>
      <c r="C418" s="4" t="s">
        <v>11905</v>
      </c>
      <c r="D418" s="4" t="s">
        <v>11714</v>
      </c>
      <c r="F418" s="5" t="str">
        <f>IFERROR(__xludf.DUMMYFUNCTION("GOOGLETRANSLATE(A418, ""en"", ""hi"")"),"417")</f>
        <v>417</v>
      </c>
      <c r="G418" s="5" t="str">
        <f>IFERROR(__xludf.DUMMYFUNCTION("GOOGLETRANSLATE(B418, ""en"", ""hi"")"),"ब्रिटिश भारत में गिल्ली डंडा को किस खेल के पक्ष में हतोत्साहित किया गया था?")</f>
        <v>ब्रिटिश भारत में गिल्ली डंडा को किस खेल के पक्ष में हतोत्साहित किया गया था?</v>
      </c>
      <c r="H418" s="5" t="str">
        <f>IFERROR(__xludf.DUMMYFUNCTION("GOOGLETRANSLATE(C418, ""en"", ""hi"")"),"A) रग्बी, B) क्रिकेट, C) पोलो, D) फुटबॉल")</f>
        <v>A) रग्बी, B) क्रिकेट, C) पोलो, D) फुटबॉल</v>
      </c>
      <c r="I418" s="5" t="str">
        <f>IFERROR(__xludf.DUMMYFUNCTION("GOOGLETRANSLATE(D418, ""en"", ""hi"")"),"बी) क्रिकेट")</f>
        <v>बी) क्रिकेट</v>
      </c>
    </row>
    <row r="419" ht="22.5" customHeight="1">
      <c r="A419" s="3">
        <v>418.0</v>
      </c>
      <c r="B419" s="4" t="s">
        <v>11906</v>
      </c>
      <c r="C419" s="4" t="s">
        <v>11907</v>
      </c>
      <c r="D419" s="4" t="s">
        <v>11908</v>
      </c>
      <c r="F419" s="5" t="str">
        <f>IFERROR(__xludf.DUMMYFUNCTION("GOOGLETRANSLATE(A419, ""en"", ""hi"")"),"418")</f>
        <v>418</v>
      </c>
      <c r="G419" s="5" t="str">
        <f>IFERROR(__xludf.DUMMYFUNCTION("GOOGLETRANSLATE(B419, ""en"", ""hi"")"),"मध्यकाल में गिल्ली डंडा की लोकप्रियता किस पड़ोसी देश तक फैली?")</f>
        <v>मध्यकाल में गिल्ली डंडा की लोकप्रियता किस पड़ोसी देश तक फैली?</v>
      </c>
      <c r="H419" s="5" t="str">
        <f>IFERROR(__xludf.DUMMYFUNCTION("GOOGLETRANSLATE(C419, ""en"", ""hi"")"),"A) श्रीलंका, B) अफगानिस्तान, C) पाकिस्तान, D) बांग्लादेश")</f>
        <v>A) श्रीलंका, B) अफगानिस्तान, C) पाकिस्तान, D) बांग्लादेश</v>
      </c>
      <c r="I419" s="5" t="str">
        <f>IFERROR(__xludf.DUMMYFUNCTION("GOOGLETRANSLATE(D419, ""en"", ""hi"")"),"C) पाकिस्तान")</f>
        <v>C) पाकिस्तान</v>
      </c>
    </row>
    <row r="420" ht="22.5" customHeight="1">
      <c r="A420" s="3">
        <v>419.0</v>
      </c>
      <c r="B420" s="4" t="s">
        <v>11909</v>
      </c>
      <c r="C420" s="4" t="s">
        <v>11910</v>
      </c>
      <c r="D420" s="4" t="s">
        <v>11911</v>
      </c>
      <c r="F420" s="5" t="str">
        <f>IFERROR(__xludf.DUMMYFUNCTION("GOOGLETRANSLATE(A420, ""en"", ""hi"")"),"419")</f>
        <v>419</v>
      </c>
      <c r="G420" s="5" t="str">
        <f>IFERROR(__xludf.DUMMYFUNCTION("GOOGLETRANSLATE(B420, ""en"", ""hi"")"),"किस राजवंश के शासकों को गिल्ली डंडा को आम लोगों के खेल के रूप में बढ़ावा देने के लिए जाना जाता है?")</f>
        <v>किस राजवंश के शासकों को गिल्ली डंडा को आम लोगों के खेल के रूप में बढ़ावा देने के लिए जाना जाता है?</v>
      </c>
      <c r="H420" s="5" t="str">
        <f>IFERROR(__xludf.DUMMYFUNCTION("GOOGLETRANSLATE(C420, ""en"", ""hi"")"),"A) पल्लव वंश, B) मुगल वंश, C) मौर्य वंश, D) चोल वंश")</f>
        <v>A) पल्लव वंश, B) मुगल वंश, C) मौर्य वंश, D) चोल वंश</v>
      </c>
      <c r="I420" s="5" t="str">
        <f>IFERROR(__xludf.DUMMYFUNCTION("GOOGLETRANSLATE(D420, ""en"", ""hi"")"),"C) मौर्य राजवंश")</f>
        <v>C) मौर्य राजवंश</v>
      </c>
    </row>
    <row r="421" ht="22.5" customHeight="1">
      <c r="A421" s="3">
        <v>420.0</v>
      </c>
      <c r="B421" s="4" t="s">
        <v>11912</v>
      </c>
      <c r="C421" s="4" t="s">
        <v>11913</v>
      </c>
      <c r="D421" s="4" t="s">
        <v>11914</v>
      </c>
      <c r="F421" s="5" t="str">
        <f>IFERROR(__xludf.DUMMYFUNCTION("GOOGLETRANSLATE(A421, ""en"", ""hi"")"),"420")</f>
        <v>420</v>
      </c>
      <c r="G421" s="5" t="str">
        <f>IFERROR(__xludf.DUMMYFUNCTION("GOOGLETRANSLATE(B421, ""en"", ""hi"")"),"गिल्ली डंडा दक्षिण पूर्व एशिया में भारतीय व्यापारियों के किस समूह द्वारा पेश किया गया था?")</f>
        <v>गिल्ली डंडा दक्षिण पूर्व एशिया में भारतीय व्यापारियों के किस समूह द्वारा पेश किया गया था?</v>
      </c>
      <c r="H421" s="5" t="str">
        <f>IFERROR(__xludf.DUMMYFUNCTION("GOOGLETRANSLATE(C421, ""en"", ""hi"")"),"A) चोल व्यापारी, B) मराठा व्यापारी, C) मुगल व्यापारी, D) तमिल व्यापारी")</f>
        <v>A) चोल व्यापारी, B) मराठा व्यापारी, C) मुगल व्यापारी, D) तमिल व्यापारी</v>
      </c>
      <c r="I421" s="5" t="str">
        <f>IFERROR(__xludf.DUMMYFUNCTION("GOOGLETRANSLATE(D421, ""en"", ""hi"")"),"A) चोल व्यापारी")</f>
        <v>A) चोल व्यापारी</v>
      </c>
    </row>
    <row r="422" ht="22.5" customHeight="1">
      <c r="A422" s="3">
        <v>421.0</v>
      </c>
      <c r="B422" s="4" t="s">
        <v>11915</v>
      </c>
      <c r="C422" s="4" t="s">
        <v>11916</v>
      </c>
      <c r="D422" s="4" t="s">
        <v>11917</v>
      </c>
      <c r="F422" s="5" t="str">
        <f>IFERROR(__xludf.DUMMYFUNCTION("GOOGLETRANSLATE(A422, ""en"", ""hi"")"),"421")</f>
        <v>421</v>
      </c>
      <c r="G422" s="5" t="str">
        <f>IFERROR(__xludf.DUMMYFUNCTION("GOOGLETRANSLATE(B422, ""en"", ""hi"")"),"किस युग में गिल्ली डंडा को भारतीय पहचान के प्रतीक के रूप में पुनरुत्थान का अनुभव हुआ?")</f>
        <v>किस युग में गिल्ली डंडा को भारतीय पहचान के प्रतीक के रूप में पुनरुत्थान का अनुभव हुआ?</v>
      </c>
      <c r="H422" s="5" t="str">
        <f>IFERROR(__xludf.DUMMYFUNCTION("GOOGLETRANSLATE(C422, ""en"", ""hi"")"),"A) स्वतंत्रता के बाद का युग, B) मुगल युग, C) ब्रिटिश औपनिवेशिक काल, D) प्रारंभिक वैदिक काल")</f>
        <v>A) स्वतंत्रता के बाद का युग, B) मुगल युग, C) ब्रिटिश औपनिवेशिक काल, D) प्रारंभिक वैदिक काल</v>
      </c>
      <c r="I422" s="5" t="str">
        <f>IFERROR(__xludf.DUMMYFUNCTION("GOOGLETRANSLATE(D422, ""en"", ""hi"")"),"A) स्वतंत्रता के बाद का युग")</f>
        <v>A) स्वतंत्रता के बाद का युग</v>
      </c>
    </row>
    <row r="423" ht="22.5" customHeight="1">
      <c r="A423" s="3">
        <v>422.0</v>
      </c>
      <c r="B423" s="4" t="s">
        <v>11918</v>
      </c>
      <c r="C423" s="4" t="s">
        <v>11919</v>
      </c>
      <c r="D423" s="4" t="s">
        <v>11920</v>
      </c>
      <c r="F423" s="5" t="str">
        <f>IFERROR(__xludf.DUMMYFUNCTION("GOOGLETRANSLATE(A423, ""en"", ""hi"")"),"422")</f>
        <v>422</v>
      </c>
      <c r="G423" s="5" t="str">
        <f>IFERROR(__xludf.DUMMYFUNCTION("GOOGLETRANSLATE(B423, ""en"", ""hi"")"),"किस भारतीय राष्ट्रवादी नेता ने स्थानीय संस्कृति को बढ़ावा देने के लिए गिल्ली डंडा खेलने को प्रोत्साहित किया?")</f>
        <v>किस भारतीय राष्ट्रवादी नेता ने स्थानीय संस्कृति को बढ़ावा देने के लिए गिल्ली डंडा खेलने को प्रोत्साहित किया?</v>
      </c>
      <c r="H423" s="5" t="str">
        <f>IFERROR(__xludf.DUMMYFUNCTION("GOOGLETRANSLATE(C423, ""en"", ""hi"")"),"ए) सुभाष चंद्र बोस, बी) बाल गंगाधर तिलक, सी) जवाहरलाल नेहरू, डी) लाला लाजपत राय")</f>
        <v>ए) सुभाष चंद्र बोस, बी) बाल गंगाधर तिलक, सी) जवाहरलाल नेहरू, डी) लाला लाजपत राय</v>
      </c>
      <c r="I423" s="5" t="str">
        <f>IFERROR(__xludf.DUMMYFUNCTION("GOOGLETRANSLATE(D423, ""en"", ""hi"")"),"B) बाल गंगाधर तिलक")</f>
        <v>B) बाल गंगाधर तिलक</v>
      </c>
    </row>
    <row r="424" ht="22.5" customHeight="1">
      <c r="A424" s="3">
        <v>423.0</v>
      </c>
      <c r="B424" s="4" t="s">
        <v>11921</v>
      </c>
      <c r="C424" s="4" t="s">
        <v>2534</v>
      </c>
      <c r="D424" s="4" t="s">
        <v>11922</v>
      </c>
      <c r="F424" s="5" t="str">
        <f>IFERROR(__xludf.DUMMYFUNCTION("GOOGLETRANSLATE(A424, ""en"", ""hi"")"),"423")</f>
        <v>423</v>
      </c>
      <c r="G424" s="5" t="str">
        <f>IFERROR(__xludf.DUMMYFUNCTION("GOOGLETRANSLATE(B424, ""en"", ""hi"")"),"प्राचीन भारतीय गांवों में गिल्ली डंडा आमतौर पर किस जाति के सदस्यों द्वारा खेला जाता था?")</f>
        <v>प्राचीन भारतीय गांवों में गिल्ली डंडा आमतौर पर किस जाति के सदस्यों द्वारा खेला जाता था?</v>
      </c>
      <c r="H424" s="5" t="str">
        <f>IFERROR(__xludf.DUMMYFUNCTION("GOOGLETRANSLATE(C424, ""en"", ""hi"")"),"ए) ब्राह्मण, बी) क्षत्रिय, सी) वैश्य, डी) शूद्र")</f>
        <v>ए) ब्राह्मण, बी) क्षत्रिय, सी) वैश्य, डी) शूद्र</v>
      </c>
      <c r="I424" s="5" t="str">
        <f>IFERROR(__xludf.DUMMYFUNCTION("GOOGLETRANSLATE(D424, ""en"", ""hi"")"),"D) शूद्र")</f>
        <v>D) शूद्र</v>
      </c>
    </row>
    <row r="425" ht="22.5" customHeight="1">
      <c r="A425" s="3">
        <v>424.0</v>
      </c>
      <c r="B425" s="4" t="s">
        <v>11923</v>
      </c>
      <c r="C425" s="4" t="s">
        <v>11924</v>
      </c>
      <c r="D425" s="4" t="s">
        <v>11925</v>
      </c>
      <c r="F425" s="5" t="str">
        <f>IFERROR(__xludf.DUMMYFUNCTION("GOOGLETRANSLATE(A425, ""en"", ""hi"")"),"424")</f>
        <v>424</v>
      </c>
      <c r="G425" s="5" t="str">
        <f>IFERROR(__xludf.DUMMYFUNCTION("GOOGLETRANSLATE(B425, ""en"", ""hi"")"),"ऐतिहासिक वृत्तांतों में गिल्ली डंडा को किस साम्राज्य के तहत आम लोगों के खेल के रूप में जाना जाता है?")</f>
        <v>ऐतिहासिक वृत्तांतों में गिल्ली डंडा को किस साम्राज्य के तहत आम लोगों के खेल के रूप में जाना जाता है?</v>
      </c>
      <c r="H425" s="5" t="str">
        <f>IFERROR(__xludf.DUMMYFUNCTION("GOOGLETRANSLATE(C425, ""en"", ""hi"")"),"A) गुप्त साम्राज्य, B) मराठा साम्राज्य, C) चोल साम्राज्य, D) मुगल साम्राज्य")</f>
        <v>A) गुप्त साम्राज्य, B) मराठा साम्राज्य, C) चोल साम्राज्य, D) मुगल साम्राज्य</v>
      </c>
      <c r="I425" s="5" t="str">
        <f>IFERROR(__xludf.DUMMYFUNCTION("GOOGLETRANSLATE(D425, ""en"", ""hi"")"),"D) मुगल साम्राज्य")</f>
        <v>D) मुगल साम्राज्य</v>
      </c>
    </row>
    <row r="426" ht="22.5" customHeight="1">
      <c r="A426" s="3">
        <v>425.0</v>
      </c>
      <c r="B426" s="4" t="s">
        <v>11926</v>
      </c>
      <c r="C426" s="4" t="s">
        <v>11927</v>
      </c>
      <c r="D426" s="4" t="s">
        <v>11928</v>
      </c>
      <c r="F426" s="5" t="str">
        <f>IFERROR(__xludf.DUMMYFUNCTION("GOOGLETRANSLATE(A426, ""en"", ""hi"")"),"425")</f>
        <v>425</v>
      </c>
      <c r="G426" s="5" t="str">
        <f>IFERROR(__xludf.DUMMYFUNCTION("GOOGLETRANSLATE(B426, ""en"", ""hi"")"),"किस भारतीय राजा के शासनकाल में गिल्ली डंडा गांव के युवाओं के बीच एक लोकप्रिय मनोरंजक गतिविधि थी?")</f>
        <v>किस भारतीय राजा के शासनकाल में गिल्ली डंडा गांव के युवाओं के बीच एक लोकप्रिय मनोरंजक गतिविधि थी?</v>
      </c>
      <c r="H426" s="5" t="str">
        <f>IFERROR(__xludf.DUMMYFUNCTION("GOOGLETRANSLATE(C426, ""en"", ""hi"")"),"ए) राजा भोज, बी) चंद्रगुप्त मौर्य, सी) कृष्णदेवराय, डी) अकबर")</f>
        <v>ए) राजा भोज, बी) चंद्रगुप्त मौर्य, सी) कृष्णदेवराय, डी) अकबर</v>
      </c>
      <c r="I426" s="5" t="str">
        <f>IFERROR(__xludf.DUMMYFUNCTION("GOOGLETRANSLATE(D426, ""en"", ""hi"")"),"A) राजा भोज")</f>
        <v>A) राजा भोज</v>
      </c>
    </row>
    <row r="427" ht="22.5" customHeight="1">
      <c r="A427" s="3">
        <v>426.0</v>
      </c>
      <c r="B427" s="4" t="s">
        <v>11929</v>
      </c>
      <c r="C427" s="4" t="s">
        <v>11930</v>
      </c>
      <c r="D427" s="4" t="s">
        <v>11931</v>
      </c>
      <c r="F427" s="5" t="str">
        <f>IFERROR(__xludf.DUMMYFUNCTION("GOOGLETRANSLATE(A427, ""en"", ""hi"")"),"426")</f>
        <v>426</v>
      </c>
      <c r="G427" s="5" t="str">
        <f>IFERROR(__xludf.DUMMYFUNCTION("GOOGLETRANSLATE(B427, ""en"", ""hi"")"),"भारत में कौन सा समुदाय पारंपरिक रूप से अपने कृषि उत्सव के हिस्से के रूप में गिल्ली डंडा खेलता है?")</f>
        <v>भारत में कौन सा समुदाय पारंपरिक रूप से अपने कृषि उत्सव के हिस्से के रूप में गिल्ली डंडा खेलता है?</v>
      </c>
      <c r="H427" s="5" t="str">
        <f>IFERROR(__xludf.DUMMYFUNCTION("GOOGLETRANSLATE(C427, ""en"", ""hi"")"),"ए) जाट, बी) गुज्जर, सी) भील, डी) राजपूत")</f>
        <v>ए) जाट, बी) गुज्जर, सी) भील, डी) राजपूत</v>
      </c>
      <c r="I427" s="5" t="str">
        <f>IFERROR(__xludf.DUMMYFUNCTION("GOOGLETRANSLATE(D427, ""en"", ""hi"")"),"C) भीलों")</f>
        <v>C) भीलों</v>
      </c>
    </row>
    <row r="428" ht="22.5" customHeight="1">
      <c r="A428" s="3">
        <v>427.0</v>
      </c>
      <c r="B428" s="4" t="s">
        <v>11932</v>
      </c>
      <c r="C428" s="4" t="s">
        <v>11933</v>
      </c>
      <c r="D428" s="4" t="s">
        <v>11934</v>
      </c>
      <c r="F428" s="5" t="str">
        <f>IFERROR(__xludf.DUMMYFUNCTION("GOOGLETRANSLATE(A428, ""en"", ""hi"")"),"427")</f>
        <v>427</v>
      </c>
      <c r="G428" s="5" t="str">
        <f>IFERROR(__xludf.DUMMYFUNCTION("GOOGLETRANSLATE(B428, ""en"", ""hi"")"),"प्राचीन भारत में गिल्ली डंडा कभी-कभी किस मौसमी घटना को चिह्नित करने के लिए खेला जाता था?")</f>
        <v>प्राचीन भारत में गिल्ली डंडा कभी-कभी किस मौसमी घटना को चिह्नित करने के लिए खेला जाता था?</v>
      </c>
      <c r="H428" s="5" t="str">
        <f>IFERROR(__xludf.DUMMYFUNCTION("GOOGLETRANSLATE(C428, ""en"", ""hi"")"),"A) मानसून की शुरुआत, B) शीतकालीन संक्रांति, C) ग्रीष्म विषुव, D) फसल का मौसम")</f>
        <v>A) मानसून की शुरुआत, B) शीतकालीन संक्रांति, C) ग्रीष्म विषुव, D) फसल का मौसम</v>
      </c>
      <c r="I428" s="5" t="str">
        <f>IFERROR(__xludf.DUMMYFUNCTION("GOOGLETRANSLATE(D428, ""en"", ""hi"")"),"D) फसल का मौसम")</f>
        <v>D) फसल का मौसम</v>
      </c>
    </row>
    <row r="429" ht="22.5" customHeight="1">
      <c r="A429" s="3">
        <v>428.0</v>
      </c>
      <c r="B429" s="4" t="s">
        <v>11935</v>
      </c>
      <c r="C429" s="4" t="s">
        <v>11936</v>
      </c>
      <c r="D429" s="4" t="s">
        <v>4009</v>
      </c>
      <c r="F429" s="5" t="str">
        <f>IFERROR(__xludf.DUMMYFUNCTION("GOOGLETRANSLATE(A429, ""en"", ""hi"")"),"428")</f>
        <v>428</v>
      </c>
      <c r="G429" s="5" t="str">
        <f>IFERROR(__xludf.DUMMYFUNCTION("GOOGLETRANSLATE(B429, ""en"", ""hi"")"),"किस भारतीय सम्राट ने शारीरिक शिक्षा के भाग के रूप में गिल्ली डंडा जैसे पारंपरिक खेलों को प्रोत्साहित किया?")</f>
        <v>किस भारतीय सम्राट ने शारीरिक शिक्षा के भाग के रूप में गिल्ली डंडा जैसे पारंपरिक खेलों को प्रोत्साहित किया?</v>
      </c>
      <c r="H429" s="5" t="str">
        <f>IFERROR(__xludf.DUMMYFUNCTION("GOOGLETRANSLATE(C429, ""en"", ""hi"")"),"ए) अकबर, बी) अशोक, सी) हर्षवर्द्धन, डी) चंद्रगुप्त द्वितीय")</f>
        <v>ए) अकबर, बी) अशोक, सी) हर्षवर्द्धन, डी) चंद्रगुप्त द्वितीय</v>
      </c>
      <c r="I429" s="5" t="str">
        <f>IFERROR(__xludf.DUMMYFUNCTION("GOOGLETRANSLATE(D429, ""en"", ""hi"")"),"बी) अशोक")</f>
        <v>बी) अशोक</v>
      </c>
    </row>
    <row r="430" ht="22.5" customHeight="1">
      <c r="A430" s="3">
        <v>429.0</v>
      </c>
      <c r="B430" s="4" t="s">
        <v>11937</v>
      </c>
      <c r="C430" s="4" t="s">
        <v>11938</v>
      </c>
      <c r="D430" s="4" t="s">
        <v>2595</v>
      </c>
      <c r="F430" s="5" t="str">
        <f>IFERROR(__xludf.DUMMYFUNCTION("GOOGLETRANSLATE(A430, ""en"", ""hi"")"),"429")</f>
        <v>429</v>
      </c>
      <c r="G430" s="5" t="str">
        <f>IFERROR(__xludf.DUMMYFUNCTION("GOOGLETRANSLATE(B430, ""en"", ""hi"")"),"गिल्ली डंडा राजस्थान में किस राजपूत राजा के शासनकाल में लोकप्रिय हुआ?")</f>
        <v>गिल्ली डंडा राजस्थान में किस राजपूत राजा के शासनकाल में लोकप्रिय हुआ?</v>
      </c>
      <c r="H430" s="5" t="str">
        <f>IFERROR(__xludf.DUMMYFUNCTION("GOOGLETRANSLATE(C430, ""en"", ""hi"")"),"ए) राणा सांगा, बी) पृथ्वीराज चौहान, सी) महाराणा प्रताप, डी) भारमल")</f>
        <v>ए) राणा सांगा, बी) पृथ्वीराज चौहान, सी) महाराणा प्रताप, डी) भारमल</v>
      </c>
      <c r="I430" s="5" t="str">
        <f>IFERROR(__xludf.DUMMYFUNCTION("GOOGLETRANSLATE(D430, ""en"", ""hi"")"),"C) महाराणा प्रताप")</f>
        <v>C) महाराणा प्रताप</v>
      </c>
    </row>
    <row r="431" ht="22.5" customHeight="1">
      <c r="A431" s="3">
        <v>430.0</v>
      </c>
      <c r="B431" s="4" t="s">
        <v>11939</v>
      </c>
      <c r="C431" s="4" t="s">
        <v>11940</v>
      </c>
      <c r="D431" s="4" t="s">
        <v>11941</v>
      </c>
      <c r="F431" s="5" t="str">
        <f>IFERROR(__xludf.DUMMYFUNCTION("GOOGLETRANSLATE(A431, ""en"", ""hi"")"),"430")</f>
        <v>430</v>
      </c>
      <c r="G431" s="5" t="str">
        <f>IFERROR(__xludf.DUMMYFUNCTION("GOOGLETRANSLATE(B431, ""en"", ""hi"")"),"किस भारतीय संत ने ग्रामीण परंपराओं को दर्शाते हुए अपनी रचनाओं में गिल्ली डंडा का उल्लेख किया?")</f>
        <v>किस भारतीय संत ने ग्रामीण परंपराओं को दर्शाते हुए अपनी रचनाओं में गिल्ली डंडा का उल्लेख किया?</v>
      </c>
      <c r="H431" s="5" t="str">
        <f>IFERROR(__xludf.DUMMYFUNCTION("GOOGLETRANSLATE(C431, ""en"", ""hi"")"),"ए) संत कबीर, बी) गुरु नानक, सी) संत तुकाराम, डी) तुलसीदास")</f>
        <v>ए) संत कबीर, बी) गुरु नानक, सी) संत तुकाराम, डी) तुलसीदास</v>
      </c>
      <c r="I431" s="5" t="str">
        <f>IFERROR(__xludf.DUMMYFUNCTION("GOOGLETRANSLATE(D431, ""en"", ""hi"")"),"C) संत तुकाराम")</f>
        <v>C) संत तुकाराम</v>
      </c>
    </row>
    <row r="432" ht="22.5" customHeight="1">
      <c r="A432" s="3">
        <v>431.0</v>
      </c>
      <c r="B432" s="4" t="s">
        <v>11942</v>
      </c>
      <c r="C432" s="4" t="s">
        <v>11943</v>
      </c>
      <c r="D432" s="4" t="s">
        <v>11944</v>
      </c>
      <c r="F432" s="5" t="str">
        <f>IFERROR(__xludf.DUMMYFUNCTION("GOOGLETRANSLATE(A432, ""en"", ""hi"")"),"431")</f>
        <v>431</v>
      </c>
      <c r="G432" s="5" t="str">
        <f>IFERROR(__xludf.DUMMYFUNCTION("GOOGLETRANSLATE(B432, ""en"", ""hi"")"),"ग्रामीण भारत में गिल्ली डंडा अक्सर किस हिंदू देवता के सम्मान में खेला जाता था?")</f>
        <v>ग्रामीण भारत में गिल्ली डंडा अक्सर किस हिंदू देवता के सम्मान में खेला जाता था?</v>
      </c>
      <c r="H432" s="5" t="str">
        <f>IFERROR(__xludf.DUMMYFUNCTION("GOOGLETRANSLATE(C432, ""en"", ""hi"")"),"A) शिव, B) कृष्ण, C) गणेश, D) विष्णु")</f>
        <v>A) शिव, B) कृष्ण, C) गणेश, D) विष्णु</v>
      </c>
      <c r="I432" s="5" t="str">
        <f>IFERROR(__xludf.DUMMYFUNCTION("GOOGLETRANSLATE(D432, ""en"", ""hi"")"),"बी) कृष्ण")</f>
        <v>बी) कृष्ण</v>
      </c>
    </row>
    <row r="433" ht="22.5" customHeight="1">
      <c r="A433" s="3">
        <v>432.0</v>
      </c>
      <c r="B433" s="4" t="s">
        <v>11945</v>
      </c>
      <c r="C433" s="4" t="s">
        <v>11946</v>
      </c>
      <c r="D433" s="4" t="s">
        <v>3692</v>
      </c>
      <c r="F433" s="5" t="str">
        <f>IFERROR(__xludf.DUMMYFUNCTION("GOOGLETRANSLATE(A433, ""en"", ""hi"")"),"432")</f>
        <v>432</v>
      </c>
      <c r="G433" s="5" t="str">
        <f>IFERROR(__xludf.DUMMYFUNCTION("GOOGLETRANSLATE(B433, ""en"", ""hi"")"),"ऐतिहासिक विवरणों के अनुसार गिल्ली डंडा मुख्यतः भारत के किन क्षेत्रों में खेला जाता था?")</f>
        <v>ऐतिहासिक विवरणों के अनुसार गिल्ली डंडा मुख्यतः भारत के किन क्षेत्रों में खेला जाता था?</v>
      </c>
      <c r="H433" s="5" t="str">
        <f>IFERROR(__xludf.DUMMYFUNCTION("GOOGLETRANSLATE(C433, ""en"", ""hi"")"),"A) उत्तरी भारत, B) पश्चिमी भारत, C) पूर्वी भारत, D) दक्षिणी भारत")</f>
        <v>A) उत्तरी भारत, B) पश्चिमी भारत, C) पूर्वी भारत, D) दक्षिणी भारत</v>
      </c>
      <c r="I433" s="5" t="str">
        <f>IFERROR(__xludf.DUMMYFUNCTION("GOOGLETRANSLATE(D433, ""en"", ""hi"")"),"A) उत्तरी भारत")</f>
        <v>A) उत्तरी भारत</v>
      </c>
    </row>
    <row r="434" ht="22.5" customHeight="1">
      <c r="A434" s="3">
        <v>433.0</v>
      </c>
      <c r="B434" s="4" t="s">
        <v>11947</v>
      </c>
      <c r="C434" s="4" t="s">
        <v>9529</v>
      </c>
      <c r="D434" s="4" t="s">
        <v>9530</v>
      </c>
      <c r="F434" s="5" t="str">
        <f>IFERROR(__xludf.DUMMYFUNCTION("GOOGLETRANSLATE(A434, ""en"", ""hi"")"),"433")</f>
        <v>433</v>
      </c>
      <c r="G434" s="5" t="str">
        <f>IFERROR(__xludf.DUMMYFUNCTION("GOOGLETRANSLATE(B434, ""en"", ""hi"")"),"किस औपनिवेशिक शक्ति ने पश्चिमी खेलों के पक्ष में गिल्ली डंडा जैसे पारंपरिक खेलों को हतोत्साहित किया?")</f>
        <v>किस औपनिवेशिक शक्ति ने पश्चिमी खेलों के पक्ष में गिल्ली डंडा जैसे पारंपरिक खेलों को हतोत्साहित किया?</v>
      </c>
      <c r="H434" s="5" t="str">
        <f>IFERROR(__xludf.DUMMYFUNCTION("GOOGLETRANSLATE(C434, ""en"", ""hi"")"),"A) ब्रिटिश, B) पुर्तगाली, C) डच, D) फ्रांसीसी")</f>
        <v>A) ब्रिटिश, B) पुर्तगाली, C) डच, D) फ्रांसीसी</v>
      </c>
      <c r="I434" s="5" t="str">
        <f>IFERROR(__xludf.DUMMYFUNCTION("GOOGLETRANSLATE(D434, ""en"", ""hi"")"),"ए) ब्रिटिश")</f>
        <v>ए) ब्रिटिश</v>
      </c>
    </row>
    <row r="435" ht="22.5" customHeight="1">
      <c r="A435" s="3">
        <v>434.0</v>
      </c>
      <c r="B435" s="4" t="s">
        <v>11948</v>
      </c>
      <c r="C435" s="4" t="s">
        <v>11949</v>
      </c>
      <c r="D435" s="4" t="s">
        <v>11950</v>
      </c>
      <c r="F435" s="5" t="str">
        <f>IFERROR(__xludf.DUMMYFUNCTION("GOOGLETRANSLATE(A435, ""en"", ""hi"")"),"434")</f>
        <v>434</v>
      </c>
      <c r="G435" s="5" t="str">
        <f>IFERROR(__xludf.DUMMYFUNCTION("GOOGLETRANSLATE(B435, ""en"", ""hi"")"),"गिल्ली डंडा किस प्रसिद्ध स्वतंत्रता सेनानी के बचपन के दौरान एक आम शगल था?")</f>
        <v>गिल्ली डंडा किस प्रसिद्ध स्वतंत्रता सेनानी के बचपन के दौरान एक आम शगल था?</v>
      </c>
      <c r="H435" s="5" t="str">
        <f>IFERROR(__xludf.DUMMYFUNCTION("GOOGLETRANSLATE(C435, ""en"", ""hi"")"),"ए) सुभाष चंद्र बोस, बी) जवाहरलाल नेहरू, सी) भगत सिंह, डी) वल्लभभाई पटेल")</f>
        <v>ए) सुभाष चंद्र बोस, बी) जवाहरलाल नेहरू, सी) भगत सिंह, डी) वल्लभभाई पटेल</v>
      </c>
      <c r="I435" s="5" t="str">
        <f>IFERROR(__xludf.DUMMYFUNCTION("GOOGLETRANSLATE(D435, ""en"", ""hi"")"),"C) भगत सिंह")</f>
        <v>C) भगत सिंह</v>
      </c>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19.25"/>
    <col customWidth="1" min="7" max="8" width="37.63"/>
    <col customWidth="1" min="9" max="9" width="16.5"/>
  </cols>
  <sheetData>
    <row r="1" ht="22.5" customHeight="1">
      <c r="A1" s="1" t="s">
        <v>0</v>
      </c>
      <c r="B1" s="1" t="s">
        <v>1</v>
      </c>
      <c r="C1" s="1" t="s">
        <v>2</v>
      </c>
      <c r="D1" s="1" t="s">
        <v>3</v>
      </c>
      <c r="F1" s="2" t="s">
        <v>4</v>
      </c>
      <c r="G1" s="2" t="s">
        <v>5</v>
      </c>
      <c r="H1" s="2" t="s">
        <v>6</v>
      </c>
      <c r="I1" s="2" t="s">
        <v>7</v>
      </c>
    </row>
    <row r="2" ht="22.5" customHeight="1">
      <c r="A2" s="3">
        <v>1.0</v>
      </c>
      <c r="B2" s="4" t="s">
        <v>11951</v>
      </c>
      <c r="C2" s="4" t="s">
        <v>11952</v>
      </c>
      <c r="D2" s="4" t="s">
        <v>11953</v>
      </c>
      <c r="F2" s="5" t="str">
        <f>IFERROR(__xludf.DUMMYFUNCTION("GOOGLETRANSLATE(A2, ""en"", ""hi"")"),"1")</f>
        <v>1</v>
      </c>
      <c r="G2" s="5" t="str">
        <f>IFERROR(__xludf.DUMMYFUNCTION("GOOGLETRANSLATE(B2, ""en"", ""hi"")"),"थांग-ता को मुख्य रूप से किस नाम से जाना जाता है?")</f>
        <v>थांग-ता को मुख्य रूप से किस नाम से जाना जाता है?</v>
      </c>
      <c r="H2" s="5" t="str">
        <f>IFERROR(__xludf.DUMMYFUNCTION("GOOGLETRANSLATE(C2, ""en"", ""hi"")"),"A) नृत्य, B) मार्शल आर्ट, C) संगीत, D) अनुष्ठान")</f>
        <v>A) नृत्य, B) मार्शल आर्ट, C) संगीत, D) अनुष्ठान</v>
      </c>
      <c r="I2" s="5" t="str">
        <f>IFERROR(__xludf.DUMMYFUNCTION("GOOGLETRANSLATE(D2, ""en"", ""hi"")"),"बी) मार्शल आर्ट")</f>
        <v>बी) मार्शल आर्ट</v>
      </c>
    </row>
    <row r="3" ht="22.5" customHeight="1">
      <c r="A3" s="3">
        <v>2.0</v>
      </c>
      <c r="B3" s="4" t="s">
        <v>11954</v>
      </c>
      <c r="C3" s="4" t="s">
        <v>11955</v>
      </c>
      <c r="D3" s="4" t="s">
        <v>11956</v>
      </c>
      <c r="F3" s="5" t="str">
        <f>IFERROR(__xludf.DUMMYFUNCTION("GOOGLETRANSLATE(A3, ""en"", ""hi"")"),"2")</f>
        <v>2</v>
      </c>
      <c r="G3" s="5" t="str">
        <f>IFERROR(__xludf.DUMMYFUNCTION("GOOGLETRANSLATE(B3, ""en"", ""hi"")"),"भारत के किस राज्य में थांग-ता का पारंपरिक रूप से पालन किया जाता है?")</f>
        <v>भारत के किस राज्य में थांग-ता का पारंपरिक रूप से पालन किया जाता है?</v>
      </c>
      <c r="H3" s="5" t="str">
        <f>IFERROR(__xludf.DUMMYFUNCTION("GOOGLETRANSLATE(C3, ""en"", ""hi"")"),"ए) मणिपुर, बी) केरल, सी) पंजाब, डी) असम")</f>
        <v>ए) मणिपुर, बी) केरल, सी) पंजाब, डी) असम</v>
      </c>
      <c r="I3" s="5" t="str">
        <f>IFERROR(__xludf.DUMMYFUNCTION("GOOGLETRANSLATE(D3, ""en"", ""hi"")"),"ए) मणिपुर")</f>
        <v>ए) मणिपुर</v>
      </c>
    </row>
    <row r="4" ht="22.5" customHeight="1">
      <c r="A4" s="3">
        <v>3.0</v>
      </c>
      <c r="B4" s="4" t="s">
        <v>11957</v>
      </c>
      <c r="C4" s="4" t="s">
        <v>11958</v>
      </c>
      <c r="D4" s="4" t="s">
        <v>11959</v>
      </c>
      <c r="F4" s="5" t="str">
        <f>IFERROR(__xludf.DUMMYFUNCTION("GOOGLETRANSLATE(A4, ""en"", ""hi"")"),"3")</f>
        <v>3</v>
      </c>
      <c r="G4" s="5" t="str">
        <f>IFERROR(__xludf.DUMMYFUNCTION("GOOGLETRANSLATE(B4, ""en"", ""hi"")"),"'थांग-ता' शब्द का अंग्रेजी में अनुवाद क्या है?")</f>
        <v>'थांग-ता' शब्द का अंग्रेजी में अनुवाद क्या है?</v>
      </c>
      <c r="H4" s="5" t="str">
        <f>IFERROR(__xludf.DUMMYFUNCTION("GOOGLETRANSLATE(C4, ""en"", ""hi"")"),"A) तलवार और भाला, B) ढाल और तलवार, C) मुट्ठी और पैर, D) ब्लेड और तीर")</f>
        <v>A) तलवार और भाला, B) ढाल और तलवार, C) मुट्ठी और पैर, D) ब्लेड और तीर</v>
      </c>
      <c r="I4" s="5" t="str">
        <f>IFERROR(__xludf.DUMMYFUNCTION("GOOGLETRANSLATE(D4, ""en"", ""hi"")"),"A) तलवार और भाला")</f>
        <v>A) तलवार और भाला</v>
      </c>
    </row>
    <row r="5" ht="22.5" customHeight="1">
      <c r="A5" s="3">
        <v>4.0</v>
      </c>
      <c r="B5" s="4" t="s">
        <v>11960</v>
      </c>
      <c r="C5" s="4" t="s">
        <v>8670</v>
      </c>
      <c r="D5" s="4" t="s">
        <v>8671</v>
      </c>
      <c r="F5" s="5" t="str">
        <f>IFERROR(__xludf.DUMMYFUNCTION("GOOGLETRANSLATE(A5, ""en"", ""hi"")"),"4")</f>
        <v>4</v>
      </c>
      <c r="G5" s="5" t="str">
        <f>IFERROR(__xludf.DUMMYFUNCTION("GOOGLETRANSLATE(B5, ""en"", ""hi"")"),"थांग-ता में कौन सा हथियार पारंपरिक रूप से इस्तेमाल नहीं किया जाता है?")</f>
        <v>थांग-ता में कौन सा हथियार पारंपरिक रूप से इस्तेमाल नहीं किया जाता है?</v>
      </c>
      <c r="H5" s="5" t="str">
        <f>IFERROR(__xludf.DUMMYFUNCTION("GOOGLETRANSLATE(C5, ""en"", ""hi"")"),"A) तलवार, B) भाला, C) धनुष, D) ढाल")</f>
        <v>A) तलवार, B) भाला, C) धनुष, D) ढाल</v>
      </c>
      <c r="I5" s="5" t="str">
        <f>IFERROR(__xludf.DUMMYFUNCTION("GOOGLETRANSLATE(D5, ""en"", ""hi"")"),"सी) धनुष")</f>
        <v>सी) धनुष</v>
      </c>
    </row>
    <row r="6" ht="22.5" customHeight="1">
      <c r="A6" s="3">
        <v>5.0</v>
      </c>
      <c r="B6" s="4" t="s">
        <v>11961</v>
      </c>
      <c r="C6" s="4" t="s">
        <v>11962</v>
      </c>
      <c r="D6" s="4" t="s">
        <v>11963</v>
      </c>
      <c r="F6" s="5" t="str">
        <f>IFERROR(__xludf.DUMMYFUNCTION("GOOGLETRANSLATE(A6, ""en"", ""hi"")"),"5")</f>
        <v>5</v>
      </c>
      <c r="G6" s="5" t="str">
        <f>IFERROR(__xludf.DUMMYFUNCTION("GOOGLETRANSLATE(B6, ""en"", ""hi"")"),"थांग-ता अक्सर किस प्रकार के आयोजन के दौरान किया जाता है?")</f>
        <v>थांग-ता अक्सर किस प्रकार के आयोजन के दौरान किया जाता है?</v>
      </c>
      <c r="H6" s="5" t="str">
        <f>IFERROR(__xludf.DUMMYFUNCTION("GOOGLETRANSLATE(C6, ""en"", ""hi"")"),"A) त्यौहार, B) शादियाँ, C) अंतिम संस्कार, D) राजनीतिक रैलियाँ")</f>
        <v>A) त्यौहार, B) शादियाँ, C) अंतिम संस्कार, D) राजनीतिक रैलियाँ</v>
      </c>
      <c r="I6" s="5" t="str">
        <f>IFERROR(__xludf.DUMMYFUNCTION("GOOGLETRANSLATE(D6, ""en"", ""hi"")"),"ए) त्यौहार")</f>
        <v>ए) त्यौहार</v>
      </c>
    </row>
    <row r="7" ht="22.5" customHeight="1">
      <c r="A7" s="3">
        <v>6.0</v>
      </c>
      <c r="B7" s="4" t="s">
        <v>11964</v>
      </c>
      <c r="C7" s="4" t="s">
        <v>11965</v>
      </c>
      <c r="D7" s="4" t="s">
        <v>11966</v>
      </c>
      <c r="F7" s="5" t="str">
        <f>IFERROR(__xludf.DUMMYFUNCTION("GOOGLETRANSLATE(A7, ""en"", ""hi"")"),"6")</f>
        <v>6</v>
      </c>
      <c r="G7" s="5" t="str">
        <f>IFERROR(__xludf.DUMMYFUNCTION("GOOGLETRANSLATE(B7, ""en"", ""hi"")"),"निम्नलिखित में से कौन सा थांग-ता अभ्यास का प्रमुख घटक है?")</f>
        <v>निम्नलिखित में से कौन सा थांग-ता अभ्यास का प्रमुख घटक है?</v>
      </c>
      <c r="H7" s="5" t="str">
        <f>IFERROR(__xludf.DUMMYFUNCTION("GOOGLETRANSLATE(C7, ""en"", ""hi"")"),"A) संगीत, B) नृत्य, C) ध्यान, D) योग")</f>
        <v>A) संगीत, B) नृत्य, C) ध्यान, D) योग</v>
      </c>
      <c r="I7" s="5" t="str">
        <f>IFERROR(__xludf.DUMMYFUNCTION("GOOGLETRANSLATE(D7, ""en"", ""hi"")"),"बी) नृत्य")</f>
        <v>बी) नृत्य</v>
      </c>
    </row>
    <row r="8" ht="22.5" customHeight="1">
      <c r="A8" s="3">
        <v>7.0</v>
      </c>
      <c r="B8" s="4" t="s">
        <v>11967</v>
      </c>
      <c r="C8" s="4" t="s">
        <v>11968</v>
      </c>
      <c r="D8" s="4" t="s">
        <v>11969</v>
      </c>
      <c r="F8" s="5" t="str">
        <f>IFERROR(__xludf.DUMMYFUNCTION("GOOGLETRANSLATE(A8, ""en"", ""hi"")"),"7")</f>
        <v>7</v>
      </c>
      <c r="G8" s="5" t="str">
        <f>IFERROR(__xludf.DUMMYFUNCTION("GOOGLETRANSLATE(B8, ""en"", ""hi"")"),"ऐतिहासिक संदर्भ में थांग-ता का प्राथमिक उद्देश्य क्या है?")</f>
        <v>ऐतिहासिक संदर्भ में थांग-ता का प्राथमिक उद्देश्य क्या है?</v>
      </c>
      <c r="H8" s="5" t="str">
        <f>IFERROR(__xludf.DUMMYFUNCTION("GOOGLETRANSLATE(C8, ""en"", ""hi"")"),"A) युद्ध प्रशिक्षण, B) मनोरंजन, C) धार्मिक अनुष्ठान, D) सामाजिक नृत्य")</f>
        <v>A) युद्ध प्रशिक्षण, B) मनोरंजन, C) धार्मिक अनुष्ठान, D) सामाजिक नृत्य</v>
      </c>
      <c r="I8" s="5" t="str">
        <f>IFERROR(__xludf.DUMMYFUNCTION("GOOGLETRANSLATE(D8, ""en"", ""hi"")"),"ए) युद्ध प्रशिक्षण")</f>
        <v>ए) युद्ध प्रशिक्षण</v>
      </c>
    </row>
    <row r="9" ht="22.5" customHeight="1">
      <c r="A9" s="3">
        <v>8.0</v>
      </c>
      <c r="B9" s="4" t="s">
        <v>11970</v>
      </c>
      <c r="C9" s="4" t="s">
        <v>11971</v>
      </c>
      <c r="D9" s="4" t="s">
        <v>11972</v>
      </c>
      <c r="F9" s="5" t="str">
        <f>IFERROR(__xludf.DUMMYFUNCTION("GOOGLETRANSLATE(A9, ""en"", ""hi"")"),"8")</f>
        <v>8</v>
      </c>
      <c r="G9" s="5" t="str">
        <f>IFERROR(__xludf.DUMMYFUNCTION("GOOGLETRANSLATE(B9, ""en"", ""hi"")"),"थांग-ता में तलवार के साथ तकनीकों के अभ्यास के लिए क्या शब्द है?")</f>
        <v>थांग-ता में तलवार के साथ तकनीकों के अभ्यास के लिए क्या शब्द है?</v>
      </c>
      <c r="H9" s="5" t="str">
        <f>IFERROR(__xludf.DUMMYFUNCTION("GOOGLETRANSLATE(C9, ""en"", ""hi"")"),"ए) थांग, बी) ता, सी) चांग, ​​डी) चाओ")</f>
        <v>ए) थांग, बी) ता, सी) चांग, ​​डी) चाओ</v>
      </c>
      <c r="I9" s="5" t="str">
        <f>IFERROR(__xludf.DUMMYFUNCTION("GOOGLETRANSLATE(D9, ""en"", ""hi"")"),"A) थांग")</f>
        <v>A) थांग</v>
      </c>
    </row>
    <row r="10" ht="22.5" customHeight="1">
      <c r="A10" s="3">
        <v>9.0</v>
      </c>
      <c r="B10" s="4" t="s">
        <v>11973</v>
      </c>
      <c r="C10" s="4" t="s">
        <v>11974</v>
      </c>
      <c r="D10" s="4" t="s">
        <v>11975</v>
      </c>
      <c r="F10" s="5" t="str">
        <f>IFERROR(__xludf.DUMMYFUNCTION("GOOGLETRANSLATE(A10, ""en"", ""hi"")"),"9")</f>
        <v>9</v>
      </c>
      <c r="G10" s="5" t="str">
        <f>IFERROR(__xludf.DUMMYFUNCTION("GOOGLETRANSLATE(B10, ""en"", ""hi"")"),"थांग-ता प्रशिक्षण में अक्सर किस प्रकार की गतिविधि का अभ्यास शामिल होता है?")</f>
        <v>थांग-ता प्रशिक्षण में अक्सर किस प्रकार की गतिविधि का अभ्यास शामिल होता है?</v>
      </c>
      <c r="H10" s="5" t="str">
        <f>IFERROR(__xludf.DUMMYFUNCTION("GOOGLETRANSLATE(C10, ""en"", ""hi"")"),"A) प्रवाहपूर्ण गतियाँ, B) अचानक छलांगें, C) वृत्ताकार पैटर्न, D) सीधी रेखाएँ")</f>
        <v>A) प्रवाहपूर्ण गतियाँ, B) अचानक छलांगें, C) वृत्ताकार पैटर्न, D) सीधी रेखाएँ</v>
      </c>
      <c r="I10" s="5" t="str">
        <f>IFERROR(__xludf.DUMMYFUNCTION("GOOGLETRANSLATE(D10, ""en"", ""hi"")"),"A) प्रवाहित गतिविधियाँ")</f>
        <v>A) प्रवाहित गतिविधियाँ</v>
      </c>
    </row>
    <row r="11" ht="22.5" customHeight="1">
      <c r="A11" s="3">
        <v>10.0</v>
      </c>
      <c r="B11" s="4" t="s">
        <v>11976</v>
      </c>
      <c r="C11" s="4" t="s">
        <v>11977</v>
      </c>
      <c r="D11" s="4" t="s">
        <v>11978</v>
      </c>
      <c r="F11" s="5" t="str">
        <f>IFERROR(__xludf.DUMMYFUNCTION("GOOGLETRANSLATE(A11, ""en"", ""hi"")"),"10")</f>
        <v>10</v>
      </c>
      <c r="G11" s="5" t="str">
        <f>IFERROR(__xludf.DUMMYFUNCTION("GOOGLETRANSLATE(B11, ""en"", ""hi"")"),"कौन सी नृत्य शैली थांग-ता से निकटता से जुड़ी हुई है?")</f>
        <v>कौन सी नृत्य शैली थांग-ता से निकटता से जुड़ी हुई है?</v>
      </c>
      <c r="H11" s="5" t="str">
        <f>IFERROR(__xludf.DUMMYFUNCTION("GOOGLETRANSLATE(C11, ""en"", ""hi"")"),"A) मणिपुरी नृत्य, B) कथक, C) भरतनाट्यम, D) ओडिसी")</f>
        <v>A) मणिपुरी नृत्य, B) कथक, C) भरतनाट्यम, D) ओडिसी</v>
      </c>
      <c r="I11" s="5" t="str">
        <f>IFERROR(__xludf.DUMMYFUNCTION("GOOGLETRANSLATE(D11, ""en"", ""hi"")"),"A) मणिपुरी नृत्य")</f>
        <v>A) मणिपुरी नृत्य</v>
      </c>
    </row>
    <row r="12" ht="22.5" customHeight="1">
      <c r="A12" s="3">
        <v>11.0</v>
      </c>
      <c r="B12" s="4" t="s">
        <v>11979</v>
      </c>
      <c r="C12" s="4" t="s">
        <v>11980</v>
      </c>
      <c r="D12" s="4" t="s">
        <v>11981</v>
      </c>
      <c r="F12" s="5" t="str">
        <f>IFERROR(__xludf.DUMMYFUNCTION("GOOGLETRANSLATE(A12, ""en"", ""hi"")"),"11")</f>
        <v>11</v>
      </c>
      <c r="G12" s="5" t="str">
        <f>IFERROR(__xludf.DUMMYFUNCTION("GOOGLETRANSLATE(B12, ""en"", ""hi"")"),"थांग-ता अभ्यासियों द्वारा पहने जाने वाले पारंपरिक पोशाक का नाम क्या है?")</f>
        <v>थांग-ता अभ्यासियों द्वारा पहने जाने वाले पारंपरिक पोशाक का नाम क्या है?</v>
      </c>
      <c r="H12" s="5" t="str">
        <f>IFERROR(__xludf.DUMMYFUNCTION("GOOGLETRANSLATE(C12, ""en"", ""hi"")"),"A) मखुआ, B) धोती, C) सलवार, D) साड़ी")</f>
        <v>A) मखुआ, B) धोती, C) सलवार, D) साड़ी</v>
      </c>
      <c r="I12" s="5" t="str">
        <f>IFERROR(__xludf.DUMMYFUNCTION("GOOGLETRANSLATE(D12, ""en"", ""hi"")"),"A) मखुआ")</f>
        <v>A) मखुआ</v>
      </c>
    </row>
    <row r="13" ht="22.5" customHeight="1">
      <c r="A13" s="3">
        <v>12.0</v>
      </c>
      <c r="B13" s="4" t="s">
        <v>11982</v>
      </c>
      <c r="C13" s="4" t="s">
        <v>11983</v>
      </c>
      <c r="D13" s="4" t="s">
        <v>11984</v>
      </c>
      <c r="F13" s="5" t="str">
        <f>IFERROR(__xludf.DUMMYFUNCTION("GOOGLETRANSLATE(A13, ""en"", ""hi"")"),"12")</f>
        <v>12</v>
      </c>
      <c r="G13" s="5" t="str">
        <f>IFERROR(__xludf.DUMMYFUNCTION("GOOGLETRANSLATE(B13, ""en"", ""hi"")"),"थांग-ता में निम्नलिखित में से कौन सा पारंपरिक भाला प्रयोग किया जाता है?")</f>
        <v>थांग-ता में निम्नलिखित में से कौन सा पारंपरिक भाला प्रयोग किया जाता है?</v>
      </c>
      <c r="H13" s="5" t="str">
        <f>IFERROR(__xludf.DUMMYFUNCTION("GOOGLETRANSLATE(C13, ""en"", ""hi"")"),"ए) थांग, बी) सारंग, सी) कंजाई, डी) माशी")</f>
        <v>ए) थांग, बी) सारंग, सी) कंजाई, डी) माशी</v>
      </c>
      <c r="I13" s="5" t="str">
        <f>IFERROR(__xludf.DUMMYFUNCTION("GOOGLETRANSLATE(D13, ""en"", ""hi"")"),"बी) सारंग")</f>
        <v>बी) सारंग</v>
      </c>
    </row>
    <row r="14" ht="22.5" customHeight="1">
      <c r="A14" s="3">
        <v>13.0</v>
      </c>
      <c r="B14" s="4" t="s">
        <v>11985</v>
      </c>
      <c r="C14" s="4" t="s">
        <v>11986</v>
      </c>
      <c r="D14" s="4" t="s">
        <v>11987</v>
      </c>
      <c r="F14" s="5" t="str">
        <f>IFERROR(__xludf.DUMMYFUNCTION("GOOGLETRANSLATE(A14, ""en"", ""hi"")"),"13")</f>
        <v>13</v>
      </c>
      <c r="G14" s="5" t="str">
        <f>IFERROR(__xludf.DUMMYFUNCTION("GOOGLETRANSLATE(B14, ""en"", ""hi"")"),"मणिपुर में किस त्यौहार में अक्सर थांग-ता का प्रदर्शन किया जाता है?")</f>
        <v>मणिपुर में किस त्यौहार में अक्सर थांग-ता का प्रदर्शन किया जाता है?</v>
      </c>
      <c r="H14" s="5" t="str">
        <f>IFERROR(__xludf.DUMMYFUNCTION("GOOGLETRANSLATE(C14, ""en"", ""hi"")"),"ए) योशांग, बी) दिवाली, सी) होली, डी) पोंगल")</f>
        <v>ए) योशांग, बी) दिवाली, सी) होली, डी) पोंगल</v>
      </c>
      <c r="I14" s="5" t="str">
        <f>IFERROR(__xludf.DUMMYFUNCTION("GOOGLETRANSLATE(D14, ""en"", ""hi"")"),"ए) योशांग")</f>
        <v>ए) योशांग</v>
      </c>
    </row>
    <row r="15" ht="22.5" customHeight="1">
      <c r="A15" s="3">
        <v>14.0</v>
      </c>
      <c r="B15" s="4" t="s">
        <v>11988</v>
      </c>
      <c r="C15" s="4" t="s">
        <v>11989</v>
      </c>
      <c r="D15" s="4" t="s">
        <v>8952</v>
      </c>
      <c r="F15" s="5" t="str">
        <f>IFERROR(__xludf.DUMMYFUNCTION("GOOGLETRANSLATE(A15, ""en"", ""hi"")"),"14")</f>
        <v>14</v>
      </c>
      <c r="G15" s="5" t="str">
        <f>IFERROR(__xludf.DUMMYFUNCTION("GOOGLETRANSLATE(B15, ""en"", ""hi"")"),"थांग-ता के संदर्भ में 'ता' क्या है?")</f>
        <v>थांग-ता के संदर्भ में 'ता' क्या है?</v>
      </c>
      <c r="H15" s="5" t="str">
        <f>IFERROR(__xludf.DUMMYFUNCTION("GOOGLETRANSLATE(C15, ""en"", ""hi"")"),"A) ढाल, B) भाला, C) तलवार, D) धनुष")</f>
        <v>A) ढाल, B) भाला, C) तलवार, D) धनुष</v>
      </c>
      <c r="I15" s="5" t="str">
        <f>IFERROR(__xludf.DUMMYFUNCTION("GOOGLETRANSLATE(D15, ""en"", ""hi"")"),"बी) भाला")</f>
        <v>बी) भाला</v>
      </c>
    </row>
    <row r="16" ht="22.5" customHeight="1">
      <c r="A16" s="3">
        <v>15.0</v>
      </c>
      <c r="B16" s="4" t="s">
        <v>11990</v>
      </c>
      <c r="C16" s="4" t="s">
        <v>11991</v>
      </c>
      <c r="D16" s="4" t="s">
        <v>11992</v>
      </c>
      <c r="F16" s="5" t="str">
        <f>IFERROR(__xludf.DUMMYFUNCTION("GOOGLETRANSLATE(A16, ""en"", ""hi"")"),"15")</f>
        <v>15</v>
      </c>
      <c r="G16" s="5" t="str">
        <f>IFERROR(__xludf.DUMMYFUNCTION("GOOGLETRANSLATE(B16, ""en"", ""hi"")"),"थांग-ता की ऐतिहासिक जड़ें किस प्राचीन सभ्यता में हैं?")</f>
        <v>थांग-ता की ऐतिहासिक जड़ें किस प्राचीन सभ्यता में हैं?</v>
      </c>
      <c r="H16" s="5" t="str">
        <f>IFERROR(__xludf.DUMMYFUNCTION("GOOGLETRANSLATE(C16, ""en"", ""hi"")"),"A) सिंधु घाटी, B) ग्रीक, C) रोमन, D) चीनी")</f>
        <v>A) सिंधु घाटी, B) ग्रीक, C) रोमन, D) चीनी</v>
      </c>
      <c r="I16" s="5" t="str">
        <f>IFERROR(__xludf.DUMMYFUNCTION("GOOGLETRANSLATE(D16, ""en"", ""hi"")"),"A) सिंधु घाटी")</f>
        <v>A) सिंधु घाटी</v>
      </c>
    </row>
    <row r="17" ht="22.5" customHeight="1">
      <c r="A17" s="3">
        <v>16.0</v>
      </c>
      <c r="B17" s="4" t="s">
        <v>11993</v>
      </c>
      <c r="C17" s="4" t="s">
        <v>11994</v>
      </c>
      <c r="D17" s="4" t="s">
        <v>11995</v>
      </c>
      <c r="F17" s="5" t="str">
        <f>IFERROR(__xludf.DUMMYFUNCTION("GOOGLETRANSLATE(A17, ""en"", ""hi"")"),"16")</f>
        <v>16</v>
      </c>
      <c r="G17" s="5" t="str">
        <f>IFERROR(__xludf.DUMMYFUNCTION("GOOGLETRANSLATE(B17, ""en"", ""hi"")"),"निम्नलिखित में से कौन सा थांग-ता नृत्यकला का पारंपरिक रूप है?")</f>
        <v>निम्नलिखित में से कौन सा थांग-ता नृत्यकला का पारंपरिक रूप है?</v>
      </c>
      <c r="H17" s="5" t="str">
        <f>IFERROR(__xludf.DUMMYFUNCTION("GOOGLETRANSLATE(C17, ""en"", ""hi"")"),"A) मार्शल ड्रिल, B) युद्ध नृत्य, C) अनुष्ठान नृत्य, D) जुलूस नृत्य")</f>
        <v>A) मार्शल ड्रिल, B) युद्ध नृत्य, C) अनुष्ठान नृत्य, D) जुलूस नृत्य</v>
      </c>
      <c r="I17" s="5" t="str">
        <f>IFERROR(__xludf.DUMMYFUNCTION("GOOGLETRANSLATE(D17, ""en"", ""hi"")"),"बी) युद्ध नृत्य")</f>
        <v>बी) युद्ध नृत्य</v>
      </c>
    </row>
    <row r="18" ht="22.5" customHeight="1">
      <c r="A18" s="3">
        <v>17.0</v>
      </c>
      <c r="B18" s="4" t="s">
        <v>11996</v>
      </c>
      <c r="C18" s="4" t="s">
        <v>11997</v>
      </c>
      <c r="D18" s="4" t="s">
        <v>11998</v>
      </c>
      <c r="F18" s="5" t="str">
        <f>IFERROR(__xludf.DUMMYFUNCTION("GOOGLETRANSLATE(A18, ""en"", ""hi"")"),"17")</f>
        <v>17</v>
      </c>
      <c r="G18" s="5" t="str">
        <f>IFERROR(__xludf.DUMMYFUNCTION("GOOGLETRANSLATE(B18, ""en"", ""hi"")"),"मणिपुर के किस भाग में थांग-ता का सर्वाधिक प्रचलन है?")</f>
        <v>मणिपुर के किस भाग में थांग-ता का सर्वाधिक प्रचलन है?</v>
      </c>
      <c r="H18" s="5" t="str">
        <f>IFERROR(__xludf.DUMMYFUNCTION("GOOGLETRANSLATE(C18, ""en"", ""hi"")"),"ए) इंफाल, बी) उखरुल, सी) चुराचांदपुर, डी) सेनापति")</f>
        <v>ए) इंफाल, बी) उखरुल, सी) चुराचांदपुर, डी) सेनापति</v>
      </c>
      <c r="I18" s="5" t="str">
        <f>IFERROR(__xludf.DUMMYFUNCTION("GOOGLETRANSLATE(D18, ""en"", ""hi"")"),"ए) इम्फाल")</f>
        <v>ए) इम्फाल</v>
      </c>
    </row>
    <row r="19" ht="22.5" customHeight="1">
      <c r="A19" s="3">
        <v>18.0</v>
      </c>
      <c r="B19" s="4" t="s">
        <v>11999</v>
      </c>
      <c r="C19" s="4" t="s">
        <v>12000</v>
      </c>
      <c r="D19" s="4" t="s">
        <v>8827</v>
      </c>
      <c r="F19" s="5" t="str">
        <f>IFERROR(__xludf.DUMMYFUNCTION("GOOGLETRANSLATE(A19, ""en"", ""hi"")"),"18")</f>
        <v>18</v>
      </c>
      <c r="G19" s="5" t="str">
        <f>IFERROR(__xludf.DUMMYFUNCTION("GOOGLETRANSLATE(B19, ""en"", ""hi"")"),"थांग-ता में 'थांग' का क्या अर्थ है?")</f>
        <v>थांग-ता में 'थांग' का क्या अर्थ है?</v>
      </c>
      <c r="H19" s="5" t="str">
        <f>IFERROR(__xludf.DUMMYFUNCTION("GOOGLETRANSLATE(C19, ""en"", ""hi"")"),"A) भाला, B) तलवार, C) ढाल, D) धनुष")</f>
        <v>A) भाला, B) तलवार, C) ढाल, D) धनुष</v>
      </c>
      <c r="I19" s="5" t="str">
        <f>IFERROR(__xludf.DUMMYFUNCTION("GOOGLETRANSLATE(D19, ""en"", ""hi"")"),"बी) तलवार")</f>
        <v>बी) तलवार</v>
      </c>
    </row>
    <row r="20" ht="22.5" customHeight="1">
      <c r="A20" s="3">
        <v>19.0</v>
      </c>
      <c r="B20" s="4" t="s">
        <v>12001</v>
      </c>
      <c r="C20" s="4" t="s">
        <v>12002</v>
      </c>
      <c r="D20" s="4" t="s">
        <v>12003</v>
      </c>
      <c r="F20" s="5" t="str">
        <f>IFERROR(__xludf.DUMMYFUNCTION("GOOGLETRANSLATE(A20, ""en"", ""hi"")"),"19")</f>
        <v>19</v>
      </c>
      <c r="G20" s="5" t="str">
        <f>IFERROR(__xludf.DUMMYFUNCTION("GOOGLETRANSLATE(B20, ""en"", ""hi"")"),"निम्नलिखित में से कौन सा थांग-ता युद्ध तकनीक का प्रमुख सिद्धांत है?")</f>
        <v>निम्नलिखित में से कौन सा थांग-ता युद्ध तकनीक का प्रमुख सिद्धांत है?</v>
      </c>
      <c r="H20" s="5" t="str">
        <f>IFERROR(__xludf.DUMMYFUNCTION("GOOGLETRANSLATE(C20, ""en"", ""hi"")"),"A) परिशुद्धता, B) गति, C) शक्ति, D) चपलता")</f>
        <v>A) परिशुद्धता, B) गति, C) शक्ति, D) चपलता</v>
      </c>
      <c r="I20" s="5" t="str">
        <f>IFERROR(__xludf.DUMMYFUNCTION("GOOGLETRANSLATE(D20, ""en"", ""hi"")"),"ए) परिशुद्धता")</f>
        <v>ए) परिशुद्धता</v>
      </c>
    </row>
    <row r="21" ht="22.5" customHeight="1">
      <c r="A21" s="3">
        <v>20.0</v>
      </c>
      <c r="B21" s="4" t="s">
        <v>12004</v>
      </c>
      <c r="C21" s="4" t="s">
        <v>12005</v>
      </c>
      <c r="D21" s="4" t="s">
        <v>12006</v>
      </c>
      <c r="F21" s="5" t="str">
        <f>IFERROR(__xludf.DUMMYFUNCTION("GOOGLETRANSLATE(A21, ""en"", ""hi"")"),"20")</f>
        <v>20</v>
      </c>
      <c r="G21" s="5" t="str">
        <f>IFERROR(__xludf.DUMMYFUNCTION("GOOGLETRANSLATE(B21, ""en"", ""hi"")"),"कौन सा ऐतिहासिक व्यक्ति थांग-ता को बढ़ावा देने के लिए जाना जाता है?")</f>
        <v>कौन सा ऐतिहासिक व्यक्ति थांग-ता को बढ़ावा देने के लिए जाना जाता है?</v>
      </c>
      <c r="H21" s="5" t="str">
        <f>IFERROR(__xludf.DUMMYFUNCTION("GOOGLETRANSLATE(C21, ""en"", ""hi"")"),"ए) महाराजा चंद्रकीर्ति सिंह, बी) महाराजा जय सिंह, सी) महाराजा सुरचंद्र सिंह, डी) महाराजा गंभीर सिंह")</f>
        <v>ए) महाराजा चंद्रकीर्ति सिंह, बी) महाराजा जय सिंह, सी) महाराजा सुरचंद्र सिंह, डी) महाराजा गंभीर सिंह</v>
      </c>
      <c r="I21" s="5" t="str">
        <f>IFERROR(__xludf.DUMMYFUNCTION("GOOGLETRANSLATE(D21, ""en"", ""hi"")"),"D) महाराजा गंभीर सिंह")</f>
        <v>D) महाराजा गंभीर सिंह</v>
      </c>
    </row>
    <row r="22" ht="22.5" customHeight="1">
      <c r="A22" s="3">
        <v>21.0</v>
      </c>
      <c r="B22" s="4" t="s">
        <v>12007</v>
      </c>
      <c r="C22" s="4" t="s">
        <v>12008</v>
      </c>
      <c r="D22" s="4" t="s">
        <v>12009</v>
      </c>
      <c r="F22" s="5" t="str">
        <f>IFERROR(__xludf.DUMMYFUNCTION("GOOGLETRANSLATE(A22, ""en"", ""hi"")"),"21")</f>
        <v>21</v>
      </c>
      <c r="G22" s="5" t="str">
        <f>IFERROR(__xludf.DUMMYFUNCTION("GOOGLETRANSLATE(B22, ""en"", ""hi"")"),"थांग-ता अक्सर किस प्रकार की ऐतिहासिक घटनाओं की याद में किया जाता है?")</f>
        <v>थांग-ता अक्सर किस प्रकार की ऐतिहासिक घटनाओं की याद में किया जाता है?</v>
      </c>
      <c r="H22" s="5" t="str">
        <f>IFERROR(__xludf.DUMMYFUNCTION("GOOGLETRANSLATE(C22, ""en"", ""hi"")"),"A) युद्ध में विजय, B) राजाओं के जन्मदिन, C) त्यौहार, D) शादियाँ")</f>
        <v>A) युद्ध में विजय, B) राजाओं के जन्मदिन, C) त्यौहार, D) शादियाँ</v>
      </c>
      <c r="I22" s="5" t="str">
        <f>IFERROR(__xludf.DUMMYFUNCTION("GOOGLETRANSLATE(D22, ""en"", ""hi"")"),"A) युद्ध में विजय")</f>
        <v>A) युद्ध में विजय</v>
      </c>
    </row>
    <row r="23" ht="22.5" customHeight="1">
      <c r="A23" s="3">
        <v>22.0</v>
      </c>
      <c r="B23" s="4" t="s">
        <v>12010</v>
      </c>
      <c r="C23" s="4" t="s">
        <v>12011</v>
      </c>
      <c r="D23" s="4" t="s">
        <v>12012</v>
      </c>
      <c r="F23" s="5" t="str">
        <f>IFERROR(__xludf.DUMMYFUNCTION("GOOGLETRANSLATE(A23, ""en"", ""hi"")"),"22")</f>
        <v>22</v>
      </c>
      <c r="G23" s="5" t="str">
        <f>IFERROR(__xludf.DUMMYFUNCTION("GOOGLETRANSLATE(B23, ""en"", ""hi"")"),"थांग-ता में तलवार और भाला दोनों का उपयोग करने का उद्देश्य क्या है?")</f>
        <v>थांग-ता में तलवार और भाला दोनों का उपयोग करने का उद्देश्य क्या है?</v>
      </c>
      <c r="H23" s="5" t="str">
        <f>IFERROR(__xludf.DUMMYFUNCTION("GOOGLETRANSLATE(C23, ""en"", ""hi"")"),"A) बहुमुखी प्रतिभा प्रदर्शित करने के लिए, B) धार्मिक अनुष्ठान करने के लिए, C) द्वैध युद्ध के लिए प्रशिक्षण देने के लिए, D) मनोरंजन करने के लिए")</f>
        <v>A) बहुमुखी प्रतिभा प्रदर्शित करने के लिए, B) धार्मिक अनुष्ठान करने के लिए, C) द्वैध युद्ध के लिए प्रशिक्षण देने के लिए, D) मनोरंजन करने के लिए</v>
      </c>
      <c r="I23" s="5" t="str">
        <f>IFERROR(__xludf.DUMMYFUNCTION("GOOGLETRANSLATE(D23, ""en"", ""hi"")"),"C) दोहरे युद्ध के लिए प्रशिक्षण देना")</f>
        <v>C) दोहरे युद्ध के लिए प्रशिक्षण देना</v>
      </c>
    </row>
    <row r="24" ht="22.5" customHeight="1">
      <c r="A24" s="3">
        <v>23.0</v>
      </c>
      <c r="B24" s="4" t="s">
        <v>12013</v>
      </c>
      <c r="C24" s="4" t="s">
        <v>12014</v>
      </c>
      <c r="D24" s="4" t="s">
        <v>12015</v>
      </c>
      <c r="F24" s="5" t="str">
        <f>IFERROR(__xludf.DUMMYFUNCTION("GOOGLETRANSLATE(A24, ""en"", ""hi"")"),"23")</f>
        <v>23</v>
      </c>
      <c r="G24" s="5" t="str">
        <f>IFERROR(__xludf.DUMMYFUNCTION("GOOGLETRANSLATE(B24, ""en"", ""hi"")"),"निम्नलिखित में से कौन सा थांग-ता में प्रयुक्त होने वाला पारंपरिक हथियार नहीं है?")</f>
        <v>निम्नलिखित में से कौन सा थांग-ता में प्रयुक्त होने वाला पारंपरिक हथियार नहीं है?</v>
      </c>
      <c r="H24" s="5" t="str">
        <f>IFERROR(__xludf.DUMMYFUNCTION("GOOGLETRANSLATE(C24, ""en"", ""hi"")"),"ए) कंजई, बी) सारंग, सी) चाओ, डी) मलकांग")</f>
        <v>ए) कंजई, बी) सारंग, सी) चाओ, डी) मलकांग</v>
      </c>
      <c r="I24" s="5" t="str">
        <f>IFERROR(__xludf.DUMMYFUNCTION("GOOGLETRANSLATE(D24, ""en"", ""hi"")"),"C) चाओ")</f>
        <v>C) चाओ</v>
      </c>
    </row>
    <row r="25" ht="22.5" customHeight="1">
      <c r="A25" s="3">
        <v>24.0</v>
      </c>
      <c r="B25" s="4" t="s">
        <v>12016</v>
      </c>
      <c r="C25" s="4" t="s">
        <v>12017</v>
      </c>
      <c r="D25" s="4" t="s">
        <v>12018</v>
      </c>
      <c r="F25" s="5" t="str">
        <f>IFERROR(__xludf.DUMMYFUNCTION("GOOGLETRANSLATE(A25, ""en"", ""hi"")"),"24")</f>
        <v>24</v>
      </c>
      <c r="G25" s="5" t="str">
        <f>IFERROR(__xludf.DUMMYFUNCTION("GOOGLETRANSLATE(B25, ""en"", ""hi"")"),"थांग-ता के अभ्यास में किस प्रकार की गतिविधि शामिल होती है?")</f>
        <v>थांग-ता के अभ्यास में किस प्रकार की गतिविधि शामिल होती है?</v>
      </c>
      <c r="H25" s="5" t="str">
        <f>IFERROR(__xludf.DUMMYFUNCTION("GOOGLETRANSLATE(C25, ""en"", ""hi"")"),"A) जटिल रूप, B) सरल पैटर्न, C) दोहरावदार अनुक्रम, D) यादृच्छिक क्रियाएँ")</f>
        <v>A) जटिल रूप, B) सरल पैटर्न, C) दोहरावदार अनुक्रम, D) यादृच्छिक क्रियाएँ</v>
      </c>
      <c r="I25" s="5" t="str">
        <f>IFERROR(__xludf.DUMMYFUNCTION("GOOGLETRANSLATE(D25, ""en"", ""hi"")"),"ए) जटिल रूप")</f>
        <v>ए) जटिल रूप</v>
      </c>
    </row>
    <row r="26" ht="22.5" customHeight="1">
      <c r="A26" s="3">
        <v>25.0</v>
      </c>
      <c r="B26" s="4" t="s">
        <v>12019</v>
      </c>
      <c r="C26" s="4" t="s">
        <v>12020</v>
      </c>
      <c r="D26" s="4" t="s">
        <v>12021</v>
      </c>
      <c r="F26" s="5" t="str">
        <f>IFERROR(__xludf.DUMMYFUNCTION("GOOGLETRANSLATE(A26, ""en"", ""hi"")"),"25")</f>
        <v>25</v>
      </c>
      <c r="G26" s="5" t="str">
        <f>IFERROR(__xludf.DUMMYFUNCTION("GOOGLETRANSLATE(B26, ""en"", ""hi"")"),"मणिपुर की सांस्कृतिक विरासत में थांग-ता का क्या महत्व है?")</f>
        <v>मणिपुर की सांस्कृतिक विरासत में थांग-ता का क्या महत्व है?</v>
      </c>
      <c r="H26" s="5" t="str">
        <f>IFERROR(__xludf.DUMMYFUNCTION("GOOGLETRANSLATE(C26, ""en"", ""hi"")"),"A) यह प्रतिरोध का प्रतीक है, B) यह मनोरंजन का एक रूप है, C) यह एक विवाह परंपरा है, D) यह कृषि संस्कारों का प्रतिनिधित्व करता है")</f>
        <v>A) यह प्रतिरोध का प्रतीक है, B) यह मनोरंजन का एक रूप है, C) यह एक विवाह परंपरा है, D) यह कृषि संस्कारों का प्रतिनिधित्व करता है</v>
      </c>
      <c r="I26" s="5" t="str">
        <f>IFERROR(__xludf.DUMMYFUNCTION("GOOGLETRANSLATE(D26, ""en"", ""hi"")"),"A) यह प्रतिरोध का प्रतीक है")</f>
        <v>A) यह प्रतिरोध का प्रतीक है</v>
      </c>
    </row>
    <row r="27" ht="22.5" customHeight="1">
      <c r="A27" s="3">
        <v>26.0</v>
      </c>
      <c r="B27" s="4" t="s">
        <v>12022</v>
      </c>
      <c r="C27" s="4" t="s">
        <v>12023</v>
      </c>
      <c r="D27" s="4" t="s">
        <v>12024</v>
      </c>
      <c r="F27" s="5" t="str">
        <f>IFERROR(__xludf.DUMMYFUNCTION("GOOGLETRANSLATE(A27, ""en"", ""hi"")"),"26")</f>
        <v>26</v>
      </c>
      <c r="G27" s="5" t="str">
        <f>IFERROR(__xludf.DUMMYFUNCTION("GOOGLETRANSLATE(B27, ""en"", ""hi"")"),"थांग-ता प्रदर्शन के दौरान अक्सर गाए जाने वाले पारंपरिक गीत का नाम क्या है?")</f>
        <v>थांग-ता प्रदर्शन के दौरान अक्सर गाए जाने वाले पारंपरिक गीत का नाम क्या है?</v>
      </c>
      <c r="H27" s="5" t="str">
        <f>IFERROR(__xludf.DUMMYFUNCTION("GOOGLETRANSLATE(C27, ""en"", ""hi"")"),"ए) लाई हरोबा, बी) रास लीला, सी) थांग-ता अथिंग, डी) नागा नृत्य")</f>
        <v>ए) लाई हरोबा, बी) रास लीला, सी) थांग-ता अथिंग, डी) नागा नृत्य</v>
      </c>
      <c r="I27" s="5" t="str">
        <f>IFERROR(__xludf.DUMMYFUNCTION("GOOGLETRANSLATE(D27, ""en"", ""hi"")"),"C) थांग-ता एथिंग")</f>
        <v>C) थांग-ता एथिंग</v>
      </c>
    </row>
    <row r="28" ht="22.5" customHeight="1">
      <c r="A28" s="3">
        <v>27.0</v>
      </c>
      <c r="B28" s="4" t="s">
        <v>12025</v>
      </c>
      <c r="C28" s="4" t="s">
        <v>12026</v>
      </c>
      <c r="D28" s="4" t="s">
        <v>12027</v>
      </c>
      <c r="F28" s="5" t="str">
        <f>IFERROR(__xludf.DUMMYFUNCTION("GOOGLETRANSLATE(A28, ""en"", ""hi"")"),"27")</f>
        <v>27</v>
      </c>
      <c r="G28" s="5" t="str">
        <f>IFERROR(__xludf.DUMMYFUNCTION("GOOGLETRANSLATE(B28, ""en"", ""hi"")"),"निम्नलिखित में से कौन सा थांग-ता की शैली का वर्णन नहीं करता है?")</f>
        <v>निम्नलिखित में से कौन सा थांग-ता की शैली का वर्णन नहीं करता है?</v>
      </c>
      <c r="H28" s="5" t="str">
        <f>IFERROR(__xludf.DUMMYFUNCTION("GOOGLETRANSLATE(C28, ""en"", ""hi"")"),"A) हाथ से हाथ का मुकाबला, B) तलवार नृत्य, C) भाला फेंकना, D) तीरंदाजी")</f>
        <v>A) हाथ से हाथ का मुकाबला, B) तलवार नृत्य, C) भाला फेंकना, D) तीरंदाजी</v>
      </c>
      <c r="I28" s="5" t="str">
        <f>IFERROR(__xludf.DUMMYFUNCTION("GOOGLETRANSLATE(D28, ""en"", ""hi"")"),"D) तीरंदाजी")</f>
        <v>D) तीरंदाजी</v>
      </c>
    </row>
    <row r="29" ht="22.5" customHeight="1">
      <c r="A29" s="3">
        <v>28.0</v>
      </c>
      <c r="B29" s="4" t="s">
        <v>12028</v>
      </c>
      <c r="C29" s="4" t="s">
        <v>12029</v>
      </c>
      <c r="D29" s="4" t="s">
        <v>12030</v>
      </c>
      <c r="F29" s="5" t="str">
        <f>IFERROR(__xludf.DUMMYFUNCTION("GOOGLETRANSLATE(A29, ""en"", ""hi"")"),"28")</f>
        <v>28</v>
      </c>
      <c r="G29" s="5" t="str">
        <f>IFERROR(__xludf.DUMMYFUNCTION("GOOGLETRANSLATE(B29, ""en"", ""hi"")"),"मार्शल आर्ट के अलावा थांग-ता का अभ्यास किस संदर्भ में किया जाता है?")</f>
        <v>मार्शल आर्ट के अलावा थांग-ता का अभ्यास किस संदर्भ में किया जाता है?</v>
      </c>
      <c r="H29" s="5" t="str">
        <f>IFERROR(__xludf.DUMMYFUNCTION("GOOGLETRANSLATE(C29, ""en"", ""hi"")"),"A) उपचार अनुष्ठान, B) आध्यात्मिक पूजा, C) कृषि उत्सव, D) शैक्षिक प्रशिक्षण")</f>
        <v>A) उपचार अनुष्ठान, B) आध्यात्मिक पूजा, C) कृषि उत्सव, D) शैक्षिक प्रशिक्षण</v>
      </c>
      <c r="I29" s="5" t="str">
        <f>IFERROR(__xludf.DUMMYFUNCTION("GOOGLETRANSLATE(D29, ""en"", ""hi"")"),"बी) आध्यात्मिक उपासना")</f>
        <v>बी) आध्यात्मिक उपासना</v>
      </c>
    </row>
    <row r="30" ht="22.5" customHeight="1">
      <c r="A30" s="3">
        <v>29.0</v>
      </c>
      <c r="B30" s="4" t="s">
        <v>12031</v>
      </c>
      <c r="C30" s="4" t="s">
        <v>12032</v>
      </c>
      <c r="D30" s="4" t="s">
        <v>12033</v>
      </c>
      <c r="F30" s="5" t="str">
        <f>IFERROR(__xludf.DUMMYFUNCTION("GOOGLETRANSLATE(A30, ""en"", ""hi"")"),"29")</f>
        <v>29</v>
      </c>
      <c r="G30" s="5" t="str">
        <f>IFERROR(__xludf.DUMMYFUNCTION("GOOGLETRANSLATE(B30, ""en"", ""hi"")"),"थांग-ता प्रदर्शन के दौरान पहनी जाने वाली पारंपरिक पोशाक क्या है?")</f>
        <v>थांग-ता प्रदर्शन के दौरान पहनी जाने वाली पारंपरिक पोशाक क्या है?</v>
      </c>
      <c r="H30" s="5" t="str">
        <f>IFERROR(__xludf.DUMMYFUNCTION("GOOGLETRANSLATE(C30, ""en"", ""hi"")"),"ए) मणिपुरी फानेक, बी) असमिया मेखला, सी) बंगाली साड़ी, डी) पंजाबी कुर्ता")</f>
        <v>ए) मणिपुरी फानेक, बी) असमिया मेखला, सी) बंगाली साड़ी, डी) पंजाबी कुर्ता</v>
      </c>
      <c r="I30" s="5" t="str">
        <f>IFERROR(__xludf.DUMMYFUNCTION("GOOGLETRANSLATE(D30, ""en"", ""hi"")"),"A) मणिपुरी फणेक")</f>
        <v>A) मणिपुरी फणेक</v>
      </c>
    </row>
    <row r="31" ht="22.5" customHeight="1">
      <c r="A31" s="3">
        <v>30.0</v>
      </c>
      <c r="B31" s="4" t="s">
        <v>12034</v>
      </c>
      <c r="C31" s="4" t="s">
        <v>12035</v>
      </c>
      <c r="D31" s="4" t="s">
        <v>12036</v>
      </c>
      <c r="F31" s="5" t="str">
        <f>IFERROR(__xludf.DUMMYFUNCTION("GOOGLETRANSLATE(A31, ""en"", ""hi"")"),"30")</f>
        <v>30</v>
      </c>
      <c r="G31" s="5" t="str">
        <f>IFERROR(__xludf.DUMMYFUNCTION("GOOGLETRANSLATE(B31, ""en"", ""hi"")"),"थांग-ता प्रशिक्षण का मुख्य फोकस क्षेत्र क्या है?")</f>
        <v>थांग-ता प्रशिक्षण का मुख्य फोकस क्षेत्र क्या है?</v>
      </c>
      <c r="H31" s="5" t="str">
        <f>IFERROR(__xludf.DUMMYFUNCTION("GOOGLETRANSLATE(C31, ""en"", ""hi"")"),"A) समन्वय, B) शक्ति निर्माण, C) लचीलापन, D) गति")</f>
        <v>A) समन्वय, B) शक्ति निर्माण, C) लचीलापन, D) गति</v>
      </c>
      <c r="I31" s="5" t="str">
        <f>IFERROR(__xludf.DUMMYFUNCTION("GOOGLETRANSLATE(D31, ""en"", ""hi"")"),"ए) समन्वय")</f>
        <v>ए) समन्वय</v>
      </c>
    </row>
    <row r="32" ht="22.5" customHeight="1">
      <c r="A32" s="3">
        <v>31.0</v>
      </c>
      <c r="B32" s="4" t="s">
        <v>12037</v>
      </c>
      <c r="C32" s="4" t="s">
        <v>12038</v>
      </c>
      <c r="D32" s="4" t="s">
        <v>12039</v>
      </c>
      <c r="F32" s="5" t="str">
        <f>IFERROR(__xludf.DUMMYFUNCTION("GOOGLETRANSLATE(A32, ""en"", ""hi"")"),"31")</f>
        <v>31</v>
      </c>
      <c r="G32" s="5" t="str">
        <f>IFERROR(__xludf.DUMMYFUNCTION("GOOGLETRANSLATE(B32, ""en"", ""hi"")"),"मणिपुर के स्थानीय समुदाय में थांग-ता की क्या भूमिका है?")</f>
        <v>मणिपुर के स्थानीय समुदाय में थांग-ता की क्या भूमिका है?</v>
      </c>
      <c r="H32" s="5" t="str">
        <f>IFERROR(__xludf.DUMMYFUNCTION("GOOGLETRANSLATE(C32, ""en"", ""hi"")"),"A) सांस्कृतिक पहचान, B) आर्थिक गतिविधि, C) शैक्षिक उपकरण, D) राजनीतिक वक्तव्य")</f>
        <v>A) सांस्कृतिक पहचान, B) आर्थिक गतिविधि, C) शैक्षिक उपकरण, D) राजनीतिक वक्तव्य</v>
      </c>
      <c r="I32" s="5" t="str">
        <f>IFERROR(__xludf.DUMMYFUNCTION("GOOGLETRANSLATE(D32, ""en"", ""hi"")"),"ए) सांस्कृतिक पहचान")</f>
        <v>ए) सांस्कृतिक पहचान</v>
      </c>
    </row>
    <row r="33" ht="22.5" customHeight="1">
      <c r="A33" s="3">
        <v>32.0</v>
      </c>
      <c r="B33" s="4" t="s">
        <v>12040</v>
      </c>
      <c r="C33" s="4" t="s">
        <v>12041</v>
      </c>
      <c r="D33" s="4" t="s">
        <v>8740</v>
      </c>
      <c r="F33" s="5" t="str">
        <f>IFERROR(__xludf.DUMMYFUNCTION("GOOGLETRANSLATE(A33, ""en"", ""hi"")"),"32")</f>
        <v>32</v>
      </c>
      <c r="G33" s="5" t="str">
        <f>IFERROR(__xludf.DUMMYFUNCTION("GOOGLETRANSLATE(B33, ""en"", ""hi"")"),"किस मार्शल आर्ट ने थांग-ता को प्रभावित किया है?")</f>
        <v>किस मार्शल आर्ट ने थांग-ता को प्रभावित किया है?</v>
      </c>
      <c r="H33" s="5" t="str">
        <f>IFERROR(__xludf.DUMMYFUNCTION("GOOGLETRANSLATE(C33, ""en"", ""hi"")"),"ए) कराटे, बी) तायक्वोंडो, सी) कुंग फू, डी) जूडो")</f>
        <v>ए) कराटे, बी) तायक्वोंडो, सी) कुंग फू, डी) जूडो</v>
      </c>
      <c r="I33" s="5" t="str">
        <f>IFERROR(__xludf.DUMMYFUNCTION("GOOGLETRANSLATE(D33, ""en"", ""hi"")"),"सी) कुंग फू")</f>
        <v>सी) कुंग फू</v>
      </c>
    </row>
    <row r="34" ht="22.5" customHeight="1">
      <c r="A34" s="3">
        <v>33.0</v>
      </c>
      <c r="B34" s="4" t="s">
        <v>12042</v>
      </c>
      <c r="C34" s="4" t="s">
        <v>12043</v>
      </c>
      <c r="D34" s="4" t="s">
        <v>12044</v>
      </c>
      <c r="F34" s="5" t="str">
        <f>IFERROR(__xludf.DUMMYFUNCTION("GOOGLETRANSLATE(A34, ""en"", ""hi"")"),"33")</f>
        <v>33</v>
      </c>
      <c r="G34" s="5" t="str">
        <f>IFERROR(__xludf.DUMMYFUNCTION("GOOGLETRANSLATE(B34, ""en"", ""hi"")"),"थांग-टा की ऐतिहासिक उत्पत्ति किससे जुड़ी है?")</f>
        <v>थांग-टा की ऐतिहासिक उत्पत्ति किससे जुड़ी है?</v>
      </c>
      <c r="H34" s="5" t="str">
        <f>IFERROR(__xludf.DUMMYFUNCTION("GOOGLETRANSLATE(C34, ""en"", ""hi"")"),"A) प्राचीन युद्ध, B) शाही दरबार के अनुष्ठान, C) धार्मिक समारोह, D) दैनिक जीवन की गतिविधियाँ")</f>
        <v>A) प्राचीन युद्ध, B) शाही दरबार के अनुष्ठान, C) धार्मिक समारोह, D) दैनिक जीवन की गतिविधियाँ</v>
      </c>
      <c r="I34" s="5" t="str">
        <f>IFERROR(__xludf.DUMMYFUNCTION("GOOGLETRANSLATE(D34, ""en"", ""hi"")"),"A) प्राचीन युद्ध")</f>
        <v>A) प्राचीन युद्ध</v>
      </c>
    </row>
    <row r="35" ht="22.5" customHeight="1">
      <c r="A35" s="3">
        <v>34.0</v>
      </c>
      <c r="B35" s="4" t="s">
        <v>12045</v>
      </c>
      <c r="C35" s="4" t="s">
        <v>12046</v>
      </c>
      <c r="D35" s="4" t="s">
        <v>12047</v>
      </c>
      <c r="F35" s="5" t="str">
        <f>IFERROR(__xludf.DUMMYFUNCTION("GOOGLETRANSLATE(A35, ""en"", ""hi"")"),"34")</f>
        <v>34</v>
      </c>
      <c r="G35" s="5" t="str">
        <f>IFERROR(__xludf.DUMMYFUNCTION("GOOGLETRANSLATE(B35, ""en"", ""hi"")"),"थांग-ता तकनीक आमतौर पर किस प्रकार के प्रशिक्षकों द्वारा सिखाई जाती है?")</f>
        <v>थांग-ता तकनीक आमतौर पर किस प्रकार के प्रशिक्षकों द्वारा सिखाई जाती है?</v>
      </c>
      <c r="H35" s="5" t="str">
        <f>IFERROR(__xludf.DUMMYFUNCTION("GOOGLETRANSLATE(C35, ""en"", ""hi"")"),"A) मार्शल आर्ट मास्टर्स, B) स्थानीय प्रमुख, C) धार्मिक नेता, D) शैक्षणिक संस्थान")</f>
        <v>A) मार्शल आर्ट मास्टर्स, B) स्थानीय प्रमुख, C) धार्मिक नेता, D) शैक्षणिक संस्थान</v>
      </c>
      <c r="I35" s="5" t="str">
        <f>IFERROR(__xludf.DUMMYFUNCTION("GOOGLETRANSLATE(D35, ""en"", ""hi"")"),"ए) मार्शल आर्ट मास्टर्स")</f>
        <v>ए) मार्शल आर्ट मास्टर्स</v>
      </c>
    </row>
    <row r="36" ht="22.5" customHeight="1">
      <c r="A36" s="3">
        <v>35.0</v>
      </c>
      <c r="B36" s="4" t="s">
        <v>12048</v>
      </c>
      <c r="C36" s="4" t="s">
        <v>12049</v>
      </c>
      <c r="D36" s="4" t="s">
        <v>12050</v>
      </c>
      <c r="F36" s="5" t="str">
        <f>IFERROR(__xludf.DUMMYFUNCTION("GOOGLETRANSLATE(A36, ""en"", ""hi"")"),"35")</f>
        <v>35</v>
      </c>
      <c r="G36" s="5" t="str">
        <f>IFERROR(__xludf.DUMMYFUNCTION("GOOGLETRANSLATE(B36, ""en"", ""hi"")"),"थांग-ता प्रशिक्षण का प्राथमिक लक्ष्य क्या है?")</f>
        <v>थांग-ता प्रशिक्षण का प्राथमिक लक्ष्य क्या है?</v>
      </c>
      <c r="H36" s="5" t="str">
        <f>IFERROR(__xludf.DUMMYFUNCTION("GOOGLETRANSLATE(C36, ""en"", ""hi"")"),"A) शारीरिक फिटनेस, B) कलात्मक अभिव्यक्ति, C) सोशल नेटवर्किंग, D) मानसिक विश्राम")</f>
        <v>A) शारीरिक फिटनेस, B) कलात्मक अभिव्यक्ति, C) सोशल नेटवर्किंग, D) मानसिक विश्राम</v>
      </c>
      <c r="I36" s="5" t="str">
        <f>IFERROR(__xludf.DUMMYFUNCTION("GOOGLETRANSLATE(D36, ""en"", ""hi"")"),"ए) शारीरिक स्वास्थ्य")</f>
        <v>ए) शारीरिक स्वास्थ्य</v>
      </c>
    </row>
    <row r="37" ht="22.5" customHeight="1">
      <c r="A37" s="3">
        <v>36.0</v>
      </c>
      <c r="B37" s="4" t="s">
        <v>12051</v>
      </c>
      <c r="C37" s="4" t="s">
        <v>12052</v>
      </c>
      <c r="D37" s="4" t="s">
        <v>12053</v>
      </c>
      <c r="F37" s="5" t="str">
        <f>IFERROR(__xludf.DUMMYFUNCTION("GOOGLETRANSLATE(A37, ""en"", ""hi"")"),"36")</f>
        <v>36</v>
      </c>
      <c r="G37" s="5" t="str">
        <f>IFERROR(__xludf.DUMMYFUNCTION("GOOGLETRANSLATE(B37, ""en"", ""hi"")"),"थांग-ता में औपचारिक नृत्य का उद्देश्य क्या है?")</f>
        <v>थांग-ता में औपचारिक नृत्य का उद्देश्य क्या है?</v>
      </c>
      <c r="H37" s="5" t="str">
        <f>IFERROR(__xludf.DUMMYFUNCTION("GOOGLETRANSLATE(C37, ""en"", ""hi"")"),"A) कौशल दिखाने के लिए, B) पूर्वजों का सम्मान करने के लिए, C) मनोरंजन करने के लिए, D) प्रशिक्षण देने के लिए")</f>
        <v>A) कौशल दिखाने के लिए, B) पूर्वजों का सम्मान करने के लिए, C) मनोरंजन करने के लिए, D) प्रशिक्षण देने के लिए</v>
      </c>
      <c r="I37" s="5" t="str">
        <f>IFERROR(__xludf.DUMMYFUNCTION("GOOGLETRANSLATE(D37, ""en"", ""hi"")"),"बी) पूर्वजों का सम्मान करना")</f>
        <v>बी) पूर्वजों का सम्मान करना</v>
      </c>
    </row>
    <row r="38" ht="22.5" customHeight="1">
      <c r="A38" s="3">
        <v>37.0</v>
      </c>
      <c r="B38" s="4" t="s">
        <v>12054</v>
      </c>
      <c r="C38" s="4" t="s">
        <v>12055</v>
      </c>
      <c r="D38" s="4" t="s">
        <v>12056</v>
      </c>
      <c r="F38" s="5" t="str">
        <f>IFERROR(__xludf.DUMMYFUNCTION("GOOGLETRANSLATE(A38, ""en"", ""hi"")"),"37")</f>
        <v>37</v>
      </c>
      <c r="G38" s="5" t="str">
        <f>IFERROR(__xludf.DUMMYFUNCTION("GOOGLETRANSLATE(B38, ""en"", ""hi"")"),"कौन सी ऐतिहासिक घटना सामान्यतः थांग-ता प्रदर्शनों से जुड़ी है?")</f>
        <v>कौन सी ऐतिहासिक घटना सामान्यतः थांग-ता प्रदर्शनों से जुड़ी है?</v>
      </c>
      <c r="H38" s="5" t="str">
        <f>IFERROR(__xludf.DUMMYFUNCTION("GOOGLETRANSLATE(C38, ""en"", ""hi"")"),"A) युद्ध विजय, B) शाही राज्याभिषेक, C) नेताओं का जन्म, D) मौसमी त्यौहार")</f>
        <v>A) युद्ध विजय, B) शाही राज्याभिषेक, C) नेताओं का जन्म, D) मौसमी त्यौहार</v>
      </c>
      <c r="I38" s="5" t="str">
        <f>IFERROR(__xludf.DUMMYFUNCTION("GOOGLETRANSLATE(D38, ""en"", ""hi"")"),"A) युद्ध विजय")</f>
        <v>A) युद्ध विजय</v>
      </c>
    </row>
    <row r="39" ht="22.5" customHeight="1">
      <c r="A39" s="3">
        <v>38.0</v>
      </c>
      <c r="B39" s="4" t="s">
        <v>12057</v>
      </c>
      <c r="C39" s="4" t="s">
        <v>12058</v>
      </c>
      <c r="D39" s="4" t="s">
        <v>12059</v>
      </c>
      <c r="F39" s="5" t="str">
        <f>IFERROR(__xludf.DUMMYFUNCTION("GOOGLETRANSLATE(A39, ""en"", ""hi"")"),"38")</f>
        <v>38</v>
      </c>
      <c r="G39" s="5" t="str">
        <f>IFERROR(__xludf.DUMMYFUNCTION("GOOGLETRANSLATE(B39, ""en"", ""hi"")"),"थांग-ता के साथ अक्सर किस प्रकार का संगीत बजाया जाता है?")</f>
        <v>थांग-ता के साथ अक्सर किस प्रकार का संगीत बजाया जाता है?</v>
      </c>
      <c r="H39" s="5" t="str">
        <f>IFERROR(__xludf.DUMMYFUNCTION("GOOGLETRANSLATE(C39, ""en"", ""hi"")"),"A) पारंपरिक ढोलवादन, B) आधुनिक वाद्यवादन, C) शास्त्रीय तारवादन, D) स्वर सामंजस्य")</f>
        <v>A) पारंपरिक ढोलवादन, B) आधुनिक वाद्यवादन, C) शास्त्रीय तारवादन, D) स्वर सामंजस्य</v>
      </c>
      <c r="I39" s="5" t="str">
        <f>IFERROR(__xludf.DUMMYFUNCTION("GOOGLETRANSLATE(D39, ""en"", ""hi"")"),"ए) पारंपरिक ढोल बजाना")</f>
        <v>ए) पारंपरिक ढोल बजाना</v>
      </c>
    </row>
    <row r="40" ht="22.5" customHeight="1">
      <c r="A40" s="3">
        <v>39.0</v>
      </c>
      <c r="B40" s="4" t="s">
        <v>12060</v>
      </c>
      <c r="C40" s="4" t="s">
        <v>12061</v>
      </c>
      <c r="D40" s="4" t="s">
        <v>12062</v>
      </c>
      <c r="F40" s="5" t="str">
        <f>IFERROR(__xludf.DUMMYFUNCTION("GOOGLETRANSLATE(A40, ""en"", ""hi"")"),"39")</f>
        <v>39</v>
      </c>
      <c r="G40" s="5" t="str">
        <f>IFERROR(__xludf.DUMMYFUNCTION("GOOGLETRANSLATE(B40, ""en"", ""hi"")"),"किस ऐतिहासिक ग्रंथ में थांग-ता प्रथा का उल्लेख है?")</f>
        <v>किस ऐतिहासिक ग्रंथ में थांग-ता प्रथा का उल्लेख है?</v>
      </c>
      <c r="H40" s="5" t="str">
        <f>IFERROR(__xludf.DUMMYFUNCTION("GOOGLETRANSLATE(C40, ""en"", ""hi"")"),"ए) मनुस्मृति, बी) महाभारत, सी) रामायण, डी) नागा लिपियाँ")</f>
        <v>ए) मनुस्मृति, बी) महाभारत, सी) रामायण, डी) नागा लिपियाँ</v>
      </c>
      <c r="I40" s="5" t="str">
        <f>IFERROR(__xludf.DUMMYFUNCTION("GOOGLETRANSLATE(D40, ""en"", ""hi"")"),"D) नागा लिपियाँ")</f>
        <v>D) नागा लिपियाँ</v>
      </c>
    </row>
    <row r="41" ht="22.5" customHeight="1">
      <c r="A41" s="3">
        <v>40.0</v>
      </c>
      <c r="B41" s="4" t="s">
        <v>12063</v>
      </c>
      <c r="C41" s="4" t="s">
        <v>12064</v>
      </c>
      <c r="D41" s="4" t="s">
        <v>12065</v>
      </c>
      <c r="F41" s="5" t="str">
        <f>IFERROR(__xludf.DUMMYFUNCTION("GOOGLETRANSLATE(A41, ""en"", ""hi"")"),"40")</f>
        <v>40</v>
      </c>
      <c r="G41" s="5" t="str">
        <f>IFERROR(__xludf.DUMMYFUNCTION("GOOGLETRANSLATE(B41, ""en"", ""hi"")"),"थांग-ता को किस राष्ट्रीय संस्था द्वारा मान्यता दी गई है?")</f>
        <v>थांग-ता को किस राष्ट्रीय संस्था द्वारा मान्यता दी गई है?</v>
      </c>
      <c r="H41" s="5" t="str">
        <f>IFERROR(__xludf.DUMMYFUNCTION("GOOGLETRANSLATE(C41, ""en"", ""hi"")"),"A) संगीत नाटक अकादमी, B) राष्ट्रीय संग्रहालय, C) भारतीय पुरातत्व सर्वेक्षण, D) राष्ट्रीय अभिलेखागार")</f>
        <v>A) संगीत नाटक अकादमी, B) राष्ट्रीय संग्रहालय, C) भारतीय पुरातत्व सर्वेक्षण, D) राष्ट्रीय अभिलेखागार</v>
      </c>
      <c r="I41" s="5" t="str">
        <f>IFERROR(__xludf.DUMMYFUNCTION("GOOGLETRANSLATE(D41, ""en"", ""hi"")"),"ए) संगीत नाटक अकादमी")</f>
        <v>ए) संगीत नाटक अकादमी</v>
      </c>
    </row>
    <row r="42" ht="22.5" customHeight="1">
      <c r="A42" s="3">
        <v>41.0</v>
      </c>
      <c r="B42" s="4" t="s">
        <v>12066</v>
      </c>
      <c r="C42" s="4" t="s">
        <v>12067</v>
      </c>
      <c r="D42" s="4" t="s">
        <v>12068</v>
      </c>
      <c r="F42" s="5" t="str">
        <f>IFERROR(__xludf.DUMMYFUNCTION("GOOGLETRANSLATE(A42, ""en"", ""hi"")"),"41")</f>
        <v>41</v>
      </c>
      <c r="G42" s="5" t="str">
        <f>IFERROR(__xludf.DUMMYFUNCTION("GOOGLETRANSLATE(B42, ""en"", ""hi"")"),"आधुनिक अभ्यास में थांग-ता के किस पहलू पर जोर दिया जाता है?")</f>
        <v>आधुनिक अभ्यास में थांग-ता के किस पहलू पर जोर दिया जाता है?</v>
      </c>
      <c r="H42" s="5" t="str">
        <f>IFERROR(__xludf.DUMMYFUNCTION("GOOGLETRANSLATE(C42, ""en"", ""hi"")"),"A) पारंपरिक तकनीकें, B) ऐतिहासिक सटीकता, C) प्रतिस्पर्धी द्वंद्वयुद्ध, D) कलात्मक प्रदर्शन")</f>
        <v>A) पारंपरिक तकनीकें, B) ऐतिहासिक सटीकता, C) प्रतिस्पर्धी द्वंद्वयुद्ध, D) कलात्मक प्रदर्शन</v>
      </c>
      <c r="I42" s="5" t="str">
        <f>IFERROR(__xludf.DUMMYFUNCTION("GOOGLETRANSLATE(D42, ""en"", ""hi"")"),"सी) प्रतिस्पर्धी स्पैरिंग")</f>
        <v>सी) प्रतिस्पर्धी स्पैरिंग</v>
      </c>
    </row>
    <row r="43" ht="22.5" customHeight="1">
      <c r="A43" s="3">
        <v>42.0</v>
      </c>
      <c r="B43" s="4" t="s">
        <v>12069</v>
      </c>
      <c r="C43" s="4" t="s">
        <v>12070</v>
      </c>
      <c r="D43" s="4" t="s">
        <v>12071</v>
      </c>
      <c r="F43" s="5" t="str">
        <f>IFERROR(__xludf.DUMMYFUNCTION("GOOGLETRANSLATE(A43, ""en"", ""hi"")"),"42")</f>
        <v>42</v>
      </c>
      <c r="G43" s="5" t="str">
        <f>IFERROR(__xludf.DUMMYFUNCTION("GOOGLETRANSLATE(B43, ""en"", ""hi"")"),"निम्नलिखित में से कौन सा थांग-ता का पारंपरिक घटक नहीं है?")</f>
        <v>निम्नलिखित में से कौन सा थांग-ता का पारंपरिक घटक नहीं है?</v>
      </c>
      <c r="H43" s="5" t="str">
        <f>IFERROR(__xludf.DUMMYFUNCTION("GOOGLETRANSLATE(C43, ""en"", ""hi"")"),"A) तलवार तकनीक, B) भाला तकनीक, C) तीरंदाजी, D) ढाल तकनीक")</f>
        <v>A) तलवार तकनीक, B) भाला तकनीक, C) तीरंदाजी, D) ढाल तकनीक</v>
      </c>
      <c r="I43" s="5" t="str">
        <f>IFERROR(__xludf.DUMMYFUNCTION("GOOGLETRANSLATE(D43, ""en"", ""hi"")"),"सी) तीरंदाजी")</f>
        <v>सी) तीरंदाजी</v>
      </c>
    </row>
    <row r="44" ht="22.5" customHeight="1">
      <c r="A44" s="3">
        <v>43.0</v>
      </c>
      <c r="B44" s="4" t="s">
        <v>12072</v>
      </c>
      <c r="C44" s="4" t="s">
        <v>12073</v>
      </c>
      <c r="D44" s="4" t="s">
        <v>12074</v>
      </c>
      <c r="F44" s="5" t="str">
        <f>IFERROR(__xludf.DUMMYFUNCTION("GOOGLETRANSLATE(A44, ""en"", ""hi"")"),"43")</f>
        <v>43</v>
      </c>
      <c r="G44" s="5" t="str">
        <f>IFERROR(__xludf.DUMMYFUNCTION("GOOGLETRANSLATE(B44, ""en"", ""hi"")"),"थांग-ता प्रदर्शनों में एक सामान्य विषय क्या है?")</f>
        <v>थांग-ता प्रदर्शनों में एक सामान्य विषय क्या है?</v>
      </c>
      <c r="H44" s="5" t="str">
        <f>IFERROR(__xludf.DUMMYFUNCTION("GOOGLETRANSLATE(C44, ""en"", ""hi"")"),"A) वीरता, B) शांति, C) उत्सव, D) शोक")</f>
        <v>A) वीरता, B) शांति, C) उत्सव, D) शोक</v>
      </c>
      <c r="I44" s="5" t="str">
        <f>IFERROR(__xludf.DUMMYFUNCTION("GOOGLETRANSLATE(D44, ""en"", ""hi"")"),"ए) वीरता")</f>
        <v>ए) वीरता</v>
      </c>
    </row>
    <row r="45" ht="22.5" customHeight="1">
      <c r="A45" s="3">
        <v>44.0</v>
      </c>
      <c r="B45" s="4" t="s">
        <v>12075</v>
      </c>
      <c r="C45" s="4" t="s">
        <v>12076</v>
      </c>
      <c r="D45" s="4" t="s">
        <v>12077</v>
      </c>
      <c r="F45" s="5" t="str">
        <f>IFERROR(__xludf.DUMMYFUNCTION("GOOGLETRANSLATE(A45, ""en"", ""hi"")"),"44")</f>
        <v>44</v>
      </c>
      <c r="G45" s="5" t="str">
        <f>IFERROR(__xludf.DUMMYFUNCTION("GOOGLETRANSLATE(B45, ""en"", ""hi"")"),"थांग-ता की गतिविधियाँ किस प्रकार की क्रियाओं की नकल करने के लिए डिज़ाइन की गई हैं?")</f>
        <v>थांग-ता की गतिविधियाँ किस प्रकार की क्रियाओं की नकल करने के लिए डिज़ाइन की गई हैं?</v>
      </c>
      <c r="H45" s="5" t="str">
        <f>IFERROR(__xludf.DUMMYFUNCTION("GOOGLETRANSLATE(C45, ""en"", ""hi"")"),"A) पशु गतिविधियाँ, B) यांत्रिक क्रियाएँ, C) मानवीय हाव-भाव, D) प्राकृतिक घटनाएँ")</f>
        <v>A) पशु गतिविधियाँ, B) यांत्रिक क्रियाएँ, C) मानवीय हाव-भाव, D) प्राकृतिक घटनाएँ</v>
      </c>
      <c r="I45" s="5" t="str">
        <f>IFERROR(__xludf.DUMMYFUNCTION("GOOGLETRANSLATE(D45, ""en"", ""hi"")"),"A) पशु गतिविधियाँ")</f>
        <v>A) पशु गतिविधियाँ</v>
      </c>
    </row>
    <row r="46" ht="22.5" customHeight="1">
      <c r="A46" s="3">
        <v>45.0</v>
      </c>
      <c r="B46" s="4" t="s">
        <v>12078</v>
      </c>
      <c r="C46" s="4" t="s">
        <v>12079</v>
      </c>
      <c r="D46" s="4" t="s">
        <v>12080</v>
      </c>
      <c r="F46" s="5" t="str">
        <f>IFERROR(__xludf.DUMMYFUNCTION("GOOGLETRANSLATE(A46, ""en"", ""hi"")"),"45")</f>
        <v>45</v>
      </c>
      <c r="G46" s="5" t="str">
        <f>IFERROR(__xludf.DUMMYFUNCTION("GOOGLETRANSLATE(B46, ""en"", ""hi"")"),"लंबी दूरी के हमलों के लिए किस प्रकार के थांग-ता हथियार का उपयोग किया जाता है?")</f>
        <v>लंबी दूरी के हमलों के लिए किस प्रकार के थांग-ता हथियार का उपयोग किया जाता है?</v>
      </c>
      <c r="H46" s="5" t="str">
        <f>IFERROR(__xludf.DUMMYFUNCTION("GOOGLETRANSLATE(C46, ""en"", ""hi"")"),"A) भाला, B) तलवार, C) ढाल, D) कुल्हाड़ी")</f>
        <v>A) भाला, B) तलवार, C) ढाल, D) कुल्हाड़ी</v>
      </c>
      <c r="I46" s="5" t="str">
        <f>IFERROR(__xludf.DUMMYFUNCTION("GOOGLETRANSLATE(D46, ""en"", ""hi"")"),"ए) भाला")</f>
        <v>ए) भाला</v>
      </c>
    </row>
    <row r="47" ht="22.5" customHeight="1">
      <c r="A47" s="3">
        <v>46.0</v>
      </c>
      <c r="B47" s="4" t="s">
        <v>12081</v>
      </c>
      <c r="C47" s="4" t="s">
        <v>12082</v>
      </c>
      <c r="D47" s="4" t="s">
        <v>12083</v>
      </c>
      <c r="F47" s="5" t="str">
        <f>IFERROR(__xludf.DUMMYFUNCTION("GOOGLETRANSLATE(A47, ""en"", ""hi"")"),"46")</f>
        <v>46</v>
      </c>
      <c r="G47" s="5" t="str">
        <f>IFERROR(__xludf.DUMMYFUNCTION("GOOGLETRANSLATE(B47, ""en"", ""hi"")"),"थांग-ता में रक्षात्मक तकनीक का कौन सा रूप शामिल है?")</f>
        <v>थांग-ता में रक्षात्मक तकनीक का कौन सा रूप शामिल है?</v>
      </c>
      <c r="H47" s="5" t="str">
        <f>IFERROR(__xludf.DUMMYFUNCTION("GOOGLETRANSLATE(C47, ""en"", ""hi"")"),"A) पैरीइंग, B) डोजिंग, C) ब्लॉकिंग, D) काउंटरिंग")</f>
        <v>A) पैरीइंग, B) डोजिंग, C) ब्लॉकिंग, D) काउंटरिंग</v>
      </c>
      <c r="I47" s="5" t="str">
        <f>IFERROR(__xludf.DUMMYFUNCTION("GOOGLETRANSLATE(D47, ""en"", ""hi"")"),"सी) अवरुद्ध करना")</f>
        <v>सी) अवरुद्ध करना</v>
      </c>
    </row>
    <row r="48" ht="22.5" customHeight="1">
      <c r="A48" s="3">
        <v>47.0</v>
      </c>
      <c r="B48" s="4" t="s">
        <v>12084</v>
      </c>
      <c r="C48" s="4" t="s">
        <v>12085</v>
      </c>
      <c r="D48" s="4" t="s">
        <v>12086</v>
      </c>
      <c r="F48" s="5" t="str">
        <f>IFERROR(__xludf.DUMMYFUNCTION("GOOGLETRANSLATE(A48, ""en"", ""hi"")"),"47")</f>
        <v>47</v>
      </c>
      <c r="G48" s="5" t="str">
        <f>IFERROR(__xludf.DUMMYFUNCTION("GOOGLETRANSLATE(B48, ""en"", ""hi"")"),"कौन सा त्यौहार थांग-ता प्रथा को प्रदर्शित करता है?")</f>
        <v>कौन सा त्यौहार थांग-ता प्रथा को प्रदर्शित करता है?</v>
      </c>
      <c r="H48" s="5" t="str">
        <f>IFERROR(__xludf.DUMMYFUNCTION("GOOGLETRANSLATE(C48, ""en"", ""hi"")"),"ए) लाई हरोबा, बी) दिवाली, सी) होली, डी) पोंगल")</f>
        <v>ए) लाई हरोबा, बी) दिवाली, सी) होली, डी) पोंगल</v>
      </c>
      <c r="I48" s="5" t="str">
        <f>IFERROR(__xludf.DUMMYFUNCTION("GOOGLETRANSLATE(D48, ""en"", ""hi"")"),"A) लाई हरोबा")</f>
        <v>A) लाई हरोबा</v>
      </c>
    </row>
    <row r="49" ht="22.5" customHeight="1">
      <c r="A49" s="3">
        <v>48.0</v>
      </c>
      <c r="B49" s="4" t="s">
        <v>12087</v>
      </c>
      <c r="C49" s="4" t="s">
        <v>12088</v>
      </c>
      <c r="D49" s="4" t="s">
        <v>12089</v>
      </c>
      <c r="F49" s="5" t="str">
        <f>IFERROR(__xludf.DUMMYFUNCTION("GOOGLETRANSLATE(A49, ""en"", ""hi"")"),"48")</f>
        <v>48</v>
      </c>
      <c r="G49" s="5" t="str">
        <f>IFERROR(__xludf.DUMMYFUNCTION("GOOGLETRANSLATE(B49, ""en"", ""hi"")"),"युवा अभ्यासियों के लिए थांग-ता प्रशिक्षण का प्राथमिक फोकस क्या है?")</f>
        <v>युवा अभ्यासियों के लिए थांग-ता प्रशिक्षण का प्राथमिक फोकस क्या है?</v>
      </c>
      <c r="H49" s="5" t="str">
        <f>IFERROR(__xludf.DUMMYFUNCTION("GOOGLETRANSLATE(C49, ""en"", ""hi"")"),"A) अनुशासन, B) मनोरंजन, C) कलात्मकता, D) फिटनेस")</f>
        <v>A) अनुशासन, B) मनोरंजन, C) कलात्मकता, D) फिटनेस</v>
      </c>
      <c r="I49" s="5" t="str">
        <f>IFERROR(__xludf.DUMMYFUNCTION("GOOGLETRANSLATE(D49, ""en"", ""hi"")"),"क) अनुशासन")</f>
        <v>क) अनुशासन</v>
      </c>
    </row>
    <row r="50" ht="22.5" customHeight="1">
      <c r="A50" s="3">
        <v>49.0</v>
      </c>
      <c r="B50" s="4" t="s">
        <v>12090</v>
      </c>
      <c r="C50" s="4" t="s">
        <v>12091</v>
      </c>
      <c r="D50" s="4" t="s">
        <v>12092</v>
      </c>
      <c r="F50" s="5" t="str">
        <f>IFERROR(__xludf.DUMMYFUNCTION("GOOGLETRANSLATE(A50, ""en"", ""hi"")"),"49")</f>
        <v>49</v>
      </c>
      <c r="G50" s="5" t="str">
        <f>IFERROR(__xludf.DUMMYFUNCTION("GOOGLETRANSLATE(B50, ""en"", ""hi"")"),"मणिपुर की संस्कृति में थांग-ता प्रथा किसका प्रतीक है?")</f>
        <v>मणिपुर की संस्कृति में थांग-ता प्रथा किसका प्रतीक है?</v>
      </c>
      <c r="H50" s="5" t="str">
        <f>IFERROR(__xludf.DUMMYFUNCTION("GOOGLETRANSLATE(C50, ""en"", ""hi"")"),"A) शक्ति और वीरता, B) शांति और सद्भाव, C) कलात्मक प्रतिभा, D) आध्यात्मिक जागृति")</f>
        <v>A) शक्ति और वीरता, B) शांति और सद्भाव, C) कलात्मक प्रतिभा, D) आध्यात्मिक जागृति</v>
      </c>
      <c r="I50" s="5" t="str">
        <f>IFERROR(__xludf.DUMMYFUNCTION("GOOGLETRANSLATE(D50, ""en"", ""hi"")"),"A) शक्ति और वीरता")</f>
        <v>A) शक्ति और वीरता</v>
      </c>
    </row>
    <row r="51" ht="22.5" customHeight="1">
      <c r="A51" s="3">
        <v>50.0</v>
      </c>
      <c r="B51" s="4" t="s">
        <v>12093</v>
      </c>
      <c r="C51" s="4" t="s">
        <v>12094</v>
      </c>
      <c r="D51" s="4" t="s">
        <v>12095</v>
      </c>
      <c r="F51" s="5" t="str">
        <f>IFERROR(__xludf.DUMMYFUNCTION("GOOGLETRANSLATE(A51, ""en"", ""hi"")"),"50")</f>
        <v>50</v>
      </c>
      <c r="G51" s="5" t="str">
        <f>IFERROR(__xludf.DUMMYFUNCTION("GOOGLETRANSLATE(B51, ""en"", ""hi"")"),"थांग-ता में 'चाओ' का प्रयोग किस लिए किया जाता है?")</f>
        <v>थांग-ता में 'चाओ' का प्रयोग किस लिए किया जाता है?</v>
      </c>
      <c r="H51" s="5" t="str">
        <f>IFERROR(__xludf.DUMMYFUNCTION("GOOGLETRANSLATE(C51, ""en"", ""hi"")"),"A) रक्षा, B) आक्रमण, C) अनुष्ठान, D) सजावट")</f>
        <v>A) रक्षा, B) आक्रमण, C) अनुष्ठान, D) सजावट</v>
      </c>
      <c r="I51" s="5" t="str">
        <f>IFERROR(__xludf.DUMMYFUNCTION("GOOGLETRANSLATE(D51, ""en"", ""hi"")"),"ए) रक्षा")</f>
        <v>ए) रक्षा</v>
      </c>
    </row>
    <row r="52" ht="22.5" customHeight="1">
      <c r="A52" s="3">
        <v>51.0</v>
      </c>
      <c r="B52" s="4" t="s">
        <v>12096</v>
      </c>
      <c r="C52" s="4" t="s">
        <v>12097</v>
      </c>
      <c r="D52" s="4" t="s">
        <v>12098</v>
      </c>
      <c r="F52" s="5" t="str">
        <f>IFERROR(__xludf.DUMMYFUNCTION("GOOGLETRANSLATE(A52, ""en"", ""hi"")"),"51")</f>
        <v>51</v>
      </c>
      <c r="G52" s="5" t="str">
        <f>IFERROR(__xludf.DUMMYFUNCTION("GOOGLETRANSLATE(B52, ""en"", ""hi"")"),"निम्नलिखित में से कौन प्रसिद्ध थांग-ता अभ्यासी है?")</f>
        <v>निम्नलिखित में से कौन प्रसिद्ध थांग-ता अभ्यासी है?</v>
      </c>
      <c r="H52" s="5" t="str">
        <f>IFERROR(__xludf.DUMMYFUNCTION("GOOGLETRANSLATE(C52, ""en"", ""hi"")"),"ए) सनाजाओबा सिंह, बी) रतन थियाम, सी) ओइनम बाबू सिंह, डी) राजकुमार चिंगखेई सिंह")</f>
        <v>ए) सनाजाओबा सिंह, बी) रतन थियाम, सी) ओइनम बाबू सिंह, डी) राजकुमार चिंगखेई सिंह</v>
      </c>
      <c r="I52" s="5" t="str">
        <f>IFERROR(__xludf.DUMMYFUNCTION("GOOGLETRANSLATE(D52, ""en"", ""hi"")"),"C) ओइनम बाबू सिंह")</f>
        <v>C) ओइनम बाबू सिंह</v>
      </c>
    </row>
    <row r="53" ht="22.5" customHeight="1">
      <c r="A53" s="3">
        <v>52.0</v>
      </c>
      <c r="B53" s="4" t="s">
        <v>12099</v>
      </c>
      <c r="C53" s="4" t="s">
        <v>12100</v>
      </c>
      <c r="D53" s="4" t="s">
        <v>11987</v>
      </c>
      <c r="F53" s="5" t="str">
        <f>IFERROR(__xludf.DUMMYFUNCTION("GOOGLETRANSLATE(A53, ""en"", ""hi"")"),"52")</f>
        <v>52</v>
      </c>
      <c r="G53" s="5" t="str">
        <f>IFERROR(__xludf.DUMMYFUNCTION("GOOGLETRANSLATE(B53, ""en"", ""hi"")"),"थांग-ता अक्सर किस पारंपरिक मणिपुरी त्योहार के हिस्से के रूप में किया जाता है?")</f>
        <v>थांग-ता अक्सर किस पारंपरिक मणिपुरी त्योहार के हिस्से के रूप में किया जाता है?</v>
      </c>
      <c r="H53" s="5" t="str">
        <f>IFERROR(__xludf.DUMMYFUNCTION("GOOGLETRANSLATE(C53, ""en"", ""hi"")"),"ए) योशांग, बी) होली, सी) पोंगल, डी) बैसाखी")</f>
        <v>ए) योशांग, बी) होली, सी) पोंगल, डी) बैसाखी</v>
      </c>
      <c r="I53" s="5" t="str">
        <f>IFERROR(__xludf.DUMMYFUNCTION("GOOGLETRANSLATE(D53, ""en"", ""hi"")"),"ए) योशांग")</f>
        <v>ए) योशांग</v>
      </c>
    </row>
    <row r="54" ht="22.5" customHeight="1">
      <c r="A54" s="3">
        <v>53.0</v>
      </c>
      <c r="B54" s="4" t="s">
        <v>12101</v>
      </c>
      <c r="C54" s="4" t="s">
        <v>12102</v>
      </c>
      <c r="D54" s="4" t="s">
        <v>12103</v>
      </c>
      <c r="F54" s="5" t="str">
        <f>IFERROR(__xludf.DUMMYFUNCTION("GOOGLETRANSLATE(A54, ""en"", ""hi"")"),"53")</f>
        <v>53</v>
      </c>
      <c r="G54" s="5" t="str">
        <f>IFERROR(__xludf.DUMMYFUNCTION("GOOGLETRANSLATE(B54, ""en"", ""hi"")"),"मणिपुर में थांग-ता का पारंपरिक महत्व क्या है?")</f>
        <v>मणिपुर में थांग-ता का पारंपरिक महत्व क्या है?</v>
      </c>
      <c r="H54" s="5" t="str">
        <f>IFERROR(__xludf.DUMMYFUNCTION("GOOGLETRANSLATE(C54, ""en"", ""hi"")"),"A) यह कहानी कहने का एक रूप है, B) यह सैन्य कौशल का प्रतिनिधित्व करता है, C) यह कृषि की सफलता का जश्न मनाता है, D) यह एक विवाह परंपरा है")</f>
        <v>A) यह कहानी कहने का एक रूप है, B) यह सैन्य कौशल का प्रतिनिधित्व करता है, C) यह कृषि की सफलता का जश्न मनाता है, D) यह एक विवाह परंपरा है</v>
      </c>
      <c r="I54" s="5" t="str">
        <f>IFERROR(__xludf.DUMMYFUNCTION("GOOGLETRANSLATE(D54, ""en"", ""hi"")"),"B) यह मार्शल कौशल का प्रतिनिधित्व करता है")</f>
        <v>B) यह मार्शल कौशल का प्रतिनिधित्व करता है</v>
      </c>
    </row>
    <row r="55" ht="22.5" customHeight="1">
      <c r="A55" s="3">
        <v>54.0</v>
      </c>
      <c r="B55" s="4" t="s">
        <v>12104</v>
      </c>
      <c r="C55" s="4" t="s">
        <v>12105</v>
      </c>
      <c r="D55" s="4" t="s">
        <v>9034</v>
      </c>
      <c r="F55" s="5" t="str">
        <f>IFERROR(__xludf.DUMMYFUNCTION("GOOGLETRANSLATE(A55, ""en"", ""hi"")"),"54")</f>
        <v>54</v>
      </c>
      <c r="G55" s="5" t="str">
        <f>IFERROR(__xludf.DUMMYFUNCTION("GOOGLETRANSLATE(B55, ""en"", ""hi"")"),"कौन सा थांग-ता हथियार कम दूरी की लड़ाई के लिए प्रयोग किया जाता है?")</f>
        <v>कौन सा थांग-ता हथियार कम दूरी की लड़ाई के लिए प्रयोग किया जाता है?</v>
      </c>
      <c r="H55" s="5" t="str">
        <f>IFERROR(__xludf.DUMMYFUNCTION("GOOGLETRANSLATE(C55, ""en"", ""hi"")"),"A) तलवार, B) भाला, C) ढाल, D) धनुष")</f>
        <v>A) तलवार, B) भाला, C) ढाल, D) धनुष</v>
      </c>
      <c r="I55" s="5" t="str">
        <f>IFERROR(__xludf.DUMMYFUNCTION("GOOGLETRANSLATE(D55, ""en"", ""hi"")"),"ए) तलवार")</f>
        <v>ए) तलवार</v>
      </c>
    </row>
    <row r="56" ht="22.5" customHeight="1">
      <c r="A56" s="3">
        <v>55.0</v>
      </c>
      <c r="B56" s="4" t="s">
        <v>12106</v>
      </c>
      <c r="C56" s="4" t="s">
        <v>12107</v>
      </c>
      <c r="D56" s="4" t="s">
        <v>12108</v>
      </c>
      <c r="F56" s="5" t="str">
        <f>IFERROR(__xludf.DUMMYFUNCTION("GOOGLETRANSLATE(A56, ""en"", ""hi"")"),"55")</f>
        <v>55</v>
      </c>
      <c r="G56" s="5" t="str">
        <f>IFERROR(__xludf.DUMMYFUNCTION("GOOGLETRANSLATE(B56, ""en"", ""hi"")"),"थांग-ता में 'मखुआ' की क्या भूमिका है?")</f>
        <v>थांग-ता में 'मखुआ' की क्या भूमिका है?</v>
      </c>
      <c r="H56" s="5" t="str">
        <f>IFERROR(__xludf.DUMMYFUNCTION("GOOGLETRANSLATE(C56, ""en"", ""hi"")"),"A) हथियार धारक, B) नृत्य साथी, C) कोरियोग्राफर, D) अनुष्ठान नेता")</f>
        <v>A) हथियार धारक, B) नृत्य साथी, C) कोरियोग्राफर, D) अनुष्ठान नेता</v>
      </c>
      <c r="I56" s="5" t="str">
        <f>IFERROR(__xludf.DUMMYFUNCTION("GOOGLETRANSLATE(D56, ""en"", ""hi"")"),"A) हथियार धारक")</f>
        <v>A) हथियार धारक</v>
      </c>
    </row>
    <row r="57" ht="22.5" customHeight="1">
      <c r="A57" s="3">
        <v>56.0</v>
      </c>
      <c r="B57" s="4" t="s">
        <v>12109</v>
      </c>
      <c r="C57" s="4" t="s">
        <v>12110</v>
      </c>
      <c r="D57" s="4" t="s">
        <v>9050</v>
      </c>
      <c r="F57" s="5" t="str">
        <f>IFERROR(__xludf.DUMMYFUNCTION("GOOGLETRANSLATE(A57, ""en"", ""hi"")"),"56")</f>
        <v>56</v>
      </c>
      <c r="G57" s="5" t="str">
        <f>IFERROR(__xludf.DUMMYFUNCTION("GOOGLETRANSLATE(B57, ""en"", ""hi"")"),"थांग-ता को किस प्रकार के व्यक्तियों द्वारा संरक्षित और पीढ़ी दर पीढ़ी आगे बढ़ाया गया है?")</f>
        <v>थांग-ता को किस प्रकार के व्यक्तियों द्वारा संरक्षित और पीढ़ी दर पीढ़ी आगे बढ़ाया गया है?</v>
      </c>
      <c r="H57" s="5" t="str">
        <f>IFERROR(__xludf.DUMMYFUNCTION("GOOGLETRANSLATE(C57, ""en"", ""hi"")"),"A) गुरु, B) इतिहासकार, C) राजनेता, D) कलाकार")</f>
        <v>A) गुरु, B) इतिहासकार, C) राजनेता, D) कलाकार</v>
      </c>
      <c r="I57" s="5" t="str">
        <f>IFERROR(__xludf.DUMMYFUNCTION("GOOGLETRANSLATE(D57, ""en"", ""hi"")"),"A) गुरु")</f>
        <v>A) गुरु</v>
      </c>
    </row>
    <row r="58" ht="22.5" customHeight="1">
      <c r="A58" s="3">
        <v>57.0</v>
      </c>
      <c r="B58" s="4" t="s">
        <v>12111</v>
      </c>
      <c r="C58" s="4" t="s">
        <v>12112</v>
      </c>
      <c r="D58" s="4" t="s">
        <v>12113</v>
      </c>
      <c r="F58" s="5" t="str">
        <f>IFERROR(__xludf.DUMMYFUNCTION("GOOGLETRANSLATE(A58, ""en"", ""hi"")"),"57")</f>
        <v>57</v>
      </c>
      <c r="G58" s="5" t="str">
        <f>IFERROR(__xludf.DUMMYFUNCTION("GOOGLETRANSLATE(B58, ""en"", ""hi"")"),"थांग-ता प्रदर्शन के किस पहलू में समकालिक गतिविधियां शामिल हैं?")</f>
        <v>थांग-ता प्रदर्शन के किस पहलू में समकालिक गतिविधियां शामिल हैं?</v>
      </c>
      <c r="H58" s="5" t="str">
        <f>IFERROR(__xludf.DUMMYFUNCTION("GOOGLETRANSLATE(C58, ""en"", ""hi"")"),"ए) मार्शल ड्रिल, बी) एकल प्रदर्शन, सी) नृत्य दिनचर्या, डी) हथियार प्रशिक्षण")</f>
        <v>ए) मार्शल ड्रिल, बी) एकल प्रदर्शन, सी) नृत्य दिनचर्या, डी) हथियार प्रशिक्षण</v>
      </c>
      <c r="I58" s="5" t="str">
        <f>IFERROR(__xludf.DUMMYFUNCTION("GOOGLETRANSLATE(D58, ""en"", ""hi"")"),"सी) नृत्य दिनचर्या")</f>
        <v>सी) नृत्य दिनचर्या</v>
      </c>
    </row>
    <row r="59" ht="22.5" customHeight="1">
      <c r="A59" s="3">
        <v>58.0</v>
      </c>
      <c r="B59" s="4" t="s">
        <v>12114</v>
      </c>
      <c r="C59" s="4" t="s">
        <v>12115</v>
      </c>
      <c r="D59" s="4" t="s">
        <v>12116</v>
      </c>
      <c r="F59" s="5" t="str">
        <f>IFERROR(__xludf.DUMMYFUNCTION("GOOGLETRANSLATE(A59, ""en"", ""hi"")"),"58")</f>
        <v>58</v>
      </c>
      <c r="G59" s="5" t="str">
        <f>IFERROR(__xludf.DUMMYFUNCTION("GOOGLETRANSLATE(B59, ""en"", ""hi"")"),"थांग-ता प्रदर्शनों में अक्सर किस प्रकार की दर्शक सहभागिता शामिल होती है?")</f>
        <v>थांग-ता प्रदर्शनों में अक्सर किस प्रकार की दर्शक सहभागिता शामिल होती है?</v>
      </c>
      <c r="H59" s="5" t="str">
        <f>IFERROR(__xludf.DUMMYFUNCTION("GOOGLETRANSLATE(C59, ""en"", ""hi"")"),"A) दर्शकों की भागीदारी, B) दर्शकों की टिप्पणी, C) कलाकार की प्रतिक्रिया, D) दर्शकों का मौन")</f>
        <v>A) दर्शकों की भागीदारी, B) दर्शकों की टिप्पणी, C) कलाकार की प्रतिक्रिया, D) दर्शकों का मौन</v>
      </c>
      <c r="I59" s="5" t="str">
        <f>IFERROR(__xludf.DUMMYFUNCTION("GOOGLETRANSLATE(D59, ""en"", ""hi"")"),"ए) दर्शकों की भागीदारी")</f>
        <v>ए) दर्शकों की भागीदारी</v>
      </c>
    </row>
    <row r="60" ht="22.5" customHeight="1">
      <c r="A60" s="3">
        <v>59.0</v>
      </c>
      <c r="B60" s="4" t="s">
        <v>12117</v>
      </c>
      <c r="C60" s="4" t="s">
        <v>12118</v>
      </c>
      <c r="D60" s="4" t="s">
        <v>12119</v>
      </c>
      <c r="F60" s="5" t="str">
        <f>IFERROR(__xludf.DUMMYFUNCTION("GOOGLETRANSLATE(A60, ""en"", ""hi"")"),"59")</f>
        <v>59</v>
      </c>
      <c r="G60" s="5" t="str">
        <f>IFERROR(__xludf.DUMMYFUNCTION("GOOGLETRANSLATE(B60, ""en"", ""hi"")"),"पारंपरिक परिवेश में थांग-ता का अभ्यास करने का प्राथमिक उद्देश्य क्या है?")</f>
        <v>पारंपरिक परिवेश में थांग-ता का अभ्यास करने का प्राथमिक उद्देश्य क्या है?</v>
      </c>
      <c r="H60" s="5" t="str">
        <f>IFERROR(__xludf.DUMMYFUNCTION("GOOGLETRANSLATE(C60, ""en"", ""hi"")"),"A) संस्कृति का संरक्षण, B) कौशल विकास, C) सामाजिक स्थिति, D) कलात्मक अभिव्यक्ति")</f>
        <v>A) संस्कृति का संरक्षण, B) कौशल विकास, C) सामाजिक स्थिति, D) कलात्मक अभिव्यक्ति</v>
      </c>
      <c r="I60" s="5" t="str">
        <f>IFERROR(__xludf.DUMMYFUNCTION("GOOGLETRANSLATE(D60, ""en"", ""hi"")"),"क) संस्कृति का संरक्षण")</f>
        <v>क) संस्कृति का संरक्षण</v>
      </c>
    </row>
    <row r="61" ht="22.5" customHeight="1">
      <c r="A61" s="3">
        <v>60.0</v>
      </c>
      <c r="B61" s="4" t="s">
        <v>12120</v>
      </c>
      <c r="C61" s="4" t="s">
        <v>12121</v>
      </c>
      <c r="D61" s="4" t="s">
        <v>12122</v>
      </c>
      <c r="F61" s="5" t="str">
        <f>IFERROR(__xludf.DUMMYFUNCTION("GOOGLETRANSLATE(A61, ""en"", ""hi"")"),"60")</f>
        <v>60</v>
      </c>
      <c r="G61" s="5" t="str">
        <f>IFERROR(__xludf.DUMMYFUNCTION("GOOGLETRANSLATE(B61, ""en"", ""hi"")"),"कौन सा पारंपरिक कार्यक्रम अक्सर थांग-ता प्रदर्शन को मुख्य आकर्षण के रूप में प्रस्तुत करता है?")</f>
        <v>कौन सा पारंपरिक कार्यक्रम अक्सर थांग-ता प्रदर्शन को मुख्य आकर्षण के रूप में प्रस्तुत करता है?</v>
      </c>
      <c r="H61" s="5" t="str">
        <f>IFERROR(__xludf.DUMMYFUNCTION("GOOGLETRANSLATE(C61, ""en"", ""hi"")"),"A) शाही समारोह, B) कृषि त्यौहार, C) धार्मिक अनुष्ठान, D) ऐतिहासिक स्मरणोत्सव")</f>
        <v>A) शाही समारोह, B) कृषि त्यौहार, C) धार्मिक अनुष्ठान, D) ऐतिहासिक स्मरणोत्सव</v>
      </c>
      <c r="I61" s="5" t="str">
        <f>IFERROR(__xludf.DUMMYFUNCTION("GOOGLETRANSLATE(D61, ""en"", ""hi"")"),"D) ऐतिहासिक स्मरणोत्सव")</f>
        <v>D) ऐतिहासिक स्मरणोत्सव</v>
      </c>
    </row>
    <row r="62" ht="22.5" customHeight="1">
      <c r="A62" s="3">
        <v>61.0</v>
      </c>
      <c r="B62" s="4" t="s">
        <v>12123</v>
      </c>
      <c r="C62" s="4" t="s">
        <v>12124</v>
      </c>
      <c r="D62" s="4" t="s">
        <v>12125</v>
      </c>
      <c r="F62" s="5" t="str">
        <f>IFERROR(__xludf.DUMMYFUNCTION("GOOGLETRANSLATE(A62, ""en"", ""hi"")"),"61")</f>
        <v>61</v>
      </c>
      <c r="G62" s="5" t="str">
        <f>IFERROR(__xludf.DUMMYFUNCTION("GOOGLETRANSLATE(B62, ""en"", ""hi"")"),"थांग-टा की ऐतिहासिक पृष्ठभूमि किससे सबसे अधिक जुड़ी हुई है?")</f>
        <v>थांग-टा की ऐतिहासिक पृष्ठभूमि किससे सबसे अधिक जुड़ी हुई है?</v>
      </c>
      <c r="H62" s="5" t="str">
        <f>IFERROR(__xludf.DUMMYFUNCTION("GOOGLETRANSLATE(C62, ""en"", ""hi"")"),"A) प्राचीन युद्ध तकनीकें, B) मध्यकालीन कला रूप, C) औपनिवेशिक प्रतिरोध, D) स्वतंत्रता के बाद की संस्कृति")</f>
        <v>A) प्राचीन युद्ध तकनीकें, B) मध्यकालीन कला रूप, C) औपनिवेशिक प्रतिरोध, D) स्वतंत्रता के बाद की संस्कृति</v>
      </c>
      <c r="I62" s="5" t="str">
        <f>IFERROR(__xludf.DUMMYFUNCTION("GOOGLETRANSLATE(D62, ""en"", ""hi"")"),"A) प्राचीन युद्ध तकनीकें")</f>
        <v>A) प्राचीन युद्ध तकनीकें</v>
      </c>
    </row>
    <row r="63" ht="22.5" customHeight="1">
      <c r="A63" s="3">
        <v>62.0</v>
      </c>
      <c r="B63" s="4" t="s">
        <v>12126</v>
      </c>
      <c r="C63" s="4" t="s">
        <v>12000</v>
      </c>
      <c r="D63" s="4" t="s">
        <v>8827</v>
      </c>
      <c r="F63" s="5" t="str">
        <f>IFERROR(__xludf.DUMMYFUNCTION("GOOGLETRANSLATE(A63, ""en"", ""hi"")"),"62")</f>
        <v>62</v>
      </c>
      <c r="G63" s="5" t="str">
        <f>IFERROR(__xludf.DUMMYFUNCTION("GOOGLETRANSLATE(B63, ""en"", ""hi"")"),"निम्नलिखित में से कौन सा हथियार थांग-ता में आक्रमण और रक्षा दोनों में प्रयोग किया जाता है?")</f>
        <v>निम्नलिखित में से कौन सा हथियार थांग-ता में आक्रमण और रक्षा दोनों में प्रयोग किया जाता है?</v>
      </c>
      <c r="H63" s="5" t="str">
        <f>IFERROR(__xludf.DUMMYFUNCTION("GOOGLETRANSLATE(C63, ""en"", ""hi"")"),"A) भाला, B) तलवार, C) ढाल, D) धनुष")</f>
        <v>A) भाला, B) तलवार, C) ढाल, D) धनुष</v>
      </c>
      <c r="I63" s="5" t="str">
        <f>IFERROR(__xludf.DUMMYFUNCTION("GOOGLETRANSLATE(D63, ""en"", ""hi"")"),"बी) तलवार")</f>
        <v>बी) तलवार</v>
      </c>
    </row>
    <row r="64" ht="22.5" customHeight="1">
      <c r="A64" s="3">
        <v>63.0</v>
      </c>
      <c r="B64" s="4" t="s">
        <v>12127</v>
      </c>
      <c r="C64" s="4" t="s">
        <v>12128</v>
      </c>
      <c r="D64" s="4" t="s">
        <v>12129</v>
      </c>
      <c r="F64" s="5" t="str">
        <f>IFERROR(__xludf.DUMMYFUNCTION("GOOGLETRANSLATE(A64, ""en"", ""hi"")"),"63")</f>
        <v>63</v>
      </c>
      <c r="G64" s="5" t="str">
        <f>IFERROR(__xludf.DUMMYFUNCTION("GOOGLETRANSLATE(B64, ""en"", ""hi"")"),"थांग-ता अभ्यास का कौन सा पहलू लचीलेपन और चपलता में सुधार लाने के उद्देश्य से है?")</f>
        <v>थांग-ता अभ्यास का कौन सा पहलू लचीलेपन और चपलता में सुधार लाने के उद्देश्य से है?</v>
      </c>
      <c r="H64" s="5" t="str">
        <f>IFERROR(__xludf.DUMMYFUNCTION("GOOGLETRANSLATE(C64, ""en"", ""hi"")"),"A) हथियार प्रशिक्षण, B) नृत्य गतिविधियाँ, C) स्पैरिंग सत्र, D) ध्यान")</f>
        <v>A) हथियार प्रशिक्षण, B) नृत्य गतिविधियाँ, C) स्पैरिंग सत्र, D) ध्यान</v>
      </c>
      <c r="I64" s="5" t="str">
        <f>IFERROR(__xludf.DUMMYFUNCTION("GOOGLETRANSLATE(D64, ""en"", ""hi"")"),"बी) नृत्य गतिविधियाँ")</f>
        <v>बी) नृत्य गतिविधियाँ</v>
      </c>
    </row>
    <row r="65" ht="22.5" customHeight="1">
      <c r="A65" s="3">
        <v>64.0</v>
      </c>
      <c r="B65" s="4" t="s">
        <v>12130</v>
      </c>
      <c r="C65" s="4" t="s">
        <v>12131</v>
      </c>
      <c r="D65" s="4" t="s">
        <v>12132</v>
      </c>
      <c r="F65" s="5" t="str">
        <f>IFERROR(__xludf.DUMMYFUNCTION("GOOGLETRANSLATE(A65, ""en"", ""hi"")"),"64")</f>
        <v>64</v>
      </c>
      <c r="G65" s="5" t="str">
        <f>IFERROR(__xludf.DUMMYFUNCTION("GOOGLETRANSLATE(B65, ""en"", ""hi"")"),"थांग-ता का अभ्यास करने के लिए किस प्रकार का वातावरण आदर्श है?")</f>
        <v>थांग-ता का अभ्यास करने के लिए किस प्रकार का वातावरण आदर्श है?</v>
      </c>
      <c r="H65" s="5" t="str">
        <f>IFERROR(__xludf.DUMMYFUNCTION("GOOGLETRANSLATE(C65, ""en"", ""hi"")"),"A) खुले आँगन, B) बंद कमरे, C) सार्वजनिक क्षेत्र, D) वन क्षेत्र")</f>
        <v>A) खुले आँगन, B) बंद कमरे, C) सार्वजनिक क्षेत्र, D) वन क्षेत्र</v>
      </c>
      <c r="I65" s="5" t="str">
        <f>IFERROR(__xludf.DUMMYFUNCTION("GOOGLETRANSLATE(D65, ""en"", ""hi"")"),"ए) खुले आंगन")</f>
        <v>ए) खुले आंगन</v>
      </c>
    </row>
    <row r="66" ht="22.5" customHeight="1">
      <c r="A66" s="3">
        <v>65.0</v>
      </c>
      <c r="B66" s="4" t="s">
        <v>12133</v>
      </c>
      <c r="C66" s="4" t="s">
        <v>12134</v>
      </c>
      <c r="D66" s="4" t="s">
        <v>12135</v>
      </c>
      <c r="F66" s="5" t="str">
        <f>IFERROR(__xludf.DUMMYFUNCTION("GOOGLETRANSLATE(A66, ""en"", ""hi"")"),"65")</f>
        <v>65</v>
      </c>
      <c r="G66" s="5" t="str">
        <f>IFERROR(__xludf.DUMMYFUNCTION("GOOGLETRANSLATE(B66, ""en"", ""hi"")"),"थांग-ता प्रदर्शन का कौन सा पहलू इस अभ्यास की कलात्मकता को उजागर करता है?")</f>
        <v>थांग-ता प्रदर्शन का कौन सा पहलू इस अभ्यास की कलात्मकता को उजागर करता है?</v>
      </c>
      <c r="H66" s="5" t="str">
        <f>IFERROR(__xludf.DUMMYFUNCTION("GOOGLETRANSLATE(C66, ""en"", ""hi"")"),"ए) कोरियोग्राफी, बी) हथियार शिल्प कौशल, सी) पोशाक डिजाइन, डी) दर्शकों की बातचीत")</f>
        <v>ए) कोरियोग्राफी, बी) हथियार शिल्प कौशल, सी) पोशाक डिजाइन, डी) दर्शकों की बातचीत</v>
      </c>
      <c r="I66" s="5" t="str">
        <f>IFERROR(__xludf.DUMMYFUNCTION("GOOGLETRANSLATE(D66, ""en"", ""hi"")"),"ए) कोरियोग्राफी")</f>
        <v>ए) कोरियोग्राफी</v>
      </c>
    </row>
    <row r="67" ht="22.5" customHeight="1">
      <c r="A67" s="3">
        <v>66.0</v>
      </c>
      <c r="B67" s="4" t="s">
        <v>12136</v>
      </c>
      <c r="C67" s="4" t="s">
        <v>12137</v>
      </c>
      <c r="D67" s="4" t="s">
        <v>12138</v>
      </c>
      <c r="F67" s="5" t="str">
        <f>IFERROR(__xludf.DUMMYFUNCTION("GOOGLETRANSLATE(A67, ""en"", ""hi"")"),"66")</f>
        <v>66</v>
      </c>
      <c r="G67" s="5" t="str">
        <f>IFERROR(__xludf.DUMMYFUNCTION("GOOGLETRANSLATE(B67, ""en"", ""hi"")"),"थांग-ता प्रदर्शन में पारंपरिक गीतों की क्या भूमिका होती है?")</f>
        <v>थांग-ता प्रदर्शन में पारंपरिक गीतों की क्या भूमिका होती है?</v>
      </c>
      <c r="H67" s="5" t="str">
        <f>IFERROR(__xludf.DUMMYFUNCTION("GOOGLETRANSLATE(C67, ""en"", ""hi"")"),"A) फोकस बढ़ाना, B) लय प्रदान करना, C) कहानियाँ सुनाना, D) गतिविधियों का मार्गदर्शन करना")</f>
        <v>A) फोकस बढ़ाना, B) लय प्रदान करना, C) कहानियाँ सुनाना, D) गतिविधियों का मार्गदर्शन करना</v>
      </c>
      <c r="I67" s="5" t="str">
        <f>IFERROR(__xludf.DUMMYFUNCTION("GOOGLETRANSLATE(D67, ""en"", ""hi"")"),"B) लय प्रदान करें")</f>
        <v>B) लय प्रदान करें</v>
      </c>
    </row>
    <row r="68" ht="22.5" customHeight="1">
      <c r="A68" s="3">
        <v>67.0</v>
      </c>
      <c r="B68" s="4" t="s">
        <v>12139</v>
      </c>
      <c r="C68" s="4" t="s">
        <v>12140</v>
      </c>
      <c r="D68" s="4" t="s">
        <v>12141</v>
      </c>
      <c r="F68" s="5" t="str">
        <f>IFERROR(__xludf.DUMMYFUNCTION("GOOGLETRANSLATE(A68, ""en"", ""hi"")"),"67")</f>
        <v>67</v>
      </c>
      <c r="G68" s="5" t="str">
        <f>IFERROR(__xludf.DUMMYFUNCTION("GOOGLETRANSLATE(B68, ""en"", ""hi"")"),"थांग-ता में तलवार और भाला दोनों तकनीक सीखने का क्या महत्व है?")</f>
        <v>थांग-ता में तलवार और भाला दोनों तकनीक सीखने का क्या महत्व है?</v>
      </c>
      <c r="H68" s="5" t="str">
        <f>IFERROR(__xludf.DUMMYFUNCTION("GOOGLETRANSLATE(C68, ""en"", ""hi"")"),"ए) युद्ध में बहुमुखी प्रतिभा, बी) बेहतर चपलता, सी) बढ़ी हुई ताकत, डी) कलात्मक अभिव्यक्ति")</f>
        <v>ए) युद्ध में बहुमुखी प्रतिभा, बी) बेहतर चपलता, सी) बढ़ी हुई ताकत, डी) कलात्मक अभिव्यक्ति</v>
      </c>
      <c r="I68" s="5" t="str">
        <f>IFERROR(__xludf.DUMMYFUNCTION("GOOGLETRANSLATE(D68, ""en"", ""hi"")"),"A) युद्ध में बहुमुखी प्रतिभा")</f>
        <v>A) युद्ध में बहुमुखी प्रतिभा</v>
      </c>
    </row>
    <row r="69" ht="22.5" customHeight="1">
      <c r="A69" s="3">
        <v>68.0</v>
      </c>
      <c r="B69" s="4" t="s">
        <v>12142</v>
      </c>
      <c r="C69" s="4" t="s">
        <v>12143</v>
      </c>
      <c r="D69" s="4" t="s">
        <v>12144</v>
      </c>
      <c r="F69" s="5" t="str">
        <f>IFERROR(__xludf.DUMMYFUNCTION("GOOGLETRANSLATE(A69, ""en"", ""hi"")"),"68")</f>
        <v>68</v>
      </c>
      <c r="G69" s="5" t="str">
        <f>IFERROR(__xludf.DUMMYFUNCTION("GOOGLETRANSLATE(B69, ""en"", ""hi"")"),"निम्नलिखित में से कौन सी पारंपरिक थांग-ता प्रशिक्षण की प्रमुख विशेषता है?")</f>
        <v>निम्नलिखित में से कौन सी पारंपरिक थांग-ता प्रशिक्षण की प्रमुख विशेषता है?</v>
      </c>
      <c r="H69" s="5" t="str">
        <f>IFERROR(__xludf.DUMMYFUNCTION("GOOGLETRANSLATE(C69, ""en"", ""hi"")"),"A) कठोर अनुशासन, B) कलात्मक स्वतंत्रता, C) अनौपचारिक अभ्यास, D) प्रतिस्पर्धी भावना")</f>
        <v>A) कठोर अनुशासन, B) कलात्मक स्वतंत्रता, C) अनौपचारिक अभ्यास, D) प्रतिस्पर्धी भावना</v>
      </c>
      <c r="I69" s="5" t="str">
        <f>IFERROR(__xludf.DUMMYFUNCTION("GOOGLETRANSLATE(D69, ""en"", ""hi"")"),"क) कठोर अनुशासन")</f>
        <v>क) कठोर अनुशासन</v>
      </c>
    </row>
    <row r="70" ht="22.5" customHeight="1">
      <c r="A70" s="3">
        <v>69.0</v>
      </c>
      <c r="B70" s="4" t="s">
        <v>12145</v>
      </c>
      <c r="C70" s="4" t="s">
        <v>12146</v>
      </c>
      <c r="D70" s="4" t="s">
        <v>12147</v>
      </c>
      <c r="F70" s="5" t="str">
        <f>IFERROR(__xludf.DUMMYFUNCTION("GOOGLETRANSLATE(A70, ""en"", ""hi"")"),"69")</f>
        <v>69</v>
      </c>
      <c r="G70" s="5" t="str">
        <f>IFERROR(__xludf.DUMMYFUNCTION("GOOGLETRANSLATE(B70, ""en"", ""hi"")"),"थांग-ता का ऐतिहासिक महत्व अक्सर किस प्रकार के सांस्कृतिक दस्तावेजीकरण में उजागर किया जाता है?")</f>
        <v>थांग-ता का ऐतिहासिक महत्व अक्सर किस प्रकार के सांस्कृतिक दस्तावेजीकरण में उजागर किया जाता है?</v>
      </c>
      <c r="H70" s="5" t="str">
        <f>IFERROR(__xludf.DUMMYFUNCTION("GOOGLETRANSLATE(C70, ""en"", ""hi"")"),"A) ऐतिहासिक ग्रंथ, B) सरकारी अभिलेख, C) कलात्मक चित्रण, D) मौखिक परंपराएँ")</f>
        <v>A) ऐतिहासिक ग्रंथ, B) सरकारी अभिलेख, C) कलात्मक चित्रण, D) मौखिक परंपराएँ</v>
      </c>
      <c r="I70" s="5" t="str">
        <f>IFERROR(__xludf.DUMMYFUNCTION("GOOGLETRANSLATE(D70, ""en"", ""hi"")"),"घ) मौखिक परंपराएँ")</f>
        <v>घ) मौखिक परंपराएँ</v>
      </c>
    </row>
    <row r="71" ht="22.5" customHeight="1">
      <c r="A71" s="3">
        <v>70.0</v>
      </c>
      <c r="B71" s="4" t="s">
        <v>12148</v>
      </c>
      <c r="C71" s="4" t="s">
        <v>12149</v>
      </c>
      <c r="D71" s="4" t="s">
        <v>12150</v>
      </c>
      <c r="F71" s="5" t="str">
        <f>IFERROR(__xludf.DUMMYFUNCTION("GOOGLETRANSLATE(A71, ""en"", ""hi"")"),"70")</f>
        <v>70</v>
      </c>
      <c r="G71" s="5" t="str">
        <f>IFERROR(__xludf.DUMMYFUNCTION("GOOGLETRANSLATE(B71, ""en"", ""hi"")"),"रक्षात्मक कौशल प्रदर्शित करने के लिए किस पारंपरिक थांग-ता तकनीक का उपयोग किया जाता है?")</f>
        <v>रक्षात्मक कौशल प्रदर्शित करने के लिए किस पारंपरिक थांग-ता तकनीक का उपयोग किया जाता है?</v>
      </c>
      <c r="H71" s="5" t="str">
        <f>IFERROR(__xludf.DUMMYFUNCTION("GOOGLETRANSLATE(C71, ""en"", ""hi"")"),"ए) ब्लॉकिंग तकनीक, बी) आक्रामक हमले, सी) हथियार घुमाना, डी) स्पैरिंग")</f>
        <v>ए) ब्लॉकिंग तकनीक, बी) आक्रामक हमले, सी) हथियार घुमाना, डी) स्पैरिंग</v>
      </c>
      <c r="I71" s="5" t="str">
        <f>IFERROR(__xludf.DUMMYFUNCTION("GOOGLETRANSLATE(D71, ""en"", ""hi"")"),"ए) ब्लॉकिंग तकनीकें")</f>
        <v>ए) ब्लॉकिंग तकनीकें</v>
      </c>
    </row>
    <row r="72" ht="22.5" customHeight="1">
      <c r="A72" s="3">
        <v>71.0</v>
      </c>
      <c r="B72" s="4" t="s">
        <v>12151</v>
      </c>
      <c r="C72" s="4" t="s">
        <v>12152</v>
      </c>
      <c r="D72" s="4" t="s">
        <v>12153</v>
      </c>
      <c r="F72" s="5" t="str">
        <f>IFERROR(__xludf.DUMMYFUNCTION("GOOGLETRANSLATE(A72, ""en"", ""hi"")"),"71")</f>
        <v>71</v>
      </c>
      <c r="G72" s="5" t="str">
        <f>IFERROR(__xludf.DUMMYFUNCTION("GOOGLETRANSLATE(B72, ""en"", ""hi"")"),"आधुनिक समय में थांग-टा को पुनर्जीवित करने का श्रेय किस शासक को दिया जाता है?")</f>
        <v>आधुनिक समय में थांग-टा को पुनर्जीवित करने का श्रेय किस शासक को दिया जाता है?</v>
      </c>
      <c r="H72" s="5" t="str">
        <f>IFERROR(__xludf.DUMMYFUNCTION("GOOGLETRANSLATE(C72, ""en"", ""hi"")"),"ए) महाराजा चंद्रकीर्ति सिंह, बी) महाराजा गंभीर सिंह, सी) महाराजा भाग्यचंद्र सिंह, डी) महाराजा कुलचंद्र सिंह")</f>
        <v>ए) महाराजा चंद्रकीर्ति सिंह, बी) महाराजा गंभीर सिंह, सी) महाराजा भाग्यचंद्र सिंह, डी) महाराजा कुलचंद्र सिंह</v>
      </c>
      <c r="I72" s="5" t="str">
        <f>IFERROR(__xludf.DUMMYFUNCTION("GOOGLETRANSLATE(D72, ""en"", ""hi"")"),"बी) महाराजा गंभीर सिंह")</f>
        <v>बी) महाराजा गंभीर सिंह</v>
      </c>
    </row>
    <row r="73" ht="22.5" customHeight="1">
      <c r="A73" s="3">
        <v>72.0</v>
      </c>
      <c r="B73" s="4" t="s">
        <v>12154</v>
      </c>
      <c r="C73" s="4" t="s">
        <v>12155</v>
      </c>
      <c r="D73" s="4" t="s">
        <v>12156</v>
      </c>
      <c r="F73" s="5" t="str">
        <f>IFERROR(__xludf.DUMMYFUNCTION("GOOGLETRANSLATE(A73, ""en"", ""hi"")"),"72")</f>
        <v>72</v>
      </c>
      <c r="G73" s="5" t="str">
        <f>IFERROR(__xludf.DUMMYFUNCTION("GOOGLETRANSLATE(B73, ""en"", ""hi"")"),"थांग-ता में 'लालोंग' शब्द का क्या अर्थ है?")</f>
        <v>थांग-ता में 'लालोंग' शब्द का क्या अर्थ है?</v>
      </c>
      <c r="H73" s="5" t="str">
        <f>IFERROR(__xludf.DUMMYFUNCTION("GOOGLETRANSLATE(C73, ""en"", ""hi"")"),"ए) भाला तकनीक, बी) तलवार तकनीक, सी) अनुष्ठान नृत्य, डी) प्रशिक्षण ड्रिल")</f>
        <v>ए) भाला तकनीक, बी) तलवार तकनीक, सी) अनुष्ठान नृत्य, डी) प्रशिक्षण ड्रिल</v>
      </c>
      <c r="I73" s="5" t="str">
        <f>IFERROR(__xludf.DUMMYFUNCTION("GOOGLETRANSLATE(D73, ""en"", ""hi"")"),"डी) प्रशिक्षण ड्रिल")</f>
        <v>डी) प्रशिक्षण ड्रिल</v>
      </c>
    </row>
    <row r="74" ht="22.5" customHeight="1">
      <c r="A74" s="3">
        <v>73.0</v>
      </c>
      <c r="B74" s="4" t="s">
        <v>12157</v>
      </c>
      <c r="C74" s="4" t="s">
        <v>12158</v>
      </c>
      <c r="D74" s="4" t="s">
        <v>12159</v>
      </c>
      <c r="F74" s="5" t="str">
        <f>IFERROR(__xludf.DUMMYFUNCTION("GOOGLETRANSLATE(A74, ""en"", ""hi"")"),"73")</f>
        <v>73</v>
      </c>
      <c r="G74" s="5" t="str">
        <f>IFERROR(__xludf.DUMMYFUNCTION("GOOGLETRANSLATE(B74, ""en"", ""hi"")"),"थांग-ता प्रदर्शन के साथ आमतौर पर किस प्रकार का पारंपरिक संगीत जुड़ा हुआ है?")</f>
        <v>थांग-ता प्रदर्शन के साथ आमतौर पर किस प्रकार का पारंपरिक संगीत जुड़ा हुआ है?</v>
      </c>
      <c r="H74" s="5" t="str">
        <f>IFERROR(__xludf.DUMMYFUNCTION("GOOGLETRANSLATE(C74, ""en"", ""hi"")"),"A) पुंग चोलोम, B) बांसुरी, C) शास्त्रीय सितार, D) ढोल और बिगुल")</f>
        <v>A) पुंग चोलोम, B) बांसुरी, C) शास्त्रीय सितार, D) ढोल और बिगुल</v>
      </c>
      <c r="I74" s="5" t="str">
        <f>IFERROR(__xludf.DUMMYFUNCTION("GOOGLETRANSLATE(D74, ""en"", ""hi"")"),"A) पुंग चोलोम")</f>
        <v>A) पुंग चोलोम</v>
      </c>
    </row>
    <row r="75" ht="22.5" customHeight="1">
      <c r="A75" s="3">
        <v>74.0</v>
      </c>
      <c r="B75" s="4" t="s">
        <v>12160</v>
      </c>
      <c r="C75" s="4" t="s">
        <v>12161</v>
      </c>
      <c r="D75" s="4" t="s">
        <v>12162</v>
      </c>
      <c r="F75" s="5" t="str">
        <f>IFERROR(__xludf.DUMMYFUNCTION("GOOGLETRANSLATE(A75, ""en"", ""hi"")"),"74")</f>
        <v>74</v>
      </c>
      <c r="G75" s="5" t="str">
        <f>IFERROR(__xludf.DUMMYFUNCTION("GOOGLETRANSLATE(B75, ""en"", ""hi"")"),"थांग-ता में 'कंग्लाशा' की क्या भूमिका है?")</f>
        <v>थांग-ता में 'कंग्लाशा' की क्या भूमिका है?</v>
      </c>
      <c r="H75" s="5" t="str">
        <f>IFERROR(__xludf.DUMMYFUNCTION("GOOGLETRANSLATE(C75, ""en"", ""hi"")"),"A) एक औपचारिक तलवार, B) एक नृत्य साथी, C) एक प्रकार का भाला, D) एक अनुष्ठानिक ढोल")</f>
        <v>A) एक औपचारिक तलवार, B) एक नृत्य साथी, C) एक प्रकार का भाला, D) एक अनुष्ठानिक ढोल</v>
      </c>
      <c r="I75" s="5" t="str">
        <f>IFERROR(__xludf.DUMMYFUNCTION("GOOGLETRANSLATE(D75, ""en"", ""hi"")"),"A) एक औपचारिक तलवार")</f>
        <v>A) एक औपचारिक तलवार</v>
      </c>
    </row>
    <row r="76" ht="22.5" customHeight="1">
      <c r="A76" s="3">
        <v>75.0</v>
      </c>
      <c r="B76" s="4" t="s">
        <v>12163</v>
      </c>
      <c r="C76" s="4" t="s">
        <v>12164</v>
      </c>
      <c r="D76" s="4" t="s">
        <v>12165</v>
      </c>
      <c r="F76" s="5" t="str">
        <f>IFERROR(__xludf.DUMMYFUNCTION("GOOGLETRANSLATE(A76, ""en"", ""hi"")"),"75")</f>
        <v>75</v>
      </c>
      <c r="G76" s="5" t="str">
        <f>IFERROR(__xludf.DUMMYFUNCTION("GOOGLETRANSLATE(B76, ""en"", ""hi"")"),"कौन सा पारंपरिक मणिपुरी त्योहार थांग-ता प्रशिक्षण सत्र की शुरुआत का प्रतीक है?")</f>
        <v>कौन सा पारंपरिक मणिपुरी त्योहार थांग-ता प्रशिक्षण सत्र की शुरुआत का प्रतीक है?</v>
      </c>
      <c r="H76" s="5" t="str">
        <f>IFERROR(__xludf.DUMMYFUNCTION("GOOGLETRANSLATE(C76, ""en"", ""hi"")"),"ए) निंगोल चाकोउबा, बी) याओशांग, सी) कुट, डी) संगाई महोत्सव")</f>
        <v>ए) निंगोल चाकोउबा, बी) याओशांग, सी) कुट, डी) संगाई महोत्सव</v>
      </c>
      <c r="I76" s="5" t="str">
        <f>IFERROR(__xludf.DUMMYFUNCTION("GOOGLETRANSLATE(D76, ""en"", ""hi"")"),"बी) योशांग")</f>
        <v>बी) योशांग</v>
      </c>
    </row>
    <row r="77" ht="22.5" customHeight="1">
      <c r="A77" s="3">
        <v>76.0</v>
      </c>
      <c r="B77" s="4" t="s">
        <v>12166</v>
      </c>
      <c r="C77" s="4" t="s">
        <v>12167</v>
      </c>
      <c r="D77" s="4" t="s">
        <v>12168</v>
      </c>
      <c r="F77" s="5" t="str">
        <f>IFERROR(__xludf.DUMMYFUNCTION("GOOGLETRANSLATE(A77, ""en"", ""hi"")"),"76")</f>
        <v>76</v>
      </c>
      <c r="G77" s="5" t="str">
        <f>IFERROR(__xludf.DUMMYFUNCTION("GOOGLETRANSLATE(B77, ""en"", ""hi"")"),"थांग-ता प्रदर्शन के माध्यम से किस प्रकार की ऐतिहासिक घटना को दर्शाया जाता है?")</f>
        <v>थांग-ता प्रदर्शन के माध्यम से किस प्रकार की ऐतिहासिक घटना को दर्शाया जाता है?</v>
      </c>
      <c r="H77" s="5" t="str">
        <f>IFERROR(__xludf.DUMMYFUNCTION("GOOGLETRANSLATE(C77, ""en"", ""hi"")"),"A) युद्ध और लड़ाइयाँ, B) दैनिक जीवन, C) त्यौहार, D) अनुष्ठान")</f>
        <v>A) युद्ध और लड़ाइयाँ, B) दैनिक जीवन, C) त्यौहार, D) अनुष्ठान</v>
      </c>
      <c r="I77" s="5" t="str">
        <f>IFERROR(__xludf.DUMMYFUNCTION("GOOGLETRANSLATE(D77, ""en"", ""hi"")"),"ए) लड़ाइयाँ और युद्ध")</f>
        <v>ए) लड़ाइयाँ और युद्ध</v>
      </c>
    </row>
    <row r="78" ht="22.5" customHeight="1">
      <c r="A78" s="3">
        <v>77.0</v>
      </c>
      <c r="B78" s="4" t="s">
        <v>12169</v>
      </c>
      <c r="C78" s="4" t="s">
        <v>12105</v>
      </c>
      <c r="D78" s="4" t="s">
        <v>9034</v>
      </c>
      <c r="F78" s="5" t="str">
        <f>IFERROR(__xludf.DUMMYFUNCTION("GOOGLETRANSLATE(A78, ""en"", ""hi"")"),"77")</f>
        <v>77</v>
      </c>
      <c r="G78" s="5" t="str">
        <f>IFERROR(__xludf.DUMMYFUNCTION("GOOGLETRANSLATE(B78, ""en"", ""hi"")"),"थांग-ता में किस प्रकार के हथियार का प्रयोग मुख्यतः निकट युद्ध के लिए किया जाता है?")</f>
        <v>थांग-ता में किस प्रकार के हथियार का प्रयोग मुख्यतः निकट युद्ध के लिए किया जाता है?</v>
      </c>
      <c r="H78" s="5" t="str">
        <f>IFERROR(__xludf.DUMMYFUNCTION("GOOGLETRANSLATE(C78, ""en"", ""hi"")"),"A) तलवार, B) भाला, C) ढाल, D) धनुष")</f>
        <v>A) तलवार, B) भाला, C) ढाल, D) धनुष</v>
      </c>
      <c r="I78" s="5" t="str">
        <f>IFERROR(__xludf.DUMMYFUNCTION("GOOGLETRANSLATE(D78, ""en"", ""hi"")"),"ए) तलवार")</f>
        <v>ए) तलवार</v>
      </c>
    </row>
    <row r="79" ht="22.5" customHeight="1">
      <c r="A79" s="3">
        <v>78.0</v>
      </c>
      <c r="B79" s="4" t="s">
        <v>12170</v>
      </c>
      <c r="C79" s="4" t="s">
        <v>12171</v>
      </c>
      <c r="D79" s="4" t="s">
        <v>9050</v>
      </c>
      <c r="F79" s="5" t="str">
        <f>IFERROR(__xludf.DUMMYFUNCTION("GOOGLETRANSLATE(A79, ""en"", ""hi"")"),"78")</f>
        <v>78</v>
      </c>
      <c r="G79" s="5" t="str">
        <f>IFERROR(__xludf.DUMMYFUNCTION("GOOGLETRANSLATE(B79, ""en"", ""hi"")"),"थांग-ता अभ्यासकर्ता पारंपरिक रूप से किस प्रकार के गुरु से तकनीक सीखते हैं?")</f>
        <v>थांग-ता अभ्यासकर्ता पारंपरिक रूप से किस प्रकार के गुरु से तकनीक सीखते हैं?</v>
      </c>
      <c r="H79" s="5" t="str">
        <f>IFERROR(__xludf.DUMMYFUNCTION("GOOGLETRANSLATE(C79, ""en"", ""hi"")"),"A) गुरु, B) योद्धा, C) विद्वान, D) पुजारी")</f>
        <v>A) गुरु, B) योद्धा, C) विद्वान, D) पुजारी</v>
      </c>
      <c r="I79" s="5" t="str">
        <f>IFERROR(__xludf.DUMMYFUNCTION("GOOGLETRANSLATE(D79, ""en"", ""hi"")"),"A) गुरु")</f>
        <v>A) गुरु</v>
      </c>
    </row>
    <row r="80" ht="22.5" customHeight="1">
      <c r="A80" s="3">
        <v>79.0</v>
      </c>
      <c r="B80" s="4" t="s">
        <v>12172</v>
      </c>
      <c r="C80" s="4" t="s">
        <v>12173</v>
      </c>
      <c r="D80" s="4" t="s">
        <v>12174</v>
      </c>
      <c r="F80" s="5" t="str">
        <f>IFERROR(__xludf.DUMMYFUNCTION("GOOGLETRANSLATE(A80, ""en"", ""hi"")"),"79")</f>
        <v>79</v>
      </c>
      <c r="G80" s="5" t="str">
        <f>IFERROR(__xludf.DUMMYFUNCTION("GOOGLETRANSLATE(B80, ""en"", ""hi"")"),"कौन सा ऐतिहासिक ग्रंथ थांग-टा की उत्पत्ति का विवरण देता है?")</f>
        <v>कौन सा ऐतिहासिक ग्रंथ थांग-टा की उत्पत्ति का विवरण देता है?</v>
      </c>
      <c r="H80" s="5" t="str">
        <f>IFERROR(__xludf.DUMMYFUNCTION("GOOGLETRANSLATE(C80, ""en"", ""hi"")"),"ए) पुय मीथाबा, बी) महाभारत, सी) रामायण, डी) वेद")</f>
        <v>ए) पुय मीथाबा, बी) महाभारत, सी) रामायण, डी) वेद</v>
      </c>
      <c r="I80" s="5" t="str">
        <f>IFERROR(__xludf.DUMMYFUNCTION("GOOGLETRANSLATE(D80, ""en"", ""hi"")"),"A) पुया मीथाबा")</f>
        <v>A) पुया मीथाबा</v>
      </c>
    </row>
    <row r="81" ht="22.5" customHeight="1">
      <c r="A81" s="3">
        <v>80.0</v>
      </c>
      <c r="B81" s="4" t="s">
        <v>12175</v>
      </c>
      <c r="C81" s="4" t="s">
        <v>12176</v>
      </c>
      <c r="D81" s="4" t="s">
        <v>12177</v>
      </c>
      <c r="F81" s="5" t="str">
        <f>IFERROR(__xludf.DUMMYFUNCTION("GOOGLETRANSLATE(A81, ""en"", ""hi"")"),"80")</f>
        <v>80</v>
      </c>
      <c r="G81" s="5" t="str">
        <f>IFERROR(__xludf.DUMMYFUNCTION("GOOGLETRANSLATE(B81, ""en"", ""hi"")"),"थांग-ता में 'सानू क्षर' करने का उद्देश्य क्या है?")</f>
        <v>थांग-ता में 'सानू क्षर' करने का उद्देश्य क्या है?</v>
      </c>
      <c r="H81" s="5" t="str">
        <f>IFERROR(__xludf.DUMMYFUNCTION("GOOGLETRANSLATE(C81, ""en"", ""hi"")"),"A) शस्त्रों पर निपुणता दिखाना, B) सहनशक्ति का प्रशिक्षण देना, C) अनुष्ठान करना, D) नृत्य कौशल का प्रदर्शन करना")</f>
        <v>A) शस्त्रों पर निपुणता दिखाना, B) सहनशक्ति का प्रशिक्षण देना, C) अनुष्ठान करना, D) नृत्य कौशल का प्रदर्शन करना</v>
      </c>
      <c r="I81" s="5" t="str">
        <f>IFERROR(__xludf.DUMMYFUNCTION("GOOGLETRANSLATE(D81, ""en"", ""hi"")"),"बी) सहनशक्ति को प्रशिक्षित करने के लिए")</f>
        <v>बी) सहनशक्ति को प्रशिक्षित करने के लिए</v>
      </c>
    </row>
    <row r="82" ht="22.5" customHeight="1">
      <c r="A82" s="3">
        <v>81.0</v>
      </c>
      <c r="B82" s="4" t="s">
        <v>12178</v>
      </c>
      <c r="C82" s="4" t="s">
        <v>12085</v>
      </c>
      <c r="D82" s="4" t="s">
        <v>12086</v>
      </c>
      <c r="F82" s="5" t="str">
        <f>IFERROR(__xludf.DUMMYFUNCTION("GOOGLETRANSLATE(A82, ""en"", ""hi"")"),"81")</f>
        <v>81</v>
      </c>
      <c r="G82" s="5" t="str">
        <f>IFERROR(__xludf.DUMMYFUNCTION("GOOGLETRANSLATE(B82, ""en"", ""hi"")"),"कौन सा पारंपरिक कार्यक्रम प्रायः थांग-ता को प्राथमिक आकर्षण के रूप में प्रस्तुत करता है?")</f>
        <v>कौन सा पारंपरिक कार्यक्रम प्रायः थांग-ता को प्राथमिक आकर्षण के रूप में प्रस्तुत करता है?</v>
      </c>
      <c r="H82" s="5" t="str">
        <f>IFERROR(__xludf.DUMMYFUNCTION("GOOGLETRANSLATE(C82, ""en"", ""hi"")"),"ए) लाई हरोबा, बी) दिवाली, सी) होली, डी) पोंगल")</f>
        <v>ए) लाई हरोबा, बी) दिवाली, सी) होली, डी) पोंगल</v>
      </c>
      <c r="I82" s="5" t="str">
        <f>IFERROR(__xludf.DUMMYFUNCTION("GOOGLETRANSLATE(D82, ""en"", ""hi"")"),"A) लाई हरोबा")</f>
        <v>A) लाई हरोबा</v>
      </c>
    </row>
    <row r="83" ht="22.5" customHeight="1">
      <c r="A83" s="3">
        <v>82.0</v>
      </c>
      <c r="B83" s="4" t="s">
        <v>12179</v>
      </c>
      <c r="C83" s="4" t="s">
        <v>12180</v>
      </c>
      <c r="D83" s="4" t="s">
        <v>12181</v>
      </c>
      <c r="F83" s="5" t="str">
        <f>IFERROR(__xludf.DUMMYFUNCTION("GOOGLETRANSLATE(A83, ""en"", ""hi"")"),"82")</f>
        <v>82</v>
      </c>
      <c r="G83" s="5" t="str">
        <f>IFERROR(__xludf.DUMMYFUNCTION("GOOGLETRANSLATE(B83, ""en"", ""hi"")"),"थांग-ता में 'नोंगयाई' क्या दर्शाता है?")</f>
        <v>थांग-ता में 'नोंगयाई' क्या दर्शाता है?</v>
      </c>
      <c r="H83" s="5" t="str">
        <f>IFERROR(__xludf.DUMMYFUNCTION("GOOGLETRANSLATE(C83, ""en"", ""hi"")"),"A) तलवार, B) भाला, C) ढाल, D) अनुष्ठान नृत्य")</f>
        <v>A) तलवार, B) भाला, C) ढाल, D) अनुष्ठान नृत्य</v>
      </c>
      <c r="I83" s="5" t="str">
        <f>IFERROR(__xludf.DUMMYFUNCTION("GOOGLETRANSLATE(D83, ""en"", ""hi"")"),"सी) ढाल")</f>
        <v>सी) ढाल</v>
      </c>
    </row>
    <row r="84" ht="22.5" customHeight="1">
      <c r="A84" s="3">
        <v>83.0</v>
      </c>
      <c r="B84" s="4" t="s">
        <v>12182</v>
      </c>
      <c r="C84" s="4" t="s">
        <v>12183</v>
      </c>
      <c r="D84" s="4" t="s">
        <v>12184</v>
      </c>
      <c r="F84" s="5" t="str">
        <f>IFERROR(__xludf.DUMMYFUNCTION("GOOGLETRANSLATE(A84, ""en"", ""hi"")"),"83")</f>
        <v>83</v>
      </c>
      <c r="G84" s="5" t="str">
        <f>IFERROR(__xludf.DUMMYFUNCTION("GOOGLETRANSLATE(B84, ""en"", ""hi"")"),"कौन सी प्रसिद्ध मणिपुरी हस्ती थांग-ता के संरक्षण और संवर्धन के लिए जानी जाती है?")</f>
        <v>कौन सी प्रसिद्ध मणिपुरी हस्ती थांग-ता के संरक्षण और संवर्धन के लिए जानी जाती है?</v>
      </c>
      <c r="H84" s="5" t="str">
        <f>IFERROR(__xludf.DUMMYFUNCTION("GOOGLETRANSLATE(C84, ""en"", ""hi"")"),"ए) राजकुमार चिंगखेई सिंह, बी) रतन थियाम, सी) ओइनम बाबू सिंह, डी) एन. टॉम्बी सिंह")</f>
        <v>ए) राजकुमार चिंगखेई सिंह, बी) रतन थियाम, सी) ओइनम बाबू सिंह, डी) एन. टॉम्बी सिंह</v>
      </c>
      <c r="I84" s="5" t="str">
        <f>IFERROR(__xludf.DUMMYFUNCTION("GOOGLETRANSLATE(D84, ""en"", ""hi"")"),"D) एन. तोम्बी सिंह")</f>
        <v>D) एन. तोम्बी सिंह</v>
      </c>
    </row>
    <row r="85" ht="22.5" customHeight="1">
      <c r="A85" s="3">
        <v>84.0</v>
      </c>
      <c r="B85" s="4" t="s">
        <v>12185</v>
      </c>
      <c r="C85" s="4" t="s">
        <v>12186</v>
      </c>
      <c r="D85" s="4" t="s">
        <v>12187</v>
      </c>
      <c r="F85" s="5" t="str">
        <f>IFERROR(__xludf.DUMMYFUNCTION("GOOGLETRANSLATE(A85, ""en"", ""hi"")"),"84")</f>
        <v>84</v>
      </c>
      <c r="G85" s="5" t="str">
        <f>IFERROR(__xludf.DUMMYFUNCTION("GOOGLETRANSLATE(B85, ""en"", ""hi"")"),"थांग-ता के संबंध में 'लाई हरोबा' त्योहार का क्या महत्व है?")</f>
        <v>थांग-ता के संबंध में 'लाई हरोबा' त्योहार का क्या महत्व है?</v>
      </c>
      <c r="H85" s="5" t="str">
        <f>IFERROR(__xludf.DUMMYFUNCTION("GOOGLETRANSLATE(C85, ""en"", ""hi"")"),"A) यह प्रशिक्षण सत्र के अंत का प्रतीक है, B) यह ऐतिहासिक लड़ाइयों का जश्न मनाता है, C) यह प्रदर्शन और नुमाइश का समय है, D) यह योद्धाओं का सम्मान करता है")</f>
        <v>A) यह प्रशिक्षण सत्र के अंत का प्रतीक है, B) यह ऐतिहासिक लड़ाइयों का जश्न मनाता है, C) यह प्रदर्शन और नुमाइश का समय है, D) यह योद्धाओं का सम्मान करता है</v>
      </c>
      <c r="I85" s="5" t="str">
        <f>IFERROR(__xludf.DUMMYFUNCTION("GOOGLETRANSLATE(D85, ""en"", ""hi"")"),"C) यह प्रदर्शन और प्रदर्शन का समय है")</f>
        <v>C) यह प्रदर्शन और प्रदर्शन का समय है</v>
      </c>
    </row>
    <row r="86" ht="22.5" customHeight="1">
      <c r="A86" s="3">
        <v>85.0</v>
      </c>
      <c r="B86" s="4" t="s">
        <v>12188</v>
      </c>
      <c r="C86" s="4" t="s">
        <v>12189</v>
      </c>
      <c r="D86" s="4" t="s">
        <v>12190</v>
      </c>
      <c r="F86" s="5" t="str">
        <f>IFERROR(__xludf.DUMMYFUNCTION("GOOGLETRANSLATE(A86, ""en"", ""hi"")"),"85")</f>
        <v>85</v>
      </c>
      <c r="G86" s="5" t="str">
        <f>IFERROR(__xludf.DUMMYFUNCTION("GOOGLETRANSLATE(B86, ""en"", ""hi"")"),"निम्नलिखित में से कौन सी थांग-ता कोरियोग्राफी की विशेषता है?")</f>
        <v>निम्नलिखित में से कौन सी थांग-ता कोरियोग्राफी की विशेषता है?</v>
      </c>
      <c r="H86" s="5" t="str">
        <f>IFERROR(__xludf.DUMMYFUNCTION("GOOGLETRANSLATE(C86, ""en"", ""hi"")"),"A) अनुष्ठानिक आंदोलन, B) गतिशील रूप, C) पारंपरिक संगीत, D) सामाजिक नृत्य पैटर्न")</f>
        <v>A) अनुष्ठानिक आंदोलन, B) गतिशील रूप, C) पारंपरिक संगीत, D) सामाजिक नृत्य पैटर्न</v>
      </c>
      <c r="I86" s="5" t="str">
        <f>IFERROR(__xludf.DUMMYFUNCTION("GOOGLETRANSLATE(D86, ""en"", ""hi"")"),"बी) गतिशील रूप")</f>
        <v>बी) गतिशील रूप</v>
      </c>
    </row>
    <row r="87" ht="22.5" customHeight="1">
      <c r="A87" s="3">
        <v>86.0</v>
      </c>
      <c r="B87" s="4" t="s">
        <v>12191</v>
      </c>
      <c r="C87" s="4" t="s">
        <v>12192</v>
      </c>
      <c r="D87" s="4" t="s">
        <v>12193</v>
      </c>
      <c r="F87" s="5" t="str">
        <f>IFERROR(__xludf.DUMMYFUNCTION("GOOGLETRANSLATE(A87, ""en"", ""hi"")"),"86")</f>
        <v>86</v>
      </c>
      <c r="G87" s="5" t="str">
        <f>IFERROR(__xludf.DUMMYFUNCTION("GOOGLETRANSLATE(B87, ""en"", ""hi"")"),"थांग-ता में 'थांग' तकनीक का मुख्य कार्य क्या है?")</f>
        <v>थांग-ता में 'थांग' तकनीक का मुख्य कार्य क्या है?</v>
      </c>
      <c r="H87" s="5" t="str">
        <f>IFERROR(__xludf.DUMMYFUNCTION("GOOGLETRANSLATE(C87, ""en"", ""hi"")"),"ए) आक्रामक रणनीति, बी) रक्षात्मक युद्धाभ्यास, सी) अनुष्ठान प्रदर्शन, डी) हथियार प्रशिक्षण")</f>
        <v>ए) आक्रामक रणनीति, बी) रक्षात्मक युद्धाभ्यास, सी) अनुष्ठान प्रदर्शन, डी) हथियार प्रशिक्षण</v>
      </c>
      <c r="I87" s="5" t="str">
        <f>IFERROR(__xludf.DUMMYFUNCTION("GOOGLETRANSLATE(D87, ""en"", ""hi"")"),"ए) आक्रामक रणनीति")</f>
        <v>ए) आक्रामक रणनीति</v>
      </c>
    </row>
    <row r="88" ht="22.5" customHeight="1">
      <c r="A88" s="3">
        <v>87.0</v>
      </c>
      <c r="B88" s="4" t="s">
        <v>12194</v>
      </c>
      <c r="C88" s="4" t="s">
        <v>12195</v>
      </c>
      <c r="D88" s="4" t="s">
        <v>12196</v>
      </c>
      <c r="F88" s="5" t="str">
        <f>IFERROR(__xludf.DUMMYFUNCTION("GOOGLETRANSLATE(A88, ""en"", ""hi"")"),"87")</f>
        <v>87</v>
      </c>
      <c r="G88" s="5" t="str">
        <f>IFERROR(__xludf.DUMMYFUNCTION("GOOGLETRANSLATE(B88, ""en"", ""hi"")"),"कौन सा ऐतिहासिक युग थांग-ता तकनीकों के औपचारिकीकरण से सबसे अधिक जुड़ा हुआ है?")</f>
        <v>कौन सा ऐतिहासिक युग थांग-ता तकनीकों के औपचारिकीकरण से सबसे अधिक जुड़ा हुआ है?</v>
      </c>
      <c r="H88" s="5" t="str">
        <f>IFERROR(__xludf.DUMMYFUNCTION("GOOGLETRANSLATE(C88, ""en"", ""hi"")"),"A) पूर्व-औपनिवेशिक युग, B) औपनिवेशिक युग, C) स्वतंत्रता-पश्चात युग, D) मध्यकालीन युग")</f>
        <v>A) पूर्व-औपनिवेशिक युग, B) औपनिवेशिक युग, C) स्वतंत्रता-पश्चात युग, D) मध्यकालीन युग</v>
      </c>
      <c r="I88" s="5" t="str">
        <f>IFERROR(__xludf.DUMMYFUNCTION("GOOGLETRANSLATE(D88, ""en"", ""hi"")"),"A) पूर्व-औपनिवेशिक युग")</f>
        <v>A) पूर्व-औपनिवेशिक युग</v>
      </c>
    </row>
    <row r="89" ht="22.5" customHeight="1">
      <c r="A89" s="3">
        <v>88.0</v>
      </c>
      <c r="B89" s="4" t="s">
        <v>12197</v>
      </c>
      <c r="C89" s="4" t="s">
        <v>12198</v>
      </c>
      <c r="D89" s="4" t="s">
        <v>12199</v>
      </c>
      <c r="F89" s="5" t="str">
        <f>IFERROR(__xludf.DUMMYFUNCTION("GOOGLETRANSLATE(A89, ""en"", ""hi"")"),"88")</f>
        <v>88</v>
      </c>
      <c r="G89" s="5" t="str">
        <f>IFERROR(__xludf.DUMMYFUNCTION("GOOGLETRANSLATE(B89, ""en"", ""hi"")"),"मणिपुर की मार्शल संस्कृति में थांग-ता का पारंपरिक महत्व क्या है?")</f>
        <v>मणिपुर की मार्शल संस्कृति में थांग-ता का पारंपरिक महत्व क्या है?</v>
      </c>
      <c r="H89" s="5" t="str">
        <f>IFERROR(__xludf.DUMMYFUNCTION("GOOGLETRANSLATE(C89, ""en"", ""hi"")"),"A) यह प्रतिरोध का एक रूप है, B) यह एक औपचारिक नृत्य है, C) यह ऐतिहासिक संघर्षों का प्रतिनिधित्व करता है, D) यह शाही शक्ति का प्रतीक है")</f>
        <v>A) यह प्रतिरोध का एक रूप है, B) यह एक औपचारिक नृत्य है, C) यह ऐतिहासिक संघर्षों का प्रतिनिधित्व करता है, D) यह शाही शक्ति का प्रतीक है</v>
      </c>
      <c r="I89" s="5" t="str">
        <f>IFERROR(__xludf.DUMMYFUNCTION("GOOGLETRANSLATE(D89, ""en"", ""hi"")"),"A) यह प्रतिरोध का एक रूप है")</f>
        <v>A) यह प्रतिरोध का एक रूप है</v>
      </c>
    </row>
    <row r="90" ht="22.5" customHeight="1">
      <c r="A90" s="3">
        <v>89.0</v>
      </c>
      <c r="B90" s="4" t="s">
        <v>12200</v>
      </c>
      <c r="C90" s="4" t="s">
        <v>12201</v>
      </c>
      <c r="D90" s="4" t="s">
        <v>12202</v>
      </c>
      <c r="F90" s="5" t="str">
        <f>IFERROR(__xludf.DUMMYFUNCTION("GOOGLETRANSLATE(A90, ""en"", ""hi"")"),"89")</f>
        <v>89</v>
      </c>
      <c r="G90" s="5" t="str">
        <f>IFERROR(__xludf.DUMMYFUNCTION("GOOGLETRANSLATE(B90, ""en"", ""hi"")"),"त्योहारों के दौरान थांग-ता कौशल दिखाने के लिए अक्सर किस प्रकार के प्रदर्शन का उपयोग किया जाता है?")</f>
        <v>त्योहारों के दौरान थांग-ता कौशल दिखाने के लिए अक्सर किस प्रकार के प्रदर्शन का उपयोग किया जाता है?</v>
      </c>
      <c r="H90" s="5" t="str">
        <f>IFERROR(__xludf.DUMMYFUNCTION("GOOGLETRANSLATE(C90, ""en"", ""hi"")"),"ए) एकल प्रदर्शन, बी) समूह अभ्यास, सी) ऐतिहासिक पुनरावर्तन, डी) अनुष्ठान समारोह")</f>
        <v>ए) एकल प्रदर्शन, बी) समूह अभ्यास, सी) ऐतिहासिक पुनरावर्तन, डी) अनुष्ठान समारोह</v>
      </c>
      <c r="I90" s="5" t="str">
        <f>IFERROR(__xludf.DUMMYFUNCTION("GOOGLETRANSLATE(D90, ""en"", ""hi"")"),"बी) समूह अभ्यास")</f>
        <v>बी) समूह अभ्यास</v>
      </c>
    </row>
    <row r="91" ht="22.5" customHeight="1">
      <c r="A91" s="3">
        <v>90.0</v>
      </c>
      <c r="B91" s="4" t="s">
        <v>12203</v>
      </c>
      <c r="C91" s="4" t="s">
        <v>12204</v>
      </c>
      <c r="D91" s="4" t="s">
        <v>12205</v>
      </c>
      <c r="F91" s="5" t="str">
        <f>IFERROR(__xludf.DUMMYFUNCTION("GOOGLETRANSLATE(A91, ""en"", ""hi"")"),"90")</f>
        <v>90</v>
      </c>
      <c r="G91" s="5" t="str">
        <f>IFERROR(__xludf.DUMMYFUNCTION("GOOGLETRANSLATE(B91, ""en"", ""hi"")"),"प्रदर्शनों में 'थांग-ता एथिंग' की पारंपरिक भूमिका क्या है?")</f>
        <v>प्रदर्शनों में 'थांग-ता एथिंग' की पारंपरिक भूमिका क्या है?</v>
      </c>
      <c r="H91" s="5" t="str">
        <f>IFERROR(__xludf.DUMMYFUNCTION("GOOGLETRANSLATE(C91, ""en"", ""hi"")"),"A) कहानियाँ सुनाना, B) गतिविधियों का मार्गदर्शन करना, C) लय प्रदान करना, D) देवताओं का सम्मान करना")</f>
        <v>A) कहानियाँ सुनाना, B) गतिविधियों का मार्गदर्शन करना, C) लय प्रदान करना, D) देवताओं का सम्मान करना</v>
      </c>
      <c r="I91" s="5" t="str">
        <f>IFERROR(__xludf.DUMMYFUNCTION("GOOGLETRANSLATE(D91, ""en"", ""hi"")"),"C) लय प्रदान करने के लिए")</f>
        <v>C) लय प्रदान करने के लिए</v>
      </c>
    </row>
    <row r="92" ht="22.5" customHeight="1">
      <c r="A92" s="3">
        <v>91.0</v>
      </c>
      <c r="B92" s="4" t="s">
        <v>12206</v>
      </c>
      <c r="C92" s="4" t="s">
        <v>12152</v>
      </c>
      <c r="D92" s="4" t="s">
        <v>12207</v>
      </c>
      <c r="F92" s="5" t="str">
        <f>IFERROR(__xludf.DUMMYFUNCTION("GOOGLETRANSLATE(A92, ""en"", ""hi"")"),"91")</f>
        <v>91</v>
      </c>
      <c r="G92" s="5" t="str">
        <f>IFERROR(__xludf.DUMMYFUNCTION("GOOGLETRANSLATE(B92, ""en"", ""hi"")"),"कौन सा मणिपुरी शासक थांग-ता के संरक्षण के लिए जाना जाता था?")</f>
        <v>कौन सा मणिपुरी शासक थांग-ता के संरक्षण के लिए जाना जाता था?</v>
      </c>
      <c r="H92" s="5" t="str">
        <f>IFERROR(__xludf.DUMMYFUNCTION("GOOGLETRANSLATE(C92, ""en"", ""hi"")"),"ए) महाराजा चंद्रकीर्ति सिंह, बी) महाराजा गंभीर सिंह, सी) महाराजा भाग्यचंद्र सिंह, डी) महाराजा कुलचंद्र सिंह")</f>
        <v>ए) महाराजा चंद्रकीर्ति सिंह, बी) महाराजा गंभीर सिंह, सी) महाराजा भाग्यचंद्र सिंह, डी) महाराजा कुलचंद्र सिंह</v>
      </c>
      <c r="I92" s="5" t="str">
        <f>IFERROR(__xludf.DUMMYFUNCTION("GOOGLETRANSLATE(D92, ""en"", ""hi"")"),"C) महाराजा भाग्यचंद्र सिंह")</f>
        <v>C) महाराजा भाग्यचंद्र सिंह</v>
      </c>
    </row>
    <row r="93" ht="22.5" customHeight="1">
      <c r="A93" s="3">
        <v>92.0</v>
      </c>
      <c r="B93" s="4" t="s">
        <v>12208</v>
      </c>
      <c r="C93" s="4" t="s">
        <v>12209</v>
      </c>
      <c r="D93" s="4" t="s">
        <v>12210</v>
      </c>
      <c r="F93" s="5" t="str">
        <f>IFERROR(__xludf.DUMMYFUNCTION("GOOGLETRANSLATE(A93, ""en"", ""hi"")"),"92")</f>
        <v>92</v>
      </c>
      <c r="G93" s="5" t="str">
        <f>IFERROR(__xludf.DUMMYFUNCTION("GOOGLETRANSLATE(B93, ""en"", ""hi"")"),"थांग-ता में 'माचा' की क्या भूमिका है?")</f>
        <v>थांग-ता में 'माचा' की क्या भूमिका है?</v>
      </c>
      <c r="H93" s="5" t="str">
        <f>IFERROR(__xludf.DUMMYFUNCTION("GOOGLETRANSLATE(C93, ""en"", ""hi"")"),"A) एक प्रकार की तलवार, B) एक नृत्य शैली, C) एक औपचारिक ढाल, D) एक पारंपरिक हथियार")</f>
        <v>A) एक प्रकार की तलवार, B) एक नृत्य शैली, C) एक औपचारिक ढाल, D) एक पारंपरिक हथियार</v>
      </c>
      <c r="I93" s="5" t="str">
        <f>IFERROR(__xludf.DUMMYFUNCTION("GOOGLETRANSLATE(D93, ""en"", ""hi"")"),"D) एक पारंपरिक हथियार")</f>
        <v>D) एक पारंपरिक हथियार</v>
      </c>
    </row>
    <row r="94" ht="22.5" customHeight="1">
      <c r="A94" s="3">
        <v>93.0</v>
      </c>
      <c r="B94" s="4" t="s">
        <v>12211</v>
      </c>
      <c r="C94" s="4" t="s">
        <v>12212</v>
      </c>
      <c r="D94" s="4" t="s">
        <v>12213</v>
      </c>
      <c r="F94" s="5" t="str">
        <f>IFERROR(__xludf.DUMMYFUNCTION("GOOGLETRANSLATE(A94, ""en"", ""hi"")"),"93")</f>
        <v>93</v>
      </c>
      <c r="G94" s="5" t="str">
        <f>IFERROR(__xludf.DUMMYFUNCTION("GOOGLETRANSLATE(B94, ""en"", ""hi"")"),"मणिपुर के किस क्षेत्र में थांग-ता प्रथा सबसे अधिक प्रचलित है?")</f>
        <v>मणिपुर के किस क्षेत्र में थांग-ता प्रथा सबसे अधिक प्रचलित है?</v>
      </c>
      <c r="H94" s="5" t="str">
        <f>IFERROR(__xludf.DUMMYFUNCTION("GOOGLETRANSLATE(C94, ""en"", ""hi"")"),"A) मध्य मणिपुर, B) उत्तरी मणिपुर, C) दक्षिणी मणिपुर, D) पूर्वी मणिपुर")</f>
        <v>A) मध्य मणिपुर, B) उत्तरी मणिपुर, C) दक्षिणी मणिपुर, D) पूर्वी मणिपुर</v>
      </c>
      <c r="I94" s="5" t="str">
        <f>IFERROR(__xludf.DUMMYFUNCTION("GOOGLETRANSLATE(D94, ""en"", ""hi"")"),"A) मध्य मणिपुर")</f>
        <v>A) मध्य मणिपुर</v>
      </c>
    </row>
    <row r="95" ht="22.5" customHeight="1">
      <c r="A95" s="3">
        <v>94.0</v>
      </c>
      <c r="B95" s="4" t="s">
        <v>12214</v>
      </c>
      <c r="C95" s="4" t="s">
        <v>12215</v>
      </c>
      <c r="D95" s="4" t="s">
        <v>12216</v>
      </c>
      <c r="F95" s="5" t="str">
        <f>IFERROR(__xludf.DUMMYFUNCTION("GOOGLETRANSLATE(A95, ""en"", ""hi"")"),"94")</f>
        <v>94</v>
      </c>
      <c r="G95" s="5" t="str">
        <f>IFERROR(__xludf.DUMMYFUNCTION("GOOGLETRANSLATE(B95, ""en"", ""hi"")"),"मणिपुर के इतिहास में कौन सी ऐतिहासिक घटना थांग-ता के माध्यम से मनाई जाती है?")</f>
        <v>मणिपुर के इतिहास में कौन सी ऐतिहासिक घटना थांग-ता के माध्यम से मनाई जाती है?</v>
      </c>
      <c r="H95" s="5" t="str">
        <f>IFERROR(__xludf.DUMMYFUNCTION("GOOGLETRANSLATE(C95, ""en"", ""hi"")"),"A) आक्रमणकारियों पर विजय, B) शाही राज्याभिषेक, C) प्रचुरता के उत्सव, D) कृषि उपलब्धियाँ")</f>
        <v>A) आक्रमणकारियों पर विजय, B) शाही राज्याभिषेक, C) प्रचुरता के उत्सव, D) कृषि उपलब्धियाँ</v>
      </c>
      <c r="I95" s="5" t="str">
        <f>IFERROR(__xludf.DUMMYFUNCTION("GOOGLETRANSLATE(D95, ""en"", ""hi"")"),"A) आक्रमणकारियों पर विजय")</f>
        <v>A) आक्रमणकारियों पर विजय</v>
      </c>
    </row>
    <row r="96" ht="22.5" customHeight="1">
      <c r="A96" s="3">
        <v>95.0</v>
      </c>
      <c r="B96" s="4" t="s">
        <v>12217</v>
      </c>
      <c r="C96" s="4" t="s">
        <v>12218</v>
      </c>
      <c r="D96" s="4" t="s">
        <v>12219</v>
      </c>
      <c r="F96" s="5" t="str">
        <f>IFERROR(__xludf.DUMMYFUNCTION("GOOGLETRANSLATE(A96, ""en"", ""hi"")"),"95")</f>
        <v>95</v>
      </c>
      <c r="G96" s="5" t="str">
        <f>IFERROR(__xludf.DUMMYFUNCTION("GOOGLETRANSLATE(B96, ""en"", ""hi"")"),"थांग-ता प्रदर्शन के साथ कौन सा पारंपरिक मणिपुरी वाद्य यंत्र बजाया जाता है?")</f>
        <v>थांग-ता प्रदर्शन के साथ कौन सा पारंपरिक मणिपुरी वाद्य यंत्र बजाया जाता है?</v>
      </c>
      <c r="H96" s="5" t="str">
        <f>IFERROR(__xludf.DUMMYFUNCTION("GOOGLETRANSLATE(C96, ""en"", ""hi"")"),"ए) पुंग, बी) सारंगी, सी) तबला, डी) हारमोनियम")</f>
        <v>ए) पुंग, बी) सारंगी, सी) तबला, डी) हारमोनियम</v>
      </c>
      <c r="I96" s="5" t="str">
        <f>IFERROR(__xludf.DUMMYFUNCTION("GOOGLETRANSLATE(D96, ""en"", ""hi"")"),"ए) पुंग")</f>
        <v>ए) पुंग</v>
      </c>
    </row>
    <row r="97" ht="22.5" customHeight="1">
      <c r="A97" s="3">
        <v>96.0</v>
      </c>
      <c r="B97" s="4" t="s">
        <v>12220</v>
      </c>
      <c r="C97" s="4" t="s">
        <v>12221</v>
      </c>
      <c r="D97" s="4" t="s">
        <v>12222</v>
      </c>
      <c r="F97" s="5" t="str">
        <f>IFERROR(__xludf.DUMMYFUNCTION("GOOGLETRANSLATE(A97, ""en"", ""hi"")"),"96")</f>
        <v>96</v>
      </c>
      <c r="G97" s="5" t="str">
        <f>IFERROR(__xludf.DUMMYFUNCTION("GOOGLETRANSLATE(B97, ""en"", ""hi"")"),"ऐतिहासिक संदर्भों में 'थांग-ता प्रशिक्षण' का प्राथमिक फोकस क्या है?")</f>
        <v>ऐतिहासिक संदर्भों में 'थांग-ता प्रशिक्षण' का प्राथमिक फोकस क्या है?</v>
      </c>
      <c r="H97" s="5" t="str">
        <f>IFERROR(__xludf.DUMMYFUNCTION("GOOGLETRANSLATE(C97, ""en"", ""hi"")"),"A) युद्ध की तैयारी, B) सांस्कृतिक संरक्षण, C) कलात्मक प्रदर्शन, D) अनुष्ठानिक प्रथाएँ")</f>
        <v>A) युद्ध की तैयारी, B) सांस्कृतिक संरक्षण, C) कलात्मक प्रदर्शन, D) अनुष्ठानिक प्रथाएँ</v>
      </c>
      <c r="I97" s="5" t="str">
        <f>IFERROR(__xludf.DUMMYFUNCTION("GOOGLETRANSLATE(D97, ""en"", ""hi"")"),"ए) युद्ध तत्परता")</f>
        <v>ए) युद्ध तत्परता</v>
      </c>
    </row>
    <row r="98" ht="22.5" customHeight="1">
      <c r="A98" s="3">
        <v>97.0</v>
      </c>
      <c r="B98" s="4" t="s">
        <v>12223</v>
      </c>
      <c r="C98" s="4" t="s">
        <v>12224</v>
      </c>
      <c r="D98" s="4" t="s">
        <v>12225</v>
      </c>
      <c r="F98" s="5" t="str">
        <f>IFERROR(__xludf.DUMMYFUNCTION("GOOGLETRANSLATE(A98, ""en"", ""hi"")"),"97")</f>
        <v>97</v>
      </c>
      <c r="G98" s="5" t="str">
        <f>IFERROR(__xludf.DUMMYFUNCTION("GOOGLETRANSLATE(B98, ""en"", ""hi"")"),"थांग-ता के किस पहलू को यूनेस्को द्वारा आधिकारिक तौर पर मान्यता दी गई है?")</f>
        <v>थांग-ता के किस पहलू को यूनेस्को द्वारा आधिकारिक तौर पर मान्यता दी गई है?</v>
      </c>
      <c r="H98" s="5" t="str">
        <f>IFERROR(__xludf.DUMMYFUNCTION("GOOGLETRANSLATE(C98, ""en"", ""hi"")"),"A) इसका सांस्कृतिक महत्व, B) इसका कलात्मक मूल्य, C) इसका ऐतिहासिक महत्व, D) इसके अनुष्ठानिक तत्व")</f>
        <v>A) इसका सांस्कृतिक महत्व, B) इसका कलात्मक मूल्य, C) इसका ऐतिहासिक महत्व, D) इसके अनुष्ठानिक तत्व</v>
      </c>
      <c r="I98" s="5" t="str">
        <f>IFERROR(__xludf.DUMMYFUNCTION("GOOGLETRANSLATE(D98, ""en"", ""hi"")"),"A) इसका सांस्कृतिक महत्व")</f>
        <v>A) इसका सांस्कृतिक महत्व</v>
      </c>
    </row>
    <row r="99" ht="22.5" customHeight="1">
      <c r="A99" s="3">
        <v>98.0</v>
      </c>
      <c r="B99" s="4" t="s">
        <v>12226</v>
      </c>
      <c r="C99" s="4" t="s">
        <v>12227</v>
      </c>
      <c r="D99" s="4" t="s">
        <v>12228</v>
      </c>
      <c r="F99" s="5" t="str">
        <f>IFERROR(__xludf.DUMMYFUNCTION("GOOGLETRANSLATE(A99, ""en"", ""hi"")"),"98")</f>
        <v>98</v>
      </c>
      <c r="G99" s="5" t="str">
        <f>IFERROR(__xludf.DUMMYFUNCTION("GOOGLETRANSLATE(B99, ""en"", ""hi"")"),"थांग-ता में 'सामु' का क्या अर्थ है?")</f>
        <v>थांग-ता में 'सामु' का क्या अर्थ है?</v>
      </c>
      <c r="H99" s="5" t="str">
        <f>IFERROR(__xludf.DUMMYFUNCTION("GOOGLETRANSLATE(C99, ""en"", ""hi"")"),"A) एक प्रकार का भाला, B) एक नृत्य शैली, C) एक औपचारिक ढोल, D) एक पारंपरिक ढाल")</f>
        <v>A) एक प्रकार का भाला, B) एक नृत्य शैली, C) एक औपचारिक ढोल, D) एक पारंपरिक ढाल</v>
      </c>
      <c r="I99" s="5" t="str">
        <f>IFERROR(__xludf.DUMMYFUNCTION("GOOGLETRANSLATE(D99, ""en"", ""hi"")"),"A) एक प्रकार का भाला")</f>
        <v>A) एक प्रकार का भाला</v>
      </c>
    </row>
    <row r="100" ht="22.5" customHeight="1">
      <c r="A100" s="3">
        <v>99.0</v>
      </c>
      <c r="B100" s="4" t="s">
        <v>12229</v>
      </c>
      <c r="C100" s="4" t="s">
        <v>12230</v>
      </c>
      <c r="D100" s="4" t="s">
        <v>12231</v>
      </c>
      <c r="F100" s="5" t="str">
        <f>IFERROR(__xludf.DUMMYFUNCTION("GOOGLETRANSLATE(A100, ""en"", ""hi"")"),"99")</f>
        <v>99</v>
      </c>
      <c r="G100" s="5" t="str">
        <f>IFERROR(__xludf.DUMMYFUNCTION("GOOGLETRANSLATE(B100, ""en"", ""hi"")"),"समकालीन मणिपुरी त्योहारों में 'थांग-ता' की क्या भूमिका है?")</f>
        <v>समकालीन मणिपुरी त्योहारों में 'थांग-ता' की क्या भूमिका है?</v>
      </c>
      <c r="H100" s="5" t="str">
        <f>IFERROR(__xludf.DUMMYFUNCTION("GOOGLETRANSLATE(C100, ""en"", ""hi"")"),"A)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f>
        <v>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v>
      </c>
      <c r="I100" s="5" t="str">
        <f>IFERROR(__xludf.DUMMYFUNCTION("GOOGLETRANSLATE(D100, ""en"", ""hi"")"),"A) यह ऐतिहासिक युद्ध कौशल को प्रदर्शित करता है")</f>
        <v>A) यह ऐतिहासिक युद्ध कौशल को प्रदर्शित करता है</v>
      </c>
    </row>
    <row r="101" ht="22.5" customHeight="1">
      <c r="A101" s="3">
        <v>100.0</v>
      </c>
      <c r="B101" s="4" t="s">
        <v>12232</v>
      </c>
      <c r="C101" s="4" t="s">
        <v>12233</v>
      </c>
      <c r="D101" s="4" t="s">
        <v>12234</v>
      </c>
      <c r="F101" s="5" t="str">
        <f>IFERROR(__xludf.DUMMYFUNCTION("GOOGLETRANSLATE(A101, ""en"", ""hi"")"),"100")</f>
        <v>100</v>
      </c>
      <c r="G101" s="5" t="str">
        <f>IFERROR(__xludf.DUMMYFUNCTION("GOOGLETRANSLATE(B101, ""en"", ""hi"")"),"कौन सा प्रसिद्ध थांग-ता कलाकार अभ्यास को आधुनिक बनाने में अपने योगदान के लिए जाना जाता है?")</f>
        <v>कौन सा प्रसिद्ध थांग-ता कलाकार अभ्यास को आधुनिक बनाने में अपने योगदान के लिए जाना जाता है?</v>
      </c>
      <c r="H101" s="5" t="str">
        <f>IFERROR(__xludf.DUMMYFUNCTION("GOOGLETRANSLATE(C101, ""en"", ""hi"")"),"ए) ओइनम बाबू सिंह, बी) राजकुमार चिंगखेई सिंह, सी) एन. टॉम्बी सिंह, डी) रतन थियाम")</f>
        <v>ए) ओइनम बाबू सिंह, बी) राजकुमार चिंगखेई सिंह, सी) एन. टॉम्बी सिंह, डी) रतन थियाम</v>
      </c>
      <c r="I101" s="5" t="str">
        <f>IFERROR(__xludf.DUMMYFUNCTION("GOOGLETRANSLATE(D101, ""en"", ""hi"")"),"बी) राजकुमार चिंगखेई सिंह")</f>
        <v>बी) राजकुमार चिंगखेई सिंह</v>
      </c>
    </row>
    <row r="102" ht="22.5" customHeight="1">
      <c r="A102" s="3">
        <v>101.0</v>
      </c>
      <c r="B102" s="4" t="s">
        <v>12235</v>
      </c>
      <c r="C102" s="4" t="s">
        <v>12236</v>
      </c>
      <c r="D102" s="4" t="s">
        <v>12237</v>
      </c>
      <c r="F102" s="5" t="str">
        <f>IFERROR(__xludf.DUMMYFUNCTION("GOOGLETRANSLATE(A102, ""en"", ""hi"")"),"101")</f>
        <v>101</v>
      </c>
      <c r="G102" s="5" t="str">
        <f>IFERROR(__xludf.DUMMYFUNCTION("GOOGLETRANSLATE(B102, ""en"", ""hi"")"),"ऐतिहासिक पुनःप्रस्तुति के दौरान थांग-ता प्रदर्शन का महत्वपूर्ण पहलू क्या है?")</f>
        <v>ऐतिहासिक पुनःप्रस्तुति के दौरान थांग-ता प्रदर्शन का महत्वपूर्ण पहलू क्या है?</v>
      </c>
      <c r="H102" s="5" t="str">
        <f>IFERROR(__xludf.DUMMYFUNCTION("GOOGLETRANSLATE(C102, ""en"", ""hi"")"),"A) प्रामाणिकता, B) कलात्मक अभिव्यक्ति, C) दर्शकों की सहभागिता, D) ऐतिहासिक सटीकता")</f>
        <v>A) प्रामाणिकता, B) कलात्मक अभिव्यक्ति, C) दर्शकों की सहभागिता, D) ऐतिहासिक सटीकता</v>
      </c>
      <c r="I102" s="5" t="str">
        <f>IFERROR(__xludf.DUMMYFUNCTION("GOOGLETRANSLATE(D102, ""en"", ""hi"")"),"D) ऐतिहासिक सटीकता")</f>
        <v>D) ऐतिहासिक सटीकता</v>
      </c>
    </row>
    <row r="103" ht="22.5" customHeight="1">
      <c r="A103" s="3">
        <v>102.0</v>
      </c>
      <c r="B103" s="4" t="s">
        <v>12238</v>
      </c>
      <c r="C103" s="4" t="s">
        <v>12239</v>
      </c>
      <c r="D103" s="4" t="s">
        <v>12240</v>
      </c>
      <c r="F103" s="5" t="str">
        <f>IFERROR(__xludf.DUMMYFUNCTION("GOOGLETRANSLATE(A103, ""en"", ""hi"")"),"102")</f>
        <v>102</v>
      </c>
      <c r="G103" s="5" t="str">
        <f>IFERROR(__xludf.DUMMYFUNCTION("GOOGLETRANSLATE(B103, ""en"", ""hi"")"),"थांग-ता में 'मणिपुरी संगीत' की क्या भूमिका है?")</f>
        <v>थांग-ता में 'मणिपुरी संगीत' की क्या भूमिका है?</v>
      </c>
      <c r="H103" s="5" t="str">
        <f>IFERROR(__xludf.DUMMYFUNCTION("GOOGLETRANSLATE(C103, ""en"", ""hi"")"),"A) गतिविधियों के लिए लय निर्धारित करता है, B) कथात्मक संदर्भ प्रदान करता है, C) दृश्य अपील को बढ़ाता है, D) हथियार तकनीकों का मार्गदर्शन करता है")</f>
        <v>A) गतिविधियों के लिए लय निर्धारित करता है, B) कथात्मक संदर्भ प्रदान करता है, C) दृश्य अपील को बढ़ाता है, D) हथियार तकनीकों का मार्गदर्शन करता है</v>
      </c>
      <c r="I103" s="5" t="str">
        <f>IFERROR(__xludf.DUMMYFUNCTION("GOOGLETRANSLATE(D103, ""en"", ""hi"")"),"A) गतिविधियों के लिए लय निर्धारित करता है")</f>
        <v>A) गतिविधियों के लिए लय निर्धारित करता है</v>
      </c>
    </row>
    <row r="104" ht="22.5" customHeight="1">
      <c r="A104" s="3">
        <v>103.0</v>
      </c>
      <c r="B104" s="4" t="s">
        <v>12241</v>
      </c>
      <c r="C104" s="4" t="s">
        <v>12242</v>
      </c>
      <c r="D104" s="4" t="s">
        <v>12243</v>
      </c>
      <c r="F104" s="5" t="str">
        <f>IFERROR(__xludf.DUMMYFUNCTION("GOOGLETRANSLATE(A104, ""en"", ""hi"")"),"103")</f>
        <v>103</v>
      </c>
      <c r="G104" s="5" t="str">
        <f>IFERROR(__xludf.DUMMYFUNCTION("GOOGLETRANSLATE(B104, ""en"", ""hi"")"),"थांग-ता कोरियोग्राफी में निम्नलिखित में से कौन सा तत्व सामान्य है?")</f>
        <v>थांग-ता कोरियोग्राफी में निम्नलिखित में से कौन सा तत्व सामान्य है?</v>
      </c>
      <c r="H104" s="5" t="str">
        <f>IFERROR(__xludf.DUMMYFUNCTION("GOOGLETRANSLATE(C104, ""en"", ""hi"")"),"A) जटिल हथियार रूप, B) सरल नृत्य चालें, C) अनुष्ठानिक प्रतीक, D) विस्तृत वेशभूषा")</f>
        <v>A) जटिल हथियार रूप, B) सरल नृत्य चालें, C) अनुष्ठानिक प्रतीक, D) विस्तृत वेशभूषा</v>
      </c>
      <c r="I104" s="5" t="str">
        <f>IFERROR(__xludf.DUMMYFUNCTION("GOOGLETRANSLATE(D104, ""en"", ""hi"")"),"ए) जटिल हथियार रूप")</f>
        <v>ए) जटिल हथियार रूप</v>
      </c>
    </row>
    <row r="105" ht="22.5" customHeight="1">
      <c r="A105" s="3">
        <v>104.0</v>
      </c>
      <c r="B105" s="4" t="s">
        <v>12244</v>
      </c>
      <c r="C105" s="4" t="s">
        <v>12245</v>
      </c>
      <c r="D105" s="4" t="s">
        <v>12086</v>
      </c>
      <c r="F105" s="5" t="str">
        <f>IFERROR(__xludf.DUMMYFUNCTION("GOOGLETRANSLATE(A105, ""en"", ""hi"")"),"104")</f>
        <v>104</v>
      </c>
      <c r="G105" s="5" t="str">
        <f>IFERROR(__xludf.DUMMYFUNCTION("GOOGLETRANSLATE(B105, ""en"", ""hi"")"),"कौन सा पारंपरिक कार्यक्रम कहानी कहने के एक रूप के रूप में थांग-ता को प्रस्तुत करता है?")</f>
        <v>कौन सा पारंपरिक कार्यक्रम कहानी कहने के एक रूप के रूप में थांग-ता को प्रस्तुत करता है?</v>
      </c>
      <c r="H105" s="5" t="str">
        <f>IFERROR(__xludf.DUMMYFUNCTION("GOOGLETRANSLATE(C105, ""en"", ""hi"")"),"ए) लाई हरोबा, बी) पोंगल, सी) बैसाखी, डी) होली")</f>
        <v>ए) लाई हरोबा, बी) पोंगल, सी) बैसाखी, डी) होली</v>
      </c>
      <c r="I105" s="5" t="str">
        <f>IFERROR(__xludf.DUMMYFUNCTION("GOOGLETRANSLATE(D105, ""en"", ""hi"")"),"A) लाई हरोबा")</f>
        <v>A) लाई हरोबा</v>
      </c>
    </row>
    <row r="106" ht="22.5" customHeight="1">
      <c r="A106" s="3">
        <v>105.0</v>
      </c>
      <c r="B106" s="4" t="s">
        <v>12246</v>
      </c>
      <c r="C106" s="4" t="s">
        <v>12247</v>
      </c>
      <c r="D106" s="4" t="s">
        <v>12248</v>
      </c>
      <c r="F106" s="5" t="str">
        <f>IFERROR(__xludf.DUMMYFUNCTION("GOOGLETRANSLATE(A106, ""en"", ""hi"")"),"105")</f>
        <v>105</v>
      </c>
      <c r="G106" s="5" t="str">
        <f>IFERROR(__xludf.DUMMYFUNCTION("GOOGLETRANSLATE(B106, ""en"", ""hi"")"),"थांग-ता के संदर्भ में 'थांग' का क्या अर्थ है?")</f>
        <v>थांग-ता के संदर्भ में 'थांग' का क्या अर्थ है?</v>
      </c>
      <c r="H106" s="5" t="str">
        <f>IFERROR(__xludf.DUMMYFUNCTION("GOOGLETRANSLATE(C106, ""en"", ""hi"")"),"A) एक प्रकार का भाला, B) एक तलवार तकनीक, C) एक पारंपरिक नृत्य शैली, D) एक औपचारिक अभ्यास")</f>
        <v>A) एक प्रकार का भाला, B) एक तलवार तकनीक, C) एक पारंपरिक नृत्य शैली, D) एक औपचारिक अभ्यास</v>
      </c>
      <c r="I106" s="5" t="str">
        <f>IFERROR(__xludf.DUMMYFUNCTION("GOOGLETRANSLATE(D106, ""en"", ""hi"")"),"बी) एक तलवार तकनीक")</f>
        <v>बी) एक तलवार तकनीक</v>
      </c>
    </row>
    <row r="107" ht="22.5" customHeight="1">
      <c r="A107" s="3">
        <v>106.0</v>
      </c>
      <c r="B107" s="4" t="s">
        <v>12249</v>
      </c>
      <c r="C107" s="4" t="s">
        <v>12250</v>
      </c>
      <c r="D107" s="4" t="s">
        <v>12251</v>
      </c>
      <c r="F107" s="5" t="str">
        <f>IFERROR(__xludf.DUMMYFUNCTION("GOOGLETRANSLATE(A107, ""en"", ""hi"")"),"106")</f>
        <v>106</v>
      </c>
      <c r="G107" s="5" t="str">
        <f>IFERROR(__xludf.DUMMYFUNCTION("GOOGLETRANSLATE(B107, ""en"", ""hi"")"),"मणिपुर का कौन सा क्षेत्र अपनी ऐतिहासिक थांग-ता प्रथाओं के लिए जाना जाता है?")</f>
        <v>मणिपुर का कौन सा क्षेत्र अपनी ऐतिहासिक थांग-ता प्रथाओं के लिए जाना जाता है?</v>
      </c>
      <c r="H107" s="5" t="str">
        <f>IFERROR(__xludf.DUMMYFUNCTION("GOOGLETRANSLATE(C107, ""en"", ""hi"")"),"A) इम्फाल घाटी, B) मणिपुर पहाड़ियाँ, C) बराक घाटी, D) सेनापति जिला")</f>
        <v>A) इम्फाल घाटी, B) मणिपुर पहाड़ियाँ, C) बराक घाटी, D) सेनापति जिला</v>
      </c>
      <c r="I107" s="5" t="str">
        <f>IFERROR(__xludf.DUMMYFUNCTION("GOOGLETRANSLATE(D107, ""en"", ""hi"")"),"A) इम्फाल घाटी")</f>
        <v>A) इम्फाल घाटी</v>
      </c>
    </row>
    <row r="108" ht="22.5" customHeight="1">
      <c r="A108" s="3">
        <v>107.0</v>
      </c>
      <c r="B108" s="4" t="s">
        <v>12252</v>
      </c>
      <c r="C108" s="4" t="s">
        <v>12253</v>
      </c>
      <c r="D108" s="4" t="s">
        <v>12254</v>
      </c>
      <c r="F108" s="5" t="str">
        <f>IFERROR(__xludf.DUMMYFUNCTION("GOOGLETRANSLATE(A108, ""en"", ""hi"")"),"107")</f>
        <v>107</v>
      </c>
      <c r="G108" s="5" t="str">
        <f>IFERROR(__xludf.DUMMYFUNCTION("GOOGLETRANSLATE(B108, ""en"", ""hi"")"),"वार्षिक उत्सवों के दौरान थांग-ता प्रदर्शन के किस पहलू पर प्रकाश डाला जाता है?")</f>
        <v>वार्षिक उत्सवों के दौरान थांग-ता प्रदर्शन के किस पहलू पर प्रकाश डाला जाता है?</v>
      </c>
      <c r="H108" s="5" t="str">
        <f>IFERROR(__xludf.DUMMYFUNCTION("GOOGLETRANSLATE(C108, ""en"", ""hi"")"),"A) ऐतिहासिक महत्व, B) कलात्मक अभिव्यक्ति, C) सांस्कृतिक विरासत, D) अनुष्ठानिक प्रथाएँ")</f>
        <v>A) ऐतिहासिक महत्व, B) कलात्मक अभिव्यक्ति, C) सांस्कृतिक विरासत, D) अनुष्ठानिक प्रथाएँ</v>
      </c>
      <c r="I108" s="5" t="str">
        <f>IFERROR(__xludf.DUMMYFUNCTION("GOOGLETRANSLATE(D108, ""en"", ""hi"")"),"C) सांस्कृतिक विरासत")</f>
        <v>C) सांस्कृतिक विरासत</v>
      </c>
    </row>
    <row r="109" ht="22.5" customHeight="1">
      <c r="A109" s="3">
        <v>108.0</v>
      </c>
      <c r="B109" s="4" t="s">
        <v>12255</v>
      </c>
      <c r="C109" s="4" t="s">
        <v>12256</v>
      </c>
      <c r="D109" s="4" t="s">
        <v>12257</v>
      </c>
      <c r="F109" s="5" t="str">
        <f>IFERROR(__xludf.DUMMYFUNCTION("GOOGLETRANSLATE(A109, ""en"", ""hi"")"),"108")</f>
        <v>108</v>
      </c>
      <c r="G109" s="5" t="str">
        <f>IFERROR(__xludf.DUMMYFUNCTION("GOOGLETRANSLATE(B109, ""en"", ""hi"")"),"कौन सी पारंपरिक मणिपुरी वस्तु थांग-ता अनुष्ठान से जुड़ी है?")</f>
        <v>कौन सी पारंपरिक मणिपुरी वस्तु थांग-ता अनुष्ठान से जुड़ी है?</v>
      </c>
      <c r="H109" s="5" t="str">
        <f>IFERROR(__xludf.DUMMYFUNCTION("GOOGLETRANSLATE(C109, ""en"", ""hi"")"),"ए) खोंगनांग, बी) हेइकरू हिट, सी) तुम्बी, डी) चक-या")</f>
        <v>ए) खोंगनांग, बी) हेइकरू हिट, सी) तुम्बी, डी) चक-या</v>
      </c>
      <c r="I109" s="5" t="str">
        <f>IFERROR(__xludf.DUMMYFUNCTION("GOOGLETRANSLATE(D109, ""en"", ""hi"")"),"ए) खोंगनांग")</f>
        <v>ए) खोंगनांग</v>
      </c>
    </row>
    <row r="110" ht="22.5" customHeight="1">
      <c r="A110" s="3">
        <v>109.0</v>
      </c>
      <c r="B110" s="4" t="s">
        <v>12258</v>
      </c>
      <c r="C110" s="4" t="s">
        <v>12259</v>
      </c>
      <c r="D110" s="4" t="s">
        <v>12260</v>
      </c>
      <c r="F110" s="5" t="str">
        <f>IFERROR(__xludf.DUMMYFUNCTION("GOOGLETRANSLATE(A110, ""en"", ""hi"")"),"109")</f>
        <v>109</v>
      </c>
      <c r="G110" s="5" t="str">
        <f>IFERROR(__xludf.DUMMYFUNCTION("GOOGLETRANSLATE(B110, ""en"", ""hi"")"),"थांग-ता में 'चक-या' का उद्देश्य क्या है?")</f>
        <v>थांग-ता में 'चक-या' का उद्देश्य क्या है?</v>
      </c>
      <c r="H110" s="5" t="str">
        <f>IFERROR(__xludf.DUMMYFUNCTION("GOOGLETRANSLATE(C110, ""en"", ""hi"")"),"A) आक्रामक कौशल का प्रदर्शन करना, B) रक्षात्मक तकनीकों का प्रदर्शन करना, C) देवताओं का सम्मान करना, D) औपचारिक अनुष्ठान करना")</f>
        <v>A) आक्रामक कौशल का प्रदर्शन करना, B) रक्षात्मक तकनीकों का प्रदर्शन करना, C) देवताओं का सम्मान करना, D) औपचारिक अनुष्ठान करना</v>
      </c>
      <c r="I110" s="5" t="str">
        <f>IFERROR(__xludf.DUMMYFUNCTION("GOOGLETRANSLATE(D110, ""en"", ""hi"")"),"बी) रक्षात्मक तकनीकों का प्रदर्शन करना")</f>
        <v>बी) रक्षात्मक तकनीकों का प्रदर्शन करना</v>
      </c>
    </row>
    <row r="111" ht="22.5" customHeight="1">
      <c r="A111" s="3">
        <v>110.0</v>
      </c>
      <c r="B111" s="4" t="s">
        <v>12261</v>
      </c>
      <c r="C111" s="4" t="s">
        <v>12262</v>
      </c>
      <c r="D111" s="4" t="s">
        <v>12263</v>
      </c>
      <c r="F111" s="5" t="str">
        <f>IFERROR(__xludf.DUMMYFUNCTION("GOOGLETRANSLATE(A111, ""en"", ""hi"")"),"110")</f>
        <v>110</v>
      </c>
      <c r="G111" s="5" t="str">
        <f>IFERROR(__xludf.DUMMYFUNCTION("GOOGLETRANSLATE(B111, ""en"", ""hi"")"),"कौन सी पारंपरिक थांग-ता प्रथा में औपचारिक गतिविधियां और अनुष्ठान शामिल हैं?")</f>
        <v>कौन सी पारंपरिक थांग-ता प्रथा में औपचारिक गतिविधियां और अनुष्ठान शामिल हैं?</v>
      </c>
      <c r="H111" s="5" t="str">
        <f>IFERROR(__xludf.DUMMYFUNCTION("GOOGLETRANSLATE(C111, ""en"", ""hi"")"),"ए) येंग-न्गी, बी) सानु-क्षर, सी) लाई हरोबा, डी) नोंग्याई")</f>
        <v>ए) येंग-न्गी, बी) सानु-क्षर, सी) लाई हरोबा, डी) नोंग्याई</v>
      </c>
      <c r="I111" s="5" t="str">
        <f>IFERROR(__xludf.DUMMYFUNCTION("GOOGLETRANSLATE(D111, ""en"", ""hi"")"),"A) येंग-नगी")</f>
        <v>A) येंग-नगी</v>
      </c>
    </row>
    <row r="112" ht="22.5" customHeight="1">
      <c r="A112" s="3">
        <v>111.0</v>
      </c>
      <c r="B112" s="4" t="s">
        <v>12264</v>
      </c>
      <c r="C112" s="4" t="s">
        <v>12265</v>
      </c>
      <c r="D112" s="4" t="s">
        <v>12266</v>
      </c>
      <c r="F112" s="5" t="str">
        <f>IFERROR(__xludf.DUMMYFUNCTION("GOOGLETRANSLATE(A112, ""en"", ""hi"")"),"111")</f>
        <v>111</v>
      </c>
      <c r="G112" s="5" t="str">
        <f>IFERROR(__xludf.DUMMYFUNCTION("GOOGLETRANSLATE(B112, ""en"", ""hi"")"),"थांग-ता प्रथा के पीछे ऐतिहासिक संदर्भ क्या है?")</f>
        <v>थांग-ता प्रथा के पीछे ऐतिहासिक संदर्भ क्या है?</v>
      </c>
      <c r="H112" s="5" t="str">
        <f>IFERROR(__xludf.DUMMYFUNCTION("GOOGLETRANSLATE(C112, ""en"", ""hi"")"),"A) प्राचीन युद्ध प्रशिक्षण, B) शाही समारोह, C) धार्मिक अनुष्ठान, D) कृषि त्यौहार")</f>
        <v>A) प्राचीन युद्ध प्रशिक्षण, B) शाही समारोह, C) धार्मिक अनुष्ठान, D) कृषि त्यौहार</v>
      </c>
      <c r="I112" s="5" t="str">
        <f>IFERROR(__xludf.DUMMYFUNCTION("GOOGLETRANSLATE(D112, ""en"", ""hi"")"),"A) प्राचीन युद्ध प्रशिक्षण")</f>
        <v>A) प्राचीन युद्ध प्रशिक्षण</v>
      </c>
    </row>
    <row r="113" ht="22.5" customHeight="1">
      <c r="A113" s="3">
        <v>112.0</v>
      </c>
      <c r="B113" s="4" t="s">
        <v>12267</v>
      </c>
      <c r="C113" s="4" t="s">
        <v>12268</v>
      </c>
      <c r="D113" s="4" t="s">
        <v>11987</v>
      </c>
      <c r="F113" s="5" t="str">
        <f>IFERROR(__xludf.DUMMYFUNCTION("GOOGLETRANSLATE(A113, ""en"", ""hi"")"),"112")</f>
        <v>112</v>
      </c>
      <c r="G113" s="5" t="str">
        <f>IFERROR(__xludf.DUMMYFUNCTION("GOOGLETRANSLATE(B113, ""en"", ""hi"")"),"किस पारंपरिक त्यौहार में अक्सर उद्घाटन समारोह के एक भाग के रूप में थांग-ता को शामिल किया जाता है?")</f>
        <v>किस पारंपरिक त्यौहार में अक्सर उद्घाटन समारोह के एक भाग के रूप में थांग-ता को शामिल किया जाता है?</v>
      </c>
      <c r="H113" s="5" t="str">
        <f>IFERROR(__xludf.DUMMYFUNCTION("GOOGLETRANSLATE(C113, ""en"", ""hi"")"),"ए) योशांग, बी) होली, सी) दिवाली, डी) पोंगल")</f>
        <v>ए) योशांग, बी) होली, सी) दिवाली, डी) पोंगल</v>
      </c>
      <c r="I113" s="5" t="str">
        <f>IFERROR(__xludf.DUMMYFUNCTION("GOOGLETRANSLATE(D113, ""en"", ""hi"")"),"ए) योशांग")</f>
        <v>ए) योशांग</v>
      </c>
    </row>
    <row r="114" ht="22.5" customHeight="1">
      <c r="A114" s="3">
        <v>113.0</v>
      </c>
      <c r="B114" s="4" t="s">
        <v>12269</v>
      </c>
      <c r="C114" s="4" t="s">
        <v>12270</v>
      </c>
      <c r="D114" s="4" t="s">
        <v>12271</v>
      </c>
      <c r="F114" s="5" t="str">
        <f>IFERROR(__xludf.DUMMYFUNCTION("GOOGLETRANSLATE(A114, ""en"", ""hi"")"),"113")</f>
        <v>113</v>
      </c>
      <c r="G114" s="5" t="str">
        <f>IFERROR(__xludf.DUMMYFUNCTION("GOOGLETRANSLATE(B114, ""en"", ""hi"")"),"थांग-ता में 'पुंग चोलोम' प्रदर्शन का क्या महत्व है?")</f>
        <v>थांग-ता में 'पुंग चोलोम' प्रदर्शन का क्या महत्व है?</v>
      </c>
      <c r="H114" s="5" t="str">
        <f>IFERROR(__xludf.DUMMYFUNCTION("GOOGLETRANSLATE(C114, ""en"", ""hi"")"),"A) यह लय प्रदान करता है, B) यह ऐतिहासिक घटनाओं का वर्णन करता है, C) यह युद्ध कौशल को बढ़ाता है, D) यह फसलों का उत्सव मनाता है")</f>
        <v>A) यह लय प्रदान करता है, B) यह ऐतिहासिक घटनाओं का वर्णन करता है, C) यह युद्ध कौशल को बढ़ाता है, D) यह फसलों का उत्सव मनाता है</v>
      </c>
      <c r="I114" s="5" t="str">
        <f>IFERROR(__xludf.DUMMYFUNCTION("GOOGLETRANSLATE(D114, ""en"", ""hi"")"),"A) यह लय प्रदान करता है")</f>
        <v>A) यह लय प्रदान करता है</v>
      </c>
    </row>
    <row r="115" ht="22.5" customHeight="1">
      <c r="A115" s="3">
        <v>114.0</v>
      </c>
      <c r="B115" s="4" t="s">
        <v>12272</v>
      </c>
      <c r="C115" s="4" t="s">
        <v>12273</v>
      </c>
      <c r="D115" s="4" t="s">
        <v>12274</v>
      </c>
      <c r="F115" s="5" t="str">
        <f>IFERROR(__xludf.DUMMYFUNCTION("GOOGLETRANSLATE(A115, ""en"", ""hi"")"),"114")</f>
        <v>114</v>
      </c>
      <c r="G115" s="5" t="str">
        <f>IFERROR(__xludf.DUMMYFUNCTION("GOOGLETRANSLATE(B115, ""en"", ""hi"")"),"थांग-ता की तकनीकों का दस्तावेजीकरण करने का श्रेय किस ऐतिहासिक व्यक्ति को दिया जाता है?")</f>
        <v>थांग-ता की तकनीकों का दस्तावेजीकरण करने का श्रेय किस ऐतिहासिक व्यक्ति को दिया जाता है?</v>
      </c>
      <c r="H115" s="5" t="str">
        <f>IFERROR(__xludf.DUMMYFUNCTION("GOOGLETRANSLATE(C115, ""en"", ""hi"")"),"ए) महाराजा भाग्यचंद्र सिंह, बी) महाराजा चंद्रकीर्ति सिंह, सी) महाराजा गंभीर सिंह, डी) महाराजा कुलचंद्र सिंह")</f>
        <v>ए) महाराजा भाग्यचंद्र सिंह, बी) महाराजा चंद्रकीर्ति सिंह, सी) महाराजा गंभीर सिंह, डी) महाराजा कुलचंद्र सिंह</v>
      </c>
      <c r="I115" s="5" t="str">
        <f>IFERROR(__xludf.DUMMYFUNCTION("GOOGLETRANSLATE(D115, ""en"", ""hi"")"),"ए) महाराजा भाग्यचंद्र सिंह")</f>
        <v>ए) महाराजा भाग्यचंद्र सिंह</v>
      </c>
    </row>
    <row r="116" ht="22.5" customHeight="1">
      <c r="A116" s="3">
        <v>115.0</v>
      </c>
      <c r="B116" s="4" t="s">
        <v>12275</v>
      </c>
      <c r="C116" s="4" t="s">
        <v>12276</v>
      </c>
      <c r="D116" s="4" t="s">
        <v>12277</v>
      </c>
      <c r="F116" s="5" t="str">
        <f>IFERROR(__xludf.DUMMYFUNCTION("GOOGLETRANSLATE(A116, ""en"", ""hi"")"),"115")</f>
        <v>115</v>
      </c>
      <c r="G116" s="5" t="str">
        <f>IFERROR(__xludf.DUMMYFUNCTION("GOOGLETRANSLATE(B116, ""en"", ""hi"")"),"थांग-ता में 'कंगला' का प्राथमिक कार्य क्या है?")</f>
        <v>थांग-ता में 'कंगला' का प्राथमिक कार्य क्या है?</v>
      </c>
      <c r="H116" s="5" t="str">
        <f>IFERROR(__xludf.DUMMYFUNCTION("GOOGLETRANSLATE(C116, ""en"", ""hi"")"),"A) हथियार, B) नृत्य तत्व, C) अनुष्ठानिक प्रतीक, D) प्रशिक्षण उपकरण")</f>
        <v>A) हथियार, B) नृत्य तत्व, C) अनुष्ठानिक प्रतीक, D) प्रशिक्षण उपकरण</v>
      </c>
      <c r="I116" s="5" t="str">
        <f>IFERROR(__xludf.DUMMYFUNCTION("GOOGLETRANSLATE(D116, ""en"", ""hi"")"),"C) अनुष्ठानिक प्रतीक")</f>
        <v>C) अनुष्ठानिक प्रतीक</v>
      </c>
    </row>
    <row r="117" ht="22.5" customHeight="1">
      <c r="A117" s="3">
        <v>116.0</v>
      </c>
      <c r="B117" s="4" t="s">
        <v>12278</v>
      </c>
      <c r="C117" s="4" t="s">
        <v>12279</v>
      </c>
      <c r="D117" s="4" t="s">
        <v>12280</v>
      </c>
      <c r="F117" s="5" t="str">
        <f>IFERROR(__xludf.DUMMYFUNCTION("GOOGLETRANSLATE(A117, ""en"", ""hi"")"),"116")</f>
        <v>116</v>
      </c>
      <c r="G117" s="5" t="str">
        <f>IFERROR(__xludf.DUMMYFUNCTION("GOOGLETRANSLATE(B117, ""en"", ""hi"")"),"थांग-ता में 'खुराई' तकनीक क्या दर्शाती है?")</f>
        <v>थांग-ता में 'खुराई' तकनीक क्या दर्शाती है?</v>
      </c>
      <c r="H117" s="5" t="str">
        <f>IFERROR(__xludf.DUMMYFUNCTION("GOOGLETRANSLATE(C117, ""en"", ""hi"")"),"ए) भाला युद्ध, बी) तलवार तकनीक, सी) ढाल रक्षा, डी) अनुष्ठान नृत्य")</f>
        <v>ए) भाला युद्ध, बी) तलवार तकनीक, सी) ढाल रक्षा, डी) अनुष्ठान नृत्य</v>
      </c>
      <c r="I117" s="5" t="str">
        <f>IFERROR(__xludf.DUMMYFUNCTION("GOOGLETRANSLATE(D117, ""en"", ""hi"")"),"बी) तलवार तकनीक")</f>
        <v>बी) तलवार तकनीक</v>
      </c>
    </row>
    <row r="118" ht="22.5" customHeight="1">
      <c r="A118" s="3">
        <v>117.0</v>
      </c>
      <c r="B118" s="4" t="s">
        <v>12281</v>
      </c>
      <c r="C118" s="4" t="s">
        <v>12282</v>
      </c>
      <c r="D118" s="4" t="s">
        <v>12086</v>
      </c>
      <c r="F118" s="5" t="str">
        <f>IFERROR(__xludf.DUMMYFUNCTION("GOOGLETRANSLATE(A118, ""en"", ""hi"")"),"117")</f>
        <v>117</v>
      </c>
      <c r="G118" s="5" t="str">
        <f>IFERROR(__xludf.DUMMYFUNCTION("GOOGLETRANSLATE(B118, ""en"", ""hi"")"),"निम्नलिखित में से कौन सा त्यौहार योद्धाओं के सम्मान में थांग-ता प्रदर्शन के साथ मनाया जाता है?")</f>
        <v>निम्नलिखित में से कौन सा त्यौहार योद्धाओं के सम्मान में थांग-ता प्रदर्शन के साथ मनाया जाता है?</v>
      </c>
      <c r="H118" s="5" t="str">
        <f>IFERROR(__xludf.DUMMYFUNCTION("GOOGLETRANSLATE(C118, ""en"", ""hi"")"),"ए) लाई हरोबा, बी) बैसाखी, सी) पोंगल, डी) होली")</f>
        <v>ए) लाई हरोबा, बी) बैसाखी, सी) पोंगल, डी) होली</v>
      </c>
      <c r="I118" s="5" t="str">
        <f>IFERROR(__xludf.DUMMYFUNCTION("GOOGLETRANSLATE(D118, ""en"", ""hi"")"),"A) लाई हरोबा")</f>
        <v>A) लाई हरोबा</v>
      </c>
    </row>
    <row r="119" ht="22.5" customHeight="1">
      <c r="A119" s="3">
        <v>118.0</v>
      </c>
      <c r="B119" s="4" t="s">
        <v>12283</v>
      </c>
      <c r="C119" s="4" t="s">
        <v>12284</v>
      </c>
      <c r="D119" s="4" t="s">
        <v>12092</v>
      </c>
      <c r="F119" s="5" t="str">
        <f>IFERROR(__xludf.DUMMYFUNCTION("GOOGLETRANSLATE(A119, ""en"", ""hi"")"),"118")</f>
        <v>118</v>
      </c>
      <c r="G119" s="5" t="str">
        <f>IFERROR(__xludf.DUMMYFUNCTION("GOOGLETRANSLATE(B119, ""en"", ""hi"")"),"थांग-ता में, प्रदर्शन के दौरान 'थांग' किसका प्रतीक है?")</f>
        <v>थांग-ता में, प्रदर्शन के दौरान 'थांग' किसका प्रतीक है?</v>
      </c>
      <c r="H119" s="5" t="str">
        <f>IFERROR(__xludf.DUMMYFUNCTION("GOOGLETRANSLATE(C119, ""en"", ""hi"")"),"A) शक्ति और वीरता, B) शांति और सद्भाव, C) कलात्मक प्रतिभा, D) अनुष्ठानिक शक्ति")</f>
        <v>A) शक्ति और वीरता, B) शांति और सद्भाव, C) कलात्मक प्रतिभा, D) अनुष्ठानिक शक्ति</v>
      </c>
      <c r="I119" s="5" t="str">
        <f>IFERROR(__xludf.DUMMYFUNCTION("GOOGLETRANSLATE(D119, ""en"", ""hi"")"),"A) शक्ति और वीरता")</f>
        <v>A) शक्ति और वीरता</v>
      </c>
    </row>
    <row r="120" ht="22.5" customHeight="1">
      <c r="A120" s="3">
        <v>119.0</v>
      </c>
      <c r="B120" s="4" t="s">
        <v>12285</v>
      </c>
      <c r="C120" s="4" t="s">
        <v>12286</v>
      </c>
      <c r="D120" s="4" t="s">
        <v>11969</v>
      </c>
      <c r="F120" s="5" t="str">
        <f>IFERROR(__xludf.DUMMYFUNCTION("GOOGLETRANSLATE(A120, ""en"", ""hi"")"),"119")</f>
        <v>119</v>
      </c>
      <c r="G120" s="5" t="str">
        <f>IFERROR(__xludf.DUMMYFUNCTION("GOOGLETRANSLATE(B120, ""en"", ""hi"")"),"मणिपुरी संस्कृति में थांग-ता का प्राथमिक ऐतिहासिक महत्व क्या है?")</f>
        <v>मणिपुरी संस्कृति में थांग-ता का प्राथमिक ऐतिहासिक महत्व क्या है?</v>
      </c>
      <c r="H120" s="5" t="str">
        <f>IFERROR(__xludf.DUMMYFUNCTION("GOOGLETRANSLATE(C120, ""en"", ""hi"")"),"A) युद्ध प्रशिक्षण, B) कलात्मक अभिव्यक्ति, C) धार्मिक प्रथाएँ, D) शाही परंपराएँ")</f>
        <v>A) युद्ध प्रशिक्षण, B) कलात्मक अभिव्यक्ति, C) धार्मिक प्रथाएँ, D) शाही परंपराएँ</v>
      </c>
      <c r="I120" s="5" t="str">
        <f>IFERROR(__xludf.DUMMYFUNCTION("GOOGLETRANSLATE(D120, ""en"", ""hi"")"),"ए) युद्ध प्रशिक्षण")</f>
        <v>ए) युद्ध प्रशिक्षण</v>
      </c>
    </row>
    <row r="121" ht="22.5" customHeight="1">
      <c r="A121" s="3">
        <v>120.0</v>
      </c>
      <c r="B121" s="4" t="s">
        <v>12287</v>
      </c>
      <c r="C121" s="4" t="s">
        <v>12288</v>
      </c>
      <c r="D121" s="4" t="s">
        <v>12289</v>
      </c>
      <c r="F121" s="5" t="str">
        <f>IFERROR(__xludf.DUMMYFUNCTION("GOOGLETRANSLATE(A121, ""en"", ""hi"")"),"120")</f>
        <v>120</v>
      </c>
      <c r="G121" s="5" t="str">
        <f>IFERROR(__xludf.DUMMYFUNCTION("GOOGLETRANSLATE(B121, ""en"", ""hi"")"),"थांग-ता में समारोह के लिए किस पारंपरिक वस्तु का उपयोग किया जाता है?")</f>
        <v>थांग-ता में समारोह के लिए किस पारंपरिक वस्तु का उपयोग किया जाता है?</v>
      </c>
      <c r="H121" s="5" t="str">
        <f>IFERROR(__xludf.DUMMYFUNCTION("GOOGLETRANSLATE(C121, ""en"", ""hi"")"),"ए) नोंगयाई, बी) थांग, सी) पुंग, डी) चक-या")</f>
        <v>ए) नोंगयाई, बी) थांग, सी) पुंग, डी) चक-या</v>
      </c>
      <c r="I121" s="5" t="str">
        <f>IFERROR(__xludf.DUMMYFUNCTION("GOOGLETRANSLATE(D121, ""en"", ""hi"")"),"ए) नोंगयाई")</f>
        <v>ए) नोंगयाई</v>
      </c>
    </row>
    <row r="122" ht="22.5" customHeight="1">
      <c r="A122" s="3">
        <v>121.0</v>
      </c>
      <c r="B122" s="4" t="s">
        <v>12290</v>
      </c>
      <c r="C122" s="4" t="s">
        <v>11986</v>
      </c>
      <c r="D122" s="4" t="s">
        <v>11987</v>
      </c>
      <c r="F122" s="5" t="str">
        <f>IFERROR(__xludf.DUMMYFUNCTION("GOOGLETRANSLATE(A122, ""en"", ""hi"")"),"121")</f>
        <v>121</v>
      </c>
      <c r="G122" s="5" t="str">
        <f>IFERROR(__xludf.DUMMYFUNCTION("GOOGLETRANSLATE(B122, ""en"", ""hi"")"),"कौन सा मणिपुरी कार्यक्रम विस्तृत थांग-ता प्रदर्शन के लिए जाना जाता है?")</f>
        <v>कौन सा मणिपुरी कार्यक्रम विस्तृत थांग-ता प्रदर्शन के लिए जाना जाता है?</v>
      </c>
      <c r="H122" s="5" t="str">
        <f>IFERROR(__xludf.DUMMYFUNCTION("GOOGLETRANSLATE(C122, ""en"", ""hi"")"),"ए) योशांग, बी) दिवाली, सी) होली, डी) पोंगल")</f>
        <v>ए) योशांग, बी) दिवाली, सी) होली, डी) पोंगल</v>
      </c>
      <c r="I122" s="5" t="str">
        <f>IFERROR(__xludf.DUMMYFUNCTION("GOOGLETRANSLATE(D122, ""en"", ""hi"")"),"ए) योशांग")</f>
        <v>ए) योशांग</v>
      </c>
    </row>
    <row r="123" ht="22.5" customHeight="1">
      <c r="A123" s="3">
        <v>122.0</v>
      </c>
      <c r="B123" s="4" t="s">
        <v>12291</v>
      </c>
      <c r="C123" s="4" t="s">
        <v>12292</v>
      </c>
      <c r="D123" s="4" t="s">
        <v>12293</v>
      </c>
      <c r="F123" s="5" t="str">
        <f>IFERROR(__xludf.DUMMYFUNCTION("GOOGLETRANSLATE(A123, ""en"", ""hi"")"),"122")</f>
        <v>122</v>
      </c>
      <c r="G123" s="5" t="str">
        <f>IFERROR(__xludf.DUMMYFUNCTION("GOOGLETRANSLATE(B123, ""en"", ""hi"")"),"थांग-ता प्रदर्शनों में 'कंगलाशा' तलवार का क्या महत्व है?")</f>
        <v>थांग-ता प्रदर्शनों में 'कंगलाशा' तलवार का क्या महत्व है?</v>
      </c>
      <c r="H123" s="5" t="str">
        <f>IFERROR(__xludf.DUMMYFUNCTION("GOOGLETRANSLATE(C123, ""en"", ""hi"")"),"A) यह सम्मान का प्रतिनिधित्व करता है, B) यह एक औपचारिक वस्तु है, C) इसका उपयोग प्रशिक्षण के लिए किया जाता है, D) यह विजय को दर्शाता है")</f>
        <v>A) यह सम्मान का प्रतिनिधित्व करता है, B) यह एक औपचारिक वस्तु है, C) इसका उपयोग प्रशिक्षण के लिए किया जाता है, D) यह विजय को दर्शाता है</v>
      </c>
      <c r="I123" s="5" t="str">
        <f>IFERROR(__xludf.DUMMYFUNCTION("GOOGLETRANSLATE(D123, ""en"", ""hi"")"),"B) यह एक औपचारिक वस्तु है")</f>
        <v>B) यह एक औपचारिक वस्तु है</v>
      </c>
    </row>
    <row r="124" ht="22.5" customHeight="1">
      <c r="A124" s="3">
        <v>123.0</v>
      </c>
      <c r="B124" s="4" t="s">
        <v>12294</v>
      </c>
      <c r="C124" s="4" t="s">
        <v>12295</v>
      </c>
      <c r="D124" s="4" t="s">
        <v>12159</v>
      </c>
      <c r="F124" s="5" t="str">
        <f>IFERROR(__xludf.DUMMYFUNCTION("GOOGLETRANSLATE(A124, ""en"", ""hi"")"),"123")</f>
        <v>123</v>
      </c>
      <c r="G124" s="5" t="str">
        <f>IFERROR(__xludf.DUMMYFUNCTION("GOOGLETRANSLATE(B124, ""en"", ""hi"")"),"प्रदर्शन शैली के संदर्भ में कौन सी पारंपरिक मणिपुरी प्रथा थांग-ता से निकटता से जुड़ी हुई है?")</f>
        <v>प्रदर्शन शैली के संदर्भ में कौन सी पारंपरिक मणिपुरी प्रथा थांग-ता से निकटता से जुड़ी हुई है?</v>
      </c>
      <c r="H124" s="5" t="str">
        <f>IFERROR(__xludf.DUMMYFUNCTION("GOOGLETRANSLATE(C124, ""en"", ""hi"")"),"A) पुंग चोलोम, B) बांसुरी संगीत, C) शास्त्रीय नृत्य, D) लोकगीत")</f>
        <v>A) पुंग चोलोम, B) बांसुरी संगीत, C) शास्त्रीय नृत्य, D) लोकगीत</v>
      </c>
      <c r="I124" s="5" t="str">
        <f>IFERROR(__xludf.DUMMYFUNCTION("GOOGLETRANSLATE(D124, ""en"", ""hi"")"),"A) पुंग चोलोम")</f>
        <v>A) पुंग चोलोम</v>
      </c>
    </row>
    <row r="125" ht="22.5" customHeight="1">
      <c r="A125" s="3">
        <v>124.0</v>
      </c>
      <c r="B125" s="4" t="s">
        <v>12296</v>
      </c>
      <c r="C125" s="4" t="s">
        <v>12297</v>
      </c>
      <c r="D125" s="4" t="s">
        <v>12298</v>
      </c>
      <c r="F125" s="5" t="str">
        <f>IFERROR(__xludf.DUMMYFUNCTION("GOOGLETRANSLATE(A125, ""en"", ""hi"")"),"124")</f>
        <v>124</v>
      </c>
      <c r="G125" s="5" t="str">
        <f>IFERROR(__xludf.DUMMYFUNCTION("GOOGLETRANSLATE(B125, ""en"", ""hi"")"),"थांग-ता के संदर्भ में 'सानू क्षर' शब्द का क्या अर्थ है?")</f>
        <v>थांग-ता के संदर्भ में 'सानू क्षर' शब्द का क्या अर्थ है?</v>
      </c>
      <c r="H125" s="5" t="str">
        <f>IFERROR(__xludf.DUMMYFUNCTION("GOOGLETRANSLATE(C125, ""en"", ""hi"")"),"A) हथियार प्रशिक्षण, B) सहनशक्ति प्रशिक्षण, C) नृत्य तकनीक, D) अनुष्ठानिक गतिविधियाँ")</f>
        <v>A) हथियार प्रशिक्षण, B) सहनशक्ति प्रशिक्षण, C) नृत्य तकनीक, D) अनुष्ठानिक गतिविधियाँ</v>
      </c>
      <c r="I125" s="5" t="str">
        <f>IFERROR(__xludf.DUMMYFUNCTION("GOOGLETRANSLATE(D125, ""en"", ""hi"")"),"बी) धीरज प्रशिक्षण")</f>
        <v>बी) धीरज प्रशिक्षण</v>
      </c>
    </row>
    <row r="126" ht="22.5" customHeight="1">
      <c r="A126" s="3">
        <v>125.0</v>
      </c>
      <c r="B126" s="4" t="s">
        <v>12299</v>
      </c>
      <c r="C126" s="4" t="s">
        <v>12300</v>
      </c>
      <c r="D126" s="4" t="s">
        <v>12301</v>
      </c>
      <c r="F126" s="5" t="str">
        <f>IFERROR(__xludf.DUMMYFUNCTION("GOOGLETRANSLATE(A126, ""en"", ""hi"")"),"125")</f>
        <v>125</v>
      </c>
      <c r="G126" s="5" t="str">
        <f>IFERROR(__xludf.DUMMYFUNCTION("GOOGLETRANSLATE(B126, ""en"", ""hi"")"),"कौन सा पारंपरिक नृत्य रूप थांग-ता प्रदर्शन से जुड़ा हुआ है?")</f>
        <v>कौन सा पारंपरिक नृत्य रूप थांग-ता प्रदर्शन से जुड़ा हुआ है?</v>
      </c>
      <c r="H126" s="5" t="str">
        <f>IFERROR(__xludf.DUMMYFUNCTION("GOOGLETRANSLATE(C126, ""en"", ""hi"")"),"ए) पुंग चोलोम, बी) मणिपुरी रास, सी) कथक, डी) भरतनाट्यम")</f>
        <v>ए) पुंग चोलोम, बी) मणिपुरी रास, सी) कथक, डी) भरतनाट्यम</v>
      </c>
      <c r="I126" s="5" t="str">
        <f>IFERROR(__xludf.DUMMYFUNCTION("GOOGLETRANSLATE(D126, ""en"", ""hi"")"),"बी) मणिपुरी रास")</f>
        <v>बी) मणिपुरी रास</v>
      </c>
    </row>
    <row r="127" ht="22.5" customHeight="1">
      <c r="A127" s="3">
        <v>126.0</v>
      </c>
      <c r="B127" s="4" t="s">
        <v>12302</v>
      </c>
      <c r="C127" s="4" t="s">
        <v>12303</v>
      </c>
      <c r="D127" s="4" t="s">
        <v>12304</v>
      </c>
      <c r="F127" s="5" t="str">
        <f>IFERROR(__xludf.DUMMYFUNCTION("GOOGLETRANSLATE(A127, ""en"", ""hi"")"),"126")</f>
        <v>126</v>
      </c>
      <c r="G127" s="5" t="str">
        <f>IFERROR(__xludf.DUMMYFUNCTION("GOOGLETRANSLATE(B127, ""en"", ""hi"")"),"थांग-ता में 'थांग' शब्द किसका प्रतीक है?")</f>
        <v>थांग-ता में 'थांग' शब्द किसका प्रतीक है?</v>
      </c>
      <c r="H127" s="5" t="str">
        <f>IFERROR(__xludf.DUMMYFUNCTION("GOOGLETRANSLATE(C127, ""en"", ""hi"")"),"A) तलवारबाजी, B) युद्ध कौशल, C) अनुष्ठानिक शक्ति, D) कलात्मक अभिव्यक्ति")</f>
        <v>A) तलवारबाजी, B) युद्ध कौशल, C) अनुष्ठानिक शक्ति, D) कलात्मक अभिव्यक्ति</v>
      </c>
      <c r="I127" s="5" t="str">
        <f>IFERROR(__xludf.DUMMYFUNCTION("GOOGLETRANSLATE(D127, ""en"", ""hi"")"),"बी) युद्ध कौशल")</f>
        <v>बी) युद्ध कौशल</v>
      </c>
    </row>
    <row r="128" ht="22.5" customHeight="1">
      <c r="A128" s="3">
        <v>127.0</v>
      </c>
      <c r="B128" s="4" t="s">
        <v>12305</v>
      </c>
      <c r="C128" s="4" t="s">
        <v>12306</v>
      </c>
      <c r="D128" s="4" t="s">
        <v>12307</v>
      </c>
      <c r="F128" s="5" t="str">
        <f>IFERROR(__xludf.DUMMYFUNCTION("GOOGLETRANSLATE(A128, ""en"", ""hi"")"),"127")</f>
        <v>127</v>
      </c>
      <c r="G128" s="5" t="str">
        <f>IFERROR(__xludf.DUMMYFUNCTION("GOOGLETRANSLATE(B128, ""en"", ""hi"")"),"त्योहारों के दौरान थांग-ता प्रदर्शनों के माध्यम से किस ऐतिहासिक पहलू को दर्शाया जाता है?")</f>
        <v>त्योहारों के दौरान थांग-ता प्रदर्शनों के माध्यम से किस ऐतिहासिक पहलू को दर्शाया जाता है?</v>
      </c>
      <c r="H128" s="5" t="str">
        <f>IFERROR(__xludf.DUMMYFUNCTION("GOOGLETRANSLATE(C128, ""en"", ""hi"")"),"A) वीरतापूर्ण युद्ध, B) दैनिक जीवन, C) कृषि पद्धतियाँ, D) धार्मिक अनुष्ठान")</f>
        <v>A) वीरतापूर्ण युद्ध, B) दैनिक जीवन, C) कृषि पद्धतियाँ, D) धार्मिक अनुष्ठान</v>
      </c>
      <c r="I128" s="5" t="str">
        <f>IFERROR(__xludf.DUMMYFUNCTION("GOOGLETRANSLATE(D128, ""en"", ""hi"")"),"ए) वीरतापूर्ण युद्ध")</f>
        <v>ए) वीरतापूर्ण युद्ध</v>
      </c>
    </row>
    <row r="129" ht="22.5" customHeight="1">
      <c r="A129" s="3">
        <v>128.0</v>
      </c>
      <c r="B129" s="4" t="s">
        <v>12308</v>
      </c>
      <c r="C129" s="4" t="s">
        <v>12309</v>
      </c>
      <c r="D129" s="4" t="s">
        <v>12310</v>
      </c>
      <c r="F129" s="5" t="str">
        <f>IFERROR(__xludf.DUMMYFUNCTION("GOOGLETRANSLATE(A129, ""en"", ""hi"")"),"128")</f>
        <v>128</v>
      </c>
      <c r="G129" s="5" t="str">
        <f>IFERROR(__xludf.DUMMYFUNCTION("GOOGLETRANSLATE(B129, ""en"", ""hi"")"),"आधुनिक समय में थांग-ता प्रशिक्षण का प्राथमिक उद्देश्य क्या है?")</f>
        <v>आधुनिक समय में थांग-ता प्रशिक्षण का प्राथमिक उद्देश्य क्या है?</v>
      </c>
      <c r="H129" s="5" t="str">
        <f>IFERROR(__xludf.DUMMYFUNCTION("GOOGLETRANSLATE(C129, ""en"", ""hi"")"),"A) सांस्कृतिक संरक्षण, B) कलात्मक विकास, C) फिटनेस प्रशिक्षण, D) अनुष्ठानिक अभ्यास")</f>
        <v>A) सांस्कृतिक संरक्षण, B) कलात्मक विकास, C) फिटनेस प्रशिक्षण, D) अनुष्ठानिक अभ्यास</v>
      </c>
      <c r="I129" s="5" t="str">
        <f>IFERROR(__xludf.DUMMYFUNCTION("GOOGLETRANSLATE(D129, ""en"", ""hi"")"),"क) सांस्कृतिक संरक्षण")</f>
        <v>क) सांस्कृतिक संरक्षण</v>
      </c>
    </row>
    <row r="130" ht="22.5" customHeight="1">
      <c r="A130" s="3">
        <v>129.0</v>
      </c>
      <c r="B130" s="4" t="s">
        <v>12311</v>
      </c>
      <c r="C130" s="4" t="s">
        <v>12312</v>
      </c>
      <c r="D130" s="4" t="s">
        <v>12071</v>
      </c>
      <c r="F130" s="5" t="str">
        <f>IFERROR(__xludf.DUMMYFUNCTION("GOOGLETRANSLATE(A130, ""en"", ""hi"")"),"129")</f>
        <v>129</v>
      </c>
      <c r="G130" s="5" t="str">
        <f>IFERROR(__xludf.DUMMYFUNCTION("GOOGLETRANSLATE(B130, ""en"", ""hi"")"),"निम्नलिखित में से कौन सा तत्व आमतौर पर थांग-ता प्रदर्शनों में शामिल नहीं होता है?")</f>
        <v>निम्नलिखित में से कौन सा तत्व आमतौर पर थांग-ता प्रदर्शनों में शामिल नहीं होता है?</v>
      </c>
      <c r="H130" s="5" t="str">
        <f>IFERROR(__xludf.DUMMYFUNCTION("GOOGLETRANSLATE(C130, ""en"", ""hi"")"),"A) तलवार तकनीक, B) भाला तकनीक, C) तीरंदाजी, D) ढाल रक्षा")</f>
        <v>A) तलवार तकनीक, B) भाला तकनीक, C) तीरंदाजी, D) ढाल रक्षा</v>
      </c>
      <c r="I130" s="5" t="str">
        <f>IFERROR(__xludf.DUMMYFUNCTION("GOOGLETRANSLATE(D130, ""en"", ""hi"")"),"सी) तीरंदाजी")</f>
        <v>सी) तीरंदाजी</v>
      </c>
    </row>
    <row r="131" ht="22.5" customHeight="1">
      <c r="A131" s="3">
        <v>130.0</v>
      </c>
      <c r="B131" s="4" t="s">
        <v>12313</v>
      </c>
      <c r="C131" s="4" t="s">
        <v>12314</v>
      </c>
      <c r="D131" s="4" t="s">
        <v>12315</v>
      </c>
      <c r="F131" s="5" t="str">
        <f>IFERROR(__xludf.DUMMYFUNCTION("GOOGLETRANSLATE(A131, ""en"", ""hi"")"),"130")</f>
        <v>130</v>
      </c>
      <c r="G131" s="5" t="str">
        <f>IFERROR(__xludf.DUMMYFUNCTION("GOOGLETRANSLATE(B131, ""en"", ""hi"")"),"थांग-ता के संबंध में 'पुंग चोलोम' का प्राथमिक फोकस क्या है?")</f>
        <v>थांग-ता के संबंध में 'पुंग चोलोम' का प्राथमिक फोकस क्या है?</v>
      </c>
      <c r="H131" s="5" t="str">
        <f>IFERROR(__xludf.DUMMYFUNCTION("GOOGLETRANSLATE(C131, ""en"", ""hi"")"),"A) लय, B) कहानी सुनाना, C) नृत्य तकनीक, D) हथियार प्रशिक्षण")</f>
        <v>A) लय, B) कहानी सुनाना, C) नृत्य तकनीक, D) हथियार प्रशिक्षण</v>
      </c>
      <c r="I131" s="5" t="str">
        <f>IFERROR(__xludf.DUMMYFUNCTION("GOOGLETRANSLATE(D131, ""en"", ""hi"")"),"ए) लय")</f>
        <v>ए) लय</v>
      </c>
    </row>
    <row r="132" ht="22.5" customHeight="1">
      <c r="A132" s="3">
        <v>131.0</v>
      </c>
      <c r="B132" s="4" t="s">
        <v>12316</v>
      </c>
      <c r="C132" s="4" t="s">
        <v>12317</v>
      </c>
      <c r="D132" s="4" t="s">
        <v>12318</v>
      </c>
      <c r="F132" s="5" t="str">
        <f>IFERROR(__xludf.DUMMYFUNCTION("GOOGLETRANSLATE(A132, ""en"", ""hi"")"),"131")</f>
        <v>131</v>
      </c>
      <c r="G132" s="5" t="str">
        <f>IFERROR(__xludf.DUMMYFUNCTION("GOOGLETRANSLATE(B132, ""en"", ""hi"")"),"थांग-ता में 'कंगलाशा' की क्या भूमिका है?")</f>
        <v>थांग-ता में 'कंगलाशा' की क्या भूमिका है?</v>
      </c>
      <c r="H132" s="5" t="str">
        <f>IFERROR(__xludf.DUMMYFUNCTION("GOOGLETRANSLATE(C132, ""en"", ""hi"")"),"A) औपचारिक तलवार, B) प्रशिक्षण हथियार, C) अनुष्ठान नृत्य तत्व, D) ऐतिहासिक कलाकृति")</f>
        <v>A) औपचारिक तलवार, B) प्रशिक्षण हथियार, C) अनुष्ठान नृत्य तत्व, D) ऐतिहासिक कलाकृति</v>
      </c>
      <c r="I132" s="5" t="str">
        <f>IFERROR(__xludf.DUMMYFUNCTION("GOOGLETRANSLATE(D132, ""en"", ""hi"")"),"ए) औपचारिक तलवार")</f>
        <v>ए) औपचारिक तलवार</v>
      </c>
    </row>
    <row r="133" ht="22.5" customHeight="1">
      <c r="A133" s="3">
        <v>132.0</v>
      </c>
      <c r="B133" s="4" t="s">
        <v>12319</v>
      </c>
      <c r="C133" s="4" t="s">
        <v>12320</v>
      </c>
      <c r="D133" s="4" t="s">
        <v>12086</v>
      </c>
      <c r="F133" s="5" t="str">
        <f>IFERROR(__xludf.DUMMYFUNCTION("GOOGLETRANSLATE(A133, ""en"", ""hi"")"),"132")</f>
        <v>132</v>
      </c>
      <c r="G133" s="5" t="str">
        <f>IFERROR(__xludf.DUMMYFUNCTION("GOOGLETRANSLATE(B133, ""en"", ""hi"")"),"कौन सा मणिपुरी त्यौहार अपने विस्तृत थांग-ता प्रदर्शन के लिए जाना जाता है?")</f>
        <v>कौन सा मणिपुरी त्यौहार अपने विस्तृत थांग-ता प्रदर्शन के लिए जाना जाता है?</v>
      </c>
      <c r="H133" s="5" t="str">
        <f>IFERROR(__xludf.DUMMYFUNCTION("GOOGLETRANSLATE(C133, ""en"", ""hi"")"),"ए) लाई हरोबा, बी) पोंगल, सी) होली, डी) दिवाली")</f>
        <v>ए) लाई हरोबा, बी) पोंगल, सी) होली, डी) दिवाली</v>
      </c>
      <c r="I133" s="5" t="str">
        <f>IFERROR(__xludf.DUMMYFUNCTION("GOOGLETRANSLATE(D133, ""en"", ""hi"")"),"A) लाई हरोबा")</f>
        <v>A) लाई हरोबा</v>
      </c>
    </row>
    <row r="134" ht="22.5" customHeight="1">
      <c r="A134" s="3">
        <v>133.0</v>
      </c>
      <c r="B134" s="4" t="s">
        <v>12321</v>
      </c>
      <c r="C134" s="4" t="s">
        <v>12322</v>
      </c>
      <c r="D134" s="4" t="s">
        <v>12323</v>
      </c>
      <c r="F134" s="5" t="str">
        <f>IFERROR(__xludf.DUMMYFUNCTION("GOOGLETRANSLATE(A134, ""en"", ""hi"")"),"133")</f>
        <v>133</v>
      </c>
      <c r="G134" s="5" t="str">
        <f>IFERROR(__xludf.DUMMYFUNCTION("GOOGLETRANSLATE(B134, ""en"", ""hi"")"),"थांग-ता प्रदर्शनों में 'येंग-नगी' की क्या भूमिका है?")</f>
        <v>थांग-ता प्रदर्शनों में 'येंग-नगी' की क्या भूमिका है?</v>
      </c>
      <c r="H134" s="5" t="str">
        <f>IFERROR(__xludf.DUMMYFUNCTION("GOOGLETRANSLATE(C134, ""en"", ""hi"")"),"A) युद्ध कौशल प्रदर्शन, B) अनुष्ठानिक अभ्यास, C) नृत्य तकनीक, D) संगीत संगत")</f>
        <v>A) युद्ध कौशल प्रदर्शन, B) अनुष्ठानिक अभ्यास, C) नृत्य तकनीक, D) संगीत संगत</v>
      </c>
      <c r="I134" s="5" t="str">
        <f>IFERROR(__xludf.DUMMYFUNCTION("GOOGLETRANSLATE(D134, ""en"", ""hi"")"),"बी) अनुष्ठानिक अभ्यास")</f>
        <v>बी) अनुष्ठानिक अभ्यास</v>
      </c>
    </row>
    <row r="135" ht="22.5" customHeight="1">
      <c r="A135" s="3">
        <v>134.0</v>
      </c>
      <c r="B135" s="4" t="s">
        <v>12324</v>
      </c>
      <c r="C135" s="4" t="s">
        <v>12325</v>
      </c>
      <c r="D135" s="4" t="s">
        <v>12326</v>
      </c>
      <c r="F135" s="5" t="str">
        <f>IFERROR(__xludf.DUMMYFUNCTION("GOOGLETRANSLATE(A135, ""en"", ""hi"")"),"134")</f>
        <v>134</v>
      </c>
      <c r="G135" s="5" t="str">
        <f>IFERROR(__xludf.DUMMYFUNCTION("GOOGLETRANSLATE(B135, ""en"", ""hi"")"),"निम्नलिखित में से कौन पारंपरिक थांग-ता प्रशिक्षण की प्राथमिक विशेषता है?")</f>
        <v>निम्नलिखित में से कौन पारंपरिक थांग-ता प्रशिक्षण की प्राथमिक विशेषता है?</v>
      </c>
      <c r="H135" s="5" t="str">
        <f>IFERROR(__xludf.DUMMYFUNCTION("GOOGLETRANSLATE(C135, ""en"", ""hi"")"),"A) शस्त्र विद्या, B) नृत्य नृत्यकला, C) अनुष्ठान समारोह, D) कलात्मक अभिव्यक्ति")</f>
        <v>A) शस्त्र विद्या, B) नृत्य नृत्यकला, C) अनुष्ठान समारोह, D) कलात्मक अभिव्यक्ति</v>
      </c>
      <c r="I135" s="5" t="str">
        <f>IFERROR(__xludf.DUMMYFUNCTION("GOOGLETRANSLATE(D135, ""en"", ""hi"")"),"A) हथियार महारत")</f>
        <v>A) हथियार महारत</v>
      </c>
    </row>
    <row r="136" ht="22.5" customHeight="1">
      <c r="A136" s="3">
        <v>135.0</v>
      </c>
      <c r="B136" s="4" t="s">
        <v>12327</v>
      </c>
      <c r="C136" s="4" t="s">
        <v>12152</v>
      </c>
      <c r="D136" s="4" t="s">
        <v>12207</v>
      </c>
      <c r="F136" s="5" t="str">
        <f>IFERROR(__xludf.DUMMYFUNCTION("GOOGLETRANSLATE(A136, ""en"", ""hi"")"),"135")</f>
        <v>135</v>
      </c>
      <c r="G136" s="5" t="str">
        <f>IFERROR(__xludf.DUMMYFUNCTION("GOOGLETRANSLATE(B136, ""en"", ""hi"")"),"किस प्रसिद्ध मणिपुरी हस्ती ने थांग-ता तकनीक के संरक्षण में योगदान दिया?")</f>
        <v>किस प्रसिद्ध मणिपुरी हस्ती ने थांग-ता तकनीक के संरक्षण में योगदान दिया?</v>
      </c>
      <c r="H136" s="5" t="str">
        <f>IFERROR(__xludf.DUMMYFUNCTION("GOOGLETRANSLATE(C136, ""en"", ""hi"")"),"ए) महाराजा चंद्रकीर्ति सिंह, बी) महाराजा गंभीर सिंह, सी) महाराजा भाग्यचंद्र सिंह, डी) महाराजा कुलचंद्र सिंह")</f>
        <v>ए) महाराजा चंद्रकीर्ति सिंह, बी) महाराजा गंभीर सिंह, सी) महाराजा भाग्यचंद्र सिंह, डी) महाराजा कुलचंद्र सिंह</v>
      </c>
      <c r="I136" s="5" t="str">
        <f>IFERROR(__xludf.DUMMYFUNCTION("GOOGLETRANSLATE(D136, ""en"", ""hi"")"),"C) महाराजा भाग्यचंद्र सिंह")</f>
        <v>C) महाराजा भाग्यचंद्र सिंह</v>
      </c>
    </row>
    <row r="137" ht="22.5" customHeight="1">
      <c r="A137" s="3">
        <v>136.0</v>
      </c>
      <c r="B137" s="4" t="s">
        <v>12328</v>
      </c>
      <c r="C137" s="4" t="s">
        <v>12329</v>
      </c>
      <c r="D137" s="4" t="s">
        <v>12330</v>
      </c>
      <c r="F137" s="5" t="str">
        <f>IFERROR(__xludf.DUMMYFUNCTION("GOOGLETRANSLATE(A137, ""en"", ""hi"")"),"136")</f>
        <v>136</v>
      </c>
      <c r="G137" s="5" t="str">
        <f>IFERROR(__xludf.DUMMYFUNCTION("GOOGLETRANSLATE(B137, ""en"", ""hi"")"),"थांग-ता में 'सानू क्षर' तकनीक मुख्य रूप से किस पर केंद्रित है?")</f>
        <v>थांग-ता में 'सानू क्षर' तकनीक मुख्य रूप से किस पर केंद्रित है?</v>
      </c>
      <c r="H137" s="5" t="str">
        <f>IFERROR(__xludf.DUMMYFUNCTION("GOOGLETRANSLATE(C137, ""en"", ""hi"")"),"ए) शारीरिक सहनशक्ति, बी) युद्ध तकनीक, सी) अनुष्ठानिक गतिविधियाँ, डी) नृत्य संरचनाएँ")</f>
        <v>ए) शारीरिक सहनशक्ति, बी) युद्ध तकनीक, सी) अनुष्ठानिक गतिविधियाँ, डी) नृत्य संरचनाएँ</v>
      </c>
      <c r="I137" s="5" t="str">
        <f>IFERROR(__xludf.DUMMYFUNCTION("GOOGLETRANSLATE(D137, ""en"", ""hi"")"),"ए) शारीरिक सहनशक्ति")</f>
        <v>ए) शारीरिक सहनशक्ति</v>
      </c>
    </row>
    <row r="138" ht="22.5" customHeight="1">
      <c r="A138" s="3">
        <v>137.0</v>
      </c>
      <c r="B138" s="4" t="s">
        <v>12331</v>
      </c>
      <c r="C138" s="4" t="s">
        <v>12332</v>
      </c>
      <c r="D138" s="4" t="s">
        <v>12086</v>
      </c>
      <c r="F138" s="5" t="str">
        <f>IFERROR(__xludf.DUMMYFUNCTION("GOOGLETRANSLATE(A138, ""en"", ""hi"")"),"137")</f>
        <v>137</v>
      </c>
      <c r="G138" s="5" t="str">
        <f>IFERROR(__xludf.DUMMYFUNCTION("GOOGLETRANSLATE(B138, ""en"", ""hi"")"),"कौन सी पारंपरिक मणिपुरी प्रथा में कहानी कहने के एक रूप के रूप में अक्सर थांग-ता को शामिल किया जाता है?")</f>
        <v>कौन सी पारंपरिक मणिपुरी प्रथा में कहानी कहने के एक रूप के रूप में अक्सर थांग-ता को शामिल किया जाता है?</v>
      </c>
      <c r="H138" s="5" t="str">
        <f>IFERROR(__xludf.DUMMYFUNCTION("GOOGLETRANSLATE(C138, ""en"", ""hi"")"),"ए) लाई हरोबा, बी) होली, सी) पोंगल, डी) दिवाली")</f>
        <v>ए) लाई हरोबा, बी) होली, सी) पोंगल, डी) दिवाली</v>
      </c>
      <c r="I138" s="5" t="str">
        <f>IFERROR(__xludf.DUMMYFUNCTION("GOOGLETRANSLATE(D138, ""en"", ""hi"")"),"A) लाई हरोबा")</f>
        <v>A) लाई हरोबा</v>
      </c>
    </row>
    <row r="139" ht="22.5" customHeight="1">
      <c r="A139" s="3">
        <v>138.0</v>
      </c>
      <c r="B139" s="4" t="s">
        <v>12333</v>
      </c>
      <c r="C139" s="4" t="s">
        <v>12334</v>
      </c>
      <c r="D139" s="4" t="s">
        <v>12335</v>
      </c>
      <c r="F139" s="5" t="str">
        <f>IFERROR(__xludf.DUMMYFUNCTION("GOOGLETRANSLATE(A139, ""en"", ""hi"")"),"138")</f>
        <v>138</v>
      </c>
      <c r="G139" s="5" t="str">
        <f>IFERROR(__xludf.DUMMYFUNCTION("GOOGLETRANSLATE(B139, ""en"", ""hi"")"),"थांग-ता प्रदर्शनों में 'नोंगयाई' क्या दर्शाता है?")</f>
        <v>थांग-ता प्रदर्शनों में 'नोंगयाई' क्या दर्शाता है?</v>
      </c>
      <c r="H139" s="5" t="str">
        <f>IFERROR(__xludf.DUMMYFUNCTION("GOOGLETRANSLATE(C139, ""en"", ""hi"")"),"A) पारंपरिक ढाल, B) तलवार तकनीक, C) नृत्य तत्व, D) अनुष्ठान प्रतीक")</f>
        <v>A) पारंपरिक ढाल, B) तलवार तकनीक, C) नृत्य तत्व, D) अनुष्ठान प्रतीक</v>
      </c>
      <c r="I139" s="5" t="str">
        <f>IFERROR(__xludf.DUMMYFUNCTION("GOOGLETRANSLATE(D139, ""en"", ""hi"")"),"ए) पारंपरिक ढाल")</f>
        <v>ए) पारंपरिक ढाल</v>
      </c>
    </row>
    <row r="140" ht="22.5" customHeight="1">
      <c r="A140" s="3">
        <v>139.0</v>
      </c>
      <c r="B140" s="4" t="s">
        <v>12336</v>
      </c>
      <c r="C140" s="4" t="s">
        <v>12337</v>
      </c>
      <c r="D140" s="4" t="s">
        <v>11987</v>
      </c>
      <c r="F140" s="5" t="str">
        <f>IFERROR(__xludf.DUMMYFUNCTION("GOOGLETRANSLATE(A140, ""en"", ""hi"")"),"139")</f>
        <v>139</v>
      </c>
      <c r="G140" s="5" t="str">
        <f>IFERROR(__xludf.DUMMYFUNCTION("GOOGLETRANSLATE(B140, ""en"", ""hi"")"),"कौन सा मणिपुरी त्योहार पारंपरिक थांग-ता कौशल के प्रदर्शन के लिए जाना जाता है?")</f>
        <v>कौन सा मणिपुरी त्योहार पारंपरिक थांग-ता कौशल के प्रदर्शन के लिए जाना जाता है?</v>
      </c>
      <c r="H140" s="5" t="str">
        <f>IFERROR(__xludf.DUMMYFUNCTION("GOOGLETRANSLATE(C140, ""en"", ""hi"")"),"ए) योशांग, बी) पोंगल, सी) दिवाली, डी) होली")</f>
        <v>ए) योशांग, बी) पोंगल, सी) दिवाली, डी) होली</v>
      </c>
      <c r="I140" s="5" t="str">
        <f>IFERROR(__xludf.DUMMYFUNCTION("GOOGLETRANSLATE(D140, ""en"", ""hi"")"),"ए) योशांग")</f>
        <v>ए) योशांग</v>
      </c>
    </row>
    <row r="141" ht="22.5" customHeight="1">
      <c r="A141" s="3">
        <v>140.0</v>
      </c>
      <c r="B141" s="4" t="s">
        <v>12338</v>
      </c>
      <c r="C141" s="4" t="s">
        <v>12339</v>
      </c>
      <c r="D141" s="4" t="s">
        <v>12318</v>
      </c>
      <c r="F141" s="5" t="str">
        <f>IFERROR(__xludf.DUMMYFUNCTION("GOOGLETRANSLATE(A141, ""en"", ""hi"")"),"140")</f>
        <v>140</v>
      </c>
      <c r="G141" s="5" t="str">
        <f>IFERROR(__xludf.DUMMYFUNCTION("GOOGLETRANSLATE(B141, ""en"", ""hi"")"),"थांग-ता अनुष्ठानों में 'कंगलाशा' की क्या भूमिका है?")</f>
        <v>थांग-ता अनुष्ठानों में 'कंगलाशा' की क्या भूमिका है?</v>
      </c>
      <c r="H141" s="5" t="str">
        <f>IFERROR(__xludf.DUMMYFUNCTION("GOOGLETRANSLATE(C141, ""en"", ""hi"")"),"A) औपचारिक तलवार, B) प्रशिक्षण उपकरण, C) नृत्य तत्व, D) ऐतिहासिक कलाकृति")</f>
        <v>A) औपचारिक तलवार, B) प्रशिक्षण उपकरण, C) नृत्य तत्व, D) ऐतिहासिक कलाकृति</v>
      </c>
      <c r="I141" s="5" t="str">
        <f>IFERROR(__xludf.DUMMYFUNCTION("GOOGLETRANSLATE(D141, ""en"", ""hi"")"),"ए) औपचारिक तलवार")</f>
        <v>ए) औपचारिक तलवार</v>
      </c>
    </row>
    <row r="142" ht="22.5" customHeight="1">
      <c r="A142" s="3">
        <v>141.0</v>
      </c>
      <c r="B142" s="4" t="s">
        <v>12340</v>
      </c>
      <c r="C142" s="4" t="s">
        <v>12341</v>
      </c>
      <c r="D142" s="4" t="s">
        <v>12159</v>
      </c>
      <c r="F142" s="5" t="str">
        <f>IFERROR(__xludf.DUMMYFUNCTION("GOOGLETRANSLATE(A142, ""en"", ""hi"")"),"141")</f>
        <v>141</v>
      </c>
      <c r="G142" s="5" t="str">
        <f>IFERROR(__xludf.DUMMYFUNCTION("GOOGLETRANSLATE(B142, ""en"", ""hi"")"),"कौन सा पारंपरिक मणिपुरी संगीत थांग-ता प्रदर्शन का अभिन्न अंग है?")</f>
        <v>कौन सा पारंपरिक मणिपुरी संगीत थांग-ता प्रदर्शन का अभिन्न अंग है?</v>
      </c>
      <c r="H142" s="5" t="str">
        <f>IFERROR(__xludf.DUMMYFUNCTION("GOOGLETRANSLATE(C142, ""en"", ""hi"")"),"A) पुंग चोलोम, B) बांसुरी संगीत, C) शास्त्रीय गिटार, D) वायलिन")</f>
        <v>A) पुंग चोलोम, B) बांसुरी संगीत, C) शास्त्रीय गिटार, D) वायलिन</v>
      </c>
      <c r="I142" s="5" t="str">
        <f>IFERROR(__xludf.DUMMYFUNCTION("GOOGLETRANSLATE(D142, ""en"", ""hi"")"),"A) पुंग चोलोम")</f>
        <v>A) पुंग चोलोम</v>
      </c>
    </row>
    <row r="143" ht="22.5" customHeight="1">
      <c r="A143" s="3">
        <v>142.0</v>
      </c>
      <c r="B143" s="4" t="s">
        <v>12342</v>
      </c>
      <c r="C143" s="4" t="s">
        <v>12343</v>
      </c>
      <c r="D143" s="4" t="s">
        <v>12344</v>
      </c>
      <c r="F143" s="5" t="str">
        <f>IFERROR(__xludf.DUMMYFUNCTION("GOOGLETRANSLATE(A143, ""en"", ""hi"")"),"142")</f>
        <v>142</v>
      </c>
      <c r="G143" s="5" t="str">
        <f>IFERROR(__xludf.DUMMYFUNCTION("GOOGLETRANSLATE(B143, ""en"", ""hi"")"),"थांग-ता प्रथा में 'सानु क्षार' क्या दर्शाता है?")</f>
        <v>थांग-ता प्रथा में 'सानु क्षार' क्या दर्शाता है?</v>
      </c>
      <c r="H143" s="5" t="str">
        <f>IFERROR(__xludf.DUMMYFUNCTION("GOOGLETRANSLATE(C143, ""en"", ""hi"")"),"ए) प्रशिक्षण तकनीक, बी) अनुष्ठान नृत्य, सी) ऐतिहासिक पुन: अभिनय, डी) संगीत संगत")</f>
        <v>ए) प्रशिक्षण तकनीक, बी) अनुष्ठान नृत्य, सी) ऐतिहासिक पुन: अभिनय, डी) संगीत संगत</v>
      </c>
      <c r="I143" s="5" t="str">
        <f>IFERROR(__xludf.DUMMYFUNCTION("GOOGLETRANSLATE(D143, ""en"", ""hi"")"),"ए) प्रशिक्षण तकनीक")</f>
        <v>ए) प्रशिक्षण तकनीक</v>
      </c>
    </row>
    <row r="144" ht="22.5" customHeight="1">
      <c r="A144" s="3">
        <v>143.0</v>
      </c>
      <c r="B144" s="4" t="s">
        <v>12345</v>
      </c>
      <c r="C144" s="4" t="s">
        <v>12085</v>
      </c>
      <c r="D144" s="4" t="s">
        <v>12086</v>
      </c>
      <c r="F144" s="5" t="str">
        <f>IFERROR(__xludf.DUMMYFUNCTION("GOOGLETRANSLATE(A144, ""en"", ""hi"")"),"143")</f>
        <v>143</v>
      </c>
      <c r="G144" s="5" t="str">
        <f>IFERROR(__xludf.DUMMYFUNCTION("GOOGLETRANSLATE(B144, ""en"", ""hi"")"),"कौन सा त्यौहार पारंपरिक थांग-ता प्रदर्शन को मुख्य आकर्षण के रूप में प्रस्तुत करता है?")</f>
        <v>कौन सा त्यौहार पारंपरिक थांग-ता प्रदर्शन को मुख्य आकर्षण के रूप में प्रस्तुत करता है?</v>
      </c>
      <c r="H144" s="5" t="str">
        <f>IFERROR(__xludf.DUMMYFUNCTION("GOOGLETRANSLATE(C144, ""en"", ""hi"")"),"ए) लाई हरोबा, बी) दिवाली, सी) होली, डी) पोंगल")</f>
        <v>ए) लाई हरोबा, बी) दिवाली, सी) होली, डी) पोंगल</v>
      </c>
      <c r="I144" s="5" t="str">
        <f>IFERROR(__xludf.DUMMYFUNCTION("GOOGLETRANSLATE(D144, ""en"", ""hi"")"),"A) लाई हरोबा")</f>
        <v>A) लाई हरोबा</v>
      </c>
    </row>
    <row r="145" ht="22.5" customHeight="1">
      <c r="A145" s="3">
        <v>144.0</v>
      </c>
      <c r="B145" s="4" t="s">
        <v>12346</v>
      </c>
      <c r="C145" s="4" t="s">
        <v>12347</v>
      </c>
      <c r="D145" s="4" t="s">
        <v>12348</v>
      </c>
      <c r="F145" s="5" t="str">
        <f>IFERROR(__xludf.DUMMYFUNCTION("GOOGLETRANSLATE(A145, ""en"", ""hi"")"),"144")</f>
        <v>144</v>
      </c>
      <c r="G145" s="5" t="str">
        <f>IFERROR(__xludf.DUMMYFUNCTION("GOOGLETRANSLATE(B145, ""en"", ""hi"")"),"प्रदर्शन के दौरान थांग-ता में 'थांग' क्या प्रतीक है?")</f>
        <v>प्रदर्शन के दौरान थांग-ता में 'थांग' क्या प्रतीक है?</v>
      </c>
      <c r="H145" s="5" t="str">
        <f>IFERROR(__xludf.DUMMYFUNCTION("GOOGLETRANSLATE(C145, ""en"", ""hi"")"),"A) युद्ध कौशल, B) कलात्मक प्रतिभा, C) अनुष्ठानिक शक्ति, D) ऐतिहासिक महत्व")</f>
        <v>A) युद्ध कौशल, B) कलात्मक प्रतिभा, C) अनुष्ठानिक शक्ति, D) ऐतिहासिक महत्व</v>
      </c>
      <c r="I145" s="5" t="str">
        <f>IFERROR(__xludf.DUMMYFUNCTION("GOOGLETRANSLATE(D145, ""en"", ""hi"")"),"ए) युद्ध कौशल")</f>
        <v>ए) युद्ध कौशल</v>
      </c>
    </row>
    <row r="146" ht="22.5" customHeight="1">
      <c r="A146" s="3">
        <v>145.0</v>
      </c>
      <c r="B146" s="4" t="s">
        <v>12349</v>
      </c>
      <c r="C146" s="4" t="s">
        <v>12273</v>
      </c>
      <c r="D146" s="4" t="s">
        <v>12274</v>
      </c>
      <c r="F146" s="5" t="str">
        <f>IFERROR(__xludf.DUMMYFUNCTION("GOOGLETRANSLATE(A146, ""en"", ""hi"")"),"145")</f>
        <v>145</v>
      </c>
      <c r="G146" s="5" t="str">
        <f>IFERROR(__xludf.DUMMYFUNCTION("GOOGLETRANSLATE(B146, ""en"", ""hi"")"),"कौन सा ऐतिहासिक व्यक्ति थांग-ता परंपराओं के संरक्षण के लिए जाना जाता है?")</f>
        <v>कौन सा ऐतिहासिक व्यक्ति थांग-ता परंपराओं के संरक्षण के लिए जाना जाता है?</v>
      </c>
      <c r="H146" s="5" t="str">
        <f>IFERROR(__xludf.DUMMYFUNCTION("GOOGLETRANSLATE(C146, ""en"", ""hi"")"),"ए) महाराजा भाग्यचंद्र सिंह, बी) महाराजा चंद्रकीर्ति सिंह, सी) महाराजा गंभीर सिंह, डी) महाराजा कुलचंद्र सिंह")</f>
        <v>ए) महाराजा भाग्यचंद्र सिंह, बी) महाराजा चंद्रकीर्ति सिंह, सी) महाराजा गंभीर सिंह, डी) महाराजा कुलचंद्र सिंह</v>
      </c>
      <c r="I146" s="5" t="str">
        <f>IFERROR(__xludf.DUMMYFUNCTION("GOOGLETRANSLATE(D146, ""en"", ""hi"")"),"ए) महाराजा भाग्यचंद्र सिंह")</f>
        <v>ए) महाराजा भाग्यचंद्र सिंह</v>
      </c>
    </row>
    <row r="147" ht="22.5" customHeight="1">
      <c r="A147" s="3">
        <v>146.0</v>
      </c>
      <c r="B147" s="4" t="s">
        <v>12350</v>
      </c>
      <c r="C147" s="4" t="s">
        <v>12351</v>
      </c>
      <c r="D147" s="4" t="s">
        <v>12352</v>
      </c>
      <c r="F147" s="5" t="str">
        <f>IFERROR(__xludf.DUMMYFUNCTION("GOOGLETRANSLATE(A147, ""en"", ""hi"")"),"146")</f>
        <v>146</v>
      </c>
      <c r="G147" s="5" t="str">
        <f>IFERROR(__xludf.DUMMYFUNCTION("GOOGLETRANSLATE(B147, ""en"", ""hi"")"),"'थांग-ता' का शाब्दिक अनुवाद क्या है?")</f>
        <v>'थांग-ता' का शाब्दिक अनुवाद क्या है?</v>
      </c>
      <c r="H147" s="5" t="str">
        <f>IFERROR(__xludf.DUMMYFUNCTION("GOOGLETRANSLATE(C147, ""en"", ""hi"")"),"A) तलवार और ढाल, B) युद्ध नृत्य, C) युद्ध कला, D) पारंपरिक अनुष्ठान")</f>
        <v>A) तलवार और ढाल, B) युद्ध नृत्य, C) युद्ध कला, D) पारंपरिक अनुष्ठान</v>
      </c>
      <c r="I147" s="5" t="str">
        <f>IFERROR(__xludf.DUMMYFUNCTION("GOOGLETRANSLATE(D147, ""en"", ""hi"")"),"A) तलवार और ढाल")</f>
        <v>A) तलवार और ढाल</v>
      </c>
    </row>
    <row r="148" ht="22.5" customHeight="1">
      <c r="A148" s="3">
        <v>147.0</v>
      </c>
      <c r="B148" s="4" t="s">
        <v>12353</v>
      </c>
      <c r="C148" s="4" t="s">
        <v>12354</v>
      </c>
      <c r="D148" s="4" t="s">
        <v>12355</v>
      </c>
      <c r="F148" s="5" t="str">
        <f>IFERROR(__xludf.DUMMYFUNCTION("GOOGLETRANSLATE(A148, ""en"", ""hi"")"),"147")</f>
        <v>147</v>
      </c>
      <c r="G148" s="5" t="str">
        <f>IFERROR(__xludf.DUMMYFUNCTION("GOOGLETRANSLATE(B148, ""en"", ""hi"")"),"कौन सी मार्शल आर्ट शैली थांग-टा से निकटता से जुड़ी हुई है?")</f>
        <v>कौन सी मार्शल आर्ट शैली थांग-टा से निकटता से जुड़ी हुई है?</v>
      </c>
      <c r="H148" s="5" t="str">
        <f>IFERROR(__xludf.DUMMYFUNCTION("GOOGLETRANSLATE(C148, ""en"", ""hi"")"),"ए) कलारीपयट्टु, बी) सिलंबम, सी) गतका, डी) सरित-सारक")</f>
        <v>ए) कलारीपयट्टु, बी) सिलंबम, सी) गतका, डी) सरित-सारक</v>
      </c>
      <c r="I148" s="5" t="str">
        <f>IFERROR(__xludf.DUMMYFUNCTION("GOOGLETRANSLATE(D148, ""en"", ""hi"")"),"D) सरित-सरक")</f>
        <v>D) सरित-सरक</v>
      </c>
    </row>
    <row r="149" ht="22.5" customHeight="1">
      <c r="A149" s="3">
        <v>148.0</v>
      </c>
      <c r="B149" s="4" t="s">
        <v>12356</v>
      </c>
      <c r="C149" s="4" t="s">
        <v>12357</v>
      </c>
      <c r="D149" s="4" t="s">
        <v>12358</v>
      </c>
      <c r="F149" s="5" t="str">
        <f>IFERROR(__xludf.DUMMYFUNCTION("GOOGLETRANSLATE(A149, ""en"", ""hi"")"),"148")</f>
        <v>148</v>
      </c>
      <c r="G149" s="5" t="str">
        <f>IFERROR(__xludf.DUMMYFUNCTION("GOOGLETRANSLATE(B149, ""en"", ""hi"")"),"किस ऐतिहासिक काल के दौरान थांग-टा एक युद्ध तकनीक के रूप में विकसित हुआ?")</f>
        <v>किस ऐतिहासिक काल के दौरान थांग-टा एक युद्ध तकनीक के रूप में विकसित हुआ?</v>
      </c>
      <c r="H149" s="5" t="str">
        <f>IFERROR(__xludf.DUMMYFUNCTION("GOOGLETRANSLATE(C149, ""en"", ""hi"")"),"A) 18वीं शताब्दी, B) 12वीं शताब्दी, C) 15वीं शताब्दी, D) 10वीं शताब्दी")</f>
        <v>A) 18वीं शताब्दी, B) 12वीं शताब्दी, C) 15वीं शताब्दी, D) 10वीं शताब्दी</v>
      </c>
      <c r="I149" s="5" t="str">
        <f>IFERROR(__xludf.DUMMYFUNCTION("GOOGLETRANSLATE(D149, ""en"", ""hi"")"),"ए) 18वीं शताब्दी")</f>
        <v>ए) 18वीं शताब्दी</v>
      </c>
    </row>
    <row r="150" ht="22.5" customHeight="1">
      <c r="A150" s="3">
        <v>149.0</v>
      </c>
      <c r="B150" s="4" t="s">
        <v>12359</v>
      </c>
      <c r="C150" s="4" t="s">
        <v>12360</v>
      </c>
      <c r="D150" s="4" t="s">
        <v>12361</v>
      </c>
      <c r="F150" s="5" t="str">
        <f>IFERROR(__xludf.DUMMYFUNCTION("GOOGLETRANSLATE(A150, ""en"", ""hi"")"),"149")</f>
        <v>149</v>
      </c>
      <c r="G150" s="5" t="str">
        <f>IFERROR(__xludf.DUMMYFUNCTION("GOOGLETRANSLATE(B150, ""en"", ""hi"")"),"निम्नलिखित शासकों में से कौन थांग-ता का संरक्षक था?")</f>
        <v>निम्नलिखित शासकों में से कौन थांग-ता का संरक्षक था?</v>
      </c>
      <c r="H150" s="5" t="str">
        <f>IFERROR(__xludf.DUMMYFUNCTION("GOOGLETRANSLATE(C150, ""en"", ""hi"")"),"ए) महाराजा गंभीर सिंह, बी) महाराजा सुरचंद्र सिंह, सी) महाराजा नरसिंह, डी) महाराजा चंद्रकीर्ति सिंह")</f>
        <v>ए) महाराजा गंभीर सिंह, बी) महाराजा सुरचंद्र सिंह, सी) महाराजा नरसिंह, डी) महाराजा चंद्रकीर्ति सिंह</v>
      </c>
      <c r="I150" s="5" t="str">
        <f>IFERROR(__xludf.DUMMYFUNCTION("GOOGLETRANSLATE(D150, ""en"", ""hi"")"),"A) महाराजा गंभीर सिंह")</f>
        <v>A) महाराजा गंभीर सिंह</v>
      </c>
    </row>
    <row r="151" ht="22.5" customHeight="1">
      <c r="A151" s="3">
        <v>150.0</v>
      </c>
      <c r="B151" s="4" t="s">
        <v>12362</v>
      </c>
      <c r="C151" s="4" t="s">
        <v>12363</v>
      </c>
      <c r="D151" s="4" t="s">
        <v>12364</v>
      </c>
      <c r="F151" s="5" t="str">
        <f>IFERROR(__xludf.DUMMYFUNCTION("GOOGLETRANSLATE(A151, ""en"", ""hi"")"),"150")</f>
        <v>150</v>
      </c>
      <c r="G151" s="5" t="str">
        <f>IFERROR(__xludf.DUMMYFUNCTION("GOOGLETRANSLATE(B151, ""en"", ""hi"")"),"किस ऐतिहासिक घटना के कारण थांग-ता के सैन्य अनुप्रयोगों का पतन हुआ?")</f>
        <v>किस ऐतिहासिक घटना के कारण थांग-ता के सैन्य अनुप्रयोगों का पतन हुआ?</v>
      </c>
      <c r="H151" s="5" t="str">
        <f>IFERROR(__xludf.DUMMYFUNCTION("GOOGLETRANSLATE(C151, ""en"", ""hi"")"),"A) ब्रिटिश उपनिवेशीकरण, B) मुगल आक्रमण, C) औद्योगिक क्रांति, D) एंग्लो-मणिपुर युद्ध")</f>
        <v>A) ब्रिटिश उपनिवेशीकरण, B) मुगल आक्रमण, C) औद्योगिक क्रांति, D) एंग्लो-मणिपुर युद्ध</v>
      </c>
      <c r="I151" s="5" t="str">
        <f>IFERROR(__xludf.DUMMYFUNCTION("GOOGLETRANSLATE(D151, ""en"", ""hi"")"),"ए) ब्रिटिश उपनिवेशीकरण")</f>
        <v>ए) ब्रिटिश उपनिवेशीकरण</v>
      </c>
    </row>
    <row r="152" ht="22.5" customHeight="1">
      <c r="A152" s="3">
        <v>151.0</v>
      </c>
      <c r="B152" s="4" t="s">
        <v>12365</v>
      </c>
      <c r="C152" s="4" t="s">
        <v>12366</v>
      </c>
      <c r="D152" s="4" t="s">
        <v>12367</v>
      </c>
      <c r="F152" s="5" t="str">
        <f>IFERROR(__xludf.DUMMYFUNCTION("GOOGLETRANSLATE(A152, ""en"", ""hi"")"),"151")</f>
        <v>151</v>
      </c>
      <c r="G152" s="5" t="str">
        <f>IFERROR(__xludf.DUMMYFUNCTION("GOOGLETRANSLATE(B152, ""en"", ""hi"")"),"भारत के किस क्षेत्र में थांग-ता पारंपरिक रूप से प्रचलित है?")</f>
        <v>भारत के किस क्षेत्र में थांग-ता पारंपरिक रूप से प्रचलित है?</v>
      </c>
      <c r="H152" s="5" t="str">
        <f>IFERROR(__xludf.DUMMYFUNCTION("GOOGLETRANSLATE(C152, ""en"", ""hi"")"),"A) असम, B) मणिपुर, C) नागालैंड, D) मिजोरम")</f>
        <v>A) असम, B) मणिपुर, C) नागालैंड, D) मिजोरम</v>
      </c>
      <c r="I152" s="5" t="str">
        <f>IFERROR(__xludf.DUMMYFUNCTION("GOOGLETRANSLATE(D152, ""en"", ""hi"")"),"बी) मणिपुर")</f>
        <v>बी) मणिपुर</v>
      </c>
    </row>
    <row r="153" ht="22.5" customHeight="1">
      <c r="A153" s="3">
        <v>152.0</v>
      </c>
      <c r="B153" s="4" t="s">
        <v>12368</v>
      </c>
      <c r="C153" s="4" t="s">
        <v>12369</v>
      </c>
      <c r="D153" s="4" t="s">
        <v>12006</v>
      </c>
      <c r="F153" s="5" t="str">
        <f>IFERROR(__xludf.DUMMYFUNCTION("GOOGLETRANSLATE(A153, ""en"", ""hi"")"),"152")</f>
        <v>152</v>
      </c>
      <c r="G153" s="5" t="str">
        <f>IFERROR(__xludf.DUMMYFUNCTION("GOOGLETRANSLATE(B153, ""en"", ""hi"")"),"थांग-ता प्रथा को औपचारिक रूप देने का श्रेय किस मणिपुरी राजा को दिया जाता है?")</f>
        <v>थांग-ता प्रथा को औपचारिक रूप देने का श्रेय किस मणिपुरी राजा को दिया जाता है?</v>
      </c>
      <c r="H153" s="5" t="str">
        <f>IFERROR(__xludf.DUMMYFUNCTION("GOOGLETRANSLATE(C153, ""en"", ""hi"")"),"ए) महाराजा भाग्यचंद्र सिंह, बी) महाराजा मरजीत सिंह, सी) महाराजा चुराचंद सिंह, डी) महाराजा गंभीर सिंह")</f>
        <v>ए) महाराजा भाग्यचंद्र सिंह, बी) महाराजा मरजीत सिंह, सी) महाराजा चुराचंद सिंह, डी) महाराजा गंभीर सिंह</v>
      </c>
      <c r="I153" s="5" t="str">
        <f>IFERROR(__xludf.DUMMYFUNCTION("GOOGLETRANSLATE(D153, ""en"", ""hi"")"),"D) महाराजा गंभीर सिंह")</f>
        <v>D) महाराजा गंभीर सिंह</v>
      </c>
    </row>
    <row r="154" ht="22.5" customHeight="1">
      <c r="A154" s="3">
        <v>153.0</v>
      </c>
      <c r="B154" s="4" t="s">
        <v>12370</v>
      </c>
      <c r="C154" s="4" t="s">
        <v>12371</v>
      </c>
      <c r="D154" s="4" t="s">
        <v>12372</v>
      </c>
      <c r="F154" s="5" t="str">
        <f>IFERROR(__xludf.DUMMYFUNCTION("GOOGLETRANSLATE(A154, ""en"", ""hi"")"),"153")</f>
        <v>153</v>
      </c>
      <c r="G154" s="5" t="str">
        <f>IFERROR(__xludf.DUMMYFUNCTION("GOOGLETRANSLATE(B154, ""en"", ""hi"")"),"मणिपुर की किस ऐतिहासिक योद्धा तकनीक को आधुनिक थांग-ता का अग्रदूत कहा जाता है?")</f>
        <v>मणिपुर की किस ऐतिहासिक योद्धा तकनीक को आधुनिक थांग-ता का अग्रदूत कहा जाता है?</v>
      </c>
      <c r="H154" s="5" t="str">
        <f>IFERROR(__xludf.DUMMYFUNCTION("GOOGLETRANSLATE(C154, ""en"", ""hi"")"),"ए) सरित सारक, बी) गतका, सी) कलारीपयट्टु, डी) सिलंबम")</f>
        <v>ए) सरित सारक, बी) गतका, सी) कलारीपयट्टु, डी) सिलंबम</v>
      </c>
      <c r="I154" s="5" t="str">
        <f>IFERROR(__xludf.DUMMYFUNCTION("GOOGLETRANSLATE(D154, ""en"", ""hi"")"),"A) सरित सड़क")</f>
        <v>A) सरित सड़क</v>
      </c>
    </row>
    <row r="155" ht="22.5" customHeight="1">
      <c r="A155" s="3">
        <v>154.0</v>
      </c>
      <c r="B155" s="4" t="s">
        <v>12373</v>
      </c>
      <c r="C155" s="4" t="s">
        <v>12374</v>
      </c>
      <c r="D155" s="4" t="s">
        <v>12375</v>
      </c>
      <c r="F155" s="5" t="str">
        <f>IFERROR(__xludf.DUMMYFUNCTION("GOOGLETRANSLATE(A155, ""en"", ""hi"")"),"154")</f>
        <v>154</v>
      </c>
      <c r="G155" s="5" t="str">
        <f>IFERROR(__xludf.DUMMYFUNCTION("GOOGLETRANSLATE(B155, ""en"", ""hi"")"),"मेइती विद्रोह के दौरान थांग-ता का कौन सा पहलू महत्वपूर्ण हो गया?")</f>
        <v>मेइती विद्रोह के दौरान थांग-ता का कौन सा पहलू महत्वपूर्ण हो गया?</v>
      </c>
      <c r="H155" s="5" t="str">
        <f>IFERROR(__xludf.DUMMYFUNCTION("GOOGLETRANSLATE(C155, ""en"", ""hi"")"),"A) इसका कलात्मक नृत्य रूप, B) इसकी युद्ध उपयोगिता, C) इसका औपचारिक महत्व, D) कहानी कहने में इसकी भूमिका")</f>
        <v>A) इसका कलात्मक नृत्य रूप, B) इसकी युद्ध उपयोगिता, C) इसका औपचारिक महत्व, D) कहानी कहने में इसकी भूमिका</v>
      </c>
      <c r="I155" s="5" t="str">
        <f>IFERROR(__xludf.DUMMYFUNCTION("GOOGLETRANSLATE(D155, ""en"", ""hi"")"),"बी) इसकी लड़ाकू उपयोगिता")</f>
        <v>बी) इसकी लड़ाकू उपयोगिता</v>
      </c>
    </row>
    <row r="156" ht="22.5" customHeight="1">
      <c r="A156" s="3">
        <v>155.0</v>
      </c>
      <c r="B156" s="4" t="s">
        <v>12376</v>
      </c>
      <c r="C156" s="4" t="s">
        <v>12377</v>
      </c>
      <c r="D156" s="4" t="s">
        <v>12378</v>
      </c>
      <c r="F156" s="5" t="str">
        <f>IFERROR(__xludf.DUMMYFUNCTION("GOOGLETRANSLATE(A156, ""en"", ""hi"")"),"155")</f>
        <v>155</v>
      </c>
      <c r="G156" s="5" t="str">
        <f>IFERROR(__xludf.DUMMYFUNCTION("GOOGLETRANSLATE(B156, ""en"", ""hi"")"),"पारंपरिक मेइतेई त्योहारों में थांग-ता का सांस्कृतिक महत्व क्या है?")</f>
        <v>पारंपरिक मेइतेई त्योहारों में थांग-ता का सांस्कृतिक महत्व क्या है?</v>
      </c>
      <c r="H156" s="5" t="str">
        <f>IFERROR(__xludf.DUMMYFUNCTION("GOOGLETRANSLATE(C156, ""en"", ""hi"")"),"A) योद्धा पुनः अभिनय, B) धार्मिक अर्पण, C) मनोरंजन, D) सामुदायिक बंधन")</f>
        <v>A) योद्धा पुनः अभिनय, B) धार्मिक अर्पण, C) मनोरंजन, D) सामुदायिक बंधन</v>
      </c>
      <c r="I156" s="5" t="str">
        <f>IFERROR(__xludf.DUMMYFUNCTION("GOOGLETRANSLATE(D156, ""en"", ""hi"")"),"A) योद्धा पुनः अभिनय")</f>
        <v>A) योद्धा पुनः अभिनय</v>
      </c>
    </row>
    <row r="157" ht="22.5" customHeight="1">
      <c r="A157" s="3">
        <v>156.0</v>
      </c>
      <c r="B157" s="4" t="s">
        <v>12379</v>
      </c>
      <c r="C157" s="4" t="s">
        <v>12380</v>
      </c>
      <c r="D157" s="4" t="s">
        <v>12381</v>
      </c>
      <c r="F157" s="5" t="str">
        <f>IFERROR(__xludf.DUMMYFUNCTION("GOOGLETRANSLATE(A157, ""en"", ""hi"")"),"156")</f>
        <v>156</v>
      </c>
      <c r="G157" s="5" t="str">
        <f>IFERROR(__xludf.DUMMYFUNCTION("GOOGLETRANSLATE(B157, ""en"", ""hi"")"),"उत्तर-औपनिवेशिक काल के दौरान थांग-ता के पुनरुद्धार में प्रमुख व्यक्ति कौन था?")</f>
        <v>उत्तर-औपनिवेशिक काल के दौरान थांग-ता के पुनरुद्धार में प्रमुख व्यक्ति कौन था?</v>
      </c>
      <c r="H157" s="5" t="str">
        <f>IFERROR(__xludf.DUMMYFUNCTION("GOOGLETRANSLATE(C157, ""en"", ""hi"")"),"ए) नोंगमेइकापम गंभीर सिंह, बी) अरिबम स्याम शर्मा, सी) राजकुमार सनाजाओबा, डी) हाओबम सोमोरेंड्रो")</f>
        <v>ए) नोंगमेइकापम गंभीर सिंह, बी) अरिबम स्याम शर्मा, सी) राजकुमार सनाजाओबा, डी) हाओबम सोमोरेंड्रो</v>
      </c>
      <c r="I157" s="5" t="str">
        <f>IFERROR(__xludf.DUMMYFUNCTION("GOOGLETRANSLATE(D157, ""en"", ""hi"")"),"A) नोंग्मीकापम गंभीर सिंह")</f>
        <v>A) नोंग्मीकापम गंभीर सिंह</v>
      </c>
    </row>
    <row r="158" ht="22.5" customHeight="1">
      <c r="A158" s="3">
        <v>157.0</v>
      </c>
      <c r="B158" s="4" t="s">
        <v>12382</v>
      </c>
      <c r="C158" s="4" t="s">
        <v>12383</v>
      </c>
      <c r="D158" s="4" t="s">
        <v>12384</v>
      </c>
      <c r="F158" s="5" t="str">
        <f>IFERROR(__xludf.DUMMYFUNCTION("GOOGLETRANSLATE(A158, ""en"", ""hi"")"),"157")</f>
        <v>157</v>
      </c>
      <c r="G158" s="5" t="str">
        <f>IFERROR(__xludf.DUMMYFUNCTION("GOOGLETRANSLATE(B158, ""en"", ""hi"")"),"थांग-ता अक्सर अपने प्रदर्शनों में किस पारंपरिक मेइती विश्वास प्रणाली का प्रतिनिधित्व करता है?")</f>
        <v>थांग-ता अक्सर अपने प्रदर्शनों में किस पारंपरिक मेइती विश्वास प्रणाली का प्रतिनिधित्व करता है?</v>
      </c>
      <c r="H158" s="5" t="str">
        <f>IFERROR(__xludf.DUMMYFUNCTION("GOOGLETRANSLATE(C158, ""en"", ""hi"")"),"A) सनमहवाद, B) बौद्ध धर्म, C) शैववाद, D) वैष्णववाद")</f>
        <v>A) सनमहवाद, B) बौद्ध धर्म, C) शैववाद, D) वैष्णववाद</v>
      </c>
      <c r="I158" s="5" t="str">
        <f>IFERROR(__xludf.DUMMYFUNCTION("GOOGLETRANSLATE(D158, ""en"", ""hi"")"),"A) सनमहवाद")</f>
        <v>A) सनमहवाद</v>
      </c>
    </row>
    <row r="159" ht="22.5" customHeight="1">
      <c r="A159" s="3">
        <v>158.0</v>
      </c>
      <c r="B159" s="4" t="s">
        <v>12385</v>
      </c>
      <c r="C159" s="4" t="s">
        <v>12386</v>
      </c>
      <c r="D159" s="4" t="s">
        <v>12387</v>
      </c>
      <c r="F159" s="5" t="str">
        <f>IFERROR(__xludf.DUMMYFUNCTION("GOOGLETRANSLATE(A159, ""en"", ""hi"")"),"158")</f>
        <v>158</v>
      </c>
      <c r="G159" s="5" t="str">
        <f>IFERROR(__xludf.DUMMYFUNCTION("GOOGLETRANSLATE(B159, ""en"", ""hi"")"),"मणिपुरी युद्ध में थांग-ता की ऐतिहासिक भूमिका क्या है?")</f>
        <v>मणिपुरी युद्ध में थांग-ता की ऐतिहासिक भूमिका क्या है?</v>
      </c>
      <c r="H159" s="5" t="str">
        <f>IFERROR(__xludf.DUMMYFUNCTION("GOOGLETRANSLATE(C159, ""en"", ""hi"")"),"A) रक्षात्मक रणनीति, B) अनुष्ठान प्रदर्शन, C) युद्धक्षेत्र युद्ध प्रशिक्षण, D) आध्यात्मिक अभ्यास")</f>
        <v>A) रक्षात्मक रणनीति, B) अनुष्ठान प्रदर्शन, C) युद्धक्षेत्र युद्ध प्रशिक्षण, D) आध्यात्मिक अभ्यास</v>
      </c>
      <c r="I159" s="5" t="str">
        <f>IFERROR(__xludf.DUMMYFUNCTION("GOOGLETRANSLATE(D159, ""en"", ""hi"")"),"C) युद्धक्षेत्र युद्ध प्रशिक्षण")</f>
        <v>C) युद्धक्षेत्र युद्ध प्रशिक्षण</v>
      </c>
    </row>
    <row r="160" ht="22.5" customHeight="1">
      <c r="A160" s="3">
        <v>159.0</v>
      </c>
      <c r="B160" s="4" t="s">
        <v>12388</v>
      </c>
      <c r="C160" s="4" t="s">
        <v>12389</v>
      </c>
      <c r="D160" s="4" t="s">
        <v>12086</v>
      </c>
      <c r="F160" s="5" t="str">
        <f>IFERROR(__xludf.DUMMYFUNCTION("GOOGLETRANSLATE(A160, ""en"", ""hi"")"),"159")</f>
        <v>159</v>
      </c>
      <c r="G160" s="5" t="str">
        <f>IFERROR(__xludf.DUMMYFUNCTION("GOOGLETRANSLATE(B160, ""en"", ""hi"")"),"किस मणिपुरी त्यौहार में अक्सर योद्धाओं को श्रद्धांजलि के रूप में थांग-ता को शामिल किया जाता है?")</f>
        <v>किस मणिपुरी त्यौहार में अक्सर योद्धाओं को श्रद्धांजलि के रूप में थांग-ता को शामिल किया जाता है?</v>
      </c>
      <c r="H160" s="5" t="str">
        <f>IFERROR(__xludf.DUMMYFUNCTION("GOOGLETRANSLATE(C160, ""en"", ""hi"")"),"ए) लाई हराओबा, बी) याओशांग, सी) निंगोल चाकोउबा, डी) चेइराओबा")</f>
        <v>ए) लाई हराओबा, बी) याओशांग, सी) निंगोल चाकोउबा, डी) चेइराओबा</v>
      </c>
      <c r="I160" s="5" t="str">
        <f>IFERROR(__xludf.DUMMYFUNCTION("GOOGLETRANSLATE(D160, ""en"", ""hi"")"),"A) लाई हरोबा")</f>
        <v>A) लाई हरोबा</v>
      </c>
    </row>
    <row r="161" ht="22.5" customHeight="1">
      <c r="A161" s="3">
        <v>160.0</v>
      </c>
      <c r="B161" s="4" t="s">
        <v>12390</v>
      </c>
      <c r="C161" s="4" t="s">
        <v>12391</v>
      </c>
      <c r="D161" s="4" t="s">
        <v>12392</v>
      </c>
      <c r="F161" s="5" t="str">
        <f>IFERROR(__xludf.DUMMYFUNCTION("GOOGLETRANSLATE(A161, ""en"", ""hi"")"),"160")</f>
        <v>160</v>
      </c>
      <c r="G161" s="5" t="str">
        <f>IFERROR(__xludf.DUMMYFUNCTION("GOOGLETRANSLATE(B161, ""en"", ""hi"")"),"19वीं शताब्दी में किस औपनिवेशिक नीति ने थांग-ता प्रथा को प्रभावित किया?")</f>
        <v>19वीं शताब्दी में किस औपनिवेशिक नीति ने थांग-ता प्रथा को प्रभावित किया?</v>
      </c>
      <c r="H161" s="5" t="str">
        <f>IFERROR(__xludf.DUMMYFUNCTION("GOOGLETRANSLATE(C161, ""en"", ""hi"")"),"A) स्वदेशी मार्शल आर्ट पर प्रतिबंध, B) पश्चिमी खेलों को बढ़ावा, C) धार्मिक रूपांतरण, D) सैन्य सुधार")</f>
        <v>A) स्वदेशी मार्शल आर्ट पर प्रतिबंध, B) पश्चिमी खेलों को बढ़ावा, C) धार्मिक रूपांतरण, D) सैन्य सुधार</v>
      </c>
      <c r="I161" s="5" t="str">
        <f>IFERROR(__xludf.DUMMYFUNCTION("GOOGLETRANSLATE(D161, ""en"", ""hi"")"),"A) स्वदेशी मार्शल आर्ट पर प्रतिबंध")</f>
        <v>A) स्वदेशी मार्शल आर्ट पर प्रतिबंध</v>
      </c>
    </row>
    <row r="162" ht="22.5" customHeight="1">
      <c r="A162" s="3">
        <v>161.0</v>
      </c>
      <c r="B162" s="4" t="s">
        <v>12393</v>
      </c>
      <c r="C162" s="4" t="s">
        <v>12394</v>
      </c>
      <c r="D162" s="4" t="s">
        <v>12395</v>
      </c>
      <c r="F162" s="5" t="str">
        <f>IFERROR(__xludf.DUMMYFUNCTION("GOOGLETRANSLATE(A162, ""en"", ""hi"")"),"161")</f>
        <v>161</v>
      </c>
      <c r="G162" s="5" t="str">
        <f>IFERROR(__xludf.DUMMYFUNCTION("GOOGLETRANSLATE(B162, ""en"", ""hi"")"),"किस महत्वपूर्ण युद्ध के कारण पारंपरिक थांग-ता का युद्ध अभ्यास के रूप में पतन हुआ?")</f>
        <v>किस महत्वपूर्ण युद्ध के कारण पारंपरिक थांग-ता का युद्ध अभ्यास के रूप में पतन हुआ?</v>
      </c>
      <c r="H162" s="5" t="str">
        <f>IFERROR(__xludf.DUMMYFUNCTION("GOOGLETRANSLATE(C162, ""en"", ""hi"")"),"A) एंग्लो-मणिपुर युद्ध, B) एंग्लो-सिख युद्ध, C) 1857 का भारतीय विद्रोह, D) प्रथम विश्व युद्ध")</f>
        <v>A) एंग्लो-मणिपुर युद्ध, B) एंग्लो-सिख युद्ध, C) 1857 का भारतीय विद्रोह, D) प्रथम विश्व युद्ध</v>
      </c>
      <c r="I162" s="5" t="str">
        <f>IFERROR(__xludf.DUMMYFUNCTION("GOOGLETRANSLATE(D162, ""en"", ""hi"")"),"A) एंग्लो-मणिपुर युद्ध")</f>
        <v>A) एंग्लो-मणिपुर युद्ध</v>
      </c>
    </row>
    <row r="163" ht="22.5" customHeight="1">
      <c r="A163" s="3">
        <v>162.0</v>
      </c>
      <c r="B163" s="4" t="s">
        <v>12396</v>
      </c>
      <c r="C163" s="4" t="s">
        <v>12397</v>
      </c>
      <c r="D163" s="4" t="s">
        <v>12398</v>
      </c>
      <c r="F163" s="5" t="str">
        <f>IFERROR(__xludf.DUMMYFUNCTION("GOOGLETRANSLATE(A163, ""en"", ""hi"")"),"162")</f>
        <v>162</v>
      </c>
      <c r="G163" s="5" t="str">
        <f>IFERROR(__xludf.DUMMYFUNCTION("GOOGLETRANSLATE(B163, ""en"", ""hi"")"),"कौन सी मणिपुरी सांस्कृतिक संस्था थांग-ता के संरक्षण में महत्वपूर्ण रही है?")</f>
        <v>कौन सी मणिपुरी सांस्कृतिक संस्था थांग-ता के संरक्षण में महत्वपूर्ण रही है?</v>
      </c>
      <c r="H163" s="5" t="str">
        <f>IFERROR(__xludf.DUMMYFUNCTION("GOOGLETRANSLATE(C163, ""en"", ""hi"")"),"A) जवाहरलाल नेहरू मणिपुर नृत्य अकादमी, B) अखिल भारतीय थांग-ता महासंघ, C) कांगलेई स्वदेशी मार्शल आर्ट और सांस्कृतिक सोसायटी, D) कांगलेईपाक थांग-ता एसोसिएशन")</f>
        <v>A) जवाहरलाल नेहरू मणिपुर नृत्य अकादमी, B) अखिल भारतीय थांग-ता महासंघ, C) कांगलेई स्वदेशी मार्शल आर्ट और सांस्कृतिक सोसायटी, D) कांगलेईपाक थांग-ता एसोसिएशन</v>
      </c>
      <c r="I163" s="5" t="str">
        <f>IFERROR(__xludf.DUMMYFUNCTION("GOOGLETRANSLATE(D163, ""en"", ""hi"")"),"C) कांगलेई स्वदेशी मार्शल आर्ट्स और सांस्कृतिक सोसायटी")</f>
        <v>C) कांगलेई स्वदेशी मार्शल आर्ट्स और सांस्कृतिक सोसायटी</v>
      </c>
    </row>
    <row r="164" ht="22.5" customHeight="1">
      <c r="A164" s="3">
        <v>163.0</v>
      </c>
      <c r="B164" s="4" t="s">
        <v>12399</v>
      </c>
      <c r="C164" s="4" t="s">
        <v>12400</v>
      </c>
      <c r="D164" s="4" t="s">
        <v>12401</v>
      </c>
      <c r="F164" s="5" t="str">
        <f>IFERROR(__xludf.DUMMYFUNCTION("GOOGLETRANSLATE(A164, ""en"", ""hi"")"),"163")</f>
        <v>163</v>
      </c>
      <c r="G164" s="5" t="str">
        <f>IFERROR(__xludf.DUMMYFUNCTION("GOOGLETRANSLATE(B164, ""en"", ""hi"")"),"थांग-ता तकनीकों के बारे में ज्ञान का प्राथमिक ऐतिहासिक स्रोत क्या है?")</f>
        <v>थांग-ता तकनीकों के बारे में ज्ञान का प्राथमिक ऐतिहासिक स्रोत क्या है?</v>
      </c>
      <c r="H164" s="5" t="str">
        <f>IFERROR(__xludf.DUMMYFUNCTION("GOOGLETRANSLATE(C164, ""en"", ""hi"")"),"A) मौखिक परंपराएँ, B) पांडुलिपियाँ, C) पत्थर के शिलालेख, D) मंदिर की नक्काशी")</f>
        <v>A) मौखिक परंपराएँ, B) पांडुलिपियाँ, C) पत्थर के शिलालेख, D) मंदिर की नक्काशी</v>
      </c>
      <c r="I164" s="5" t="str">
        <f>IFERROR(__xludf.DUMMYFUNCTION("GOOGLETRANSLATE(D164, ""en"", ""hi"")"),"A) मौखिक परंपराएँ")</f>
        <v>A) मौखिक परंपराएँ</v>
      </c>
    </row>
    <row r="165" ht="22.5" customHeight="1">
      <c r="A165" s="3">
        <v>164.0</v>
      </c>
      <c r="B165" s="4" t="s">
        <v>12402</v>
      </c>
      <c r="C165" s="4" t="s">
        <v>12403</v>
      </c>
      <c r="D165" s="4" t="s">
        <v>12404</v>
      </c>
      <c r="F165" s="5" t="str">
        <f>IFERROR(__xludf.DUMMYFUNCTION("GOOGLETRANSLATE(A165, ""en"", ""hi"")"),"164")</f>
        <v>164</v>
      </c>
      <c r="G165" s="5" t="str">
        <f>IFERROR(__xludf.DUMMYFUNCTION("GOOGLETRANSLATE(B165, ""en"", ""hi"")"),"थांग-ता ने मणिपुरी स्वतंत्रता संग्राम में किस प्रकार योगदान दिया?")</f>
        <v>थांग-ता ने मणिपुरी स्वतंत्रता संग्राम में किस प्रकार योगदान दिया?</v>
      </c>
      <c r="H165" s="5" t="str">
        <f>IFERROR(__xludf.DUMMYFUNCTION("GOOGLETRANSLATE(C165, ""en"", ""hi"")"),"A) आत्मरक्षा के साधन के रूप में, B) प्रतिरोध का प्रतीक बनकर, C) विद्रोही सेनाएं बनाकर, D) सांस्कृतिक गौरव का प्रसार करके")</f>
        <v>A) आत्मरक्षा के साधन के रूप में, B) प्रतिरोध का प्रतीक बनकर, C) विद्रोही सेनाएं बनाकर, D) सांस्कृतिक गौरव का प्रसार करके</v>
      </c>
      <c r="I165" s="5" t="str">
        <f>IFERROR(__xludf.DUMMYFUNCTION("GOOGLETRANSLATE(D165, ""en"", ""hi"")"),"B) प्रतिरोध का प्रतीक बनाकर")</f>
        <v>B) प्रतिरोध का प्रतीक बनाकर</v>
      </c>
    </row>
    <row r="166" ht="22.5" customHeight="1">
      <c r="A166" s="3">
        <v>165.0</v>
      </c>
      <c r="B166" s="4" t="s">
        <v>12405</v>
      </c>
      <c r="C166" s="4" t="s">
        <v>12406</v>
      </c>
      <c r="D166" s="4" t="s">
        <v>7560</v>
      </c>
      <c r="F166" s="5" t="str">
        <f>IFERROR(__xludf.DUMMYFUNCTION("GOOGLETRANSLATE(A166, ""en"", ""hi"")"),"165")</f>
        <v>165</v>
      </c>
      <c r="G166" s="5" t="str">
        <f>IFERROR(__xludf.DUMMYFUNCTION("GOOGLETRANSLATE(B166, ""en"", ""hi"")"),"किस औपनिवेशिक शक्ति ने थांग-ता प्रथाओं को दबाने की कोशिश की?")</f>
        <v>किस औपनिवेशिक शक्ति ने थांग-ता प्रथाओं को दबाने की कोशिश की?</v>
      </c>
      <c r="H166" s="5" t="str">
        <f>IFERROR(__xludf.DUMMYFUNCTION("GOOGLETRANSLATE(C166, ""en"", ""hi"")"),"A) पुर्तगाली, B) फ्रांसीसी, C) ब्रिटिश, D) डच")</f>
        <v>A) पुर्तगाली, B) फ्रांसीसी, C) ब्रिटिश, D) डच</v>
      </c>
      <c r="I166" s="5" t="str">
        <f>IFERROR(__xludf.DUMMYFUNCTION("GOOGLETRANSLATE(D166, ""en"", ""hi"")"),"C) ब्रिटिश")</f>
        <v>C) ब्रिटिश</v>
      </c>
    </row>
    <row r="167" ht="22.5" customHeight="1">
      <c r="A167" s="3">
        <v>166.0</v>
      </c>
      <c r="B167" s="4" t="s">
        <v>12407</v>
      </c>
      <c r="C167" s="4" t="s">
        <v>12408</v>
      </c>
      <c r="D167" s="4" t="s">
        <v>12409</v>
      </c>
      <c r="F167" s="5" t="str">
        <f>IFERROR(__xludf.DUMMYFUNCTION("GOOGLETRANSLATE(A167, ""en"", ""hi"")"),"166")</f>
        <v>166</v>
      </c>
      <c r="G167" s="5" t="str">
        <f>IFERROR(__xludf.DUMMYFUNCTION("GOOGLETRANSLATE(B167, ""en"", ""hi"")"),"20वीं सदी में थांग-ता में रुचि के पुनरुत्थान का श्रेय किसे दिया जाता है?")</f>
        <v>20वीं सदी में थांग-ता में रुचि के पुनरुत्थान का श्रेय किसे दिया जाता है?</v>
      </c>
      <c r="H167" s="5" t="str">
        <f>IFERROR(__xludf.DUMMYFUNCTION("GOOGLETRANSLATE(C167, ""en"", ""hi"")"),"ए) राजकुमार सनाजाओबा, बी) हाओबाम सोमोरेंड्रो, सी) नोंगमेइकापम गंभीर सिंह, डी) अरिबम स्याम शर्मा")</f>
        <v>ए) राजकुमार सनाजाओबा, बी) हाओबाम सोमोरेंड्रो, सी) नोंगमेइकापम गंभीर सिंह, डी) अरिबम स्याम शर्मा</v>
      </c>
      <c r="I167" s="5" t="str">
        <f>IFERROR(__xludf.DUMMYFUNCTION("GOOGLETRANSLATE(D167, ""en"", ""hi"")"),"C) नोंग्मीकापम गंभीर सिंह")</f>
        <v>C) नोंग्मीकापम गंभीर सिंह</v>
      </c>
    </row>
    <row r="168" ht="22.5" customHeight="1">
      <c r="A168" s="3">
        <v>167.0</v>
      </c>
      <c r="B168" s="4" t="s">
        <v>12410</v>
      </c>
      <c r="C168" s="4" t="s">
        <v>12411</v>
      </c>
      <c r="D168" s="4" t="s">
        <v>12159</v>
      </c>
      <c r="F168" s="5" t="str">
        <f>IFERROR(__xludf.DUMMYFUNCTION("GOOGLETRANSLATE(A168, ""en"", ""hi"")"),"167")</f>
        <v>167</v>
      </c>
      <c r="G168" s="5" t="str">
        <f>IFERROR(__xludf.DUMMYFUNCTION("GOOGLETRANSLATE(B168, ""en"", ""hi"")"),"कौन सा पारंपरिक मणिपुरी नृत्य अक्सर थांग-ता के साथ किया जाता है?")</f>
        <v>कौन सा पारंपरिक मणिपुरी नृत्य अक्सर थांग-ता के साथ किया जाता है?</v>
      </c>
      <c r="H168" s="5" t="str">
        <f>IFERROR(__xludf.DUMMYFUNCTION("GOOGLETRANSLATE(C168, ""en"", ""hi"")"),"ए) पुंग चोलोम, बी) रास लीला, सी) मैबी नृत्य, डी) खंबा थोइबी")</f>
        <v>ए) पुंग चोलोम, बी) रास लीला, सी) मैबी नृत्य, डी) खंबा थोइबी</v>
      </c>
      <c r="I168" s="5" t="str">
        <f>IFERROR(__xludf.DUMMYFUNCTION("GOOGLETRANSLATE(D168, ""en"", ""hi"")"),"A) पुंग चोलोम")</f>
        <v>A) पुंग चोलोम</v>
      </c>
    </row>
    <row r="169" ht="22.5" customHeight="1">
      <c r="A169" s="3">
        <v>168.0</v>
      </c>
      <c r="B169" s="4" t="s">
        <v>12412</v>
      </c>
      <c r="C169" s="4" t="s">
        <v>12413</v>
      </c>
      <c r="D169" s="4" t="s">
        <v>12414</v>
      </c>
      <c r="F169" s="5" t="str">
        <f>IFERROR(__xludf.DUMMYFUNCTION("GOOGLETRANSLATE(A169, ""en"", ""hi"")"),"168")</f>
        <v>168</v>
      </c>
      <c r="G169" s="5" t="str">
        <f>IFERROR(__xludf.DUMMYFUNCTION("GOOGLETRANSLATE(B169, ""en"", ""hi"")"),"1891 के एंग्लो-मणिपुरी युद्ध के दौरान थांग-ता ने क्या भूमिका निभाई?")</f>
        <v>1891 के एंग्लो-मणिपुरी युद्ध के दौरान थांग-ता ने क्या भूमिका निभाई?</v>
      </c>
      <c r="H169" s="5" t="str">
        <f>IFERROR(__xludf.DUMMYFUNCTION("GOOGLETRANSLATE(C169, ""en"", ""hi"")"),"A) इसका प्रयोग औपचारिक प्रयोजनों के लिए किया जाता था, B) इसका प्रयोग युद्ध तकनीक के रूप में किया जाता था, C) युद्ध के दौरान इस पर प्रतिबंध लगा दिया गया था, D) इसका प्रयोग मनोबल बढ़ाने के लिए किया जाता था")</f>
        <v>A) इसका प्रयोग औपचारिक प्रयोजनों के लिए किया जाता था, B) इसका प्रयोग युद्ध तकनीक के रूप में किया जाता था, C) युद्ध के दौरान इस पर प्रतिबंध लगा दिया गया था, D) इसका प्रयोग मनोबल बढ़ाने के लिए किया जाता था</v>
      </c>
      <c r="I169" s="5" t="str">
        <f>IFERROR(__xludf.DUMMYFUNCTION("GOOGLETRANSLATE(D169, ""en"", ""hi"")"),"B) इसका उपयोग युद्ध तकनीक के रूप में किया गया था")</f>
        <v>B) इसका उपयोग युद्ध तकनीक के रूप में किया गया था</v>
      </c>
    </row>
    <row r="170" ht="22.5" customHeight="1">
      <c r="A170" s="3">
        <v>169.0</v>
      </c>
      <c r="B170" s="4" t="s">
        <v>12415</v>
      </c>
      <c r="C170" s="4" t="s">
        <v>12416</v>
      </c>
      <c r="D170" s="4" t="s">
        <v>12417</v>
      </c>
      <c r="F170" s="5" t="str">
        <f>IFERROR(__xludf.DUMMYFUNCTION("GOOGLETRANSLATE(A170, ""en"", ""hi"")"),"169")</f>
        <v>169</v>
      </c>
      <c r="G170" s="5" t="str">
        <f>IFERROR(__xludf.DUMMYFUNCTION("GOOGLETRANSLATE(B170, ""en"", ""hi"")"),"थांग-ता में पारंपरिक मेइती 'हुयेन लाललोंग' का उद्देश्य क्या है?")</f>
        <v>थांग-ता में पारंपरिक मेइती 'हुयेन लाललोंग' का उद्देश्य क्या है?</v>
      </c>
      <c r="H170" s="5" t="str">
        <f>IFERROR(__xludf.DUMMYFUNCTION("GOOGLETRANSLATE(C170, ""en"", ""hi"")"),"A) यह एक दार्शनिक शिक्षा है, B) यह एक औपचारिक अनुष्ठान है, C) यह एक तलवार तकनीक है, D) यह एक युद्ध अभ्यास है")</f>
        <v>A) यह एक दार्शनिक शिक्षा है, B) यह एक औपचारिक अनुष्ठान है, C) यह एक तलवार तकनीक है, D) यह एक युद्ध अभ्यास है</v>
      </c>
      <c r="I170" s="5" t="str">
        <f>IFERROR(__xludf.DUMMYFUNCTION("GOOGLETRANSLATE(D170, ""en"", ""hi"")"),"A) यह एक दार्शनिक शिक्षा है")</f>
        <v>A) यह एक दार्शनिक शिक्षा है</v>
      </c>
    </row>
    <row r="171" ht="22.5" customHeight="1">
      <c r="A171" s="3">
        <v>170.0</v>
      </c>
      <c r="B171" s="4" t="s">
        <v>12418</v>
      </c>
      <c r="C171" s="4" t="s">
        <v>12419</v>
      </c>
      <c r="D171" s="4" t="s">
        <v>12420</v>
      </c>
      <c r="F171" s="5" t="str">
        <f>IFERROR(__xludf.DUMMYFUNCTION("GOOGLETRANSLATE(A171, ""en"", ""hi"")"),"170")</f>
        <v>170</v>
      </c>
      <c r="G171" s="5" t="str">
        <f>IFERROR(__xludf.DUMMYFUNCTION("GOOGLETRANSLATE(B171, ""en"", ""hi"")"),"थांग-ता प्रदर्शन के माध्यम से किस मणिपुरी देवता का सम्मान किया जाता है?")</f>
        <v>थांग-ता प्रदर्शन के माध्यम से किस मणिपुरी देवता का सम्मान किया जाता है?</v>
      </c>
      <c r="H171" s="5" t="str">
        <f>IFERROR(__xludf.DUMMYFUNCTION("GOOGLETRANSLATE(C171, ""en"", ""hi"")"),"ए) सनमही, बी) विष्णु, सी) शिव, डी) दुर्गा")</f>
        <v>ए) सनमही, बी) विष्णु, सी) शिव, डी) दुर्गा</v>
      </c>
      <c r="I171" s="5" t="str">
        <f>IFERROR(__xludf.DUMMYFUNCTION("GOOGLETRANSLATE(D171, ""en"", ""hi"")"),"A) सनामाही")</f>
        <v>A) सनामाही</v>
      </c>
    </row>
    <row r="172" ht="22.5" customHeight="1">
      <c r="A172" s="3">
        <v>171.0</v>
      </c>
      <c r="B172" s="4" t="s">
        <v>12421</v>
      </c>
      <c r="C172" s="4" t="s">
        <v>12422</v>
      </c>
      <c r="D172" s="4" t="s">
        <v>12423</v>
      </c>
      <c r="F172" s="5" t="str">
        <f>IFERROR(__xludf.DUMMYFUNCTION("GOOGLETRANSLATE(A172, ""en"", ""hi"")"),"171")</f>
        <v>171</v>
      </c>
      <c r="G172" s="5" t="str">
        <f>IFERROR(__xludf.DUMMYFUNCTION("GOOGLETRANSLATE(B172, ""en"", ""hi"")"),"थांग-ता पारंपरिक रूप से मणिपुर में किस योद्धा वर्ग द्वारा प्रचलित था?")</f>
        <v>थांग-ता पारंपरिक रूप से मणिपुर में किस योद्धा वर्ग द्वारा प्रचलित था?</v>
      </c>
      <c r="H172" s="5" t="str">
        <f>IFERROR(__xludf.DUMMYFUNCTION("GOOGLETRANSLATE(C172, ""en"", ""hi"")"),"A) लाललोंग योद्धा, B) मेइती शाही रक्षक, C) मारुप योद्धा, D) खुराई कबीला")</f>
        <v>A) लाललोंग योद्धा, B) मेइती शाही रक्षक, C) मारुप योद्धा, D) खुराई कबीला</v>
      </c>
      <c r="I172" s="5" t="str">
        <f>IFERROR(__xludf.DUMMYFUNCTION("GOOGLETRANSLATE(D172, ""en"", ""hi"")"),"बी) मेइतेई रॉयल गार्ड")</f>
        <v>बी) मेइतेई रॉयल गार्ड</v>
      </c>
    </row>
    <row r="173" ht="22.5" customHeight="1">
      <c r="A173" s="3">
        <v>172.0</v>
      </c>
      <c r="B173" s="4" t="s">
        <v>12424</v>
      </c>
      <c r="C173" s="4" t="s">
        <v>12425</v>
      </c>
      <c r="D173" s="4" t="s">
        <v>12426</v>
      </c>
      <c r="F173" s="5" t="str">
        <f>IFERROR(__xludf.DUMMYFUNCTION("GOOGLETRANSLATE(A173, ""en"", ""hi"")"),"172")</f>
        <v>172</v>
      </c>
      <c r="G173" s="5" t="str">
        <f>IFERROR(__xludf.DUMMYFUNCTION("GOOGLETRANSLATE(B173, ""en"", ""hi"")"),"थांग-ता के संबंध में 'सरित-सरक' का क्या महत्व था?")</f>
        <v>थांग-ता के संबंध में 'सरित-सरक' का क्या महत्व था?</v>
      </c>
      <c r="H173" s="5" t="str">
        <f>IFERROR(__xludf.DUMMYFUNCTION("GOOGLETRANSLATE(C173, ""en"", ""hi"")"),"A) यह पैरों की क्रिया प्रणाली थी, B) यह एक आध्यात्मिक अभ्यास था, C) यह अनुष्ठानिक नृत्य का एक रूप था, D) यह एक युद्ध संरचना थी")</f>
        <v>A) यह पैरों की क्रिया प्रणाली थी, B) यह एक आध्यात्मिक अभ्यास था, C) यह अनुष्ठानिक नृत्य का एक रूप था, D) यह एक युद्ध संरचना थी</v>
      </c>
      <c r="I173" s="5" t="str">
        <f>IFERROR(__xludf.DUMMYFUNCTION("GOOGLETRANSLATE(D173, ""en"", ""hi"")"),"A) यह फुटवर्क प्रणाली थी")</f>
        <v>A) यह फुटवर्क प्रणाली थी</v>
      </c>
    </row>
    <row r="174" ht="22.5" customHeight="1">
      <c r="A174" s="3">
        <v>173.0</v>
      </c>
      <c r="B174" s="4" t="s">
        <v>12427</v>
      </c>
      <c r="C174" s="4" t="s">
        <v>12428</v>
      </c>
      <c r="D174" s="4" t="s">
        <v>12153</v>
      </c>
      <c r="F174" s="5" t="str">
        <f>IFERROR(__xludf.DUMMYFUNCTION("GOOGLETRANSLATE(A174, ""en"", ""hi"")"),"173")</f>
        <v>173</v>
      </c>
      <c r="G174" s="5" t="str">
        <f>IFERROR(__xludf.DUMMYFUNCTION("GOOGLETRANSLATE(B174, ""en"", ""hi"")"),"कौन सा ऐतिहासिक मणिपुरी व्यक्ति युद्ध में थांग-ता का उपयोग करने के लिए जाना जाता था?")</f>
        <v>कौन सा ऐतिहासिक मणिपुरी व्यक्ति युद्ध में थांग-ता का उपयोग करने के लिए जाना जाता था?</v>
      </c>
      <c r="H174" s="5" t="str">
        <f>IFERROR(__xludf.DUMMYFUNCTION("GOOGLETRANSLATE(C174, ""en"", ""hi"")"),"ए) मीडिंगु नारा सिंह, बी) महाराजा गंभीर सिंह, सी) महाराजा चंद्रकीर्ति, डी) महाराजा भाग्यचंद्र")</f>
        <v>ए) मीडिंगु नारा सिंह, बी) महाराजा गंभीर सिंह, सी) महाराजा चंद्रकीर्ति, डी) महाराजा भाग्यचंद्र</v>
      </c>
      <c r="I174" s="5" t="str">
        <f>IFERROR(__xludf.DUMMYFUNCTION("GOOGLETRANSLATE(D174, ""en"", ""hi"")"),"बी) महाराजा गंभीर सिंह")</f>
        <v>बी) महाराजा गंभीर सिंह</v>
      </c>
    </row>
    <row r="175" ht="22.5" customHeight="1">
      <c r="A175" s="3">
        <v>174.0</v>
      </c>
      <c r="B175" s="4" t="s">
        <v>12429</v>
      </c>
      <c r="C175" s="4" t="s">
        <v>12430</v>
      </c>
      <c r="D175" s="4" t="s">
        <v>12431</v>
      </c>
      <c r="F175" s="5" t="str">
        <f>IFERROR(__xludf.DUMMYFUNCTION("GOOGLETRANSLATE(A175, ""en"", ""hi"")"),"174")</f>
        <v>174</v>
      </c>
      <c r="G175" s="5" t="str">
        <f>IFERROR(__xludf.DUMMYFUNCTION("GOOGLETRANSLATE(B175, ""en"", ""hi"")"),"ब्रिटिश उपनिवेशवाद के विरुद्ध मणिपुर की रक्षा में थांग-ता ने क्या भूमिका निभाई?")</f>
        <v>ब्रिटिश उपनिवेशवाद के विरुद्ध मणिपुर की रक्षा में थांग-ता ने क्या भूमिका निभाई?</v>
      </c>
      <c r="H175" s="5" t="str">
        <f>IFERROR(__xludf.DUMMYFUNCTION("GOOGLETRANSLATE(C175, ""en"", ""hi"")"),"A) अनुष्ठानिक प्रतीकवाद, B) विद्रोही लड़ाकों का प्रशिक्षण, C) संस्कृति का संरक्षण, D) शांति को बढ़ावा देना")</f>
        <v>A) अनुष्ठानिक प्रतीकवाद, B) विद्रोही लड़ाकों का प्रशिक्षण, C) संस्कृति का संरक्षण, D) शांति को बढ़ावा देना</v>
      </c>
      <c r="I175" s="5" t="str">
        <f>IFERROR(__xludf.DUMMYFUNCTION("GOOGLETRANSLATE(D175, ""en"", ""hi"")"),"बी) विद्रोही लड़ाकों का प्रशिक्षण")</f>
        <v>बी) विद्रोही लड़ाकों का प्रशिक्षण</v>
      </c>
    </row>
    <row r="176" ht="22.5" customHeight="1">
      <c r="A176" s="3">
        <v>175.0</v>
      </c>
      <c r="B176" s="4" t="s">
        <v>12432</v>
      </c>
      <c r="C176" s="4" t="s">
        <v>12433</v>
      </c>
      <c r="D176" s="4" t="s">
        <v>12434</v>
      </c>
      <c r="F176" s="5" t="str">
        <f>IFERROR(__xludf.DUMMYFUNCTION("GOOGLETRANSLATE(A176, ""en"", ""hi"")"),"175")</f>
        <v>175</v>
      </c>
      <c r="G176" s="5" t="str">
        <f>IFERROR(__xludf.DUMMYFUNCTION("GOOGLETRANSLATE(B176, ""en"", ""hi"")"),"प्राचीन काल में थांग-ता प्रशिक्षण का मुख्य उद्देश्य क्या था?")</f>
        <v>प्राचीन काल में थांग-ता प्रशिक्षण का मुख्य उद्देश्य क्या था?</v>
      </c>
      <c r="H176" s="5" t="str">
        <f>IFERROR(__xludf.DUMMYFUNCTION("GOOGLETRANSLATE(C176, ""en"", ""hi"")"),"A) अनुष्ठान प्रथाएँ, B) युद्ध की तैयारी, C) मनोरंजन, D) धार्मिक समारोह")</f>
        <v>A) अनुष्ठान प्रथाएँ, B) युद्ध की तैयारी, C) मनोरंजन, D) धार्मिक समारोह</v>
      </c>
      <c r="I176" s="5" t="str">
        <f>IFERROR(__xludf.DUMMYFUNCTION("GOOGLETRANSLATE(D176, ""en"", ""hi"")"),"बी) युद्ध की तैयारी")</f>
        <v>बी) युद्ध की तैयारी</v>
      </c>
    </row>
    <row r="177" ht="22.5" customHeight="1">
      <c r="A177" s="3">
        <v>176.0</v>
      </c>
      <c r="B177" s="4" t="s">
        <v>12435</v>
      </c>
      <c r="C177" s="4" t="s">
        <v>12436</v>
      </c>
      <c r="D177" s="4" t="s">
        <v>12437</v>
      </c>
      <c r="F177" s="5" t="str">
        <f>IFERROR(__xludf.DUMMYFUNCTION("GOOGLETRANSLATE(A177, ""en"", ""hi"")"),"176")</f>
        <v>176</v>
      </c>
      <c r="G177" s="5" t="str">
        <f>IFERROR(__xludf.DUMMYFUNCTION("GOOGLETRANSLATE(B177, ""en"", ""hi"")"),"भारत की स्वतंत्रता के बाद थांग-टा को संरक्षित करने के लिए किस संगठन की स्थापना की गई थी?")</f>
        <v>भारत की स्वतंत्रता के बाद थांग-टा को संरक्षित करने के लिए किस संगठन की स्थापना की गई थी?</v>
      </c>
      <c r="H177" s="5" t="str">
        <f>IFERROR(__xludf.DUMMYFUNCTION("GOOGLETRANSLATE(C177, ""en"", ""hi"")"),"A) थांग-ता एसोसिएशन ऑफ इंडिया, B) कांगलेई इंडिजिनस मार्शल आर्ट्स एंड कल्चरल सोसाइटी, C) ऑल इंडिया थांग-ता फेडरेशन, D) थांग-ता रिवाइवल मूवमेंट")</f>
        <v>A) थांग-ता एसोसिएशन ऑफ इंडिया, B) कांगलेई इंडिजिनस मार्शल आर्ट्स एंड कल्चरल सोसाइटी, C) ऑल इंडिया थांग-ता फेडरेशन, D) थांग-ता रिवाइवल मूवमेंट</v>
      </c>
      <c r="I177" s="5" t="str">
        <f>IFERROR(__xludf.DUMMYFUNCTION("GOOGLETRANSLATE(D177, ""en"", ""hi"")"),"बी) कांगलेई स्वदेशी मार्शल आर्ट्स और सांस्कृतिक सोसायटी")</f>
        <v>बी) कांगलेई स्वदेशी मार्शल आर्ट्स और सांस्कृतिक सोसायटी</v>
      </c>
    </row>
    <row r="178" ht="22.5" customHeight="1">
      <c r="A178" s="3">
        <v>177.0</v>
      </c>
      <c r="B178" s="4" t="s">
        <v>12438</v>
      </c>
      <c r="C178" s="4" t="s">
        <v>12439</v>
      </c>
      <c r="D178" s="4" t="s">
        <v>12440</v>
      </c>
      <c r="F178" s="5" t="str">
        <f>IFERROR(__xludf.DUMMYFUNCTION("GOOGLETRANSLATE(A178, ""en"", ""hi"")"),"177")</f>
        <v>177</v>
      </c>
      <c r="G178" s="5" t="str">
        <f>IFERROR(__xludf.DUMMYFUNCTION("GOOGLETRANSLATE(B178, ""en"", ""hi"")"),"थांग-ता में 'खडांग थांग' चाल का क्या महत्व है?")</f>
        <v>थांग-ता में 'खडांग थांग' चाल का क्या महत्व है?</v>
      </c>
      <c r="H178" s="5" t="str">
        <f>IFERROR(__xludf.DUMMYFUNCTION("GOOGLETRANSLATE(C178, ""en"", ""hi"")"),"A) एक अवरोधक तकनीक, B) एक अंतिम चाल, C) एक तलवार का प्रहार, D) एक रक्षात्मक मुद्रा")</f>
        <v>A) एक अवरोधक तकनीक, B) एक अंतिम चाल, C) एक तलवार का प्रहार, D) एक रक्षात्मक मुद्रा</v>
      </c>
      <c r="I178" s="5" t="str">
        <f>IFERROR(__xludf.DUMMYFUNCTION("GOOGLETRANSLATE(D178, ""en"", ""hi"")"),"C) तलवार का प्रहार")</f>
        <v>C) तलवार का प्रहार</v>
      </c>
    </row>
    <row r="179" ht="22.5" customHeight="1">
      <c r="A179" s="3">
        <v>178.0</v>
      </c>
      <c r="B179" s="4" t="s">
        <v>12441</v>
      </c>
      <c r="C179" s="4" t="s">
        <v>12442</v>
      </c>
      <c r="D179" s="4" t="s">
        <v>12443</v>
      </c>
      <c r="F179" s="5" t="str">
        <f>IFERROR(__xludf.DUMMYFUNCTION("GOOGLETRANSLATE(A179, ""en"", ""hi"")"),"178")</f>
        <v>178</v>
      </c>
      <c r="G179" s="5" t="str">
        <f>IFERROR(__xludf.DUMMYFUNCTION("GOOGLETRANSLATE(B179, ""en"", ""hi"")"),"कौन सी ऐतिहासिक पांडुलिपि थांग-ता की प्रारंभिक प्रथा का संदर्भ देती है?")</f>
        <v>कौन सी ऐतिहासिक पांडुलिपि थांग-ता की प्रारंभिक प्रथा का संदर्भ देती है?</v>
      </c>
      <c r="H179" s="5" t="str">
        <f>IFERROR(__xludf.DUMMYFUNCTION("GOOGLETRANSLATE(C179, ""en"", ""hi"")"),"ए) चेइथरोल कुंभाबा, बी) मणिपुर पुयस, सी) राजमाला क्रॉनिकल्स, डी) बुरांजिस")</f>
        <v>ए) चेइथरोल कुंभाबा, बी) मणिपुर पुयस, सी) राजमाला क्रॉनिकल्स, डी) बुरांजिस</v>
      </c>
      <c r="I179" s="5" t="str">
        <f>IFERROR(__xludf.DUMMYFUNCTION("GOOGLETRANSLATE(D179, ""en"", ""hi"")"),"A) चेइथारोल कुंभबा")</f>
        <v>A) चेइथारोल कुंभबा</v>
      </c>
    </row>
    <row r="180" ht="22.5" customHeight="1">
      <c r="A180" s="3">
        <v>179.0</v>
      </c>
      <c r="B180" s="4" t="s">
        <v>12444</v>
      </c>
      <c r="C180" s="4" t="s">
        <v>12445</v>
      </c>
      <c r="D180" s="4" t="s">
        <v>12446</v>
      </c>
      <c r="F180" s="5" t="str">
        <f>IFERROR(__xludf.DUMMYFUNCTION("GOOGLETRANSLATE(A180, ""en"", ""hi"")"),"179")</f>
        <v>179</v>
      </c>
      <c r="G180" s="5" t="str">
        <f>IFERROR(__xludf.DUMMYFUNCTION("GOOGLETRANSLATE(B180, ""en"", ""hi"")"),"ब्रिटिश उपनिवेशवादियों ने थांग-ता प्रथाओं को सीमित करने का प्रयास कैसे किया?")</f>
        <v>ब्रिटिश उपनिवेशवादियों ने थांग-ता प्रथाओं को सीमित करने का प्रयास कैसे किया?</v>
      </c>
      <c r="H180" s="5" t="str">
        <f>IFERROR(__xludf.DUMMYFUNCTION("GOOGLETRANSLATE(C180, ""en"", ""hi"")"),"A) हथियारों पर प्रतिबंध लगाकर, B) मार्शल आर्ट को अपराध घोषित करके, C) पश्चिमी शिक्षा को बढ़ावा देकर, D) भारी कर लगाकर")</f>
        <v>A) हथियारों पर प्रतिबंध लगाकर, B) मार्शल आर्ट को अपराध घोषित करके, C) पश्चिमी शिक्षा को बढ़ावा देकर, D) भारी कर लगाकर</v>
      </c>
      <c r="I180" s="5" t="str">
        <f>IFERROR(__xludf.DUMMYFUNCTION("GOOGLETRANSLATE(D180, ""en"", ""hi"")"),"A) हथियारों पर प्रतिबंध के माध्यम से")</f>
        <v>A) हथियारों पर प्रतिबंध के माध्यम से</v>
      </c>
    </row>
    <row r="181" ht="22.5" customHeight="1">
      <c r="A181" s="3">
        <v>180.0</v>
      </c>
      <c r="B181" s="4" t="s">
        <v>12447</v>
      </c>
      <c r="C181" s="4" t="s">
        <v>12448</v>
      </c>
      <c r="D181" s="4" t="s">
        <v>12449</v>
      </c>
      <c r="F181" s="5" t="str">
        <f>IFERROR(__xludf.DUMMYFUNCTION("GOOGLETRANSLATE(A181, ""en"", ""hi"")"),"180")</f>
        <v>180</v>
      </c>
      <c r="G181" s="5" t="str">
        <f>IFERROR(__xludf.DUMMYFUNCTION("GOOGLETRANSLATE(B181, ""en"", ""hi"")"),"कौन सा पारंपरिक मणिपुरी हथियार थांग-ता अभ्यास का केंद्र है?")</f>
        <v>कौन सा पारंपरिक मणिपुरी हथियार थांग-ता अभ्यास का केंद्र है?</v>
      </c>
      <c r="H181" s="5" t="str">
        <f>IFERROR(__xludf.DUMMYFUNCTION("GOOGLETRANSLATE(C181, ""en"", ""hi"")"),"ए) खुखरी, बी) लंबी तलवार, सी) भाला, डी) चक्रम")</f>
        <v>ए) खुखरी, बी) लंबी तलवार, सी) भाला, डी) चक्रम</v>
      </c>
      <c r="I181" s="5" t="str">
        <f>IFERROR(__xludf.DUMMYFUNCTION("GOOGLETRANSLATE(D181, ""en"", ""hi"")"),"बी) लंबी तलवार")</f>
        <v>बी) लंबी तलवार</v>
      </c>
    </row>
    <row r="182" ht="22.5" customHeight="1">
      <c r="A182" s="3">
        <v>181.0</v>
      </c>
      <c r="B182" s="4" t="s">
        <v>12450</v>
      </c>
      <c r="C182" s="4" t="s">
        <v>12451</v>
      </c>
      <c r="D182" s="4" t="s">
        <v>12274</v>
      </c>
      <c r="F182" s="5" t="str">
        <f>IFERROR(__xludf.DUMMYFUNCTION("GOOGLETRANSLATE(A182, ""en"", ""hi"")"),"181")</f>
        <v>181</v>
      </c>
      <c r="G182" s="5" t="str">
        <f>IFERROR(__xludf.DUMMYFUNCTION("GOOGLETRANSLATE(B182, ""en"", ""hi"")"),"18वीं शताब्दी में किस मणिपुरी शासक ने थांग-ता के आध्यात्मिक पहलुओं पर जोर दिया?")</f>
        <v>18वीं शताब्दी में किस मणिपुरी शासक ने थांग-ता के आध्यात्मिक पहलुओं पर जोर दिया?</v>
      </c>
      <c r="H182" s="5" t="str">
        <f>IFERROR(__xludf.DUMMYFUNCTION("GOOGLETRANSLATE(C182, ""en"", ""hi"")"),"ए) महाराजा भाग्यचंद्र सिंह, बी) महाराजा नर सिंह, सी) महाराजा गंभीर सिंह, डी) महाराजा चुराचंद सिंह")</f>
        <v>ए) महाराजा भाग्यचंद्र सिंह, बी) महाराजा नर सिंह, सी) महाराजा गंभीर सिंह, डी) महाराजा चुराचंद सिंह</v>
      </c>
      <c r="I182" s="5" t="str">
        <f>IFERROR(__xludf.DUMMYFUNCTION("GOOGLETRANSLATE(D182, ""en"", ""hi"")"),"ए) महाराजा भाग्यचंद्र सिंह")</f>
        <v>ए) महाराजा भाग्यचंद्र सिंह</v>
      </c>
    </row>
    <row r="183" ht="22.5" customHeight="1">
      <c r="A183" s="3">
        <v>182.0</v>
      </c>
      <c r="B183" s="4" t="s">
        <v>12452</v>
      </c>
      <c r="C183" s="4" t="s">
        <v>12453</v>
      </c>
      <c r="D183" s="4" t="s">
        <v>12454</v>
      </c>
      <c r="F183" s="5" t="str">
        <f>IFERROR(__xludf.DUMMYFUNCTION("GOOGLETRANSLATE(A183, ""en"", ""hi"")"),"182")</f>
        <v>182</v>
      </c>
      <c r="G183" s="5" t="str">
        <f>IFERROR(__xludf.DUMMYFUNCTION("GOOGLETRANSLATE(B183, ""en"", ""hi"")"),"थांग-ता में 'थेंगौ' का ऐतिहासिक महत्व क्या है?")</f>
        <v>थांग-ता में 'थेंगौ' का ऐतिहासिक महत्व क्या है?</v>
      </c>
      <c r="H183" s="5" t="str">
        <f>IFERROR(__xludf.DUMMYFUNCTION("GOOGLETRANSLATE(C183, ""en"", ""hi"")"),"A) दुश्मन को सलामी, B) एक पारंपरिक तलवार की मुद्रा, C) एक विजय अनुष्ठान, D) नृत्य का एक रूप")</f>
        <v>A) दुश्मन को सलामी, B) एक पारंपरिक तलवार की मुद्रा, C) एक विजय अनुष्ठान, D) नृत्य का एक रूप</v>
      </c>
      <c r="I183" s="5" t="str">
        <f>IFERROR(__xludf.DUMMYFUNCTION("GOOGLETRANSLATE(D183, ""en"", ""hi"")"),"बी) एक पारंपरिक तलवार मुद्रा")</f>
        <v>बी) एक पारंपरिक तलवार मुद्रा</v>
      </c>
    </row>
    <row r="184" ht="22.5" customHeight="1">
      <c r="A184" s="3">
        <v>183.0</v>
      </c>
      <c r="B184" s="4" t="s">
        <v>12455</v>
      </c>
      <c r="C184" s="4" t="s">
        <v>12456</v>
      </c>
      <c r="D184" s="4" t="s">
        <v>12457</v>
      </c>
      <c r="F184" s="5" t="str">
        <f>IFERROR(__xludf.DUMMYFUNCTION("GOOGLETRANSLATE(A184, ""en"", ""hi"")"),"183")</f>
        <v>183</v>
      </c>
      <c r="G184" s="5" t="str">
        <f>IFERROR(__xludf.DUMMYFUNCTION("GOOGLETRANSLATE(B184, ""en"", ""hi"")"),"किस सांस्कृतिक क्रांति ने आधुनिक समय में थांग-टा को पुनर्जीवित करने में मदद की?")</f>
        <v>किस सांस्कृतिक क्रांति ने आधुनिक समय में थांग-टा को पुनर्जीवित करने में मदद की?</v>
      </c>
      <c r="H184" s="5" t="str">
        <f>IFERROR(__xludf.DUMMYFUNCTION("GOOGLETRANSLATE(C184, ""en"", ""hi"")"),"A) मणिपुरी सांस्कृतिक पुनर्जागरण, B) भारतीय स्वतंत्रता संग्राम, C) राष्ट्रीय मार्शल आर्ट आंदोलन, D) मैतेई पुनरुत्थान")</f>
        <v>A) मणिपुरी सांस्कृतिक पुनर्जागरण, B) भारतीय स्वतंत्रता संग्राम, C) राष्ट्रीय मार्शल आर्ट आंदोलन, D) मैतेई पुनरुत्थान</v>
      </c>
      <c r="I184" s="5" t="str">
        <f>IFERROR(__xludf.DUMMYFUNCTION("GOOGLETRANSLATE(D184, ""en"", ""hi"")"),"A) मणिपुरी सांस्कृतिक पुनर्जागरण")</f>
        <v>A) मणिपुरी सांस्कृतिक पुनर्जागरण</v>
      </c>
    </row>
    <row r="185" ht="22.5" customHeight="1">
      <c r="A185" s="3">
        <v>184.0</v>
      </c>
      <c r="B185" s="4" t="s">
        <v>12458</v>
      </c>
      <c r="C185" s="4" t="s">
        <v>12459</v>
      </c>
      <c r="D185" s="4" t="s">
        <v>12460</v>
      </c>
      <c r="F185" s="5" t="str">
        <f>IFERROR(__xludf.DUMMYFUNCTION("GOOGLETRANSLATE(A185, ""en"", ""hi"")"),"184")</f>
        <v>184</v>
      </c>
      <c r="G185" s="5" t="str">
        <f>IFERROR(__xludf.DUMMYFUNCTION("GOOGLETRANSLATE(B185, ""en"", ""hi"")"),"थांग-ता को लाई हरोबा उत्सव में कैसे शामिल किया जाता है?")</f>
        <v>थांग-ता को लाई हरोबा उत्सव में कैसे शामिल किया जाता है?</v>
      </c>
      <c r="H185" s="5" t="str">
        <f>IFERROR(__xludf.DUMMYFUNCTION("GOOGLETRANSLATE(C185, ""en"", ""hi"")"),"A) मार्शल कहानी कहने के एक रूप के रूप में, B) नृत्य के एक रूप के रूप में, C) एक अनुष्ठानिक प्रार्थना के रूप में, D) एक प्रतिस्पर्धी खेल के रूप में")</f>
        <v>A) मार्शल कहानी कहने के एक रूप के रूप में, B) नृत्य के एक रूप के रूप में, C) एक अनुष्ठानिक प्रार्थना के रूप में, D) एक प्रतिस्पर्धी खेल के रूप में</v>
      </c>
      <c r="I185" s="5" t="str">
        <f>IFERROR(__xludf.DUMMYFUNCTION("GOOGLETRANSLATE(D185, ""en"", ""hi"")"),"A) मार्शल कहानी कहने के एक रूप के रूप में")</f>
        <v>A) मार्शल कहानी कहने के एक रूप के रूप में</v>
      </c>
    </row>
    <row r="186" ht="22.5" customHeight="1">
      <c r="A186" s="3">
        <v>185.0</v>
      </c>
      <c r="B186" s="4" t="s">
        <v>12461</v>
      </c>
      <c r="C186" s="4" t="s">
        <v>12462</v>
      </c>
      <c r="D186" s="4" t="s">
        <v>12463</v>
      </c>
      <c r="F186" s="5" t="str">
        <f>IFERROR(__xludf.DUMMYFUNCTION("GOOGLETRANSLATE(A186, ""en"", ""hi"")"),"185")</f>
        <v>185</v>
      </c>
      <c r="G186" s="5" t="str">
        <f>IFERROR(__xludf.DUMMYFUNCTION("GOOGLETRANSLATE(B186, ""en"", ""hi"")"),"भारत भर में थांग-ता को बढ़ावा देने के लिए कौन सा आधुनिक संगठन जिम्मेदार है?")</f>
        <v>भारत भर में थांग-ता को बढ़ावा देने के लिए कौन सा आधुनिक संगठन जिम्मेदार है?</v>
      </c>
      <c r="H186" s="5" t="str">
        <f>IFERROR(__xludf.DUMMYFUNCTION("GOOGLETRANSLATE(C186, ""en"", ""hi"")"),"A) भारतीय मार्शल आर्ट फेडरेशन, B) भारतीय थांग-ता फेडरेशन, C) मणिपुरी सांस्कृतिक सोसायटी, D) राष्ट्रीय थांग-ता अकादमी")</f>
        <v>A) भारतीय मार्शल आर्ट फेडरेशन, B) भारतीय थांग-ता फेडरेशन, C) मणिपुरी सांस्कृतिक सोसायटी, D) राष्ट्रीय थांग-ता अकादमी</v>
      </c>
      <c r="I186" s="5" t="str">
        <f>IFERROR(__xludf.DUMMYFUNCTION("GOOGLETRANSLATE(D186, ""en"", ""hi"")"),"बी) थांग-ता फेडरेशन ऑफ इंडिया")</f>
        <v>बी) थांग-ता फेडरेशन ऑफ इंडिया</v>
      </c>
    </row>
    <row r="187" ht="22.5" customHeight="1">
      <c r="A187" s="3">
        <v>186.0</v>
      </c>
      <c r="B187" s="4" t="s">
        <v>12464</v>
      </c>
      <c r="C187" s="4" t="s">
        <v>12465</v>
      </c>
      <c r="D187" s="4" t="s">
        <v>12466</v>
      </c>
      <c r="F187" s="5" t="str">
        <f>IFERROR(__xludf.DUMMYFUNCTION("GOOGLETRANSLATE(A187, ""en"", ""hi"")"),"186")</f>
        <v>186</v>
      </c>
      <c r="G187" s="5" t="str">
        <f>IFERROR(__xludf.DUMMYFUNCTION("GOOGLETRANSLATE(B187, ""en"", ""hi"")"),"थांग-ता अभ्यास में 'थांगलोन' का उद्देश्य क्या है?")</f>
        <v>थांग-ता अभ्यास में 'थांगलोन' का उद्देश्य क्या है?</v>
      </c>
      <c r="H187" s="5" t="str">
        <f>IFERROR(__xludf.DUMMYFUNCTION("GOOGLETRANSLATE(C187, ""en"", ""hi"")"),"A) तलवार प्रशिक्षण, B) आध्यात्मिक ध्यान, C) नृत्य नृत्यकला, D) शक्ति प्रशिक्षण")</f>
        <v>A) तलवार प्रशिक्षण, B) आध्यात्मिक ध्यान, C) नृत्य नृत्यकला, D) शक्ति प्रशिक्षण</v>
      </c>
      <c r="I187" s="5" t="str">
        <f>IFERROR(__xludf.DUMMYFUNCTION("GOOGLETRANSLATE(D187, ""en"", ""hi"")"),"A) तलवार प्रशिक्षण")</f>
        <v>A) तलवार प्रशिक्षण</v>
      </c>
    </row>
    <row r="188" ht="22.5" customHeight="1">
      <c r="A188" s="3">
        <v>187.0</v>
      </c>
      <c r="B188" s="4" t="s">
        <v>12467</v>
      </c>
      <c r="C188" s="4" t="s">
        <v>12468</v>
      </c>
      <c r="D188" s="4" t="s">
        <v>12469</v>
      </c>
      <c r="F188" s="5" t="str">
        <f>IFERROR(__xludf.DUMMYFUNCTION("GOOGLETRANSLATE(A188, ""en"", ""hi"")"),"187")</f>
        <v>187</v>
      </c>
      <c r="G188" s="5" t="str">
        <f>IFERROR(__xludf.DUMMYFUNCTION("GOOGLETRANSLATE(B188, ""en"", ""hi"")"),"किस ऐतिहासिक घटना ने मार्शल थांग-ता प्रथा के पतन को चिह्नित किया?")</f>
        <v>किस ऐतिहासिक घटना ने मार्शल थांग-ता प्रथा के पतन को चिह्नित किया?</v>
      </c>
      <c r="H188" s="5" t="str">
        <f>IFERROR(__xludf.DUMMYFUNCTION("GOOGLETRANSLATE(C188, ""en"", ""hi"")"),"A) मणिपुर पर ब्रिटिश कब्ज़ा, B) भारतीय स्वतंत्रता, C) एंग्लो-मणिपुरी युद्ध, D) मणिपुर पर बर्मा का आक्रमण")</f>
        <v>A) मणिपुर पर ब्रिटिश कब्ज़ा, B) भारतीय स्वतंत्रता, C) एंग्लो-मणिपुरी युद्ध, D) मणिपुर पर बर्मा का आक्रमण</v>
      </c>
      <c r="I188" s="5" t="str">
        <f>IFERROR(__xludf.DUMMYFUNCTION("GOOGLETRANSLATE(D188, ""en"", ""hi"")"),"C) एंग्लो-मणिपुरी युद्ध")</f>
        <v>C) एंग्लो-मणिपुरी युद्ध</v>
      </c>
    </row>
    <row r="189" ht="22.5" customHeight="1">
      <c r="A189" s="3">
        <v>188.0</v>
      </c>
      <c r="B189" s="4" t="s">
        <v>12470</v>
      </c>
      <c r="C189" s="4" t="s">
        <v>12471</v>
      </c>
      <c r="D189" s="4" t="s">
        <v>12372</v>
      </c>
      <c r="F189" s="5" t="str">
        <f>IFERROR(__xludf.DUMMYFUNCTION("GOOGLETRANSLATE(A189, ""en"", ""hi"")"),"188")</f>
        <v>188</v>
      </c>
      <c r="G189" s="5" t="str">
        <f>IFERROR(__xludf.DUMMYFUNCTION("GOOGLETRANSLATE(B189, ""en"", ""hi"")"),"कौन सी मार्शल आर्ट प्रणाली में थांग-ता एक प्रमुख घटक के रूप में शामिल है?")</f>
        <v>कौन सी मार्शल आर्ट प्रणाली में थांग-ता एक प्रमुख घटक के रूप में शामिल है?</v>
      </c>
      <c r="H189" s="5" t="str">
        <f>IFERROR(__xludf.DUMMYFUNCTION("GOOGLETRANSLATE(C189, ""en"", ""hi"")"),"ए) सरित सारक, बी) गटका, सी) कलारीपयट्टु, डी) लाठी खेला")</f>
        <v>ए) सरित सारक, बी) गटका, सी) कलारीपयट्टु, डी) लाठी खेला</v>
      </c>
      <c r="I189" s="5" t="str">
        <f>IFERROR(__xludf.DUMMYFUNCTION("GOOGLETRANSLATE(D189, ""en"", ""hi"")"),"A) सरित सड़क")</f>
        <v>A) सरित सड़क</v>
      </c>
    </row>
    <row r="190" ht="22.5" customHeight="1">
      <c r="A190" s="3">
        <v>189.0</v>
      </c>
      <c r="B190" s="4" t="s">
        <v>12472</v>
      </c>
      <c r="C190" s="4" t="s">
        <v>12473</v>
      </c>
      <c r="D190" s="4" t="s">
        <v>12474</v>
      </c>
      <c r="F190" s="5" t="str">
        <f>IFERROR(__xludf.DUMMYFUNCTION("GOOGLETRANSLATE(A190, ""en"", ""hi"")"),"189")</f>
        <v>189</v>
      </c>
      <c r="G190" s="5" t="str">
        <f>IFERROR(__xludf.DUMMYFUNCTION("GOOGLETRANSLATE(B190, ""en"", ""hi"")"),"आधुनिक समय में थांग-ता को लोकप्रिय बनाने के लिए किस ऐतिहासिक व्यक्ति को जाना जाता है?")</f>
        <v>आधुनिक समय में थांग-ता को लोकप्रिय बनाने के लिए किस ऐतिहासिक व्यक्ति को जाना जाता है?</v>
      </c>
      <c r="H190" s="5" t="str">
        <f>IFERROR(__xludf.DUMMYFUNCTION("GOOGLETRANSLATE(C190, ""en"", ""hi"")"),"ए) गुरु गुलाप सिंह, बी) राजकुमार सनाजाओबा, सी) अरिबम स्याम शर्मा, डी) नोंगमेइकापम गोपाल सिंह")</f>
        <v>ए) गुरु गुलाप सिंह, बी) राजकुमार सनाजाओबा, सी) अरिबम स्याम शर्मा, डी) नोंगमेइकापम गोपाल सिंह</v>
      </c>
      <c r="I190" s="5" t="str">
        <f>IFERROR(__xludf.DUMMYFUNCTION("GOOGLETRANSLATE(D190, ""en"", ""hi"")"),"बी) राजकुमार सनाजाओबा")</f>
        <v>बी) राजकुमार सनाजाओबा</v>
      </c>
    </row>
    <row r="191" ht="22.5" customHeight="1">
      <c r="A191" s="3">
        <v>190.0</v>
      </c>
      <c r="B191" s="4" t="s">
        <v>12475</v>
      </c>
      <c r="C191" s="4" t="s">
        <v>12476</v>
      </c>
      <c r="D191" s="4" t="s">
        <v>10930</v>
      </c>
      <c r="F191" s="5" t="str">
        <f>IFERROR(__xludf.DUMMYFUNCTION("GOOGLETRANSLATE(A191, ""en"", ""hi"")"),"190")</f>
        <v>190</v>
      </c>
      <c r="G191" s="5" t="str">
        <f>IFERROR(__xludf.DUMMYFUNCTION("GOOGLETRANSLATE(B191, ""en"", ""hi"")"),"मणिपुरी समाज में थांग-ता का प्रयोग मुख्यतः किस समूह द्वारा किया जाता था?")</f>
        <v>मणिपुरी समाज में थांग-ता का प्रयोग मुख्यतः किस समूह द्वारा किया जाता था?</v>
      </c>
      <c r="H191" s="5" t="str">
        <f>IFERROR(__xludf.DUMMYFUNCTION("GOOGLETRANSLATE(C191, ""en"", ""hi"")"),"A) किसान, B) योद्धा, C) मछुआरे, D) पुजारी")</f>
        <v>A) किसान, B) योद्धा, C) मछुआरे, D) पुजारी</v>
      </c>
      <c r="I191" s="5" t="str">
        <f>IFERROR(__xludf.DUMMYFUNCTION("GOOGLETRANSLATE(D191, ""en"", ""hi"")"),"बी) योद्धा")</f>
        <v>बी) योद्धा</v>
      </c>
    </row>
    <row r="192" ht="22.5" customHeight="1">
      <c r="A192" s="3">
        <v>191.0</v>
      </c>
      <c r="B192" s="4" t="s">
        <v>12477</v>
      </c>
      <c r="C192" s="4" t="s">
        <v>12478</v>
      </c>
      <c r="D192" s="4" t="s">
        <v>12479</v>
      </c>
      <c r="F192" s="5" t="str">
        <f>IFERROR(__xludf.DUMMYFUNCTION("GOOGLETRANSLATE(A192, ""en"", ""hi"")"),"191")</f>
        <v>191</v>
      </c>
      <c r="G192" s="5" t="str">
        <f>IFERROR(__xludf.DUMMYFUNCTION("GOOGLETRANSLATE(B192, ""en"", ""hi"")"),"थांग-टा की उत्पत्ति किस शताब्दी में मानी जाती है?")</f>
        <v>थांग-टा की उत्पत्ति किस शताब्दी में मानी जाती है?</v>
      </c>
      <c r="H192" s="5" t="str">
        <f>IFERROR(__xludf.DUMMYFUNCTION("GOOGLETRANSLATE(C192, ""en"", ""hi"")"),"A) 7वीं शताब्दी, B) 9वीं शताब्दी, C) 10वीं शताब्दी, D) 12वीं शताब्दी")</f>
        <v>A) 7वीं शताब्दी, B) 9वीं शताब्दी, C) 10वीं शताब्दी, D) 12वीं शताब्दी</v>
      </c>
      <c r="I192" s="5" t="str">
        <f>IFERROR(__xludf.DUMMYFUNCTION("GOOGLETRANSLATE(D192, ""en"", ""hi"")"),"सी) 10वीं शताब्दी")</f>
        <v>सी) 10वीं शताब्दी</v>
      </c>
    </row>
    <row r="193" ht="22.5" customHeight="1">
      <c r="A193" s="3">
        <v>192.0</v>
      </c>
      <c r="B193" s="4" t="s">
        <v>12480</v>
      </c>
      <c r="C193" s="4" t="s">
        <v>12481</v>
      </c>
      <c r="D193" s="4" t="s">
        <v>12482</v>
      </c>
      <c r="F193" s="5" t="str">
        <f>IFERROR(__xludf.DUMMYFUNCTION("GOOGLETRANSLATE(A193, ""en"", ""hi"")"),"192")</f>
        <v>192</v>
      </c>
      <c r="G193" s="5" t="str">
        <f>IFERROR(__xludf.DUMMYFUNCTION("GOOGLETRANSLATE(B193, ""en"", ""hi"")"),"किस महत्वपूर्ण युद्ध ने थांग-ता की प्रभावशीलता को प्रदर्शित किया?")</f>
        <v>किस महत्वपूर्ण युद्ध ने थांग-ता की प्रभावशीलता को प्रदर्शित किया?</v>
      </c>
      <c r="H193" s="5" t="str">
        <f>IFERROR(__xludf.DUMMYFUNCTION("GOOGLETRANSLATE(C193, ""en"", ""hi"")"),"A) खोंगजोम का युद्ध, B) एंग्लो-मणिपुर युद्ध, C) इम्फाल का युद्ध, D) मोरेह का युद्ध")</f>
        <v>A) खोंगजोम का युद्ध, B) एंग्लो-मणिपुर युद्ध, C) इम्फाल का युद्ध, D) मोरेह का युद्ध</v>
      </c>
      <c r="I193" s="5" t="str">
        <f>IFERROR(__xludf.DUMMYFUNCTION("GOOGLETRANSLATE(D193, ""en"", ""hi"")"),"A) खोंगजोम की लड़ाई")</f>
        <v>A) खोंगजोम की लड़ाई</v>
      </c>
    </row>
    <row r="194" ht="22.5" customHeight="1">
      <c r="A194" s="3">
        <v>193.0</v>
      </c>
      <c r="B194" s="4" t="s">
        <v>12483</v>
      </c>
      <c r="C194" s="4" t="s">
        <v>12484</v>
      </c>
      <c r="D194" s="4" t="s">
        <v>7210</v>
      </c>
      <c r="F194" s="5" t="str">
        <f>IFERROR(__xludf.DUMMYFUNCTION("GOOGLETRANSLATE(A194, ""en"", ""hi"")"),"193")</f>
        <v>193</v>
      </c>
      <c r="G194" s="5" t="str">
        <f>IFERROR(__xludf.DUMMYFUNCTION("GOOGLETRANSLATE(B194, ""en"", ""hi"")"),"मणिपुरी इतिहास में किस काल में थांग-ता प्रथा में गिरावट देखी गई?")</f>
        <v>मणिपुरी इतिहास में किस काल में थांग-ता प्रथा में गिरावट देखी गई?</v>
      </c>
      <c r="H194" s="5" t="str">
        <f>IFERROR(__xludf.DUMMYFUNCTION("GOOGLETRANSLATE(C194, ""en"", ""hi"")"),"A) पूर्व-औपनिवेशिक काल, B) ब्रिटिश औपनिवेशिक काल, C) मुगल काल, D) स्वतंत्रता-पश्चात काल")</f>
        <v>A) पूर्व-औपनिवेशिक काल, B) ब्रिटिश औपनिवेशिक काल, C) मुगल काल, D) स्वतंत्रता-पश्चात काल</v>
      </c>
      <c r="I194" s="5" t="str">
        <f>IFERROR(__xludf.DUMMYFUNCTION("GOOGLETRANSLATE(D194, ""en"", ""hi"")"),"बी) ब्रिटिश औपनिवेशिक काल")</f>
        <v>बी) ब्रिटिश औपनिवेशिक काल</v>
      </c>
    </row>
    <row r="195" ht="22.5" customHeight="1">
      <c r="A195" s="3">
        <v>194.0</v>
      </c>
      <c r="B195" s="4" t="s">
        <v>12485</v>
      </c>
      <c r="C195" s="4" t="s">
        <v>12486</v>
      </c>
      <c r="D195" s="4" t="s">
        <v>12153</v>
      </c>
      <c r="F195" s="5" t="str">
        <f>IFERROR(__xludf.DUMMYFUNCTION("GOOGLETRANSLATE(A195, ""en"", ""hi"")"),"194")</f>
        <v>194</v>
      </c>
      <c r="G195" s="5" t="str">
        <f>IFERROR(__xludf.DUMMYFUNCTION("GOOGLETRANSLATE(B195, ""en"", ""hi"")"),"किस मणिपुरी राजा ने थांग-ता कला को बढ़ावा देने में महत्वपूर्ण भूमिका निभाई?")</f>
        <v>किस मणिपुरी राजा ने थांग-ता कला को बढ़ावा देने में महत्वपूर्ण भूमिका निभाई?</v>
      </c>
      <c r="H195" s="5" t="str">
        <f>IFERROR(__xludf.DUMMYFUNCTION("GOOGLETRANSLATE(C195, ""en"", ""hi"")"),"ए) महाराजा मरजीत सिंह, बी) महाराजा गंभीर सिंह, सी) महाराजा चुराचंद सिंह, डी) महाराजा भाग्यचंद्र")</f>
        <v>ए) महाराजा मरजीत सिंह, बी) महाराजा गंभीर सिंह, सी) महाराजा चुराचंद सिंह, डी) महाराजा भाग्यचंद्र</v>
      </c>
      <c r="I195" s="5" t="str">
        <f>IFERROR(__xludf.DUMMYFUNCTION("GOOGLETRANSLATE(D195, ""en"", ""hi"")"),"बी) महाराजा गंभीर सिंह")</f>
        <v>बी) महाराजा गंभीर सिंह</v>
      </c>
    </row>
    <row r="196" ht="22.5" customHeight="1">
      <c r="A196" s="3">
        <v>195.0</v>
      </c>
      <c r="B196" s="4" t="s">
        <v>12487</v>
      </c>
      <c r="C196" s="4" t="s">
        <v>12488</v>
      </c>
      <c r="D196" s="4" t="s">
        <v>12489</v>
      </c>
      <c r="F196" s="5" t="str">
        <f>IFERROR(__xludf.DUMMYFUNCTION("GOOGLETRANSLATE(A196, ""en"", ""hi"")"),"195")</f>
        <v>195</v>
      </c>
      <c r="G196" s="5" t="str">
        <f>IFERROR(__xludf.DUMMYFUNCTION("GOOGLETRANSLATE(B196, ""en"", ""hi"")"),"थांग-ता की प्राचीन प्रथा में प्रयुक्त प्राथमिक हथियार क्या था?")</f>
        <v>थांग-ता की प्राचीन प्रथा में प्रयुक्त प्राथमिक हथियार क्या था?</v>
      </c>
      <c r="H196" s="5" t="str">
        <f>IFERROR(__xludf.DUMMYFUNCTION("GOOGLETRANSLATE(C196, ""en"", ""hi"")"),"A) धनुष और बाण, B) भाला, C) तलवार और ढाल, D) खंजर")</f>
        <v>A) धनुष और बाण, B) भाला, C) तलवार और ढाल, D) खंजर</v>
      </c>
      <c r="I196" s="5" t="str">
        <f>IFERROR(__xludf.DUMMYFUNCTION("GOOGLETRANSLATE(D196, ""en"", ""hi"")"),"C) तलवार और ढाल")</f>
        <v>C) तलवार और ढाल</v>
      </c>
    </row>
    <row r="197" ht="22.5" customHeight="1">
      <c r="A197" s="3">
        <v>196.0</v>
      </c>
      <c r="B197" s="4" t="s">
        <v>12490</v>
      </c>
      <c r="C197" s="4" t="s">
        <v>12491</v>
      </c>
      <c r="D197" s="4" t="s">
        <v>12492</v>
      </c>
      <c r="F197" s="5" t="str">
        <f>IFERROR(__xludf.DUMMYFUNCTION("GOOGLETRANSLATE(A197, ""en"", ""hi"")"),"196")</f>
        <v>196</v>
      </c>
      <c r="G197" s="5" t="str">
        <f>IFERROR(__xludf.DUMMYFUNCTION("GOOGLETRANSLATE(B197, ""en"", ""hi"")"),"थांग-टा किस पड़ोसी क्षेत्र से खतरों की प्रतिक्रिया के रूप में उभरा?")</f>
        <v>थांग-टा किस पड़ोसी क्षेत्र से खतरों की प्रतिक्रिया के रूप में उभरा?</v>
      </c>
      <c r="H197" s="5" t="str">
        <f>IFERROR(__xludf.DUMMYFUNCTION("GOOGLETRANSLATE(C197, ""en"", ""hi"")"),"A) असम, B) बंगाल, C) बर्मा, D) त्रिपुरा")</f>
        <v>A) असम, B) बंगाल, C) बर्मा, D) त्रिपुरा</v>
      </c>
      <c r="I197" s="5" t="str">
        <f>IFERROR(__xludf.DUMMYFUNCTION("GOOGLETRANSLATE(D197, ""en"", ""hi"")"),"C) बर्मा")</f>
        <v>C) बर्मा</v>
      </c>
    </row>
    <row r="198" ht="22.5" customHeight="1">
      <c r="A198" s="3">
        <v>197.0</v>
      </c>
      <c r="B198" s="4" t="s">
        <v>12493</v>
      </c>
      <c r="C198" s="4" t="s">
        <v>12494</v>
      </c>
      <c r="D198" s="4" t="s">
        <v>12086</v>
      </c>
      <c r="F198" s="5" t="str">
        <f>IFERROR(__xludf.DUMMYFUNCTION("GOOGLETRANSLATE(A198, ""en"", ""hi"")"),"197")</f>
        <v>197</v>
      </c>
      <c r="G198" s="5" t="str">
        <f>IFERROR(__xludf.DUMMYFUNCTION("GOOGLETRANSLATE(B198, ""en"", ""hi"")"),"थांग-ता का प्रयोग ऐतिहासिक रूप से योद्धाओं के सम्मान में किस त्यौहार में किया जाता था?")</f>
        <v>थांग-ता का प्रयोग ऐतिहासिक रूप से योद्धाओं के सम्मान में किस त्यौहार में किया जाता था?</v>
      </c>
      <c r="H198" s="5" t="str">
        <f>IFERROR(__xludf.DUMMYFUNCTION("GOOGLETRANSLATE(C198, ""en"", ""hi"")"),"ए) लाई हराओबा, बी) याओशांग, सी) निंगोल चाकोउबा, डी) हेइक्रू हिडोंगबा")</f>
        <v>ए) लाई हराओबा, बी) याओशांग, सी) निंगोल चाकोउबा, डी) हेइक्रू हिडोंगबा</v>
      </c>
      <c r="I198" s="5" t="str">
        <f>IFERROR(__xludf.DUMMYFUNCTION("GOOGLETRANSLATE(D198, ""en"", ""hi"")"),"A) लाई हरोबा")</f>
        <v>A) लाई हरोबा</v>
      </c>
    </row>
    <row r="199" ht="22.5" customHeight="1">
      <c r="A199" s="3">
        <v>198.0</v>
      </c>
      <c r="B199" s="4" t="s">
        <v>12495</v>
      </c>
      <c r="C199" s="4" t="s">
        <v>12496</v>
      </c>
      <c r="D199" s="4" t="s">
        <v>2765</v>
      </c>
      <c r="F199" s="5" t="str">
        <f>IFERROR(__xludf.DUMMYFUNCTION("GOOGLETRANSLATE(A199, ""en"", ""hi"")"),"198")</f>
        <v>198</v>
      </c>
      <c r="G199" s="5" t="str">
        <f>IFERROR(__xludf.DUMMYFUNCTION("GOOGLETRANSLATE(B199, ""en"", ""hi"")"),"मणिपुर के ब्रिटिश उपनिवेशीकरण ने थांग-टा के किस पहलू का दमन किया?")</f>
        <v>मणिपुर के ब्रिटिश उपनिवेशीकरण ने थांग-टा के किस पहलू का दमन किया?</v>
      </c>
      <c r="H199" s="5" t="str">
        <f>IFERROR(__xludf.DUMMYFUNCTION("GOOGLETRANSLATE(C199, ""en"", ""hi"")"),"A) हथियार निर्माण, B) अनुष्ठान प्रदर्शन, C) सैन्य प्रशिक्षण, D) सांस्कृतिक संरक्षण")</f>
        <v>A) हथियार निर्माण, B) अनुष्ठान प्रदर्शन, C) सैन्य प्रशिक्षण, D) सांस्कृतिक संरक्षण</v>
      </c>
      <c r="I199" s="5" t="str">
        <f>IFERROR(__xludf.DUMMYFUNCTION("GOOGLETRANSLATE(D199, ""en"", ""hi"")"),"C) सैन्य प्रशिक्षण")</f>
        <v>C) सैन्य प्रशिक्षण</v>
      </c>
    </row>
    <row r="200" ht="22.5" customHeight="1">
      <c r="A200" s="3">
        <v>199.0</v>
      </c>
      <c r="B200" s="4" t="s">
        <v>12497</v>
      </c>
      <c r="C200" s="4" t="s">
        <v>12498</v>
      </c>
      <c r="D200" s="4" t="s">
        <v>12499</v>
      </c>
      <c r="F200" s="5" t="str">
        <f>IFERROR(__xludf.DUMMYFUNCTION("GOOGLETRANSLATE(A200, ""en"", ""hi"")"),"199")</f>
        <v>199</v>
      </c>
      <c r="G200" s="5" t="str">
        <f>IFERROR(__xludf.DUMMYFUNCTION("GOOGLETRANSLATE(B200, ""en"", ""hi"")"),"किस वर्ष अंग्रेजों ने मणिपुर में थांग-ता प्रथा पर आधिकारिक रूप से प्रतिबंध लगाया था?")</f>
        <v>किस वर्ष अंग्रेजों ने मणिपुर में थांग-ता प्रथा पर आधिकारिक रूप से प्रतिबंध लगाया था?</v>
      </c>
      <c r="H200" s="5" t="str">
        <f>IFERROR(__xludf.DUMMYFUNCTION("GOOGLETRANSLATE(C200, ""en"", ""hi"")"),"ए) 1891, बी) 1900, सी) 1912, डी) 1945")</f>
        <v>ए) 1891, बी) 1900, सी) 1912, डी) 1945</v>
      </c>
      <c r="I200" s="5" t="str">
        <f>IFERROR(__xludf.DUMMYFUNCTION("GOOGLETRANSLATE(D200, ""en"", ""hi"")"),"ए) 1891")</f>
        <v>ए) 1891</v>
      </c>
    </row>
    <row r="201" ht="22.5" customHeight="1">
      <c r="A201" s="3">
        <v>200.0</v>
      </c>
      <c r="B201" s="4" t="s">
        <v>12500</v>
      </c>
      <c r="C201" s="4" t="s">
        <v>12501</v>
      </c>
      <c r="D201" s="4" t="s">
        <v>2811</v>
      </c>
      <c r="F201" s="5" t="str">
        <f>IFERROR(__xludf.DUMMYFUNCTION("GOOGLETRANSLATE(A201, ""en"", ""hi"")"),"200")</f>
        <v>200</v>
      </c>
      <c r="G201" s="5" t="str">
        <f>IFERROR(__xludf.DUMMYFUNCTION("GOOGLETRANSLATE(B201, ""en"", ""hi"")"),"पूर्व-औपनिवेशिक काल के दौरान मणिपुरी समाज में थांग-ता की क्या भूमिका थी?")</f>
        <v>पूर्व-औपनिवेशिक काल के दौरान मणिपुरी समाज में थांग-ता की क्या भूमिका थी?</v>
      </c>
      <c r="H201" s="5" t="str">
        <f>IFERROR(__xludf.DUMMYFUNCTION("GOOGLETRANSLATE(C201, ""en"", ""hi"")"),"A) धार्मिक अनुष्ठान, B) सैन्य प्रशिक्षण, C) शैक्षिक उपकरण, D) कृषि तकनीक")</f>
        <v>A) धार्मिक अनुष्ठान, B) सैन्य प्रशिक्षण, C) शैक्षिक उपकरण, D) कृषि तकनीक</v>
      </c>
      <c r="I201" s="5" t="str">
        <f>IFERROR(__xludf.DUMMYFUNCTION("GOOGLETRANSLATE(D201, ""en"", ""hi"")"),"बी) सैन्य प्रशिक्षण")</f>
        <v>बी) सैन्य प्रशिक्षण</v>
      </c>
    </row>
    <row r="202" ht="22.5" customHeight="1">
      <c r="A202" s="3">
        <v>201.0</v>
      </c>
      <c r="B202" s="4" t="s">
        <v>12502</v>
      </c>
      <c r="C202" s="4" t="s">
        <v>12503</v>
      </c>
      <c r="D202" s="4" t="s">
        <v>12504</v>
      </c>
      <c r="F202" s="5" t="str">
        <f>IFERROR(__xludf.DUMMYFUNCTION("GOOGLETRANSLATE(A202, ""en"", ""hi"")"),"201")</f>
        <v>201</v>
      </c>
      <c r="G202" s="5" t="str">
        <f>IFERROR(__xludf.DUMMYFUNCTION("GOOGLETRANSLATE(B202, ""en"", ""hi"")"),"मौखिक रूप से प्रसारित ज्ञान के किस समूह ने थांग-ता परम्परा का अधिकांश भाग संरक्षित रखा है?")</f>
        <v>मौखिक रूप से प्रसारित ज्ञान के किस समूह ने थांग-ता परम्परा का अधिकांश भाग संरक्षित रखा है?</v>
      </c>
      <c r="H202" s="5" t="str">
        <f>IFERROR(__xludf.DUMMYFUNCTION("GOOGLETRANSLATE(C202, ""en"", ""hi"")"),"ए) पुयस, बी) चेइथारोल कुंभबा, सी) वेद, डी) स्मृतियाँ")</f>
        <v>ए) पुयस, बी) चेइथारोल कुंभबा, सी) वेद, डी) स्मृतियाँ</v>
      </c>
      <c r="I202" s="5" t="str">
        <f>IFERROR(__xludf.DUMMYFUNCTION("GOOGLETRANSLATE(D202, ""en"", ""hi"")"),"ए) पुयास")</f>
        <v>ए) पुयास</v>
      </c>
    </row>
    <row r="203" ht="22.5" customHeight="1">
      <c r="A203" s="3">
        <v>202.0</v>
      </c>
      <c r="B203" s="4" t="s">
        <v>12505</v>
      </c>
      <c r="C203" s="4" t="s">
        <v>12506</v>
      </c>
      <c r="D203" s="4" t="s">
        <v>12507</v>
      </c>
      <c r="F203" s="5" t="str">
        <f>IFERROR(__xludf.DUMMYFUNCTION("GOOGLETRANSLATE(A203, ""en"", ""hi"")"),"202")</f>
        <v>202</v>
      </c>
      <c r="G203" s="5" t="str">
        <f>IFERROR(__xludf.DUMMYFUNCTION("GOOGLETRANSLATE(B203, ""en"", ""hi"")"),"थांग-ता में पारंपरिक मेइतेई 'हुयेन लाललोंग' का क्या महत्व है?")</f>
        <v>थांग-ता में पारंपरिक मेइतेई 'हुयेन लाललोंग' का क्या महत्व है?</v>
      </c>
      <c r="H203" s="5" t="str">
        <f>IFERROR(__xludf.DUMMYFUNCTION("GOOGLETRANSLATE(C203, ""en"", ""hi"")"),"A) युद्ध दर्शन, B) हथियार निर्माण, C) अनुष्ठान प्रदर्शन, D) विजय नृत्य")</f>
        <v>A) युद्ध दर्शन, B) हथियार निर्माण, C) अनुष्ठान प्रदर्शन, D) विजय नृत्य</v>
      </c>
      <c r="I203" s="5" t="str">
        <f>IFERROR(__xludf.DUMMYFUNCTION("GOOGLETRANSLATE(D203, ""en"", ""hi"")"),"A) युद्ध दर्शन")</f>
        <v>A) युद्ध दर्शन</v>
      </c>
    </row>
    <row r="204" ht="22.5" customHeight="1">
      <c r="A204" s="3">
        <v>203.0</v>
      </c>
      <c r="B204" s="4" t="s">
        <v>12508</v>
      </c>
      <c r="C204" s="4" t="s">
        <v>12509</v>
      </c>
      <c r="D204" s="4" t="s">
        <v>12510</v>
      </c>
      <c r="F204" s="5" t="str">
        <f>IFERROR(__xludf.DUMMYFUNCTION("GOOGLETRANSLATE(A204, ""en"", ""hi"")"),"203")</f>
        <v>203</v>
      </c>
      <c r="G204" s="5" t="str">
        <f>IFERROR(__xludf.DUMMYFUNCTION("GOOGLETRANSLATE(B204, ""en"", ""hi"")"),"थांग-ता को पारंपरिक रूप से किस पद्धति से पढ़ाया जाता था?")</f>
        <v>थांग-ता को पारंपरिक रूप से किस पद्धति से पढ़ाया जाता था?</v>
      </c>
      <c r="H204" s="5" t="str">
        <f>IFERROR(__xludf.DUMMYFUNCTION("GOOGLETRANSLATE(C204, ""en"", ""hi"")"),"A) लिखित मैनुअल, B) मौखिक प्रसारण, C) नृत्य कोरियोग्राफी, D) पेंटिंग्स")</f>
        <v>A) लिखित मैनुअल, B) मौखिक प्रसारण, C) नृत्य कोरियोग्राफी, D) पेंटिंग्स</v>
      </c>
      <c r="I204" s="5" t="str">
        <f>IFERROR(__xludf.DUMMYFUNCTION("GOOGLETRANSLATE(D204, ""en"", ""hi"")"),"बी) मौखिक संचरण")</f>
        <v>बी) मौखिक संचरण</v>
      </c>
    </row>
    <row r="205" ht="22.5" customHeight="1">
      <c r="A205" s="3">
        <v>204.0</v>
      </c>
      <c r="B205" s="4" t="s">
        <v>12511</v>
      </c>
      <c r="C205" s="4" t="s">
        <v>12512</v>
      </c>
      <c r="D205" s="4" t="s">
        <v>12513</v>
      </c>
      <c r="F205" s="5" t="str">
        <f>IFERROR(__xludf.DUMMYFUNCTION("GOOGLETRANSLATE(A205, ""en"", ""hi"")"),"204")</f>
        <v>204</v>
      </c>
      <c r="G205" s="5" t="str">
        <f>IFERROR(__xludf.DUMMYFUNCTION("GOOGLETRANSLATE(B205, ""en"", ""hi"")"),"कौन सा मणिपुरी राज्य अपनी सैन्य शक्ति के लिए जाना जाता था जिसमें थांग-ता तकनीक शामिल थी?")</f>
        <v>कौन सा मणिपुरी राज्य अपनी सैन्य शक्ति के लिए जाना जाता था जिसमें थांग-ता तकनीक शामिल थी?</v>
      </c>
      <c r="H205" s="5" t="str">
        <f>IFERROR(__xludf.DUMMYFUNCTION("GOOGLETRANSLATE(C205, ""en"", ""hi"")"),"ए) कांगलेइपाक, बी) त्रिपुरा, सी) कछार, डी) अहोम")</f>
        <v>ए) कांगलेइपाक, बी) त्रिपुरा, सी) कछार, डी) अहोम</v>
      </c>
      <c r="I205" s="5" t="str">
        <f>IFERROR(__xludf.DUMMYFUNCTION("GOOGLETRANSLATE(D205, ""en"", ""hi"")"),"A) कांगलेईपाक")</f>
        <v>A) कांगलेईपाक</v>
      </c>
    </row>
    <row r="206" ht="22.5" customHeight="1">
      <c r="A206" s="3">
        <v>205.0</v>
      </c>
      <c r="B206" s="4" t="s">
        <v>12514</v>
      </c>
      <c r="C206" s="4" t="s">
        <v>12515</v>
      </c>
      <c r="D206" s="4" t="s">
        <v>12516</v>
      </c>
      <c r="F206" s="5" t="str">
        <f>IFERROR(__xludf.DUMMYFUNCTION("GOOGLETRANSLATE(A206, ""en"", ""hi"")"),"205")</f>
        <v>205</v>
      </c>
      <c r="G206" s="5" t="str">
        <f>IFERROR(__xludf.DUMMYFUNCTION("GOOGLETRANSLATE(B206, ""en"", ""hi"")"),"थांग-ता योद्धा किस आंदोलन के असाधारण उपयोग के लिए जाने जाते थे?")</f>
        <v>थांग-ता योद्धा किस आंदोलन के असाधारण उपयोग के लिए जाने जाते थे?</v>
      </c>
      <c r="H206" s="5" t="str">
        <f>IFERROR(__xludf.DUMMYFUNCTION("GOOGLETRANSLATE(C206, ""en"", ""hi"")"),"A) वृत्ताकार गतियाँ, B) रैखिक हमले, C) हवाई युद्ध, D) गुप्त तकनीकें")</f>
        <v>A) वृत्ताकार गतियाँ, B) रैखिक हमले, C) हवाई युद्ध, D) गुप्त तकनीकें</v>
      </c>
      <c r="I206" s="5" t="str">
        <f>IFERROR(__xludf.DUMMYFUNCTION("GOOGLETRANSLATE(D206, ""en"", ""hi"")"),"A) वृत्ताकार गतियाँ")</f>
        <v>A) वृत्ताकार गतियाँ</v>
      </c>
    </row>
    <row r="207" ht="22.5" customHeight="1">
      <c r="A207" s="3">
        <v>206.0</v>
      </c>
      <c r="B207" s="4" t="s">
        <v>12517</v>
      </c>
      <c r="C207" s="4" t="s">
        <v>12518</v>
      </c>
      <c r="D207" s="4" t="s">
        <v>12519</v>
      </c>
      <c r="F207" s="5" t="str">
        <f>IFERROR(__xludf.DUMMYFUNCTION("GOOGLETRANSLATE(A207, ""en"", ""hi"")"),"206")</f>
        <v>206</v>
      </c>
      <c r="G207" s="5" t="str">
        <f>IFERROR(__xludf.DUMMYFUNCTION("GOOGLETRANSLATE(B207, ""en"", ""hi"")"),"मणिपुरी सांस्कृतिक पहचान के संरक्षण में थांग-ता की क्या भूमिका थी?")</f>
        <v>मणिपुरी सांस्कृतिक पहचान के संरक्षण में थांग-ता की क्या भूमिका थी?</v>
      </c>
      <c r="H207" s="5" t="str">
        <f>IFERROR(__xludf.DUMMYFUNCTION("GOOGLETRANSLATE(C207, ""en"", ""hi"")"),"A) यह प्रतिरोध का प्रतीक बन गया, B) इसे अंग्रेजों ने प्रतिबंधित कर दिया, C) इसे शिक्षा में शामिल कर लिया गया, D) यह एक धार्मिक नृत्य के रूप में विकसित हो गया")</f>
        <v>A) यह प्रतिरोध का प्रतीक बन गया, B) इसे अंग्रेजों ने प्रतिबंधित कर दिया, C) इसे शिक्षा में शामिल कर लिया गया, D) यह एक धार्मिक नृत्य के रूप में विकसित हो गया</v>
      </c>
      <c r="I207" s="5" t="str">
        <f>IFERROR(__xludf.DUMMYFUNCTION("GOOGLETRANSLATE(D207, ""en"", ""hi"")"),"A) यह प्रतिरोध का प्रतीक बन गया")</f>
        <v>A) यह प्रतिरोध का प्रतीक बन गया</v>
      </c>
    </row>
    <row r="208" ht="22.5" customHeight="1">
      <c r="A208" s="3">
        <v>207.0</v>
      </c>
      <c r="B208" s="4" t="s">
        <v>12520</v>
      </c>
      <c r="C208" s="4" t="s">
        <v>12521</v>
      </c>
      <c r="D208" s="4" t="s">
        <v>12522</v>
      </c>
      <c r="F208" s="5" t="str">
        <f>IFERROR(__xludf.DUMMYFUNCTION("GOOGLETRANSLATE(A208, ""en"", ""hi"")"),"207")</f>
        <v>207</v>
      </c>
      <c r="G208" s="5" t="str">
        <f>IFERROR(__xludf.DUMMYFUNCTION("GOOGLETRANSLATE(B208, ""en"", ""hi"")"),"थांग-ता की जड़ें मणिपुरी मार्शल आर्ट के किस प्राचीन रूप में हैं?")</f>
        <v>थांग-ता की जड़ें मणिपुरी मार्शल आर्ट के किस प्राचीन रूप में हैं?</v>
      </c>
      <c r="H208" s="5" t="str">
        <f>IFERROR(__xludf.DUMMYFUNCTION("GOOGLETRANSLATE(C208, ""en"", ""hi"")"),"ए) हुयेन लाललोंग, बी) गतका, सी) सिलंबम, डी) वर्मा कलाई")</f>
        <v>ए) हुयेन लाललोंग, बी) गतका, सी) सिलंबम, डी) वर्मा कलाई</v>
      </c>
      <c r="I208" s="5" t="str">
        <f>IFERROR(__xludf.DUMMYFUNCTION("GOOGLETRANSLATE(D208, ""en"", ""hi"")"),"A) हुएन लाललोंग")</f>
        <v>A) हुएन लाललोंग</v>
      </c>
    </row>
    <row r="209" ht="22.5" customHeight="1">
      <c r="A209" s="3">
        <v>208.0</v>
      </c>
      <c r="B209" s="4" t="s">
        <v>12523</v>
      </c>
      <c r="C209" s="4" t="s">
        <v>12524</v>
      </c>
      <c r="D209" s="4" t="s">
        <v>12525</v>
      </c>
      <c r="F209" s="5" t="str">
        <f>IFERROR(__xludf.DUMMYFUNCTION("GOOGLETRANSLATE(A209, ""en"", ""hi"")"),"208")</f>
        <v>208</v>
      </c>
      <c r="G209" s="5" t="str">
        <f>IFERROR(__xludf.DUMMYFUNCTION("GOOGLETRANSLATE(B209, ""en"", ""hi"")"),"19वीं शताब्दी के दौरान शाही दरबारों में थांग-ता प्रथा का उद्देश्य क्या था?")</f>
        <v>19वीं शताब्दी के दौरान शाही दरबारों में थांग-ता प्रथा का उद्देश्य क्या था?</v>
      </c>
      <c r="H209" s="5" t="str">
        <f>IFERROR(__xludf.DUMMYFUNCTION("GOOGLETRANSLATE(C209, ""en"", ""hi"")"),"A) मनोरंजन, B) युद्ध की तैयारी, C) धार्मिक अनुष्ठान, D) राजनयिक प्रशिक्षण")</f>
        <v>A) मनोरंजन, B) युद्ध की तैयारी, C) धार्मिक अनुष्ठान, D) राजनयिक प्रशिक्षण</v>
      </c>
      <c r="I209" s="5" t="str">
        <f>IFERROR(__xludf.DUMMYFUNCTION("GOOGLETRANSLATE(D209, ""en"", ""hi"")"),"बी) युद्ध की तैयारी")</f>
        <v>बी) युद्ध की तैयारी</v>
      </c>
    </row>
    <row r="210" ht="22.5" customHeight="1">
      <c r="A210" s="3">
        <v>209.0</v>
      </c>
      <c r="B210" s="4" t="s">
        <v>12526</v>
      </c>
      <c r="C210" s="4" t="s">
        <v>12527</v>
      </c>
      <c r="D210" s="4" t="s">
        <v>12528</v>
      </c>
      <c r="F210" s="5" t="str">
        <f>IFERROR(__xludf.DUMMYFUNCTION("GOOGLETRANSLATE(A210, ""en"", ""hi"")"),"209")</f>
        <v>209</v>
      </c>
      <c r="G210" s="5" t="str">
        <f>IFERROR(__xludf.DUMMYFUNCTION("GOOGLETRANSLATE(B210, ""en"", ""hi"")"),"लाई हरोबा त्यौहार में थांग-ता का प्रयोग किसका प्रतीक है?")</f>
        <v>लाई हरोबा त्यौहार में थांग-ता का प्रयोग किसका प्रतीक है?</v>
      </c>
      <c r="H210" s="5" t="str">
        <f>IFERROR(__xludf.DUMMYFUNCTION("GOOGLETRANSLATE(C210, ""en"", ""hi"")"),"A) शांति और समृद्धि, B) योद्धा भावना, C) धार्मिक भक्ति, D) सामुदायिक एकता")</f>
        <v>A) शांति और समृद्धि, B) योद्धा भावना, C) धार्मिक भक्ति, D) सामुदायिक एकता</v>
      </c>
      <c r="I210" s="5" t="str">
        <f>IFERROR(__xludf.DUMMYFUNCTION("GOOGLETRANSLATE(D210, ""en"", ""hi"")"),"बी) योद्धा भावना")</f>
        <v>बी) योद्धा भावना</v>
      </c>
    </row>
    <row r="211" ht="22.5" customHeight="1">
      <c r="A211" s="3">
        <v>210.0</v>
      </c>
      <c r="B211" s="4" t="s">
        <v>12529</v>
      </c>
      <c r="C211" s="4" t="s">
        <v>12530</v>
      </c>
      <c r="D211" s="4" t="s">
        <v>12531</v>
      </c>
      <c r="F211" s="5" t="str">
        <f>IFERROR(__xludf.DUMMYFUNCTION("GOOGLETRANSLATE(A211, ""en"", ""hi"")"),"210")</f>
        <v>210</v>
      </c>
      <c r="G211" s="5" t="str">
        <f>IFERROR(__xludf.DUMMYFUNCTION("GOOGLETRANSLATE(B211, ""en"", ""hi"")"),"थांग-ता में प्रशिक्षित मणिपुरी योद्धाओं ने किन विदेशी आक्रमणकारियों का विरोध किया?")</f>
        <v>थांग-ता में प्रशिक्षित मणिपुरी योद्धाओं ने किन विदेशी आक्रमणकारियों का विरोध किया?</v>
      </c>
      <c r="H211" s="5" t="str">
        <f>IFERROR(__xludf.DUMMYFUNCTION("GOOGLETRANSLATE(C211, ""en"", ""hi"")"),"A) पुर्तगाली, B) मुगल, C) ब्रिटिश, D) बर्मी")</f>
        <v>A) पुर्तगाली, B) मुगल, C) ब्रिटिश, D) बर्मी</v>
      </c>
      <c r="I211" s="5" t="str">
        <f>IFERROR(__xludf.DUMMYFUNCTION("GOOGLETRANSLATE(D211, ""en"", ""hi"")"),"D) बर्मी")</f>
        <v>D) बर्मी</v>
      </c>
    </row>
    <row r="212" ht="22.5" customHeight="1">
      <c r="A212" s="3">
        <v>211.0</v>
      </c>
      <c r="B212" s="4" t="s">
        <v>12532</v>
      </c>
      <c r="C212" s="4" t="s">
        <v>12533</v>
      </c>
      <c r="D212" s="4" t="s">
        <v>12534</v>
      </c>
      <c r="F212" s="5" t="str">
        <f>IFERROR(__xludf.DUMMYFUNCTION("GOOGLETRANSLATE(A212, ""en"", ""hi"")"),"211")</f>
        <v>211</v>
      </c>
      <c r="G212" s="5" t="str">
        <f>IFERROR(__xludf.DUMMYFUNCTION("GOOGLETRANSLATE(B212, ""en"", ""hi"")"),"1891 के एंग्लो-मणिपुर युद्ध में थांग-टा का क्या महत्व था?")</f>
        <v>1891 के एंग्लो-मणिपुर युद्ध में थांग-टा का क्या महत्व था?</v>
      </c>
      <c r="H212" s="5" t="str">
        <f>IFERROR(__xludf.DUMMYFUNCTION("GOOGLETRANSLATE(C212, ""en"", ""hi"")"),"A)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f>
        <v>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v>
      </c>
      <c r="I212" s="5" t="str">
        <f>IFERROR(__xludf.DUMMYFUNCTION("GOOGLETRANSLATE(D212, ""en"", ""hi"")"),"B) इसका उपयोग युद्ध के मैदान में किया जाता था")</f>
        <v>B) इसका उपयोग युद्ध के मैदान में किया जाता था</v>
      </c>
    </row>
    <row r="213" ht="22.5" customHeight="1">
      <c r="A213" s="3">
        <v>212.0</v>
      </c>
      <c r="B213" s="4" t="s">
        <v>12535</v>
      </c>
      <c r="C213" s="4" t="s">
        <v>12536</v>
      </c>
      <c r="D213" s="4" t="s">
        <v>12537</v>
      </c>
      <c r="F213" s="5" t="str">
        <f>IFERROR(__xludf.DUMMYFUNCTION("GOOGLETRANSLATE(A213, ""en"", ""hi"")"),"212")</f>
        <v>212</v>
      </c>
      <c r="G213" s="5" t="str">
        <f>IFERROR(__xludf.DUMMYFUNCTION("GOOGLETRANSLATE(B213, ""en"", ""hi"")"),"प्राचीन मणिपुर में थांग-ता में प्रशिक्षित योद्धाओं को क्या उपाधि दी जाती थी?")</f>
        <v>प्राचीन मणिपुर में थांग-ता में प्रशिक्षित योद्धाओं को क्या उपाधि दी जाती थी?</v>
      </c>
      <c r="H213" s="5" t="str">
        <f>IFERROR(__xludf.DUMMYFUNCTION("GOOGLETRANSLATE(C213, ""en"", ""hi"")"),"ए) मैतेई मारूप, बी) खोंगनांग, सी) निंगथौ, डी) लाललोंग")</f>
        <v>ए) मैतेई मारूप, बी) खोंगनांग, सी) निंगथौ, डी) लाललोंग</v>
      </c>
      <c r="I213" s="5" t="str">
        <f>IFERROR(__xludf.DUMMYFUNCTION("GOOGLETRANSLATE(D213, ""en"", ""hi"")"),"D) लाललोंग")</f>
        <v>D) लाललोंग</v>
      </c>
    </row>
    <row r="214" ht="22.5" customHeight="1">
      <c r="A214" s="3">
        <v>213.0</v>
      </c>
      <c r="B214" s="4" t="s">
        <v>12538</v>
      </c>
      <c r="C214" s="4" t="s">
        <v>12539</v>
      </c>
      <c r="D214" s="4" t="s">
        <v>12540</v>
      </c>
      <c r="F214" s="5" t="str">
        <f>IFERROR(__xludf.DUMMYFUNCTION("GOOGLETRANSLATE(A214, ""en"", ""hi"")"),"213")</f>
        <v>213</v>
      </c>
      <c r="G214" s="5" t="str">
        <f>IFERROR(__xludf.DUMMYFUNCTION("GOOGLETRANSLATE(B214, ""en"", ""hi"")"),"थांग-ता में प्रशिक्षित 'लालोंग' योद्धाओं की क्या भूमिका थी?")</f>
        <v>थांग-ता में प्रशिक्षित 'लालोंग' योद्धाओं की क्या भूमिका थी?</v>
      </c>
      <c r="H214" s="5" t="str">
        <f>IFERROR(__xludf.DUMMYFUNCTION("GOOGLETRANSLATE(C214, ""en"", ""hi"")"),"A) राज्य की रक्षा, B) धार्मिक अनुष्ठान, C) कृषि कर्तव्य, D) राजनीतिक सलाहकार")</f>
        <v>A) राज्य की रक्षा, B) धार्मिक अनुष्ठान, C) कृषि कर्तव्य, D) राजनीतिक सलाहकार</v>
      </c>
      <c r="I214" s="5" t="str">
        <f>IFERROR(__xludf.DUMMYFUNCTION("GOOGLETRANSLATE(D214, ""en"", ""hi"")"),"A) राज्य की रक्षा")</f>
        <v>A) राज्य की रक्षा</v>
      </c>
    </row>
    <row r="215" ht="22.5" customHeight="1">
      <c r="A215" s="3">
        <v>214.0</v>
      </c>
      <c r="B215" s="4" t="s">
        <v>12541</v>
      </c>
      <c r="C215" s="4" t="s">
        <v>12542</v>
      </c>
      <c r="D215" s="4" t="s">
        <v>12153</v>
      </c>
      <c r="F215" s="5" t="str">
        <f>IFERROR(__xludf.DUMMYFUNCTION("GOOGLETRANSLATE(A215, ""en"", ""hi"")"),"214")</f>
        <v>214</v>
      </c>
      <c r="G215" s="5" t="str">
        <f>IFERROR(__xludf.DUMMYFUNCTION("GOOGLETRANSLATE(B215, ""en"", ""hi"")"),"किस मणिपुरी शासक ने अपनी सेना में थांग-ता के सैन्य प्रयोग को प्रोत्साहित किया?")</f>
        <v>किस मणिपुरी शासक ने अपनी सेना में थांग-ता के सैन्य प्रयोग को प्रोत्साहित किया?</v>
      </c>
      <c r="H215" s="5" t="str">
        <f>IFERROR(__xludf.DUMMYFUNCTION("GOOGLETRANSLATE(C215, ""en"", ""hi"")"),"ए) महाराजा भाग्यचंद्र सिंह, बी) महाराजा गंभीर सिंह, सी) महाराजा चुराचंद सिंह, डी) महाराजा नर सिंह")</f>
        <v>ए) महाराजा भाग्यचंद्र सिंह, बी) महाराजा गंभीर सिंह, सी) महाराजा चुराचंद सिंह, डी) महाराजा नर सिंह</v>
      </c>
      <c r="I215" s="5" t="str">
        <f>IFERROR(__xludf.DUMMYFUNCTION("GOOGLETRANSLATE(D215, ""en"", ""hi"")"),"बी) महाराजा गंभीर सिंह")</f>
        <v>बी) महाराजा गंभीर सिंह</v>
      </c>
    </row>
    <row r="216" ht="22.5" customHeight="1">
      <c r="A216" s="3">
        <v>215.0</v>
      </c>
      <c r="B216" s="4" t="s">
        <v>12543</v>
      </c>
      <c r="C216" s="4" t="s">
        <v>12544</v>
      </c>
      <c r="D216" s="4" t="s">
        <v>12482</v>
      </c>
      <c r="F216" s="5" t="str">
        <f>IFERROR(__xludf.DUMMYFUNCTION("GOOGLETRANSLATE(A216, ""en"", ""hi"")"),"215")</f>
        <v>215</v>
      </c>
      <c r="G216" s="5" t="str">
        <f>IFERROR(__xludf.DUMMYFUNCTION("GOOGLETRANSLATE(B216, ""en"", ""hi"")"),"किस युद्ध में थांग-ता तकनीक की प्रभावशीलता सबसे अधिक दिखाई दी?")</f>
        <v>किस युद्ध में थांग-ता तकनीक की प्रभावशीलता सबसे अधिक दिखाई दी?</v>
      </c>
      <c r="H216" s="5" t="str">
        <f>IFERROR(__xludf.DUMMYFUNCTION("GOOGLETRANSLATE(C216, ""en"", ""hi"")"),"A) खोंगजोम का युद्ध, B) इम्फाल का युद्ध, C) असम का युद्ध, D) कछार का युद्ध")</f>
        <v>A) खोंगजोम का युद्ध, B) इम्फाल का युद्ध, C) असम का युद्ध, D) कछार का युद्ध</v>
      </c>
      <c r="I216" s="5" t="str">
        <f>IFERROR(__xludf.DUMMYFUNCTION("GOOGLETRANSLATE(D216, ""en"", ""hi"")"),"A) खोंगजोम की लड़ाई")</f>
        <v>A) खोंगजोम की लड़ाई</v>
      </c>
    </row>
    <row r="217" ht="22.5" customHeight="1">
      <c r="A217" s="3">
        <v>216.0</v>
      </c>
      <c r="B217" s="4" t="s">
        <v>12545</v>
      </c>
      <c r="C217" s="4" t="s">
        <v>12546</v>
      </c>
      <c r="D217" s="4" t="s">
        <v>12547</v>
      </c>
      <c r="F217" s="5" t="str">
        <f>IFERROR(__xludf.DUMMYFUNCTION("GOOGLETRANSLATE(A217, ""en"", ""hi"")"),"216")</f>
        <v>216</v>
      </c>
      <c r="G217" s="5" t="str">
        <f>IFERROR(__xludf.DUMMYFUNCTION("GOOGLETRANSLATE(B217, ""en"", ""hi"")"),"स्वतंत्रता के बाद थांग-टा को संरक्षित करने के लिए कौन सा संगठन स्थापित किया गया था?")</f>
        <v>स्वतंत्रता के बाद थांग-टा को संरक्षित करने के लिए कौन सा संगठन स्थापित किया गया था?</v>
      </c>
      <c r="H217" s="5" t="str">
        <f>IFERROR(__xludf.DUMMYFUNCTION("GOOGLETRANSLATE(C217, ""en"", ""hi"")"),"A) कांगलेई स्वदेशी मार्शल आर्ट सोसाइटी, B) मणिपुरी मार्शल आर्ट अकादमी, C) थांग-ता फेडरेशन ऑफ इंडिया, D) कांगलेईपाक सांस्कृतिक ट्रस्ट")</f>
        <v>A) कांगलेई स्वदेशी मार्शल आर्ट सोसाइटी, B) मणिपुरी मार्शल आर्ट अकादमी, C) थांग-ता फेडरेशन ऑफ इंडिया, D) कांगलेईपाक सांस्कृतिक ट्रस्ट</v>
      </c>
      <c r="I217" s="5" t="str">
        <f>IFERROR(__xludf.DUMMYFUNCTION("GOOGLETRANSLATE(D217, ""en"", ""hi"")"),"A) कांगलेई स्वदेशी मार्शल आर्ट सोसाइटी")</f>
        <v>A) कांगलेई स्वदेशी मार्शल आर्ट सोसाइटी</v>
      </c>
    </row>
    <row r="218" ht="22.5" customHeight="1">
      <c r="A218" s="3">
        <v>217.0</v>
      </c>
      <c r="B218" s="4" t="s">
        <v>12548</v>
      </c>
      <c r="C218" s="4" t="s">
        <v>12549</v>
      </c>
      <c r="D218" s="4" t="s">
        <v>12550</v>
      </c>
      <c r="F218" s="5" t="str">
        <f>IFERROR(__xludf.DUMMYFUNCTION("GOOGLETRANSLATE(A218, ""en"", ""hi"")"),"217")</f>
        <v>217</v>
      </c>
      <c r="G218" s="5" t="str">
        <f>IFERROR(__xludf.DUMMYFUNCTION("GOOGLETRANSLATE(B218, ""en"", ""hi"")"),"थांग-ता प्रदर्शन में कौन सा युद्ध नृत्य तत्व शामिल किया जाता है?")</f>
        <v>थांग-ता प्रदर्शन में कौन सा युद्ध नृत्य तत्व शामिल किया जाता है?</v>
      </c>
      <c r="H218" s="5" t="str">
        <f>IFERROR(__xludf.DUMMYFUNCTION("GOOGLETRANSLATE(C218, ""en"", ""hi"")"),"ए) खंबा थोइबी, बी) मैबी नृत्य, सी) पुंग चोलोम, डी) हुयेन लैंगलोन")</f>
        <v>ए) खंबा थोइबी, बी) मैबी नृत्य, सी) पुंग चोलोम, डी) हुयेन लैंगलोन</v>
      </c>
      <c r="I218" s="5" t="str">
        <f>IFERROR(__xludf.DUMMYFUNCTION("GOOGLETRANSLATE(D218, ""en"", ""hi"")"),"डी) हुयेन लैंगलोन")</f>
        <v>डी) हुयेन लैंगलोन</v>
      </c>
    </row>
    <row r="219" ht="22.5" customHeight="1">
      <c r="A219" s="3">
        <v>218.0</v>
      </c>
      <c r="B219" s="4" t="s">
        <v>12551</v>
      </c>
      <c r="C219" s="4" t="s">
        <v>12552</v>
      </c>
      <c r="D219" s="4" t="s">
        <v>12553</v>
      </c>
      <c r="F219" s="5" t="str">
        <f>IFERROR(__xludf.DUMMYFUNCTION("GOOGLETRANSLATE(A219, ""en"", ""hi"")"),"218")</f>
        <v>218</v>
      </c>
      <c r="G219" s="5" t="str">
        <f>IFERROR(__xludf.DUMMYFUNCTION("GOOGLETRANSLATE(B219, ""en"", ""hi"")"),"ब्रिटिश उपनिवेशवादियों ने थांग-टा को किस कारण से खतरा माना?")</f>
        <v>ब्रिटिश उपनिवेशवादियों ने थांग-टा को किस कारण से खतरा माना?</v>
      </c>
      <c r="H219" s="5" t="str">
        <f>IFERROR(__xludf.DUMMYFUNCTION("GOOGLETRANSLATE(C219, ""en"", ""hi"")"),"A) इसने विद्रोह को बढ़ावा दिया, B) यह जासूसी का एक रूप था, C) यह राजनीतिक रूप से प्रभावशाली था, D) इसने ब्रिटिश शासन को कमजोर किया")</f>
        <v>A) इसने विद्रोह को बढ़ावा दिया, B) यह जासूसी का एक रूप था, C) यह राजनीतिक रूप से प्रभावशाली था, D) इसने ब्रिटिश शासन को कमजोर किया</v>
      </c>
      <c r="I219" s="5" t="str">
        <f>IFERROR(__xludf.DUMMYFUNCTION("GOOGLETRANSLATE(D219, ""en"", ""hi"")"),"A) इसने विद्रोह को बढ़ावा दिया")</f>
        <v>A) इसने विद्रोह को बढ़ावा दिया</v>
      </c>
    </row>
    <row r="220" ht="22.5" customHeight="1">
      <c r="A220" s="3">
        <v>219.0</v>
      </c>
      <c r="B220" s="4" t="s">
        <v>12554</v>
      </c>
      <c r="C220" s="4" t="s">
        <v>12555</v>
      </c>
      <c r="D220" s="4" t="s">
        <v>12556</v>
      </c>
      <c r="F220" s="5" t="str">
        <f>IFERROR(__xludf.DUMMYFUNCTION("GOOGLETRANSLATE(A220, ""en"", ""hi"")"),"219")</f>
        <v>219</v>
      </c>
      <c r="G220" s="5" t="str">
        <f>IFERROR(__xludf.DUMMYFUNCTION("GOOGLETRANSLATE(B220, ""en"", ""hi"")"),"थांग-ता में किस मणिपुरी देवता को अक्सर योद्धा भावना से जोड़ा जाता है?")</f>
        <v>थांग-ता में किस मणिपुरी देवता को अक्सर योद्धा भावना से जोड़ा जाता है?</v>
      </c>
      <c r="H220" s="5" t="str">
        <f>IFERROR(__xludf.DUMMYFUNCTION("GOOGLETRANSLATE(C220, ""en"", ""hi"")"),"ए) पाखांगबा, बी) पंथोईबी, सी) थांगजिंग, डी) सनामाही")</f>
        <v>ए) पाखांगबा, बी) पंथोईबी, सी) थांगजिंग, डी) सनामाही</v>
      </c>
      <c r="I220" s="5" t="str">
        <f>IFERROR(__xludf.DUMMYFUNCTION("GOOGLETRANSLATE(D220, ""en"", ""hi"")"),"A) पखांगबा")</f>
        <v>A) पखांगबा</v>
      </c>
    </row>
    <row r="221" ht="22.5" customHeight="1">
      <c r="A221" s="3">
        <v>220.0</v>
      </c>
      <c r="B221" s="4" t="s">
        <v>12557</v>
      </c>
      <c r="C221" s="4" t="s">
        <v>12558</v>
      </c>
      <c r="D221" s="4" t="s">
        <v>12559</v>
      </c>
      <c r="F221" s="5" t="str">
        <f>IFERROR(__xludf.DUMMYFUNCTION("GOOGLETRANSLATE(A221, ""en"", ""hi"")"),"220")</f>
        <v>220</v>
      </c>
      <c r="G221" s="5" t="str">
        <f>IFERROR(__xludf.DUMMYFUNCTION("GOOGLETRANSLATE(B221, ""en"", ""hi"")"),"ब्रिटिश उपनिवेशवाद का थांग-ता हथियारों पर क्या प्रभाव पड़ा?")</f>
        <v>ब्रिटिश उपनिवेशवाद का थांग-ता हथियारों पर क्या प्रभाव पड़ा?</v>
      </c>
      <c r="H221" s="5" t="str">
        <f>IFERROR(__xludf.DUMMYFUNCTION("GOOGLETRANSLATE(C221, ""en"", ""hi"")"),"A) हथियार जब्त कर लिए गए, B) नए ब्रिटिश हथियार पेश किए गए, C) पारंपरिक हथियारों को गैरकानूनी घोषित कर दिया गया, D) हथियारों का ब्रिटिशों के साथ व्यापार किया गया")</f>
        <v>A) हथियार जब्त कर लिए गए, B) नए ब्रिटिश हथियार पेश किए गए, C) पारंपरिक हथियारों को गैरकानूनी घोषित कर दिया गया, D) हथियारों का ब्रिटिशों के साथ व्यापार किया गया</v>
      </c>
      <c r="I221" s="5" t="str">
        <f>IFERROR(__xludf.DUMMYFUNCTION("GOOGLETRANSLATE(D221, ""en"", ""hi"")"),"A) हथियार जब्त कर लिए गए")</f>
        <v>A) हथियार जब्त कर लिए गए</v>
      </c>
    </row>
    <row r="222" ht="22.5" customHeight="1">
      <c r="A222" s="3">
        <v>221.0</v>
      </c>
      <c r="B222" s="4" t="s">
        <v>12560</v>
      </c>
      <c r="C222" s="4" t="s">
        <v>12561</v>
      </c>
      <c r="D222" s="4" t="s">
        <v>12086</v>
      </c>
      <c r="F222" s="5" t="str">
        <f>IFERROR(__xludf.DUMMYFUNCTION("GOOGLETRANSLATE(A222, ""en"", ""hi"")"),"221")</f>
        <v>221</v>
      </c>
      <c r="G222" s="5" t="str">
        <f>IFERROR(__xludf.DUMMYFUNCTION("GOOGLETRANSLATE(B222, ""en"", ""hi"")"),"कौन सा पारंपरिक मणिपुरी त्योहार थांग-ता चिकित्सकों के कौशल को प्रदर्शित करता है?")</f>
        <v>कौन सा पारंपरिक मणिपुरी त्योहार थांग-ता चिकित्सकों के कौशल को प्रदर्शित करता है?</v>
      </c>
      <c r="H222" s="5" t="str">
        <f>IFERROR(__xludf.DUMMYFUNCTION("GOOGLETRANSLATE(C222, ""en"", ""hi"")"),"ए) लाई हराओबा, बी) याओशांग, सी) हेइक्रू हिडोंगबा, डी) कांग चिंगबा")</f>
        <v>ए) लाई हराओबा, बी) याओशांग, सी) हेइक्रू हिडोंगबा, डी) कांग चिंगबा</v>
      </c>
      <c r="I222" s="5" t="str">
        <f>IFERROR(__xludf.DUMMYFUNCTION("GOOGLETRANSLATE(D222, ""en"", ""hi"")"),"A) लाई हरोबा")</f>
        <v>A) लाई हरोबा</v>
      </c>
    </row>
    <row r="223" ht="22.5" customHeight="1">
      <c r="A223" s="3">
        <v>222.0</v>
      </c>
      <c r="B223" s="4" t="s">
        <v>12562</v>
      </c>
      <c r="C223" s="4" t="s">
        <v>12563</v>
      </c>
      <c r="D223" s="4" t="s">
        <v>12564</v>
      </c>
      <c r="F223" s="5" t="str">
        <f>IFERROR(__xludf.DUMMYFUNCTION("GOOGLETRANSLATE(A223, ""en"", ""hi"")"),"222")</f>
        <v>222</v>
      </c>
      <c r="G223" s="5" t="str">
        <f>IFERROR(__xludf.DUMMYFUNCTION("GOOGLETRANSLATE(B223, ""en"", ""hi"")"),"वास्तविक युद्ध का अनुकरण करने के लिए थांग-ता का अभ्यास अक्सर किस प्राकृतिक परिवेश में किया जाता था?")</f>
        <v>वास्तविक युद्ध का अनुकरण करने के लिए थांग-ता का अभ्यास अक्सर किस प्राकृतिक परिवेश में किया जाता था?</v>
      </c>
      <c r="H223" s="5" t="str">
        <f>IFERROR(__xludf.DUMMYFUNCTION("GOOGLETRANSLATE(C223, ""en"", ""hi"")"),"A) नदी के किनारे, B) घने जंगल, C) खुले मैदान, D) पहाड़")</f>
        <v>A) नदी के किनारे, B) घने जंगल, C) खुले मैदान, D) पहाड़</v>
      </c>
      <c r="I223" s="5" t="str">
        <f>IFERROR(__xludf.DUMMYFUNCTION("GOOGLETRANSLATE(D223, ""en"", ""hi"")"),"बी) घने जंगल")</f>
        <v>बी) घने जंगल</v>
      </c>
    </row>
    <row r="224" ht="22.5" customHeight="1">
      <c r="A224" s="3">
        <v>223.0</v>
      </c>
      <c r="B224" s="4" t="s">
        <v>12565</v>
      </c>
      <c r="C224" s="4" t="s">
        <v>12566</v>
      </c>
      <c r="D224" s="4" t="s">
        <v>9034</v>
      </c>
      <c r="F224" s="5" t="str">
        <f>IFERROR(__xludf.DUMMYFUNCTION("GOOGLETRANSLATE(A224, ""en"", ""hi"")"),"223")</f>
        <v>223</v>
      </c>
      <c r="G224" s="5" t="str">
        <f>IFERROR(__xludf.DUMMYFUNCTION("GOOGLETRANSLATE(B224, ""en"", ""hi"")"),"थांग-ता के संदर्भ में 'थांग' का क्या अर्थ है?")</f>
        <v>थांग-ता के संदर्भ में 'थांग' का क्या अर्थ है?</v>
      </c>
      <c r="H224" s="5" t="str">
        <f>IFERROR(__xludf.DUMMYFUNCTION("GOOGLETRANSLATE(C224, ""en"", ""hi"")"),"A) तलवार, B) ढाल, C) भाला, D) कवच")</f>
        <v>A) तलवार, B) ढाल, C) भाला, D) कवच</v>
      </c>
      <c r="I224" s="5" t="str">
        <f>IFERROR(__xludf.DUMMYFUNCTION("GOOGLETRANSLATE(D224, ""en"", ""hi"")"),"ए) तलवार")</f>
        <v>ए) तलवार</v>
      </c>
    </row>
    <row r="225" ht="22.5" customHeight="1">
      <c r="A225" s="3">
        <v>224.0</v>
      </c>
      <c r="B225" s="4" t="s">
        <v>12567</v>
      </c>
      <c r="C225" s="4" t="s">
        <v>12568</v>
      </c>
      <c r="D225" s="4" t="s">
        <v>12569</v>
      </c>
      <c r="F225" s="5" t="str">
        <f>IFERROR(__xludf.DUMMYFUNCTION("GOOGLETRANSLATE(A225, ""en"", ""hi"")"),"224")</f>
        <v>224</v>
      </c>
      <c r="G225" s="5" t="str">
        <f>IFERROR(__xludf.DUMMYFUNCTION("GOOGLETRANSLATE(B225, ""en"", ""hi"")"),"18वीं शताब्दी में किस आक्रमणकारी ताकत से बचाव के लिए थांग-ता तकनीक महत्वपूर्ण थी?")</f>
        <v>18वीं शताब्दी में किस आक्रमणकारी ताकत से बचाव के लिए थांग-ता तकनीक महत्वपूर्ण थी?</v>
      </c>
      <c r="H225" s="5" t="str">
        <f>IFERROR(__xludf.DUMMYFUNCTION("GOOGLETRANSLATE(C225, ""en"", ""hi"")"),"A) अहोम, B) बर्मी, C) मुगल, D) ब्रिटिश")</f>
        <v>A) अहोम, B) बर्मी, C) मुगल, D) ब्रिटिश</v>
      </c>
      <c r="I225" s="5" t="str">
        <f>IFERROR(__xludf.DUMMYFUNCTION("GOOGLETRANSLATE(D225, ""en"", ""hi"")"),"बी) बर्मी")</f>
        <v>बी) बर्मी</v>
      </c>
    </row>
    <row r="226" ht="22.5" customHeight="1">
      <c r="A226" s="3">
        <v>225.0</v>
      </c>
      <c r="B226" s="4" t="s">
        <v>12570</v>
      </c>
      <c r="C226" s="4" t="s">
        <v>12571</v>
      </c>
      <c r="D226" s="4" t="s">
        <v>12572</v>
      </c>
      <c r="F226" s="5" t="str">
        <f>IFERROR(__xludf.DUMMYFUNCTION("GOOGLETRANSLATE(A226, ""en"", ""hi"")"),"225")</f>
        <v>225</v>
      </c>
      <c r="G226" s="5" t="str">
        <f>IFERROR(__xludf.DUMMYFUNCTION("GOOGLETRANSLATE(B226, ""en"", ""hi"")"),"थांग-ता में प्रशिक्षित 'लालोंग' योद्धा वर्ग मुख्य रूप से क्या कार्य करता था?")</f>
        <v>थांग-ता में प्रशिक्षित 'लालोंग' योद्धा वर्ग मुख्य रूप से क्या कार्य करता था?</v>
      </c>
      <c r="H226" s="5" t="str">
        <f>IFERROR(__xludf.DUMMYFUNCTION("GOOGLETRANSLATE(C226, ""en"", ""hi"")"),"A) शाही रक्षक, B) युद्धक्षेत्र के नेता, C) जासूसी एजेंट, D) राजनयिक")</f>
        <v>A) शाही रक्षक, B) युद्धक्षेत्र के नेता, C) जासूसी एजेंट, D) राजनयिक</v>
      </c>
      <c r="I226" s="5" t="str">
        <f>IFERROR(__xludf.DUMMYFUNCTION("GOOGLETRANSLATE(D226, ""en"", ""hi"")"),"ए) शाही रक्षक")</f>
        <v>ए) शाही रक्षक</v>
      </c>
    </row>
    <row r="227" ht="22.5" customHeight="1">
      <c r="A227" s="3">
        <v>226.0</v>
      </c>
      <c r="B227" s="4" t="s">
        <v>12573</v>
      </c>
      <c r="C227" s="4" t="s">
        <v>12574</v>
      </c>
      <c r="D227" s="4" t="s">
        <v>12575</v>
      </c>
      <c r="F227" s="5" t="str">
        <f>IFERROR(__xludf.DUMMYFUNCTION("GOOGLETRANSLATE(A227, ""en"", ""hi"")"),"226")</f>
        <v>226</v>
      </c>
      <c r="G227" s="5" t="str">
        <f>IFERROR(__xludf.DUMMYFUNCTION("GOOGLETRANSLATE(B227, ""en"", ""hi"")"),"पारंपरिक समारोहों में थांग-ता अभ्यासियों द्वारा कौन सी प्रतीकात्मक वस्तु धारण की जाती है?")</f>
        <v>पारंपरिक समारोहों में थांग-ता अभ्यासियों द्वारा कौन सी प्रतीकात्मक वस्तु धारण की जाती है?</v>
      </c>
      <c r="H227" s="5" t="str">
        <f>IFERROR(__xludf.DUMMYFUNCTION("GOOGLETRANSLATE(C227, ""en"", ""hi"")"),"A) एक छोटा खंजर, B) एक लकड़ी की ढाल, C) एक औपचारिक भाला, D) एक औपचारिक झंडा")</f>
        <v>A) एक छोटा खंजर, B) एक लकड़ी की ढाल, C) एक औपचारिक भाला, D) एक औपचारिक झंडा</v>
      </c>
      <c r="I227" s="5" t="str">
        <f>IFERROR(__xludf.DUMMYFUNCTION("GOOGLETRANSLATE(D227, ""en"", ""hi"")"),"A) एक छोटा खंजर")</f>
        <v>A) एक छोटा खंजर</v>
      </c>
    </row>
    <row r="228" ht="22.5" customHeight="1">
      <c r="A228" s="3">
        <v>227.0</v>
      </c>
      <c r="B228" s="4" t="s">
        <v>12576</v>
      </c>
      <c r="C228" s="4" t="s">
        <v>12577</v>
      </c>
      <c r="D228" s="4" t="s">
        <v>12578</v>
      </c>
      <c r="F228" s="5" t="str">
        <f>IFERROR(__xludf.DUMMYFUNCTION("GOOGLETRANSLATE(A228, ""en"", ""hi"")"),"227")</f>
        <v>227</v>
      </c>
      <c r="G228" s="5" t="str">
        <f>IFERROR(__xludf.DUMMYFUNCTION("GOOGLETRANSLATE(B228, ""en"", ""hi"")"),"20वीं शताब्दी के दौरान किस घटना के कारण थांग-ता में रुचि पुनः जागृत हुई?")</f>
        <v>20वीं शताब्दी के दौरान किस घटना के कारण थांग-ता में रुचि पुनः जागृत हुई?</v>
      </c>
      <c r="H228" s="5" t="str">
        <f>IFERROR(__xludf.DUMMYFUNCTION("GOOGLETRANSLATE(C228, ""en"", ""hi"")"),"A) भारतीय स्वतंत्रता, B) मणिपुरी सांस्कृतिक पुनर्जागरण, C) द्वितीय विश्व युद्ध, D) राष्ट्रीय मार्शल आर्ट आंदोलन")</f>
        <v>A) भारतीय स्वतंत्रता, B) मणिपुरी सांस्कृतिक पुनर्जागरण, C) द्वितीय विश्व युद्ध, D) राष्ट्रीय मार्शल आर्ट आंदोलन</v>
      </c>
      <c r="I228" s="5" t="str">
        <f>IFERROR(__xludf.DUMMYFUNCTION("GOOGLETRANSLATE(D228, ""en"", ""hi"")"),"बी) मणिपुरी सांस्कृतिक पुनर्जागरण")</f>
        <v>बी) मणिपुरी सांस्कृतिक पुनर्जागरण</v>
      </c>
    </row>
    <row r="229" ht="22.5" customHeight="1">
      <c r="A229" s="3">
        <v>228.0</v>
      </c>
      <c r="B229" s="4" t="s">
        <v>12579</v>
      </c>
      <c r="C229" s="4" t="s">
        <v>12580</v>
      </c>
      <c r="D229" s="4" t="s">
        <v>12581</v>
      </c>
      <c r="F229" s="5" t="str">
        <f>IFERROR(__xludf.DUMMYFUNCTION("GOOGLETRANSLATE(A229, ""en"", ""hi"")"),"228")</f>
        <v>228</v>
      </c>
      <c r="G229" s="5" t="str">
        <f>IFERROR(__xludf.DUMMYFUNCTION("GOOGLETRANSLATE(B229, ""en"", ""hi"")"),"मणिपुरी समाज का कौन सा हिस्सा पीढ़ियों से थांग-ता को संरक्षित करने में सहायक रहा है?")</f>
        <v>मणिपुरी समाज का कौन सा हिस्सा पीढ़ियों से थांग-ता को संरक्षित करने में सहायक रहा है?</v>
      </c>
      <c r="H229" s="5" t="str">
        <f>IFERROR(__xludf.DUMMYFUNCTION("GOOGLETRANSLATE(C229, ""en"", ""hi"")"),"A) राजपरिवार, B) पुरोहित वर्ग, C) योद्धा कुल, D) कृषक समुदाय")</f>
        <v>A) राजपरिवार, B) पुरोहित वर्ग, C) योद्धा कुल, D) कृषक समुदाय</v>
      </c>
      <c r="I229" s="5" t="str">
        <f>IFERROR(__xludf.DUMMYFUNCTION("GOOGLETRANSLATE(D229, ""en"", ""hi"")"),"C) योद्धा कुलों")</f>
        <v>C) योद्धा कुलों</v>
      </c>
    </row>
    <row r="230" ht="22.5" customHeight="1">
      <c r="A230" s="3">
        <v>229.0</v>
      </c>
      <c r="B230" s="4" t="s">
        <v>12582</v>
      </c>
      <c r="C230" s="4" t="s">
        <v>12583</v>
      </c>
      <c r="D230" s="4" t="s">
        <v>12584</v>
      </c>
      <c r="F230" s="5" t="str">
        <f>IFERROR(__xludf.DUMMYFUNCTION("GOOGLETRANSLATE(A230, ""en"", ""hi"")"),"229")</f>
        <v>229</v>
      </c>
      <c r="G230" s="5" t="str">
        <f>IFERROR(__xludf.DUMMYFUNCTION("GOOGLETRANSLATE(B230, ""en"", ""hi"")"),"थांग-ता में प्रयुक्त भाला ('ता') मणिपुरी संस्कृति में किसका प्रतीक है?")</f>
        <v>थांग-ता में प्रयुक्त भाला ('ता') मणिपुरी संस्कृति में किसका प्रतीक है?</v>
      </c>
      <c r="H230" s="5" t="str">
        <f>IFERROR(__xludf.DUMMYFUNCTION("GOOGLETRANSLATE(C230, ""en"", ""hi"")"),"A) योद्धा की भावना, B) दैवीय सुरक्षा, C) फसल और उर्वरता, D) शांति और समृद्धि")</f>
        <v>A) योद्धा की भावना, B) दैवीय सुरक्षा, C) फसल और उर्वरता, D) शांति और समृद्धि</v>
      </c>
      <c r="I230" s="5" t="str">
        <f>IFERROR(__xludf.DUMMYFUNCTION("GOOGLETRANSLATE(D230, ""en"", ""hi"")"),"A) योद्धा की भावना")</f>
        <v>A) योद्धा की भावना</v>
      </c>
    </row>
    <row r="231" ht="22.5" customHeight="1">
      <c r="A231" s="3">
        <v>230.0</v>
      </c>
      <c r="B231" s="4" t="s">
        <v>12585</v>
      </c>
      <c r="C231" s="4" t="s">
        <v>12586</v>
      </c>
      <c r="D231" s="4" t="s">
        <v>12587</v>
      </c>
      <c r="F231" s="5" t="str">
        <f>IFERROR(__xludf.DUMMYFUNCTION("GOOGLETRANSLATE(A231, ""en"", ""hi"")"),"230")</f>
        <v>230</v>
      </c>
      <c r="G231" s="5" t="str">
        <f>IFERROR(__xludf.DUMMYFUNCTION("GOOGLETRANSLATE(B231, ""en"", ""hi"")"),"मणिपुर के इतिहास में थांग-ता किस बाहरी खतरे के खिलाफ रक्षा का एक महत्वपूर्ण घटक था?")</f>
        <v>मणिपुर के इतिहास में थांग-ता किस बाहरी खतरे के खिलाफ रक्षा का एक महत्वपूर्ण घटक था?</v>
      </c>
      <c r="H231" s="5" t="str">
        <f>IFERROR(__xludf.DUMMYFUNCTION("GOOGLETRANSLATE(C231, ""en"", ""hi"")"),"A) ब्रिटिश सेना, B) बर्मी आक्रमण, C) मुगल, D) अहोम")</f>
        <v>A) ब्रिटिश सेना, B) बर्मी आक्रमण, C) मुगल, D) अहोम</v>
      </c>
      <c r="I231" s="5" t="str">
        <f>IFERROR(__xludf.DUMMYFUNCTION("GOOGLETRANSLATE(D231, ""en"", ""hi"")"),"बी) बर्मी आक्रमण")</f>
        <v>बी) बर्मी आक्रमण</v>
      </c>
    </row>
    <row r="232" ht="22.5" customHeight="1">
      <c r="A232" s="3">
        <v>231.0</v>
      </c>
      <c r="B232" s="4" t="s">
        <v>12588</v>
      </c>
      <c r="C232" s="4" t="s">
        <v>12589</v>
      </c>
      <c r="D232" s="4" t="s">
        <v>12590</v>
      </c>
      <c r="F232" s="5" t="str">
        <f>IFERROR(__xludf.DUMMYFUNCTION("GOOGLETRANSLATE(A232, ""en"", ""hi"")"),"231")</f>
        <v>231</v>
      </c>
      <c r="G232" s="5" t="str">
        <f>IFERROR(__xludf.DUMMYFUNCTION("GOOGLETRANSLATE(B232, ""en"", ""hi"")"),"पारंपरिक थांग-ता शिक्षाओं में तलवार ('थांग') किसका प्रतिनिधित्व करती है?")</f>
        <v>पारंपरिक थांग-ता शिक्षाओं में तलवार ('थांग') किसका प्रतिनिधित्व करती है?</v>
      </c>
      <c r="H232" s="5" t="str">
        <f>IFERROR(__xludf.DUMMYFUNCTION("GOOGLETRANSLATE(C232, ""en"", ""hi"")"),"A) शारीरिक शक्ति, B) नैतिक शक्ति, C) बुद्धि, D) धन")</f>
        <v>A) शारीरिक शक्ति, B) नैतिक शक्ति, C) बुद्धि, D) धन</v>
      </c>
      <c r="I232" s="5" t="str">
        <f>IFERROR(__xludf.DUMMYFUNCTION("GOOGLETRANSLATE(D232, ""en"", ""hi"")"),"बी) नैतिक शक्ति")</f>
        <v>बी) नैतिक शक्ति</v>
      </c>
    </row>
    <row r="233" ht="22.5" customHeight="1">
      <c r="A233" s="3">
        <v>232.0</v>
      </c>
      <c r="B233" s="4" t="s">
        <v>12591</v>
      </c>
      <c r="C233" s="4" t="s">
        <v>12592</v>
      </c>
      <c r="D233" s="4" t="s">
        <v>12593</v>
      </c>
      <c r="F233" s="5" t="str">
        <f>IFERROR(__xludf.DUMMYFUNCTION("GOOGLETRANSLATE(A233, ""en"", ""hi"")"),"232")</f>
        <v>232</v>
      </c>
      <c r="G233" s="5" t="str">
        <f>IFERROR(__xludf.DUMMYFUNCTION("GOOGLETRANSLATE(B233, ""en"", ""hi"")"),"थांग-ता चिकित्सकों का मानना ​​था कि मार्शल कौशल किस आध्यात्मिक तत्व से निकटता से जुड़ा हुआ है?")</f>
        <v>थांग-ता चिकित्सकों का मानना ​​था कि मार्शल कौशल किस आध्यात्मिक तत्व से निकटता से जुड़ा हुआ है?</v>
      </c>
      <c r="H233" s="5" t="str">
        <f>IFERROR(__xludf.DUMMYFUNCTION("GOOGLETRANSLATE(C233, ""en"", ""hi"")"),"A) पूर्वजों की आत्मा, B) दैवीय आशीर्वाद, C) ब्रह्मांडीय शक्तियां, D) पृथ्वी की ऊर्जा")</f>
        <v>A) पूर्वजों की आत्मा, B) दैवीय आशीर्वाद, C) ब्रह्मांडीय शक्तियां, D) पृथ्वी की ऊर्जा</v>
      </c>
      <c r="I233" s="5" t="str">
        <f>IFERROR(__xludf.DUMMYFUNCTION("GOOGLETRANSLATE(D233, ""en"", ""hi"")"),"A) पूर्वजों की आत्मा")</f>
        <v>A) पूर्वजों की आत्मा</v>
      </c>
    </row>
    <row r="234" ht="22.5" customHeight="1">
      <c r="A234" s="3">
        <v>233.0</v>
      </c>
      <c r="B234" s="4" t="s">
        <v>12594</v>
      </c>
      <c r="C234" s="4" t="s">
        <v>12595</v>
      </c>
      <c r="D234" s="4" t="s">
        <v>12596</v>
      </c>
      <c r="F234" s="5" t="str">
        <f>IFERROR(__xludf.DUMMYFUNCTION("GOOGLETRANSLATE(A234, ""en"", ""hi"")"),"233")</f>
        <v>233</v>
      </c>
      <c r="G234" s="5" t="str">
        <f>IFERROR(__xludf.DUMMYFUNCTION("GOOGLETRANSLATE(B234, ""en"", ""hi"")"),"मणिपुरी में 'थांग-ता' शब्द का क्या अर्थ है?")</f>
        <v>मणिपुरी में 'थांग-ता' शब्द का क्या अर्थ है?</v>
      </c>
      <c r="H234" s="5" t="str">
        <f>IFERROR(__xludf.DUMMYFUNCTION("GOOGLETRANSLATE(C234, ""en"", ""hi"")"),"A) तलवार और भाला, B) तलवार और ढाल, C) तलवार और नृत्य, D) भाला और ढाल")</f>
        <v>A) तलवार और भाला, B) तलवार और ढाल, C) तलवार और नृत्य, D) भाला और ढाल</v>
      </c>
      <c r="I234" s="5" t="str">
        <f>IFERROR(__xludf.DUMMYFUNCTION("GOOGLETRANSLATE(D234, ""en"", ""hi"")"),"A) तलवार और भाला")</f>
        <v>A) तलवार और भाला</v>
      </c>
    </row>
    <row r="235" ht="22.5" customHeight="1">
      <c r="A235" s="3">
        <v>234.0</v>
      </c>
      <c r="B235" s="4" t="s">
        <v>12597</v>
      </c>
      <c r="C235" s="4" t="s">
        <v>12598</v>
      </c>
      <c r="D235" s="4" t="s">
        <v>12599</v>
      </c>
      <c r="F235" s="5" t="str">
        <f>IFERROR(__xludf.DUMMYFUNCTION("GOOGLETRANSLATE(A235, ""en"", ""hi"")"),"234")</f>
        <v>234</v>
      </c>
      <c r="G235" s="5" t="str">
        <f>IFERROR(__xludf.DUMMYFUNCTION("GOOGLETRANSLATE(B235, ""en"", ""hi"")"),"किस प्राचीन मणिपुरी पांडुलिपि में थांग-ता का संदर्भ मिलता है?")</f>
        <v>किस प्राचीन मणिपुरी पांडुलिपि में थांग-ता का संदर्भ मिलता है?</v>
      </c>
      <c r="H235" s="5" t="str">
        <f>IFERROR(__xludf.DUMMYFUNCTION("GOOGLETRANSLATE(C235, ""en"", ""hi"")"),"ए) चेइथारोल कुम्बाबा, बी) कांगलेइरोल, सी) पुया, डी) लाइहाराओबा")</f>
        <v>ए) चेइथारोल कुम्बाबा, बी) कांगलेइरोल, सी) पुया, डी) लाइहाराओबा</v>
      </c>
      <c r="I235" s="5" t="str">
        <f>IFERROR(__xludf.DUMMYFUNCTION("GOOGLETRANSLATE(D235, ""en"", ""hi"")"),"C) पुया")</f>
        <v>C) पुया</v>
      </c>
    </row>
    <row r="236" ht="22.5" customHeight="1">
      <c r="A236" s="3">
        <v>235.0</v>
      </c>
      <c r="B236" s="4" t="s">
        <v>12600</v>
      </c>
      <c r="C236" s="4" t="s">
        <v>12601</v>
      </c>
      <c r="D236" s="4" t="s">
        <v>12556</v>
      </c>
      <c r="F236" s="5" t="str">
        <f>IFERROR(__xludf.DUMMYFUNCTION("GOOGLETRANSLATE(A236, ""en"", ""hi"")"),"235")</f>
        <v>235</v>
      </c>
      <c r="G236" s="5" t="str">
        <f>IFERROR(__xludf.DUMMYFUNCTION("GOOGLETRANSLATE(B236, ""en"", ""hi"")"),"कौन सा मणिपुरी देवता थांग-ता से निकटता से जुड़ा हुआ है?")</f>
        <v>कौन सा मणिपुरी देवता थांग-ता से निकटता से जुड़ा हुआ है?</v>
      </c>
      <c r="H236" s="5" t="str">
        <f>IFERROR(__xludf.DUMMYFUNCTION("GOOGLETRANSLATE(C236, ""en"", ""hi"")"),"ए) पखांगबा, बी) सनमही, सी) थांगजिंग, डी) पंथोईबी")</f>
        <v>ए) पखांगबा, बी) सनमही, सी) थांगजिंग, डी) पंथोईबी</v>
      </c>
      <c r="I236" s="5" t="str">
        <f>IFERROR(__xludf.DUMMYFUNCTION("GOOGLETRANSLATE(D236, ""en"", ""hi"")"),"A) पखांगबा")</f>
        <v>A) पखांगबा</v>
      </c>
    </row>
    <row r="237" ht="22.5" customHeight="1">
      <c r="A237" s="3">
        <v>236.0</v>
      </c>
      <c r="B237" s="4" t="s">
        <v>12602</v>
      </c>
      <c r="C237" s="4" t="s">
        <v>12603</v>
      </c>
      <c r="D237" s="4" t="s">
        <v>12604</v>
      </c>
      <c r="F237" s="5" t="str">
        <f>IFERROR(__xludf.DUMMYFUNCTION("GOOGLETRANSLATE(A237, ""en"", ""hi"")"),"236")</f>
        <v>236</v>
      </c>
      <c r="G237" s="5" t="str">
        <f>IFERROR(__xludf.DUMMYFUNCTION("GOOGLETRANSLATE(B237, ""en"", ""hi"")"),"थांग-ता प्रथा पारंपरिक रूप से किस पद्धति के माध्यम से आगे बढ़ाई गई?")</f>
        <v>थांग-ता प्रथा पारंपरिक रूप से किस पद्धति के माध्यम से आगे बढ़ाई गई?</v>
      </c>
      <c r="H237" s="5" t="str">
        <f>IFERROR(__xludf.DUMMYFUNCTION("GOOGLETRANSLATE(C237, ""en"", ""hi"")"),"A) लिखित लिपियाँ, B) शिक्षुता, C) मौखिक परंपरा, D) शाही आदेश")</f>
        <v>A) लिखित लिपियाँ, B) शिक्षुता, C) मौखिक परंपरा, D) शाही आदेश</v>
      </c>
      <c r="I237" s="5" t="str">
        <f>IFERROR(__xludf.DUMMYFUNCTION("GOOGLETRANSLATE(D237, ""en"", ""hi"")"),"C) मौखिक परंपरा")</f>
        <v>C) मौखिक परंपरा</v>
      </c>
    </row>
    <row r="238" ht="22.5" customHeight="1">
      <c r="A238" s="3">
        <v>237.0</v>
      </c>
      <c r="B238" s="4" t="s">
        <v>12605</v>
      </c>
      <c r="C238" s="4" t="s">
        <v>12606</v>
      </c>
      <c r="D238" s="4" t="s">
        <v>12607</v>
      </c>
      <c r="F238" s="5" t="str">
        <f>IFERROR(__xludf.DUMMYFUNCTION("GOOGLETRANSLATE(A238, ""en"", ""hi"")"),"237")</f>
        <v>237</v>
      </c>
      <c r="G238" s="5" t="str">
        <f>IFERROR(__xludf.DUMMYFUNCTION("GOOGLETRANSLATE(B238, ""en"", ""hi"")"),"किस युग में थांग-ता एक संरचित मार्शल आर्ट के रूप में विकसित हुआ?")</f>
        <v>किस युग में थांग-ता एक संरचित मार्शल आर्ट के रूप में विकसित हुआ?</v>
      </c>
      <c r="H238" s="5" t="str">
        <f>IFERROR(__xludf.DUMMYFUNCTION("GOOGLETRANSLATE(C238, ""en"", ""hi"")"),"A) 8वीं शताब्दी, B) 9वीं शताब्दी, C) 12वीं शताब्दी, D) 15वीं शताब्दी")</f>
        <v>A) 8वीं शताब्दी, B) 9वीं शताब्दी, C) 12वीं शताब्दी, D) 15वीं शताब्दी</v>
      </c>
      <c r="I238" s="5" t="str">
        <f>IFERROR(__xludf.DUMMYFUNCTION("GOOGLETRANSLATE(D238, ""en"", ""hi"")"),"सी) 12वीं शताब्दी")</f>
        <v>सी) 12वीं शताब्दी</v>
      </c>
    </row>
    <row r="239" ht="22.5" customHeight="1">
      <c r="A239" s="3">
        <v>238.0</v>
      </c>
      <c r="B239" s="4" t="s">
        <v>12608</v>
      </c>
      <c r="C239" s="4" t="s">
        <v>12609</v>
      </c>
      <c r="D239" s="4" t="s">
        <v>12610</v>
      </c>
      <c r="F239" s="5" t="str">
        <f>IFERROR(__xludf.DUMMYFUNCTION("GOOGLETRANSLATE(A239, ""en"", ""hi"")"),"238")</f>
        <v>238</v>
      </c>
      <c r="G239" s="5" t="str">
        <f>IFERROR(__xludf.DUMMYFUNCTION("GOOGLETRANSLATE(B239, ""en"", ""hi"")"),"थांग-ता किस मणिपुरी त्योहार का एक महत्वपूर्ण हिस्सा था?")</f>
        <v>थांग-ता किस मणिपुरी त्योहार का एक महत्वपूर्ण हिस्सा था?</v>
      </c>
      <c r="H239" s="5" t="str">
        <f>IFERROR(__xludf.DUMMYFUNCTION("GOOGLETRANSLATE(C239, ""en"", ""hi"")"),"ए) निंगोल चाकोउबा, बी) याओशांग, सी) लाई हराओबा, डी) हेइक्रू हिडोंगबा")</f>
        <v>ए) निंगोल चाकोउबा, बी) याओशांग, सी) लाई हराओबा, डी) हेइक्रू हिडोंगबा</v>
      </c>
      <c r="I239" s="5" t="str">
        <f>IFERROR(__xludf.DUMMYFUNCTION("GOOGLETRANSLATE(D239, ""en"", ""hi"")"),"C) लाई हरोबा")</f>
        <v>C) लाई हरोबा</v>
      </c>
    </row>
    <row r="240" ht="22.5" customHeight="1">
      <c r="A240" s="3">
        <v>239.0</v>
      </c>
      <c r="B240" s="4" t="s">
        <v>12611</v>
      </c>
      <c r="C240" s="4" t="s">
        <v>12612</v>
      </c>
      <c r="D240" s="4" t="s">
        <v>12613</v>
      </c>
      <c r="F240" s="5" t="str">
        <f>IFERROR(__xludf.DUMMYFUNCTION("GOOGLETRANSLATE(A240, ""en"", ""hi"")"),"239")</f>
        <v>239</v>
      </c>
      <c r="G240" s="5" t="str">
        <f>IFERROR(__xludf.DUMMYFUNCTION("GOOGLETRANSLATE(B240, ""en"", ""hi"")"),"ऐसा माना जाता है कि किस राजा ने शाही सेना में थांग-ता के प्रशिक्षण को बढ़ावा दिया था?")</f>
        <v>ऐसा माना जाता है कि किस राजा ने शाही सेना में थांग-ता के प्रशिक्षण को बढ़ावा दिया था?</v>
      </c>
      <c r="H240" s="5" t="str">
        <f>IFERROR(__xludf.DUMMYFUNCTION("GOOGLETRANSLATE(C240, ""en"", ""hi"")"),"ए) राजा भाग्यचंद्र, बी) राजा मरजीत सिंह, सी) राजा खगेम्बा, डी) राजा गंभीर सिंह")</f>
        <v>ए) राजा भाग्यचंद्र, बी) राजा मरजीत सिंह, सी) राजा खगेम्बा, डी) राजा गंभीर सिंह</v>
      </c>
      <c r="I240" s="5" t="str">
        <f>IFERROR(__xludf.DUMMYFUNCTION("GOOGLETRANSLATE(D240, ""en"", ""hi"")"),"D) राजा गंभीर सिंह")</f>
        <v>D) राजा गंभीर सिंह</v>
      </c>
    </row>
    <row r="241" ht="22.5" customHeight="1">
      <c r="A241" s="3">
        <v>240.0</v>
      </c>
      <c r="B241" s="4" t="s">
        <v>12614</v>
      </c>
      <c r="C241" s="4" t="s">
        <v>12615</v>
      </c>
      <c r="D241" s="4" t="s">
        <v>12616</v>
      </c>
      <c r="F241" s="5" t="str">
        <f>IFERROR(__xludf.DUMMYFUNCTION("GOOGLETRANSLATE(A241, ""en"", ""hi"")"),"240")</f>
        <v>240</v>
      </c>
      <c r="G241" s="5" t="str">
        <f>IFERROR(__xludf.DUMMYFUNCTION("GOOGLETRANSLATE(B241, ""en"", ""hi"")"),"प्राचीन मणिपुरी युद्ध में तलवार ('थांग') की क्या भूमिका थी?")</f>
        <v>प्राचीन मणिपुरी युद्ध में तलवार ('थांग') की क्या भूमिका थी?</v>
      </c>
      <c r="H241" s="5" t="str">
        <f>IFERROR(__xludf.DUMMYFUNCTION("GOOGLETRANSLATE(C241, ""en"", ""hi"")"),"A) शांति का प्रतीक, B) अनुष्ठान का उपकरण, C) मुख्य आक्रामक हथियार, D) रक्षात्मक उपकरण")</f>
        <v>A) शांति का प्रतीक, B) अनुष्ठान का उपकरण, C) मुख्य आक्रामक हथियार, D) रक्षात्मक उपकरण</v>
      </c>
      <c r="I241" s="5" t="str">
        <f>IFERROR(__xludf.DUMMYFUNCTION("GOOGLETRANSLATE(D241, ""en"", ""hi"")"),"C) मुख्य आक्रामक हथियार")</f>
        <v>C) मुख्य आक्रामक हथियार</v>
      </c>
    </row>
    <row r="242" ht="22.5" customHeight="1">
      <c r="A242" s="3">
        <v>241.0</v>
      </c>
      <c r="B242" s="4" t="s">
        <v>12617</v>
      </c>
      <c r="C242" s="4" t="s">
        <v>12618</v>
      </c>
      <c r="D242" s="4" t="s">
        <v>12619</v>
      </c>
      <c r="F242" s="5" t="str">
        <f>IFERROR(__xludf.DUMMYFUNCTION("GOOGLETRANSLATE(A242, ""en"", ""hi"")"),"241")</f>
        <v>241</v>
      </c>
      <c r="G242" s="5" t="str">
        <f>IFERROR(__xludf.DUMMYFUNCTION("GOOGLETRANSLATE(B242, ""en"", ""hi"")"),"किस विदेशी शक्ति ने थांग-ता प्रथा पर महत्वपूर्ण प्रभाव डाला?")</f>
        <v>किस विदेशी शक्ति ने थांग-ता प्रथा पर महत्वपूर्ण प्रभाव डाला?</v>
      </c>
      <c r="H242" s="5" t="str">
        <f>IFERROR(__xludf.DUMMYFUNCTION("GOOGLETRANSLATE(C242, ""en"", ""hi"")"),"A) मुगल साम्राज्य, B) ब्रिटिश साम्राज्य, C) बर्मी साम्राज्य, D) पुर्तगाली साम्राज्य")</f>
        <v>A) मुगल साम्राज्य, B) ब्रिटिश साम्राज्य, C) बर्मी साम्राज्य, D) पुर्तगाली साम्राज्य</v>
      </c>
      <c r="I242" s="5" t="str">
        <f>IFERROR(__xludf.DUMMYFUNCTION("GOOGLETRANSLATE(D242, ""en"", ""hi"")"),"बी) ब्रिटिश साम्राज्य")</f>
        <v>बी) ब्रिटिश साम्राज्य</v>
      </c>
    </row>
    <row r="243" ht="22.5" customHeight="1">
      <c r="A243" s="3">
        <v>242.0</v>
      </c>
      <c r="B243" s="4" t="s">
        <v>12620</v>
      </c>
      <c r="C243" s="4" t="s">
        <v>12621</v>
      </c>
      <c r="D243" s="4" t="s">
        <v>12395</v>
      </c>
      <c r="F243" s="5" t="str">
        <f>IFERROR(__xludf.DUMMYFUNCTION("GOOGLETRANSLATE(A243, ""en"", ""hi"")"),"242")</f>
        <v>242</v>
      </c>
      <c r="G243" s="5" t="str">
        <f>IFERROR(__xludf.DUMMYFUNCTION("GOOGLETRANSLATE(B243, ""en"", ""hi"")"),"मणिपुर के इतिहास में किस प्रमुख घटना के कारण थांग-ता प्रथा का दमन हुआ?")</f>
        <v>मणिपुर के इतिहास में किस प्रमुख घटना के कारण थांग-ता प्रथा का दमन हुआ?</v>
      </c>
      <c r="H243" s="5" t="str">
        <f>IFERROR(__xludf.DUMMYFUNCTION("GOOGLETRANSLATE(C243, ""en"", ""hi"")"),"A) एंग्लो-मणिपुर युद्ध, B) खोंगजोम का युद्ध, C) बर्मी आक्रमण, D) भारतीय स्वतंत्रता")</f>
        <v>A) एंग्लो-मणिपुर युद्ध, B) खोंगजोम का युद्ध, C) बर्मी आक्रमण, D) भारतीय स्वतंत्रता</v>
      </c>
      <c r="I243" s="5" t="str">
        <f>IFERROR(__xludf.DUMMYFUNCTION("GOOGLETRANSLATE(D243, ""en"", ""hi"")"),"A) एंग्लो-मणिपुर युद्ध")</f>
        <v>A) एंग्लो-मणिपुर युद्ध</v>
      </c>
    </row>
    <row r="244" ht="22.5" customHeight="1">
      <c r="A244" s="3">
        <v>243.0</v>
      </c>
      <c r="B244" s="4" t="s">
        <v>12622</v>
      </c>
      <c r="C244" s="4" t="s">
        <v>12623</v>
      </c>
      <c r="D244" s="4" t="s">
        <v>3549</v>
      </c>
      <c r="F244" s="5" t="str">
        <f>IFERROR(__xludf.DUMMYFUNCTION("GOOGLETRANSLATE(A244, ""en"", ""hi"")"),"243")</f>
        <v>243</v>
      </c>
      <c r="G244" s="5" t="str">
        <f>IFERROR(__xludf.DUMMYFUNCTION("GOOGLETRANSLATE(B244, ""en"", ""hi"")"),"थांग-ता प्रदर्शन पारंपरिक रूप से किस स्थान पर आयोजित किया जाता था?")</f>
        <v>थांग-ता प्रदर्शन पारंपरिक रूप से किस स्थान पर आयोजित किया जाता था?</v>
      </c>
      <c r="H244" s="5" t="str">
        <f>IFERROR(__xludf.DUMMYFUNCTION("GOOGLETRANSLATE(C244, ""en"", ""hi"")"),"A) मंदिर, B) खुले मैदान, C) राज दरबार, D) जंगल")</f>
        <v>A) मंदिर, B) खुले मैदान, C) राज दरबार, D) जंगल</v>
      </c>
      <c r="I244" s="5" t="str">
        <f>IFERROR(__xludf.DUMMYFUNCTION("GOOGLETRANSLATE(D244, ""en"", ""hi"")"),"C) शाही दरबार")</f>
        <v>C) शाही दरबार</v>
      </c>
    </row>
    <row r="245" ht="22.5" customHeight="1">
      <c r="A245" s="3">
        <v>244.0</v>
      </c>
      <c r="B245" s="4" t="s">
        <v>12624</v>
      </c>
      <c r="C245" s="4" t="s">
        <v>12625</v>
      </c>
      <c r="D245" s="4" t="s">
        <v>12550</v>
      </c>
      <c r="F245" s="5" t="str">
        <f>IFERROR(__xludf.DUMMYFUNCTION("GOOGLETRANSLATE(A245, ""en"", ""hi"")"),"244")</f>
        <v>244</v>
      </c>
      <c r="G245" s="5" t="str">
        <f>IFERROR(__xludf.DUMMYFUNCTION("GOOGLETRANSLATE(B245, ""en"", ""hi"")"),"कौन सी मणिपुरी कला शैली कहानी कहने के लिए थांग-ता के साथ निकटता से एकीकृत होती है?")</f>
        <v>कौन सी मणिपुरी कला शैली कहानी कहने के लिए थांग-ता के साथ निकटता से एकीकृत होती है?</v>
      </c>
      <c r="H245" s="5" t="str">
        <f>IFERROR(__xludf.DUMMYFUNCTION("GOOGLETRANSLATE(C245, ""en"", ""hi"")"),"ए) रास लीला, बी) पेना, सी) पुंग चोलोम, डी) ह्यूएन लैंगलोन")</f>
        <v>ए) रास लीला, बी) पेना, सी) पुंग चोलोम, डी) ह्यूएन लैंगलोन</v>
      </c>
      <c r="I245" s="5" t="str">
        <f>IFERROR(__xludf.DUMMYFUNCTION("GOOGLETRANSLATE(D245, ""en"", ""hi"")"),"डी) हुयेन लैंगलोन")</f>
        <v>डी) हुयेन लैंगलोन</v>
      </c>
    </row>
    <row r="246" ht="22.5" customHeight="1">
      <c r="A246" s="3">
        <v>245.0</v>
      </c>
      <c r="B246" s="4" t="s">
        <v>12626</v>
      </c>
      <c r="C246" s="4" t="s">
        <v>12627</v>
      </c>
      <c r="D246" s="4" t="s">
        <v>12628</v>
      </c>
      <c r="F246" s="5" t="str">
        <f>IFERROR(__xludf.DUMMYFUNCTION("GOOGLETRANSLATE(A246, ""en"", ""hi"")"),"245")</f>
        <v>245</v>
      </c>
      <c r="G246" s="5" t="str">
        <f>IFERROR(__xludf.DUMMYFUNCTION("GOOGLETRANSLATE(B246, ""en"", ""hi"")"),"किस औपनिवेशिक काल के दौरान मणिपुर में थांग-टा पर आधिकारिक रूप से प्रतिबंध लगा दिया गया था?")</f>
        <v>किस औपनिवेशिक काल के दौरान मणिपुर में थांग-टा पर आधिकारिक रूप से प्रतिबंध लगा दिया गया था?</v>
      </c>
      <c r="H246" s="5" t="str">
        <f>IFERROR(__xludf.DUMMYFUNCTION("GOOGLETRANSLATE(C246, ""en"", ""hi"")"),"ए) 1857-1860, बी) 1891-1895, सी) 1910-1915, डी) 1930-1945")</f>
        <v>ए) 1857-1860, बी) 1891-1895, सी) 1910-1915, डी) 1930-1945</v>
      </c>
      <c r="I246" s="5" t="str">
        <f>IFERROR(__xludf.DUMMYFUNCTION("GOOGLETRANSLATE(D246, ""en"", ""hi"")"),"बी) 1891-1895")</f>
        <v>बी) 1891-1895</v>
      </c>
    </row>
    <row r="247" ht="22.5" customHeight="1">
      <c r="A247" s="3">
        <v>246.0</v>
      </c>
      <c r="B247" s="4" t="s">
        <v>12629</v>
      </c>
      <c r="C247" s="4" t="s">
        <v>12630</v>
      </c>
      <c r="D247" s="4" t="s">
        <v>12631</v>
      </c>
      <c r="F247" s="5" t="str">
        <f>IFERROR(__xludf.DUMMYFUNCTION("GOOGLETRANSLATE(A247, ""en"", ""hi"")"),"246")</f>
        <v>246</v>
      </c>
      <c r="G247" s="5" t="str">
        <f>IFERROR(__xludf.DUMMYFUNCTION("GOOGLETRANSLATE(B247, ""en"", ""hi"")"),"'हुयेन लैंग्लोन' शब्द थांग-ता के किस पहलू को संदर्भित करता है?")</f>
        <v>'हुयेन लैंग्लोन' शब्द थांग-ता के किस पहलू को संदर्भित करता है?</v>
      </c>
      <c r="H247" s="5" t="str">
        <f>IFERROR(__xludf.DUMMYFUNCTION("GOOGLETRANSLATE(C247, ""en"", ""hi"")"),"A) नृत्य शैली, B) आध्यात्मिक अभ्यास, C) युद्ध कला, D) सांस्कृतिक उत्सव")</f>
        <v>A) नृत्य शैली, B) आध्यात्मिक अभ्यास, C) युद्ध कला, D) सांस्कृतिक उत्सव</v>
      </c>
      <c r="I247" s="5" t="str">
        <f>IFERROR(__xludf.DUMMYFUNCTION("GOOGLETRANSLATE(D247, ""en"", ""hi"")"),"C) युद्ध कला")</f>
        <v>C) युद्ध कला</v>
      </c>
    </row>
    <row r="248" ht="22.5" customHeight="1">
      <c r="A248" s="3">
        <v>247.0</v>
      </c>
      <c r="B248" s="4" t="s">
        <v>12632</v>
      </c>
      <c r="C248" s="4" t="s">
        <v>12633</v>
      </c>
      <c r="D248" s="4" t="s">
        <v>2756</v>
      </c>
      <c r="F248" s="5" t="str">
        <f>IFERROR(__xludf.DUMMYFUNCTION("GOOGLETRANSLATE(A248, ""en"", ""hi"")"),"247")</f>
        <v>247</v>
      </c>
      <c r="G248" s="5" t="str">
        <f>IFERROR(__xludf.DUMMYFUNCTION("GOOGLETRANSLATE(B248, ""en"", ""hi"")"),"थांग-ता में तलवार और भाले के अलावा किस हथियार का इस्तेमाल किया गया था?")</f>
        <v>थांग-ता में तलवार और भाले के अलावा किस हथियार का इस्तेमाल किया गया था?</v>
      </c>
      <c r="H248" s="5" t="str">
        <f>IFERROR(__xludf.DUMMYFUNCTION("GOOGLETRANSLATE(C248, ""en"", ""hi"")"),"A) कुल्हाड़ी, B) खंजर, C) धनुष, D) गदा")</f>
        <v>A) कुल्हाड़ी, B) खंजर, C) धनुष, D) गदा</v>
      </c>
      <c r="I248" s="5" t="str">
        <f>IFERROR(__xludf.DUMMYFUNCTION("GOOGLETRANSLATE(D248, ""en"", ""hi"")"),"बी) खंजर")</f>
        <v>बी) खंजर</v>
      </c>
    </row>
    <row r="249" ht="22.5" customHeight="1">
      <c r="A249" s="3">
        <v>248.0</v>
      </c>
      <c r="B249" s="4" t="s">
        <v>12634</v>
      </c>
      <c r="C249" s="4" t="s">
        <v>12635</v>
      </c>
      <c r="D249" s="4" t="s">
        <v>10044</v>
      </c>
      <c r="F249" s="5" t="str">
        <f>IFERROR(__xludf.DUMMYFUNCTION("GOOGLETRANSLATE(A249, ""en"", ""hi"")"),"248")</f>
        <v>248</v>
      </c>
      <c r="G249" s="5" t="str">
        <f>IFERROR(__xludf.DUMMYFUNCTION("GOOGLETRANSLATE(B249, ""en"", ""hi"")"),"थांग-ता में प्रशिक्षण का पारंपरिक उद्देश्य क्या था?")</f>
        <v>थांग-ता में प्रशिक्षण का पारंपरिक उद्देश्य क्या था?</v>
      </c>
      <c r="H249" s="5" t="str">
        <f>IFERROR(__xludf.DUMMYFUNCTION("GOOGLETRANSLATE(C249, ""en"", ""hi"")"),"A) मनोरंजन, B) व्यक्तिगत रक्षा, C) युद्ध, D) अनुष्ठान नृत्य")</f>
        <v>A) मनोरंजन, B) व्यक्तिगत रक्षा, C) युद्ध, D) अनुष्ठान नृत्य</v>
      </c>
      <c r="I249" s="5" t="str">
        <f>IFERROR(__xludf.DUMMYFUNCTION("GOOGLETRANSLATE(D249, ""en"", ""hi"")"),"सी) युद्ध")</f>
        <v>सी) युद्ध</v>
      </c>
    </row>
    <row r="250" ht="22.5" customHeight="1">
      <c r="A250" s="3">
        <v>249.0</v>
      </c>
      <c r="B250" s="4" t="s">
        <v>12636</v>
      </c>
      <c r="C250" s="4" t="s">
        <v>12637</v>
      </c>
      <c r="D250" s="4" t="s">
        <v>12638</v>
      </c>
      <c r="F250" s="5" t="str">
        <f>IFERROR(__xludf.DUMMYFUNCTION("GOOGLETRANSLATE(A250, ""en"", ""hi"")"),"249")</f>
        <v>249</v>
      </c>
      <c r="G250" s="5" t="str">
        <f>IFERROR(__xludf.DUMMYFUNCTION("GOOGLETRANSLATE(B250, ""en"", ""hi"")"),"थांग-ता परंपरा को संरक्षित करने में किस शाही दरबार ने केंद्रीय भूमिका निभाई?")</f>
        <v>थांग-ता परंपरा को संरक्षित करने में किस शाही दरबार ने केंद्रीय भूमिका निभाई?</v>
      </c>
      <c r="H250" s="5" t="str">
        <f>IFERROR(__xludf.DUMMYFUNCTION("GOOGLETRANSLATE(C250, ""en"", ""hi"")"),"ए) कंगलिपाक का रॉयल कोर्ट, बी) त्रिपुरा का रॉयल कोर्ट, सी) अहोम का रॉयल कोर्ट, डी) कछार का रॉयल कोर्ट")</f>
        <v>ए) कंगलिपाक का रॉयल कोर्ट, बी) त्रिपुरा का रॉयल कोर्ट, सी) अहोम का रॉयल कोर्ट, डी) कछार का रॉयल कोर्ट</v>
      </c>
      <c r="I250" s="5" t="str">
        <f>IFERROR(__xludf.DUMMYFUNCTION("GOOGLETRANSLATE(D250, ""en"", ""hi"")"),"A) कांगलेईपाक का शाही दरबार")</f>
        <v>A) कांगलेईपाक का शाही दरबार</v>
      </c>
    </row>
    <row r="251" ht="22.5" customHeight="1">
      <c r="A251" s="3">
        <v>250.0</v>
      </c>
      <c r="B251" s="4" t="s">
        <v>12639</v>
      </c>
      <c r="C251" s="4" t="s">
        <v>12640</v>
      </c>
      <c r="D251" s="4" t="s">
        <v>12641</v>
      </c>
      <c r="F251" s="5" t="str">
        <f>IFERROR(__xludf.DUMMYFUNCTION("GOOGLETRANSLATE(A251, ""en"", ""hi"")"),"250")</f>
        <v>250</v>
      </c>
      <c r="G251" s="5" t="str">
        <f>IFERROR(__xludf.DUMMYFUNCTION("GOOGLETRANSLATE(B251, ""en"", ""hi"")"),"कौन सा मणिपुरी जातीय समूह पारंपरिक रूप से थांग-ता मार्शल आर्ट से जुड़ा हुआ है?")</f>
        <v>कौन सा मणिपुरी जातीय समूह पारंपरिक रूप से थांग-ता मार्शल आर्ट से जुड़ा हुआ है?</v>
      </c>
      <c r="H251" s="5" t="str">
        <f>IFERROR(__xludf.DUMMYFUNCTION("GOOGLETRANSLATE(C251, ""en"", ""hi"")"),"ए) नागा, बी) मैतेई, सी) कुकी, डी) तांगखुल्स")</f>
        <v>ए) नागा, बी) मैतेई, सी) कुकी, डी) तांगखुल्स</v>
      </c>
      <c r="I251" s="5" t="str">
        <f>IFERROR(__xludf.DUMMYFUNCTION("GOOGLETRANSLATE(D251, ""en"", ""hi"")"),"बी) मैतेई")</f>
        <v>बी) मैतेई</v>
      </c>
    </row>
    <row r="252" ht="22.5" customHeight="1">
      <c r="A252" s="3">
        <v>251.0</v>
      </c>
      <c r="B252" s="4" t="s">
        <v>12642</v>
      </c>
      <c r="C252" s="4" t="s">
        <v>12643</v>
      </c>
      <c r="D252" s="4" t="s">
        <v>12384</v>
      </c>
      <c r="F252" s="5" t="str">
        <f>IFERROR(__xludf.DUMMYFUNCTION("GOOGLETRANSLATE(A252, ""en"", ""hi"")"),"251")</f>
        <v>251</v>
      </c>
      <c r="G252" s="5" t="str">
        <f>IFERROR(__xludf.DUMMYFUNCTION("GOOGLETRANSLATE(B252, ""en"", ""hi"")"),"थांग-ता का आध्यात्मिक पहलू किस मणिपुरी विश्वास प्रणाली से जुड़ा है?")</f>
        <v>थांग-ता का आध्यात्मिक पहलू किस मणिपुरी विश्वास प्रणाली से जुड़ा है?</v>
      </c>
      <c r="H252" s="5" t="str">
        <f>IFERROR(__xludf.DUMMYFUNCTION("GOOGLETRANSLATE(C252, ""en"", ""hi"")"),"A) सनातन धर्म, B) हिंदू धर्म, C) बौद्ध धर्म, D) ईसाई धर्म")</f>
        <v>A) सनातन धर्म, B) हिंदू धर्म, C) बौद्ध धर्म, D) ईसाई धर्म</v>
      </c>
      <c r="I252" s="5" t="str">
        <f>IFERROR(__xludf.DUMMYFUNCTION("GOOGLETRANSLATE(D252, ""en"", ""hi"")"),"A) सनमहवाद")</f>
        <v>A) सनमहवाद</v>
      </c>
    </row>
    <row r="253" ht="22.5" customHeight="1">
      <c r="A253" s="3">
        <v>252.0</v>
      </c>
      <c r="B253" s="4" t="s">
        <v>12644</v>
      </c>
      <c r="C253" s="4" t="s">
        <v>12645</v>
      </c>
      <c r="D253" s="4" t="s">
        <v>12646</v>
      </c>
      <c r="F253" s="5" t="str">
        <f>IFERROR(__xludf.DUMMYFUNCTION("GOOGLETRANSLATE(A253, ""en"", ""hi"")"),"252")</f>
        <v>252</v>
      </c>
      <c r="G253" s="5" t="str">
        <f>IFERROR(__xludf.DUMMYFUNCTION("GOOGLETRANSLATE(B253, ""en"", ""hi"")"),"प्राचीन मणिपुर में थांग-ता एक मार्शल आर्ट और क्या था?")</f>
        <v>प्राचीन मणिपुर में थांग-ता एक मार्शल आर्ट और क्या था?</v>
      </c>
      <c r="H253" s="5" t="str">
        <f>IFERROR(__xludf.DUMMYFUNCTION("GOOGLETRANSLATE(C253, ""en"", ""hi"")"),"A) सैन्य प्रशिक्षण, B) नृत्य शैली, C) धार्मिक अनुष्ठान, D) राजनीतिक अभ्यास")</f>
        <v>A) सैन्य प्रशिक्षण, B) नृत्य शैली, C) धार्मिक अनुष्ठान, D) राजनीतिक अभ्यास</v>
      </c>
      <c r="I253" s="5" t="str">
        <f>IFERROR(__xludf.DUMMYFUNCTION("GOOGLETRANSLATE(D253, ""en"", ""hi"")"),"ए) सैन्य प्रशिक्षण")</f>
        <v>ए) सैन्य प्रशिक्षण</v>
      </c>
    </row>
    <row r="254" ht="22.5" customHeight="1">
      <c r="A254" s="3">
        <v>253.0</v>
      </c>
      <c r="B254" s="4" t="s">
        <v>12647</v>
      </c>
      <c r="C254" s="4" t="s">
        <v>12648</v>
      </c>
      <c r="D254" s="4" t="s">
        <v>12649</v>
      </c>
      <c r="F254" s="5" t="str">
        <f>IFERROR(__xludf.DUMMYFUNCTION("GOOGLETRANSLATE(A254, ""en"", ""hi"")"),"253")</f>
        <v>253</v>
      </c>
      <c r="G254" s="5" t="str">
        <f>IFERROR(__xludf.DUMMYFUNCTION("GOOGLETRANSLATE(B254, ""en"", ""hi"")"),"किस मणिपुरी रानी को अपने शासनकाल के दौरान थांग-ता प्रथा का समर्थन करने के लिए जाना जाता था?")</f>
        <v>किस मणिपुरी रानी को अपने शासनकाल के दौरान थांग-ता प्रथा का समर्थन करने के लिए जाना जाता था?</v>
      </c>
      <c r="H254" s="5" t="str">
        <f>IFERROR(__xludf.DUMMYFUNCTION("GOOGLETRANSLATE(C254, ""en"", ""hi"")"),"ए) महारानी चंद्रेश्वरी, बी) महारानी निंगथौ लीमा, सी) महारानी थोइबी, डी) महारानी तम्फासन")</f>
        <v>ए) महारानी चंद्रेश्वरी, बी) महारानी निंगथौ लीमा, सी) महारानी थोइबी, डी) महारानी तम्फासन</v>
      </c>
      <c r="I254" s="5" t="str">
        <f>IFERROR(__xludf.DUMMYFUNCTION("GOOGLETRANSLATE(D254, ""en"", ""hi"")"),"बी) महारानी निंगथौ लीमा")</f>
        <v>बी) महारानी निंगथौ लीमा</v>
      </c>
    </row>
    <row r="255" ht="22.5" customHeight="1">
      <c r="A255" s="3">
        <v>254.0</v>
      </c>
      <c r="B255" s="4" t="s">
        <v>12650</v>
      </c>
      <c r="C255" s="4" t="s">
        <v>12651</v>
      </c>
      <c r="D255" s="4" t="s">
        <v>12652</v>
      </c>
      <c r="F255" s="5" t="str">
        <f>IFERROR(__xludf.DUMMYFUNCTION("GOOGLETRANSLATE(A255, ""en"", ""hi"")"),"254")</f>
        <v>254</v>
      </c>
      <c r="G255" s="5" t="str">
        <f>IFERROR(__xludf.DUMMYFUNCTION("GOOGLETRANSLATE(B255, ""en"", ""hi"")"),"ब्रिटिश लोग अपने औपनिवेशिक शासन के दौरान थांग-टा को किसका प्रतीक मानते थे?")</f>
        <v>ब्रिटिश लोग अपने औपनिवेशिक शासन के दौरान थांग-टा को किसका प्रतीक मानते थे?</v>
      </c>
      <c r="H255" s="5" t="str">
        <f>IFERROR(__xludf.DUMMYFUNCTION("GOOGLETRANSLATE(C255, ""en"", ""hi"")"),"A) वफादारी, B) विद्रोह, C) कूटनीति, D) वाणिज्य")</f>
        <v>A) वफादारी, B) विद्रोह, C) कूटनीति, D) वाणिज्य</v>
      </c>
      <c r="I255" s="5" t="str">
        <f>IFERROR(__xludf.DUMMYFUNCTION("GOOGLETRANSLATE(D255, ""en"", ""hi"")"),"बी) विद्रोह")</f>
        <v>बी) विद्रोह</v>
      </c>
    </row>
    <row r="256" ht="22.5" customHeight="1">
      <c r="A256" s="3">
        <v>255.0</v>
      </c>
      <c r="B256" s="4" t="s">
        <v>12653</v>
      </c>
      <c r="C256" s="4" t="s">
        <v>12654</v>
      </c>
      <c r="D256" s="4" t="s">
        <v>12086</v>
      </c>
      <c r="F256" s="5" t="str">
        <f>IFERROR(__xludf.DUMMYFUNCTION("GOOGLETRANSLATE(A256, ""en"", ""hi"")"),"255")</f>
        <v>255</v>
      </c>
      <c r="G256" s="5" t="str">
        <f>IFERROR(__xludf.DUMMYFUNCTION("GOOGLETRANSLATE(B256, ""en"", ""hi"")"),"कौन सा मणिपुरी अनुष्ठान श्रद्धा के रूप में थांग-ता के तत्वों को शामिल करता है?")</f>
        <v>कौन सा मणिपुरी अनुष्ठान श्रद्धा के रूप में थांग-ता के तत्वों को शामिल करता है?</v>
      </c>
      <c r="H256" s="5" t="str">
        <f>IFERROR(__xludf.DUMMYFUNCTION("GOOGLETRANSLATE(C256, ""en"", ""hi"")"),"ए) लाई हराओबा, बी) चेइराओबा, सी) कांग, डी) निंगोल चाकोउबा")</f>
        <v>ए) लाई हराओबा, बी) चेइराओबा, सी) कांग, डी) निंगोल चाकोउबा</v>
      </c>
      <c r="I256" s="5" t="str">
        <f>IFERROR(__xludf.DUMMYFUNCTION("GOOGLETRANSLATE(D256, ""en"", ""hi"")"),"A) लाई हरोबा")</f>
        <v>A) लाई हरोबा</v>
      </c>
    </row>
    <row r="257" ht="22.5" customHeight="1">
      <c r="A257" s="3">
        <v>256.0</v>
      </c>
      <c r="B257" s="4" t="s">
        <v>12655</v>
      </c>
      <c r="C257" s="4" t="s">
        <v>12656</v>
      </c>
      <c r="D257" s="4" t="s">
        <v>12657</v>
      </c>
      <c r="F257" s="5" t="str">
        <f>IFERROR(__xludf.DUMMYFUNCTION("GOOGLETRANSLATE(A257, ""en"", ""hi"")"),"256")</f>
        <v>256</v>
      </c>
      <c r="G257" s="5" t="str">
        <f>IFERROR(__xludf.DUMMYFUNCTION("GOOGLETRANSLATE(B257, ""en"", ""hi"")"),"18वीं शताब्दी में थांग-ता प्रथा को पुनर्जीवित करने का श्रेय किस राजा को दिया जाता है?")</f>
        <v>18वीं शताब्दी में थांग-ता प्रथा को पुनर्जीवित करने का श्रेय किस राजा को दिया जाता है?</v>
      </c>
      <c r="H257" s="5" t="str">
        <f>IFERROR(__xludf.DUMMYFUNCTION("GOOGLETRANSLATE(C257, ""en"", ""hi"")"),"ए) महाराजा भाग्यचंद्र, बी) महाराजा गरीबनिवाज़, सी) महाराजा चुराचंद सिंह, डी) महाराजा मरजीत सिंह")</f>
        <v>ए) महाराजा भाग्यचंद्र, बी) महाराजा गरीबनिवाज़, सी) महाराजा चुराचंद सिंह, डी) महाराजा मरजीत सिंह</v>
      </c>
      <c r="I257" s="5" t="str">
        <f>IFERROR(__xludf.DUMMYFUNCTION("GOOGLETRANSLATE(D257, ""en"", ""hi"")"),"A) महाराजा भाग्यचंद्र")</f>
        <v>A) महाराजा भाग्यचंद्र</v>
      </c>
    </row>
    <row r="258" ht="22.5" customHeight="1">
      <c r="A258" s="3">
        <v>257.0</v>
      </c>
      <c r="B258" s="4" t="s">
        <v>12658</v>
      </c>
      <c r="C258" s="4" t="s">
        <v>12659</v>
      </c>
      <c r="D258" s="4" t="s">
        <v>12660</v>
      </c>
      <c r="F258" s="5" t="str">
        <f>IFERROR(__xludf.DUMMYFUNCTION("GOOGLETRANSLATE(A258, ""en"", ""hi"")"),"257")</f>
        <v>257</v>
      </c>
      <c r="G258" s="5" t="str">
        <f>IFERROR(__xludf.DUMMYFUNCTION("GOOGLETRANSLATE(B258, ""en"", ""hi"")"),"1891 के एंग्लो-मणिपुर युद्ध के दौरान, थांग-टा का उपयोग मुख्य रूप से किस उद्देश्य के लिए किया गया था?")</f>
        <v>1891 के एंग्लो-मणिपुर युद्ध के दौरान, थांग-टा का उपयोग मुख्य रूप से किस उद्देश्य के लिए किया गया था?</v>
      </c>
      <c r="H258" s="5" t="str">
        <f>IFERROR(__xludf.DUMMYFUNCTION("GOOGLETRANSLATE(C258, ""en"", ""hi"")"),"A) ब्रिटिश सेनाओं के विरुद्ध रक्षा, B) राजनयिक मिशन, C) सांस्कृतिक समारोह, D) व्यापार वार्ता")</f>
        <v>A) ब्रिटिश सेनाओं के विरुद्ध रक्षा, B) राजनयिक मिशन, C) सांस्कृतिक समारोह, D) व्यापार वार्ता</v>
      </c>
      <c r="I258" s="5" t="str">
        <f>IFERROR(__xludf.DUMMYFUNCTION("GOOGLETRANSLATE(D258, ""en"", ""hi"")"),"A) ब्रिटिश सेना के खिलाफ रक्षा")</f>
        <v>A) ब्रिटिश सेना के खिलाफ रक्षा</v>
      </c>
    </row>
    <row r="259" ht="22.5" customHeight="1">
      <c r="A259" s="3">
        <v>258.0</v>
      </c>
      <c r="B259" s="4" t="s">
        <v>12661</v>
      </c>
      <c r="C259" s="4" t="s">
        <v>12662</v>
      </c>
      <c r="D259" s="4" t="s">
        <v>12663</v>
      </c>
      <c r="F259" s="5" t="str">
        <f>IFERROR(__xludf.DUMMYFUNCTION("GOOGLETRANSLATE(A259, ""en"", ""hi"")"),"258")</f>
        <v>258</v>
      </c>
      <c r="G259" s="5" t="str">
        <f>IFERROR(__xludf.DUMMYFUNCTION("GOOGLETRANSLATE(B259, ""en"", ""hi"")"),"ब्रिटिश काल के दौरान थांग-टा के पतन का मुख्य कारण क्या था?")</f>
        <v>ब्रिटिश काल के दौरान थांग-टा के पतन का मुख्य कारण क्या था?</v>
      </c>
      <c r="H259" s="5" t="str">
        <f>IFERROR(__xludf.DUMMYFUNCTION("GOOGLETRANSLATE(C259, ""en"", ""hi"")"),"A) मार्शल आर्ट पर प्रतिबंध, B) आधुनिक हथियारों का प्रचलन, C) शाही संरक्षण का ह्रास, D) आर्थिक पतन")</f>
        <v>A) मार्शल आर्ट पर प्रतिबंध, B) आधुनिक हथियारों का प्रचलन, C) शाही संरक्षण का ह्रास, D) आर्थिक पतन</v>
      </c>
      <c r="I259" s="5" t="str">
        <f>IFERROR(__xludf.DUMMYFUNCTION("GOOGLETRANSLATE(D259, ""en"", ""hi"")"),"A) मार्शल आर्ट पर प्रतिबंध")</f>
        <v>A) मार्शल आर्ट पर प्रतिबंध</v>
      </c>
    </row>
    <row r="260" ht="22.5" customHeight="1">
      <c r="A260" s="3">
        <v>259.0</v>
      </c>
      <c r="B260" s="4" t="s">
        <v>12664</v>
      </c>
      <c r="C260" s="4" t="s">
        <v>12665</v>
      </c>
      <c r="D260" s="4" t="s">
        <v>12666</v>
      </c>
      <c r="F260" s="5" t="str">
        <f>IFERROR(__xludf.DUMMYFUNCTION("GOOGLETRANSLATE(A260, ""en"", ""hi"")"),"259")</f>
        <v>259</v>
      </c>
      <c r="G260" s="5" t="str">
        <f>IFERROR(__xludf.DUMMYFUNCTION("GOOGLETRANSLATE(B260, ""en"", ""hi"")"),"20वीं सदी में किस सांस्कृतिक पुनरुत्थान आंदोलन ने थांग-टा को पुनर्स्थापित करने में मदद की?")</f>
        <v>20वीं सदी में किस सांस्कृतिक पुनरुत्थान आंदोलन ने थांग-टा को पुनर्स्थापित करने में मदद की?</v>
      </c>
      <c r="H260" s="5" t="str">
        <f>IFERROR(__xludf.DUMMYFUNCTION("GOOGLETRANSLATE(C260, ""en"", ""hi"")"),"A) भारतीय मार्शल आर्ट पुनर्जागरण, B) मणिपुरी सांस्कृतिक पुनरुत्थान, C) राष्ट्रीय स्वतंत्रता आंदोलन, D) मणिपुरी नृत्य पुनरुत्थान")</f>
        <v>A) भारतीय मार्शल आर्ट पुनर्जागरण, B) मणिपुरी सांस्कृतिक पुनरुत्थान, C) राष्ट्रीय स्वतंत्रता आंदोलन, D) मणिपुरी नृत्य पुनरुत्थान</v>
      </c>
      <c r="I260" s="5" t="str">
        <f>IFERROR(__xludf.DUMMYFUNCTION("GOOGLETRANSLATE(D260, ""en"", ""hi"")"),"बी) मणिपुरी सांस्कृतिक पुनरुत्थान")</f>
        <v>बी) मणिपुरी सांस्कृतिक पुनरुत्थान</v>
      </c>
    </row>
    <row r="261" ht="22.5" customHeight="1">
      <c r="A261" s="3">
        <v>260.0</v>
      </c>
      <c r="B261" s="4" t="s">
        <v>12667</v>
      </c>
      <c r="C261" s="4" t="s">
        <v>12668</v>
      </c>
      <c r="D261" s="4" t="s">
        <v>12669</v>
      </c>
      <c r="F261" s="5" t="str">
        <f>IFERROR(__xludf.DUMMYFUNCTION("GOOGLETRANSLATE(A261, ""en"", ""hi"")"),"260")</f>
        <v>260</v>
      </c>
      <c r="G261" s="5" t="str">
        <f>IFERROR(__xludf.DUMMYFUNCTION("GOOGLETRANSLATE(B261, ""en"", ""hi"")"),"स्वतंत्रता के बाद थांग-टा को संरक्षित करने के लिए कौन सा संगठन बनाया गया था?")</f>
        <v>स्वतंत्रता के बाद थांग-टा को संरक्षित करने के लिए कौन सा संगठन बनाया गया था?</v>
      </c>
      <c r="H261" s="5" t="str">
        <f>IFERROR(__xludf.DUMMYFUNCTION("GOOGLETRANSLATE(C261, ""en"", ""hi"")"),"ए) मणिपुरी मार्शल आर्ट अकादमी, बी) थांग-ता एसोसिएशन ऑफ इंडिया, सी) कांगलेइपक थांग-ता सोसाइटी, डी) ह्येन लैंगलोन प्रिजर्वेशन सोसाइटी")</f>
        <v>ए) मणिपुरी मार्शल आर्ट अकादमी, बी) थांग-ता एसोसिएशन ऑफ इंडिया, सी) कांगलेइपक थांग-ता सोसाइटी, डी) ह्येन लैंगलोन प्रिजर्वेशन सोसाइटी</v>
      </c>
      <c r="I261" s="5" t="str">
        <f>IFERROR(__xludf.DUMMYFUNCTION("GOOGLETRANSLATE(D261, ""en"", ""hi"")"),"D) हुएन लैंग्लोन संरक्षण सोसायटी")</f>
        <v>D) हुएन लैंग्लोन संरक्षण सोसायटी</v>
      </c>
    </row>
    <row r="262" ht="22.5" customHeight="1">
      <c r="A262" s="3">
        <v>261.0</v>
      </c>
      <c r="B262" s="4" t="s">
        <v>12670</v>
      </c>
      <c r="C262" s="4" t="s">
        <v>12671</v>
      </c>
      <c r="D262" s="4" t="s">
        <v>12672</v>
      </c>
      <c r="F262" s="5" t="str">
        <f>IFERROR(__xludf.DUMMYFUNCTION("GOOGLETRANSLATE(A262, ""en"", ""hi"")"),"261")</f>
        <v>261</v>
      </c>
      <c r="G262" s="5" t="str">
        <f>IFERROR(__xludf.DUMMYFUNCTION("GOOGLETRANSLATE(B262, ""en"", ""hi"")"),"थांग-ता योद्धा किस विशिष्ट युद्ध तकनीक के लिए जाने जाते थे?")</f>
        <v>थांग-ता योद्धा किस विशिष्ट युद्ध तकनीक के लिए जाने जाते थे?</v>
      </c>
      <c r="H262" s="5" t="str">
        <f>IFERROR(__xludf.DUMMYFUNCTION("GOOGLETRANSLATE(C262, ""en"", ""hi"")"),"A) तीव्र गोलाकार हमले, B) लंबी दूरी की तीरंदाजी, C) गुप्त घात, D) घुड़सवार सेना के हमले")</f>
        <v>A) तीव्र गोलाकार हमले, B) लंबी दूरी की तीरंदाजी, C) गुप्त घात, D) घुड़सवार सेना के हमले</v>
      </c>
      <c r="I262" s="5" t="str">
        <f>IFERROR(__xludf.DUMMYFUNCTION("GOOGLETRANSLATE(D262, ""en"", ""hi"")"),"A) तीव्र गोलाकार प्रहार")</f>
        <v>A) तीव्र गोलाकार प्रहार</v>
      </c>
    </row>
    <row r="263" ht="22.5" customHeight="1">
      <c r="A263" s="3">
        <v>262.0</v>
      </c>
      <c r="B263" s="4" t="s">
        <v>12673</v>
      </c>
      <c r="C263" s="4" t="s">
        <v>12674</v>
      </c>
      <c r="D263" s="4" t="s">
        <v>12080</v>
      </c>
      <c r="F263" s="5" t="str">
        <f>IFERROR(__xludf.DUMMYFUNCTION("GOOGLETRANSLATE(A263, ""en"", ""hi"")"),"262")</f>
        <v>262</v>
      </c>
      <c r="G263" s="5" t="str">
        <f>IFERROR(__xludf.DUMMYFUNCTION("GOOGLETRANSLATE(B263, ""en"", ""hi"")"),"लंबी दूरी की लड़ाई के लिए थांग-ता अभ्यासियों द्वारा किस हथियार का उपयोग किया जाता था?")</f>
        <v>लंबी दूरी की लड़ाई के लिए थांग-ता अभ्यासियों द्वारा किस हथियार का उपयोग किया जाता था?</v>
      </c>
      <c r="H263" s="5" t="str">
        <f>IFERROR(__xludf.DUMMYFUNCTION("GOOGLETRANSLATE(C263, ""en"", ""hi"")"),"A) भाला, B) धनुष और बाण, C) तलवार, D) खंजर")</f>
        <v>A) भाला, B) धनुष और बाण, C) तलवार, D) खंजर</v>
      </c>
      <c r="I263" s="5" t="str">
        <f>IFERROR(__xludf.DUMMYFUNCTION("GOOGLETRANSLATE(D263, ""en"", ""hi"")"),"ए) भाला")</f>
        <v>ए) भाला</v>
      </c>
    </row>
    <row r="264" ht="22.5" customHeight="1">
      <c r="A264" s="3">
        <v>263.0</v>
      </c>
      <c r="B264" s="4" t="s">
        <v>12675</v>
      </c>
      <c r="C264" s="4" t="s">
        <v>12676</v>
      </c>
      <c r="D264" s="4" t="s">
        <v>12677</v>
      </c>
      <c r="F264" s="5" t="str">
        <f>IFERROR(__xludf.DUMMYFUNCTION("GOOGLETRANSLATE(A264, ""en"", ""hi"")"),"263")</f>
        <v>263</v>
      </c>
      <c r="G264" s="5" t="str">
        <f>IFERROR(__xludf.DUMMYFUNCTION("GOOGLETRANSLATE(B264, ""en"", ""hi"")"),"थांग-ता के प्रसार पर मणिपुरी राजकुमारों का क्या प्रभाव पड़ा?")</f>
        <v>थांग-ता के प्रसार पर मणिपुरी राजकुमारों का क्या प्रभाव पड़ा?</v>
      </c>
      <c r="H264" s="5" t="str">
        <f>IFERROR(__xludf.DUMMYFUNCTION("GOOGLETRANSLATE(C264, ""en"", ""hi"")"),"A) उन्होंने इसे पड़ोसी राज्यों में पेश किया, B) उन्होंने इसका अभ्यास शाही परिवार तक ही सीमित रखा, C) उन्होंने इसे अन्य मार्शल आर्ट के साथ जोड़ा, D) उन्होंने इसके अभ्यास पर प्रतिबंध लगा दिया")</f>
        <v>A) उन्होंने इसे पड़ोसी राज्यों में पेश किया, B) उन्होंने इसका अभ्यास शाही परिवार तक ही सीमित रखा, C) उन्होंने इसे अन्य मार्शल आर्ट के साथ जोड़ा, D) उन्होंने इसके अभ्यास पर प्रतिबंध लगा दिया</v>
      </c>
      <c r="I264" s="5" t="str">
        <f>IFERROR(__xludf.DUMMYFUNCTION("GOOGLETRANSLATE(D264, ""en"", ""hi"")"),"A) उन्होंने इसे पड़ोसी राज्यों में भी प्रचलित किया")</f>
        <v>A) उन्होंने इसे पड़ोसी राज्यों में भी प्रचलित किया</v>
      </c>
    </row>
    <row r="265" ht="22.5" customHeight="1">
      <c r="A265" s="3">
        <v>264.0</v>
      </c>
      <c r="B265" s="4" t="s">
        <v>12678</v>
      </c>
      <c r="C265" s="4" t="s">
        <v>12679</v>
      </c>
      <c r="D265" s="4" t="s">
        <v>12680</v>
      </c>
      <c r="F265" s="5" t="str">
        <f>IFERROR(__xludf.DUMMYFUNCTION("GOOGLETRANSLATE(A265, ""en"", ""hi"")"),"264")</f>
        <v>264</v>
      </c>
      <c r="G265" s="5" t="str">
        <f>IFERROR(__xludf.DUMMYFUNCTION("GOOGLETRANSLATE(B265, ""en"", ""hi"")"),"थांग-ता के किस पहलू को गतिशील ध्यान के रूप में देखा गया?")</f>
        <v>थांग-ता के किस पहलू को गतिशील ध्यान के रूप में देखा गया?</v>
      </c>
      <c r="H265" s="5" t="str">
        <f>IFERROR(__xludf.DUMMYFUNCTION("GOOGLETRANSLATE(C265, ""en"", ""hi"")"),"A) तलवारबाजी, B) भाला चलाना, C) नृत्य जैसी गतिविधियाँ, D) अनुष्ठान मंत्रोच्चार")</f>
        <v>A) तलवारबाजी, B) भाला चलाना, C) नृत्य जैसी गतिविधियाँ, D) अनुष्ठान मंत्रोच्चार</v>
      </c>
      <c r="I265" s="5" t="str">
        <f>IFERROR(__xludf.DUMMYFUNCTION("GOOGLETRANSLATE(D265, ""en"", ""hi"")"),"C) नृत्य जैसी गतिविधियाँ")</f>
        <v>C) नृत्य जैसी गतिविधियाँ</v>
      </c>
    </row>
    <row r="266" ht="22.5" customHeight="1">
      <c r="A266" s="3">
        <v>265.0</v>
      </c>
      <c r="B266" s="4" t="s">
        <v>12681</v>
      </c>
      <c r="C266" s="4" t="s">
        <v>12682</v>
      </c>
      <c r="D266" s="4" t="s">
        <v>12683</v>
      </c>
      <c r="F266" s="5" t="str">
        <f>IFERROR(__xludf.DUMMYFUNCTION("GOOGLETRANSLATE(A266, ""en"", ""hi"")"),"265")</f>
        <v>265</v>
      </c>
      <c r="G266" s="5" t="str">
        <f>IFERROR(__xludf.DUMMYFUNCTION("GOOGLETRANSLATE(B266, ""en"", ""hi"")"),"थांग-ता गुरु किस अन्य विद्या में भी कुशल थे?")</f>
        <v>थांग-ता गुरु किस अन्य विद्या में भी कुशल थे?</v>
      </c>
      <c r="H266" s="5" t="str">
        <f>IFERROR(__xludf.DUMMYFUNCTION("GOOGLETRANSLATE(C266, ""en"", ""hi"")"),"A) संगीत, B) चिकित्सा, C) कृषि, D) ज्योतिष")</f>
        <v>A) संगीत, B) चिकित्सा, C) कृषि, D) ज्योतिष</v>
      </c>
      <c r="I266" s="5" t="str">
        <f>IFERROR(__xludf.DUMMYFUNCTION("GOOGLETRANSLATE(D266, ""en"", ""hi"")"),"बी) चिकित्सा")</f>
        <v>बी) चिकित्सा</v>
      </c>
    </row>
    <row r="267" ht="22.5" customHeight="1">
      <c r="A267" s="3">
        <v>266.0</v>
      </c>
      <c r="B267" s="4" t="s">
        <v>12684</v>
      </c>
      <c r="C267" s="4" t="s">
        <v>12685</v>
      </c>
      <c r="D267" s="4" t="s">
        <v>12686</v>
      </c>
      <c r="F267" s="5" t="str">
        <f>IFERROR(__xludf.DUMMYFUNCTION("GOOGLETRANSLATE(A267, ""en"", ""hi"")"),"266")</f>
        <v>266</v>
      </c>
      <c r="G267" s="5" t="str">
        <f>IFERROR(__xludf.DUMMYFUNCTION("GOOGLETRANSLATE(B267, ""en"", ""hi"")"),"प्राचीन मणिपुर में एक कुशल थांग-ता अभ्यासी की सामाजिक स्थिति क्या थी?")</f>
        <v>प्राचीन मणिपुर में एक कुशल थांग-ता अभ्यासी की सामाजिक स्थिति क्या थी?</v>
      </c>
      <c r="H267" s="5" t="str">
        <f>IFERROR(__xludf.DUMMYFUNCTION("GOOGLETRANSLATE(C267, ""en"", ""hi"")"),"A) निम्न श्रेणी का मजदूर, B) प्रतिष्ठित योद्धा, C) विद्वान, D) शाही सलाहकार")</f>
        <v>A) निम्न श्रेणी का मजदूर, B) प्रतिष्ठित योद्धा, C) विद्वान, D) शाही सलाहकार</v>
      </c>
      <c r="I267" s="5" t="str">
        <f>IFERROR(__xludf.DUMMYFUNCTION("GOOGLETRANSLATE(D267, ""en"", ""hi"")"),"बी) श्रद्धेय योद्धा")</f>
        <v>बी) श्रद्धेय योद्धा</v>
      </c>
    </row>
    <row r="268" ht="22.5" customHeight="1">
      <c r="A268" s="3">
        <v>267.0</v>
      </c>
      <c r="B268" s="4" t="s">
        <v>12687</v>
      </c>
      <c r="C268" s="4" t="s">
        <v>12688</v>
      </c>
      <c r="D268" s="4" t="s">
        <v>12689</v>
      </c>
      <c r="F268" s="5" t="str">
        <f>IFERROR(__xludf.DUMMYFUNCTION("GOOGLETRANSLATE(A268, ""en"", ""hi"")"),"267")</f>
        <v>267</v>
      </c>
      <c r="G268" s="5" t="str">
        <f>IFERROR(__xludf.DUMMYFUNCTION("GOOGLETRANSLATE(B268, ""en"", ""hi"")"),"कौन सी पारंपरिक मणिपुरी नृत्य शैली को कभी-कभी थांग-ता आंदोलनों के साथ मिश्रित किया जाता है?")</f>
        <v>कौन सी पारंपरिक मणिपुरी नृत्य शैली को कभी-कभी थांग-ता आंदोलनों के साथ मिश्रित किया जाता है?</v>
      </c>
      <c r="H268" s="5" t="str">
        <f>IFERROR(__xludf.DUMMYFUNCTION("GOOGLETRANSLATE(C268, ""en"", ""hi"")"),"ए) रास लीला, बी) खंबा थोइबी, सी) पुंग चोलोम, डी) मैबी जगोई")</f>
        <v>ए) रास लीला, बी) खंबा थोइबी, सी) पुंग चोलोम, डी) मैबी जगोई</v>
      </c>
      <c r="I268" s="5" t="str">
        <f>IFERROR(__xludf.DUMMYFUNCTION("GOOGLETRANSLATE(D268, ""en"", ""hi"")"),"बी) खंबा थोइबी")</f>
        <v>बी) खंबा थोइबी</v>
      </c>
    </row>
    <row r="269" ht="22.5" customHeight="1">
      <c r="A269" s="3">
        <v>268.0</v>
      </c>
      <c r="B269" s="4" t="s">
        <v>12690</v>
      </c>
      <c r="C269" s="4" t="s">
        <v>12691</v>
      </c>
      <c r="D269" s="4" t="s">
        <v>12692</v>
      </c>
      <c r="F269" s="5" t="str">
        <f>IFERROR(__xludf.DUMMYFUNCTION("GOOGLETRANSLATE(A269, ""en"", ""hi"")"),"268")</f>
        <v>268</v>
      </c>
      <c r="G269" s="5" t="str">
        <f>IFERROR(__xludf.DUMMYFUNCTION("GOOGLETRANSLATE(B269, ""en"", ""hi"")"),"थांग-ता किस प्रकार युवा मणिपुरी लड़कों के लिए दीक्षा संस्कार के रूप में कार्य करता था?")</f>
        <v>थांग-ता किस प्रकार युवा मणिपुरी लड़कों के लिए दीक्षा संस्कार के रूप में कार्य करता था?</v>
      </c>
      <c r="H269" s="5" t="str">
        <f>IFERROR(__xludf.DUMMYFUNCTION("GOOGLETRANSLATE(C269, ""en"", ""hi"")"),"A) वयस्कता का प्रतीक, B) सैन्य सेवा के लिए तैयारी, C) आध्यात्मिक जागृति का प्रतीक, D) पहली फसल का जश्न")</f>
        <v>A) वयस्कता का प्रतीक, B) सैन्य सेवा के लिए तैयारी, C) आध्यात्मिक जागृति का प्रतीक, D) पहली फसल का जश्न</v>
      </c>
      <c r="I269" s="5" t="str">
        <f>IFERROR(__xludf.DUMMYFUNCTION("GOOGLETRANSLATE(D269, ""en"", ""hi"")"),"बी) सैन्य सेवा के लिए तैयार")</f>
        <v>बी) सैन्य सेवा के लिए तैयार</v>
      </c>
    </row>
    <row r="270" ht="22.5" customHeight="1">
      <c r="A270" s="3">
        <v>269.0</v>
      </c>
      <c r="B270" s="4" t="s">
        <v>12693</v>
      </c>
      <c r="C270" s="4" t="s">
        <v>12694</v>
      </c>
      <c r="D270" s="4" t="s">
        <v>12482</v>
      </c>
      <c r="F270" s="5" t="str">
        <f>IFERROR(__xludf.DUMMYFUNCTION("GOOGLETRANSLATE(A270, ""en"", ""hi"")"),"269")</f>
        <v>269</v>
      </c>
      <c r="G270" s="5" t="str">
        <f>IFERROR(__xludf.DUMMYFUNCTION("GOOGLETRANSLATE(B270, ""en"", ""hi"")"),"कौन सी मणिपुरी ऐतिहासिक घटना को अक्सर थांग-ता तकनीक का उपयोग करके पुनः अभिनीत किया जाता है?")</f>
        <v>कौन सी मणिपुरी ऐतिहासिक घटना को अक्सर थांग-ता तकनीक का उपयोग करके पुनः अभिनीत किया जाता है?</v>
      </c>
      <c r="H270" s="5" t="str">
        <f>IFERROR(__xludf.DUMMYFUNCTION("GOOGLETRANSLATE(C270, ""en"", ""hi"")"),"A) खोंगजोम का युद्ध, B) एंग्लो-मणिपुर युद्ध, C) बर्मी आक्रमण, D) राजाओं का राज्याभिषेक")</f>
        <v>A) खोंगजोम का युद्ध, B) एंग्लो-मणिपुर युद्ध, C) बर्मी आक्रमण, D) राजाओं का राज्याभिषेक</v>
      </c>
      <c r="I270" s="5" t="str">
        <f>IFERROR(__xludf.DUMMYFUNCTION("GOOGLETRANSLATE(D270, ""en"", ""hi"")"),"A) खोंगजोम की लड़ाई")</f>
        <v>A) खोंगजोम की लड़ाई</v>
      </c>
    </row>
    <row r="271" ht="22.5" customHeight="1">
      <c r="A271" s="3">
        <v>270.0</v>
      </c>
      <c r="B271" s="4" t="s">
        <v>12695</v>
      </c>
      <c r="C271" s="4" t="s">
        <v>12696</v>
      </c>
      <c r="D271" s="4" t="s">
        <v>12697</v>
      </c>
      <c r="F271" s="5" t="str">
        <f>IFERROR(__xludf.DUMMYFUNCTION("GOOGLETRANSLATE(A271, ""en"", ""hi"")"),"270")</f>
        <v>270</v>
      </c>
      <c r="G271" s="5" t="str">
        <f>IFERROR(__xludf.DUMMYFUNCTION("GOOGLETRANSLATE(B271, ""en"", ""hi"")"),"प्राचीन मणिपुर में त्यौहारों के दौरान थांग-टा का क्या उद्देश्य था?")</f>
        <v>प्राचीन मणिपुर में त्यौहारों के दौरान थांग-टा का क्या उद्देश्य था?</v>
      </c>
      <c r="H271" s="5" t="str">
        <f>IFERROR(__xludf.DUMMYFUNCTION("GOOGLETRANSLATE(C271, ""en"", ""hi"")"),"A) मनोरंजन का साधन, B) सांस्कृतिक गौरव का प्रतीक, C) धार्मिक भेंट, D) सैन्य प्रदर्शन")</f>
        <v>A) मनोरंजन का साधन, B) सांस्कृतिक गौरव का प्रतीक, C) धार्मिक भेंट, D) सैन्य प्रदर्शन</v>
      </c>
      <c r="I271" s="5" t="str">
        <f>IFERROR(__xludf.DUMMYFUNCTION("GOOGLETRANSLATE(D271, ""en"", ""hi"")"),"D) सैन्य प्रदर्शन")</f>
        <v>D) सैन्य प्रदर्शन</v>
      </c>
    </row>
    <row r="272" ht="22.5" customHeight="1">
      <c r="A272" s="3">
        <v>271.0</v>
      </c>
      <c r="B272" s="4" t="s">
        <v>12698</v>
      </c>
      <c r="C272" s="4" t="s">
        <v>12699</v>
      </c>
      <c r="D272" s="4" t="s">
        <v>12700</v>
      </c>
      <c r="F272" s="5" t="str">
        <f>IFERROR(__xludf.DUMMYFUNCTION("GOOGLETRANSLATE(A272, ""en"", ""hi"")"),"271")</f>
        <v>271</v>
      </c>
      <c r="G272" s="5" t="str">
        <f>IFERROR(__xludf.DUMMYFUNCTION("GOOGLETRANSLATE(B272, ""en"", ""hi"")"),"किस मणिपुरी शाही परिवार के सदस्य ने थांग-ता को विलुप्त होने से बचाने में महत्वपूर्ण भूमिका निभाई?")</f>
        <v>किस मणिपुरी शाही परिवार के सदस्य ने थांग-ता को विलुप्त होने से बचाने में महत्वपूर्ण भूमिका निभाई?</v>
      </c>
      <c r="H272" s="5" t="str">
        <f>IFERROR(__xludf.DUMMYFUNCTION("GOOGLETRANSLATE(C272, ""en"", ""hi"")"),"ए) राजा चुराचंद सिंह, बी) महाराजा गंभीर सिंह, सी) महारानी तम्फसाना, डी) राजकुमार टिकेंद्रजीत सिंह")</f>
        <v>ए) राजा चुराचंद सिंह, बी) महाराजा गंभीर सिंह, सी) महारानी तम्फसाना, डी) राजकुमार टिकेंद्रजीत सिंह</v>
      </c>
      <c r="I272" s="5" t="str">
        <f>IFERROR(__xludf.DUMMYFUNCTION("GOOGLETRANSLATE(D272, ""en"", ""hi"")"),"D) राजकुमार टिकेंद्रजीत सिंह")</f>
        <v>D) राजकुमार टिकेंद्रजीत सिंह</v>
      </c>
    </row>
    <row r="273" ht="22.5" customHeight="1">
      <c r="A273" s="3">
        <v>272.0</v>
      </c>
      <c r="B273" s="4" t="s">
        <v>12701</v>
      </c>
      <c r="C273" s="4" t="s">
        <v>12702</v>
      </c>
      <c r="D273" s="4" t="s">
        <v>12703</v>
      </c>
      <c r="F273" s="5" t="str">
        <f>IFERROR(__xludf.DUMMYFUNCTION("GOOGLETRANSLATE(A273, ""en"", ""hi"")"),"272")</f>
        <v>272</v>
      </c>
      <c r="G273" s="5" t="str">
        <f>IFERROR(__xludf.DUMMYFUNCTION("GOOGLETRANSLATE(B273, ""en"", ""hi"")"),"थांग-ता की गति की तरलता की तुलना अक्सर प्रकृति के किस तत्व से की जाती है?")</f>
        <v>थांग-ता की गति की तरलता की तुलना अक्सर प्रकृति के किस तत्व से की जाती है?</v>
      </c>
      <c r="H273" s="5" t="str">
        <f>IFERROR(__xludf.DUMMYFUNCTION("GOOGLETRANSLATE(C273, ""en"", ""hi"")"),"A) जल, B) अग्नि, C) वायु, D) पृथ्वी")</f>
        <v>A) जल, B) अग्नि, C) वायु, D) पृथ्वी</v>
      </c>
      <c r="I273" s="5" t="str">
        <f>IFERROR(__xludf.DUMMYFUNCTION("GOOGLETRANSLATE(D273, ""en"", ""hi"")"),"ए) पानी")</f>
        <v>ए) पानी</v>
      </c>
    </row>
    <row r="274" ht="22.5" customHeight="1">
      <c r="A274" s="3">
        <v>273.0</v>
      </c>
      <c r="B274" s="4" t="s">
        <v>12704</v>
      </c>
      <c r="C274" s="4" t="s">
        <v>12705</v>
      </c>
      <c r="D274" s="4" t="s">
        <v>12706</v>
      </c>
      <c r="F274" s="5" t="str">
        <f>IFERROR(__xludf.DUMMYFUNCTION("GOOGLETRANSLATE(A274, ""en"", ""hi"")"),"273")</f>
        <v>273</v>
      </c>
      <c r="G274" s="5" t="str">
        <f>IFERROR(__xludf.DUMMYFUNCTION("GOOGLETRANSLATE(B274, ""en"", ""hi"")"),"किस मणिपुरी ऐतिहासिक नेता को राजा बनने से पहले थांग-ता में निपुणता हासिल करने के लिए याद किया जाता है?")</f>
        <v>किस मणिपुरी ऐतिहासिक नेता को राजा बनने से पहले थांग-ता में निपुणता हासिल करने के लिए याद किया जाता है?</v>
      </c>
      <c r="H274" s="5" t="str">
        <f>IFERROR(__xludf.DUMMYFUNCTION("GOOGLETRANSLATE(C274, ""en"", ""hi"")"),"A) राजा गरीबनिवाज़, B) राजा गंभीर सिंह, C) राजा भाग्यचंद्र, D) राजा खगेम्बा")</f>
        <v>A) राजा गरीबनिवाज़, B) राजा गंभीर सिंह, C) राजा भाग्यचंद्र, D) राजा खगेम्बा</v>
      </c>
      <c r="I274" s="5" t="str">
        <f>IFERROR(__xludf.DUMMYFUNCTION("GOOGLETRANSLATE(D274, ""en"", ""hi"")"),"बी) राजा गंभीर सिंह")</f>
        <v>बी) राजा गंभीर सिंह</v>
      </c>
    </row>
    <row r="275" ht="22.5" customHeight="1">
      <c r="A275" s="3">
        <v>274.0</v>
      </c>
      <c r="B275" s="4" t="s">
        <v>12707</v>
      </c>
      <c r="C275" s="4" t="s">
        <v>12708</v>
      </c>
      <c r="D275" s="4" t="s">
        <v>12709</v>
      </c>
      <c r="F275" s="5" t="str">
        <f>IFERROR(__xludf.DUMMYFUNCTION("GOOGLETRANSLATE(A275, ""en"", ""hi"")"),"274")</f>
        <v>274</v>
      </c>
      <c r="G275" s="5" t="str">
        <f>IFERROR(__xludf.DUMMYFUNCTION("GOOGLETRANSLATE(B275, ""en"", ""hi"")"),"थांग-ता मणिपुरी राजाओं के राज्याभिषेक समारोह में किसका प्रतीक बनकर भूमिका निभाता है?")</f>
        <v>थांग-ता मणिपुरी राजाओं के राज्याभिषेक समारोह में किसका प्रतीक बनकर भूमिका निभाता है?</v>
      </c>
      <c r="H275" s="5" t="str">
        <f>IFERROR(__xludf.DUMMYFUNCTION("GOOGLETRANSLATE(C275, ""en"", ""hi"")"),"A) दैवीय अधिकार, B) योद्धा शक्ति, C) सांस्कृतिक एकता, D) कृषि समृद्धि")</f>
        <v>A) दैवीय अधिकार, B) योद्धा शक्ति, C) सांस्कृतिक एकता, D) कृषि समृद्धि</v>
      </c>
      <c r="I275" s="5" t="str">
        <f>IFERROR(__xludf.DUMMYFUNCTION("GOOGLETRANSLATE(D275, ""en"", ""hi"")"),"बी) योद्धा शक्ति")</f>
        <v>बी) योद्धा शक्ति</v>
      </c>
    </row>
    <row r="276" ht="22.5" customHeight="1">
      <c r="A276" s="3">
        <v>275.0</v>
      </c>
      <c r="B276" s="4" t="s">
        <v>12710</v>
      </c>
      <c r="C276" s="4" t="s">
        <v>12711</v>
      </c>
      <c r="D276" s="4" t="s">
        <v>12712</v>
      </c>
      <c r="F276" s="5" t="str">
        <f>IFERROR(__xludf.DUMMYFUNCTION("GOOGLETRANSLATE(A276, ""en"", ""hi"")"),"275")</f>
        <v>275</v>
      </c>
      <c r="G276" s="5" t="str">
        <f>IFERROR(__xludf.DUMMYFUNCTION("GOOGLETRANSLATE(B276, ""en"", ""hi"")"),"कौन सी मणिपुरी मार्शल परंपरा की जड़ें थांग-ता से मिलती हैं?")</f>
        <v>कौन सी मणिपुरी मार्शल परंपरा की जड़ें थांग-ता से मिलती हैं?</v>
      </c>
      <c r="H276" s="5" t="str">
        <f>IFERROR(__xludf.DUMMYFUNCTION("GOOGLETRANSLATE(C276, ""en"", ""hi"")"),"ए) मुकना, बी) सरित सारक, सी) चेइबी गाड-गा, डी) सिलंबम")</f>
        <v>ए) मुकना, बी) सरित सारक, सी) चेइबी गाड-गा, डी) सिलंबम</v>
      </c>
      <c r="I276" s="5" t="str">
        <f>IFERROR(__xludf.DUMMYFUNCTION("GOOGLETRANSLATE(D276, ""en"", ""hi"")"),"बी) सरित सड़क")</f>
        <v>बी) सरित सड़क</v>
      </c>
    </row>
    <row r="277" ht="22.5" customHeight="1">
      <c r="A277" s="3">
        <v>276.0</v>
      </c>
      <c r="B277" s="4" t="s">
        <v>12713</v>
      </c>
      <c r="C277" s="4" t="s">
        <v>12714</v>
      </c>
      <c r="D277" s="4" t="s">
        <v>12367</v>
      </c>
      <c r="F277" s="5" t="str">
        <f>IFERROR(__xludf.DUMMYFUNCTION("GOOGLETRANSLATE(A277, ""en"", ""hi"")"),"276")</f>
        <v>276</v>
      </c>
      <c r="G277" s="5" t="str">
        <f>IFERROR(__xludf.DUMMYFUNCTION("GOOGLETRANSLATE(B277, ""en"", ""hi"")"),"थांग-टा की उत्पत्ति भारत के किस क्षेत्र में हुई थी?")</f>
        <v>थांग-टा की उत्पत्ति भारत के किस क्षेत्र में हुई थी?</v>
      </c>
      <c r="H277" s="5" t="str">
        <f>IFERROR(__xludf.DUMMYFUNCTION("GOOGLETRANSLATE(C277, ""en"", ""hi"")"),"A) असम, B) मणिपुर, C) त्रिपुरा, D) मिजोरम")</f>
        <v>A) असम, B) मणिपुर, C) त्रिपुरा, D) मिजोरम</v>
      </c>
      <c r="I277" s="5" t="str">
        <f>IFERROR(__xludf.DUMMYFUNCTION("GOOGLETRANSLATE(D277, ""en"", ""hi"")"),"बी) मणिपुर")</f>
        <v>बी) मणिपुर</v>
      </c>
    </row>
    <row r="278" ht="22.5" customHeight="1">
      <c r="A278" s="3">
        <v>277.0</v>
      </c>
      <c r="B278" s="4" t="s">
        <v>12715</v>
      </c>
      <c r="C278" s="4" t="s">
        <v>12716</v>
      </c>
      <c r="D278" s="4" t="s">
        <v>12717</v>
      </c>
      <c r="F278" s="5" t="str">
        <f>IFERROR(__xludf.DUMMYFUNCTION("GOOGLETRANSLATE(A278, ""en"", ""hi"")"),"277")</f>
        <v>277</v>
      </c>
      <c r="G278" s="5" t="str">
        <f>IFERROR(__xludf.DUMMYFUNCTION("GOOGLETRANSLATE(B278, ""en"", ""hi"")"),"थांग-ता अक्सर मणिपुर के किस ऐतिहासिक काल से जुड़ा हुआ है?")</f>
        <v>थांग-ता अक्सर मणिपुर के किस ऐतिहासिक काल से जुड़ा हुआ है?</v>
      </c>
      <c r="H278" s="5" t="str">
        <f>IFERROR(__xludf.DUMMYFUNCTION("GOOGLETRANSLATE(C278, ""en"", ""hi"")"),"A) मध्यकाल, B) औपनिवेशिक काल, C) प्राचीन काल, D) स्वतंत्रता के बाद का काल")</f>
        <v>A) मध्यकाल, B) औपनिवेशिक काल, C) प्राचीन काल, D) स्वतंत्रता के बाद का काल</v>
      </c>
      <c r="I278" s="5" t="str">
        <f>IFERROR(__xludf.DUMMYFUNCTION("GOOGLETRANSLATE(D278, ""en"", ""hi"")"),"A) मध्यकालीन काल")</f>
        <v>A) मध्यकालीन काल</v>
      </c>
    </row>
    <row r="279" ht="22.5" customHeight="1">
      <c r="A279" s="3">
        <v>278.0</v>
      </c>
      <c r="B279" s="4" t="s">
        <v>12718</v>
      </c>
      <c r="C279" s="4" t="s">
        <v>12719</v>
      </c>
      <c r="D279" s="4" t="s">
        <v>12720</v>
      </c>
      <c r="F279" s="5" t="str">
        <f>IFERROR(__xludf.DUMMYFUNCTION("GOOGLETRANSLATE(A279, ""en"", ""hi"")"),"278")</f>
        <v>278</v>
      </c>
      <c r="G279" s="5" t="str">
        <f>IFERROR(__xludf.DUMMYFUNCTION("GOOGLETRANSLATE(B279, ""en"", ""hi"")"),"किस मणिपुरी त्यौहार में ऐतिहासिक रूप से थांग-ता का प्रदर्शन शामिल था?")</f>
        <v>किस मणिपुरी त्यौहार में ऐतिहासिक रूप से थांग-ता का प्रदर्शन शामिल था?</v>
      </c>
      <c r="H279" s="5" t="str">
        <f>IFERROR(__xludf.DUMMYFUNCTION("GOOGLETRANSLATE(C279, ""en"", ""hi"")"),"ए) रथ यात्रा, बी) कांग महोत्सव, सी) याओशांग, डी) लाई हराओबा")</f>
        <v>ए) रथ यात्रा, बी) कांग महोत्सव, सी) याओशांग, डी) लाई हराओबा</v>
      </c>
      <c r="I279" s="5" t="str">
        <f>IFERROR(__xludf.DUMMYFUNCTION("GOOGLETRANSLATE(D279, ""en"", ""hi"")"),"D) लाई हरोबा")</f>
        <v>D) लाई हरोबा</v>
      </c>
    </row>
    <row r="280" ht="22.5" customHeight="1">
      <c r="A280" s="3">
        <v>279.0</v>
      </c>
      <c r="B280" s="4" t="s">
        <v>12721</v>
      </c>
      <c r="C280" s="4" t="s">
        <v>12722</v>
      </c>
      <c r="D280" s="4" t="s">
        <v>10930</v>
      </c>
      <c r="F280" s="5" t="str">
        <f>IFERROR(__xludf.DUMMYFUNCTION("GOOGLETRANSLATE(A280, ""en"", ""hi"")"),"279")</f>
        <v>279</v>
      </c>
      <c r="G280" s="5" t="str">
        <f>IFERROR(__xludf.DUMMYFUNCTION("GOOGLETRANSLATE(B280, ""en"", ""hi"")"),"मणिपुरी समाज में थांग-ता कौशल को आगे बढ़ाने के लिए पारंपरिक रूप से कौन जिम्मेदार था?")</f>
        <v>मणिपुरी समाज में थांग-ता कौशल को आगे बढ़ाने के लिए पारंपरिक रूप से कौन जिम्मेदार था?</v>
      </c>
      <c r="H280" s="5" t="str">
        <f>IFERROR(__xludf.DUMMYFUNCTION("GOOGLETRANSLATE(C280, ""en"", ""hi"")"),"A) पुजारी, B) योद्धा, C) किसान, D) विद्वान")</f>
        <v>A) पुजारी, B) योद्धा, C) किसान, D) विद्वान</v>
      </c>
      <c r="I280" s="5" t="str">
        <f>IFERROR(__xludf.DUMMYFUNCTION("GOOGLETRANSLATE(D280, ""en"", ""hi"")"),"बी) योद्धा")</f>
        <v>बी) योद्धा</v>
      </c>
    </row>
    <row r="281" ht="22.5" customHeight="1">
      <c r="A281" s="3">
        <v>280.0</v>
      </c>
      <c r="B281" s="4" t="s">
        <v>12723</v>
      </c>
      <c r="C281" s="4" t="s">
        <v>12724</v>
      </c>
      <c r="D281" s="4" t="s">
        <v>12725</v>
      </c>
      <c r="F281" s="5" t="str">
        <f>IFERROR(__xludf.DUMMYFUNCTION("GOOGLETRANSLATE(A281, ""en"", ""hi"")"),"280")</f>
        <v>280</v>
      </c>
      <c r="G281" s="5" t="str">
        <f>IFERROR(__xludf.DUMMYFUNCTION("GOOGLETRANSLATE(B281, ""en"", ""hi"")"),"कौन सी प्राचीन मणिपुरी पांडुलिपि थांग-ता के सिद्धांतों का उल्लेख करने के लिए जानी जाती है?")</f>
        <v>कौन सी प्राचीन मणिपुरी पांडुलिपि थांग-ता के सिद्धांतों का उल्लेख करने के लिए जानी जाती है?</v>
      </c>
      <c r="H281" s="5" t="str">
        <f>IFERROR(__xludf.DUMMYFUNCTION("GOOGLETRANSLATE(C281, ""en"", ""hi"")"),"ए) निंगथौरोल लाम्बुबा, बी) पुया, सी) चेइथारोल कुंबाबा, डी) कांगलेइरोल")</f>
        <v>ए) निंगथौरोल लाम्बुबा, बी) पुया, सी) चेइथारोल कुंबाबा, डी) कांगलेइरोल</v>
      </c>
      <c r="I281" s="5" t="str">
        <f>IFERROR(__xludf.DUMMYFUNCTION("GOOGLETRANSLATE(D281, ""en"", ""hi"")"),"बी) पुया")</f>
        <v>बी) पुया</v>
      </c>
    </row>
    <row r="282" ht="22.5" customHeight="1">
      <c r="A282" s="3">
        <v>281.0</v>
      </c>
      <c r="B282" s="4" t="s">
        <v>12726</v>
      </c>
      <c r="C282" s="4" t="s">
        <v>12727</v>
      </c>
      <c r="D282" s="4" t="s">
        <v>12728</v>
      </c>
      <c r="F282" s="5" t="str">
        <f>IFERROR(__xludf.DUMMYFUNCTION("GOOGLETRANSLATE(A282, ""en"", ""hi"")"),"281")</f>
        <v>281</v>
      </c>
      <c r="G282" s="5" t="str">
        <f>IFERROR(__xludf.DUMMYFUNCTION("GOOGLETRANSLATE(B282, ""en"", ""hi"")"),"माना जाता है कि थांग-ता प्रथा किस प्रारंभिक मणिपुरी राजा के शासन जितनी पुरानी है?")</f>
        <v>माना जाता है कि थांग-ता प्रथा किस प्रारंभिक मणिपुरी राजा के शासन जितनी पुरानी है?</v>
      </c>
      <c r="H282" s="5" t="str">
        <f>IFERROR(__xludf.DUMMYFUNCTION("GOOGLETRANSLATE(C282, ""en"", ""hi"")"),"ए) पखांगबा, बी) नोंगडा लायरेन पखांगबा, सी) खगेम्बा, डी) गरीबनिवाज़")</f>
        <v>ए) पखांगबा, बी) नोंगडा लायरेन पखांगबा, सी) खगेम्बा, डी) गरीबनिवाज़</v>
      </c>
      <c r="I282" s="5" t="str">
        <f>IFERROR(__xludf.DUMMYFUNCTION("GOOGLETRANSLATE(D282, ""en"", ""hi"")"),"बी) नोंगदा लैरेन पखांगबा")</f>
        <v>बी) नोंगदा लैरेन पखांगबा</v>
      </c>
    </row>
    <row r="283" ht="22.5" customHeight="1">
      <c r="A283" s="3">
        <v>282.0</v>
      </c>
      <c r="B283" s="4" t="s">
        <v>12729</v>
      </c>
      <c r="C283" s="4" t="s">
        <v>12730</v>
      </c>
      <c r="D283" s="4" t="s">
        <v>12706</v>
      </c>
      <c r="F283" s="5" t="str">
        <f>IFERROR(__xludf.DUMMYFUNCTION("GOOGLETRANSLATE(A283, ""en"", ""hi"")"),"282")</f>
        <v>282</v>
      </c>
      <c r="G283" s="5" t="str">
        <f>IFERROR(__xludf.DUMMYFUNCTION("GOOGLETRANSLATE(B283, ""en"", ""hi"")"),"थांग-टा किस मणिपुरी शासक के शासनकाल के दौरान अपने चरम पर पहुंच गया?")</f>
        <v>थांग-टा किस मणिपुरी शासक के शासनकाल के दौरान अपने चरम पर पहुंच गया?</v>
      </c>
      <c r="H283" s="5" t="str">
        <f>IFERROR(__xludf.DUMMYFUNCTION("GOOGLETRANSLATE(C283, ""en"", ""hi"")"),"ए) महाराजा भाग्यचंद्र, बी) राजा गंभीर सिंह, सी) राजा चुराचंद, डी) राजा मरजीत सिंह")</f>
        <v>ए) महाराजा भाग्यचंद्र, बी) राजा गंभीर सिंह, सी) राजा चुराचंद, डी) राजा मरजीत सिंह</v>
      </c>
      <c r="I283" s="5" t="str">
        <f>IFERROR(__xludf.DUMMYFUNCTION("GOOGLETRANSLATE(D283, ""en"", ""hi"")"),"बी) राजा गंभीर सिंह")</f>
        <v>बी) राजा गंभीर सिंह</v>
      </c>
    </row>
    <row r="284" ht="22.5" customHeight="1">
      <c r="A284" s="3">
        <v>283.0</v>
      </c>
      <c r="B284" s="4" t="s">
        <v>12731</v>
      </c>
      <c r="C284" s="4" t="s">
        <v>12732</v>
      </c>
      <c r="D284" s="4" t="s">
        <v>12733</v>
      </c>
      <c r="F284" s="5" t="str">
        <f>IFERROR(__xludf.DUMMYFUNCTION("GOOGLETRANSLATE(A284, ""en"", ""hi"")"),"283")</f>
        <v>283</v>
      </c>
      <c r="G284" s="5" t="str">
        <f>IFERROR(__xludf.DUMMYFUNCTION("GOOGLETRANSLATE(B284, ""en"", ""hi"")"),"प्राचीन काल में थांग-ता में किस प्रकार के प्रशिक्षण पर अधिक जोर दिया जाता था?")</f>
        <v>प्राचीन काल में थांग-ता में किस प्रकार के प्रशिक्षण पर अधिक जोर दिया जाता था?</v>
      </c>
      <c r="H284" s="5" t="str">
        <f>IFERROR(__xludf.DUMMYFUNCTION("GOOGLETRANSLATE(C284, ""en"", ""hi"")"),"A) मानसिक अनुशासन, B) शारीरिक शक्ति, C) शस्त्र कौशल, D) नृत्य चालन")</f>
        <v>A) मानसिक अनुशासन, B) शारीरिक शक्ति, C) शस्त्र कौशल, D) नृत्य चालन</v>
      </c>
      <c r="I284" s="5" t="str">
        <f>IFERROR(__xludf.DUMMYFUNCTION("GOOGLETRANSLATE(D284, ""en"", ""hi"")"),"C) हथियार कौशल")</f>
        <v>C) हथियार कौशल</v>
      </c>
    </row>
    <row r="285" ht="22.5" customHeight="1">
      <c r="A285" s="3">
        <v>284.0</v>
      </c>
      <c r="B285" s="4" t="s">
        <v>12734</v>
      </c>
      <c r="C285" s="4" t="s">
        <v>12735</v>
      </c>
      <c r="D285" s="4" t="s">
        <v>12736</v>
      </c>
      <c r="F285" s="5" t="str">
        <f>IFERROR(__xludf.DUMMYFUNCTION("GOOGLETRANSLATE(A285, ""en"", ""hi"")"),"284")</f>
        <v>284</v>
      </c>
      <c r="G285" s="5" t="str">
        <f>IFERROR(__xludf.DUMMYFUNCTION("GOOGLETRANSLATE(B285, ""en"", ""hi"")"),"थांग-ता प्रशिक्षण पारंपरिक रूप से किस प्राचीन मणिपुरी धार्मिक प्रथा से जुड़ा हुआ था?")</f>
        <v>थांग-ता प्रशिक्षण पारंपरिक रूप से किस प्राचीन मणिपुरी धार्मिक प्रथा से जुड़ा हुआ था?</v>
      </c>
      <c r="H285" s="5" t="str">
        <f>IFERROR(__xludf.DUMMYFUNCTION("GOOGLETRANSLATE(C285, ""en"", ""hi"")"),"A) हिंदू धर्म, B) सनातन धर्म, C) बौद्ध धर्म, D) जैन धर्म")</f>
        <v>A) हिंदू धर्म, B) सनातन धर्म, C) बौद्ध धर्म, D) जैन धर्म</v>
      </c>
      <c r="I285" s="5" t="str">
        <f>IFERROR(__xludf.DUMMYFUNCTION("GOOGLETRANSLATE(D285, ""en"", ""hi"")"),"बी) सनामावाद")</f>
        <v>बी) सनामावाद</v>
      </c>
    </row>
    <row r="286" ht="22.5" customHeight="1">
      <c r="A286" s="3">
        <v>285.0</v>
      </c>
      <c r="B286" s="4" t="s">
        <v>12737</v>
      </c>
      <c r="C286" s="4" t="s">
        <v>12738</v>
      </c>
      <c r="D286" s="4" t="s">
        <v>12739</v>
      </c>
      <c r="F286" s="5" t="str">
        <f>IFERROR(__xludf.DUMMYFUNCTION("GOOGLETRANSLATE(A286, ""en"", ""hi"")"),"285")</f>
        <v>285</v>
      </c>
      <c r="G286" s="5" t="str">
        <f>IFERROR(__xludf.DUMMYFUNCTION("GOOGLETRANSLATE(B286, ""en"", ""hi"")"),"मध्यकालीन मणिपुरी युद्ध के दौरान थांग-ता योद्धाओं द्वारा सबसे अधिक किस हथियार का प्रयोग किया जाता था?")</f>
        <v>मध्यकालीन मणिपुरी युद्ध के दौरान थांग-ता योद्धाओं द्वारा सबसे अधिक किस हथियार का प्रयोग किया जाता था?</v>
      </c>
      <c r="H286" s="5" t="str">
        <f>IFERROR(__xludf.DUMMYFUNCTION("GOOGLETRANSLATE(C286, ""en"", ""hi"")"),"A) धनुष और बाण, B) तलवार और भाला, C) गदा, D) कुल्हाड़ी")</f>
        <v>A) धनुष और बाण, B) तलवार और भाला, C) गदा, D) कुल्हाड़ी</v>
      </c>
      <c r="I286" s="5" t="str">
        <f>IFERROR(__xludf.DUMMYFUNCTION("GOOGLETRANSLATE(D286, ""en"", ""hi"")"),"बी) तलवार और भाला")</f>
        <v>बी) तलवार और भाला</v>
      </c>
    </row>
    <row r="287" ht="22.5" customHeight="1">
      <c r="A287" s="3">
        <v>286.0</v>
      </c>
      <c r="B287" s="4" t="s">
        <v>12740</v>
      </c>
      <c r="C287" s="4" t="s">
        <v>12741</v>
      </c>
      <c r="D287" s="4" t="s">
        <v>12742</v>
      </c>
      <c r="F287" s="5" t="str">
        <f>IFERROR(__xludf.DUMMYFUNCTION("GOOGLETRANSLATE(A287, ""en"", ""hi"")"),"286")</f>
        <v>286</v>
      </c>
      <c r="G287" s="5" t="str">
        <f>IFERROR(__xludf.DUMMYFUNCTION("GOOGLETRANSLATE(B287, ""en"", ""hi"")"),"पारंपरिक थांग-ता में युद्ध प्रशिक्षण का प्राथमिक केंद्र क्या था?")</f>
        <v>पारंपरिक थांग-ता में युद्ध प्रशिक्षण का प्राथमिक केंद्र क्या था?</v>
      </c>
      <c r="H287" s="5" t="str">
        <f>IFERROR(__xludf.DUMMYFUNCTION("GOOGLETRANSLATE(C287, ""en"", ""hi"")"),"A) आक्रामक तकनीकें, B) रक्षात्मक तकनीकें, C) संतुलित तकनीकें, D) अनुष्ठानिक युद्ध")</f>
        <v>A) आक्रामक तकनीकें, B) रक्षात्मक तकनीकें, C) संतुलित तकनीकें, D) अनुष्ठानिक युद्ध</v>
      </c>
      <c r="I287" s="5" t="str">
        <f>IFERROR(__xludf.DUMMYFUNCTION("GOOGLETRANSLATE(D287, ""en"", ""hi"")"),"C) संतुलित तकनीकें")</f>
        <v>C) संतुलित तकनीकें</v>
      </c>
    </row>
    <row r="288" ht="22.5" customHeight="1">
      <c r="A288" s="3">
        <v>287.0</v>
      </c>
      <c r="B288" s="4" t="s">
        <v>12743</v>
      </c>
      <c r="C288" s="4" t="s">
        <v>12744</v>
      </c>
      <c r="D288" s="4" t="s">
        <v>7210</v>
      </c>
      <c r="F288" s="5" t="str">
        <f>IFERROR(__xludf.DUMMYFUNCTION("GOOGLETRANSLATE(A288, ""en"", ""hi"")"),"287")</f>
        <v>287</v>
      </c>
      <c r="G288" s="5" t="str">
        <f>IFERROR(__xludf.DUMMYFUNCTION("GOOGLETRANSLATE(B288, ""en"", ""hi"")"),"किस काल में औपनिवेशिक प्रभाव के कारण थांग-ता का दमन किया गया था?")</f>
        <v>किस काल में औपनिवेशिक प्रभाव के कारण थांग-ता का दमन किया गया था?</v>
      </c>
      <c r="H288" s="5" t="str">
        <f>IFERROR(__xludf.DUMMYFUNCTION("GOOGLETRANSLATE(C288, ""en"", ""hi"")"),"A) पूर्व-औपनिवेशिक काल, B) ब्रिटिश औपनिवेशिक काल, C) स्वतंत्रता-पश्चात काल, D) मुगल")</f>
        <v>A) पूर्व-औपनिवेशिक काल, B) ब्रिटिश औपनिवेशिक काल, C) स्वतंत्रता-पश्चात काल, D) मुगल</v>
      </c>
      <c r="I288" s="5" t="str">
        <f>IFERROR(__xludf.DUMMYFUNCTION("GOOGLETRANSLATE(D288, ""en"", ""hi"")"),"बी) ब्रिटिश औपनिवेशिक काल")</f>
        <v>बी) ब्रिटिश औपनिवेशिक काल</v>
      </c>
    </row>
    <row r="289" ht="22.5" customHeight="1">
      <c r="A289" s="3">
        <v>288.0</v>
      </c>
      <c r="B289" s="4" t="s">
        <v>12745</v>
      </c>
      <c r="C289" s="4" t="s">
        <v>12746</v>
      </c>
      <c r="D289" s="4" t="s">
        <v>12747</v>
      </c>
      <c r="F289" s="5" t="str">
        <f>IFERROR(__xludf.DUMMYFUNCTION("GOOGLETRANSLATE(A289, ""en"", ""hi"")"),"288")</f>
        <v>288</v>
      </c>
      <c r="G289" s="5" t="str">
        <f>IFERROR(__xludf.DUMMYFUNCTION("GOOGLETRANSLATE(B289, ""en"", ""hi"")"),"थांग-ता ने मणिपुर में किस ऐतिहासिक घटना में महत्वपूर्ण भूमिका निभाई?")</f>
        <v>थांग-ता ने मणिपुर में किस ऐतिहासिक घटना में महत्वपूर्ण भूमिका निभाई?</v>
      </c>
      <c r="H289" s="5" t="str">
        <f>IFERROR(__xludf.DUMMYFUNCTION("GOOGLETRANSLATE(C289, ""en"", ""hi"")"),"A) एंग्लो-मणिपुर युद्ध, B) मणिपुर का भारत में एकीकरण, C) बर्मी आक्रमण, D) भारतीय स्वतंत्रता संग्राम")</f>
        <v>A) एंग्लो-मणिपुर युद्ध, B) मणिपुर का भारत में एकीकरण, C) बर्मी आक्रमण, D) भारतीय स्वतंत्रता संग्राम</v>
      </c>
      <c r="I289" s="5" t="str">
        <f>IFERROR(__xludf.DUMMYFUNCTION("GOOGLETRANSLATE(D289, ""en"", ""hi"")"),"A) एंग्लो-मणिपुर युद्ध")</f>
        <v>A) एंग्लो-मणिपुर युद्ध</v>
      </c>
    </row>
    <row r="290" ht="22.5" customHeight="1">
      <c r="A290" s="3">
        <v>289.0</v>
      </c>
      <c r="B290" s="4" t="s">
        <v>12748</v>
      </c>
      <c r="C290" s="4" t="s">
        <v>12749</v>
      </c>
      <c r="D290" s="4" t="s">
        <v>12750</v>
      </c>
      <c r="F290" s="5" t="str">
        <f>IFERROR(__xludf.DUMMYFUNCTION("GOOGLETRANSLATE(A290, ""en"", ""hi"")"),"289")</f>
        <v>289</v>
      </c>
      <c r="G290" s="5" t="str">
        <f>IFERROR(__xludf.DUMMYFUNCTION("GOOGLETRANSLATE(B290, ""en"", ""hi"")"),"निम्नलिखित में से किस राजा ने मणिपुर को आक्रमणकारियों से बचाने के लिए थांग-ता तकनीक का उपयोग किया?")</f>
        <v>निम्नलिखित में से किस राजा ने मणिपुर को आक्रमणकारियों से बचाने के लिए थांग-ता तकनीक का उपयोग किया?</v>
      </c>
      <c r="H290" s="5" t="str">
        <f>IFERROR(__xludf.DUMMYFUNCTION("GOOGLETRANSLATE(C290, ""en"", ""hi"")"),"ए) राजा गंभीर सिंह, बी) राजा भाग्यचंद्र, सी) राजा मरजीत सिंह, डी) राजा खगेम्बा")</f>
        <v>ए) राजा गंभीर सिंह, बी) राजा भाग्यचंद्र, सी) राजा मरजीत सिंह, डी) राजा खगेम्बा</v>
      </c>
      <c r="I290" s="5" t="str">
        <f>IFERROR(__xludf.DUMMYFUNCTION("GOOGLETRANSLATE(D290, ""en"", ""hi"")"),"A) राजा गंभीर सिंह")</f>
        <v>A) राजा गंभीर सिंह</v>
      </c>
    </row>
    <row r="291" ht="22.5" customHeight="1">
      <c r="A291" s="3">
        <v>290.0</v>
      </c>
      <c r="B291" s="4" t="s">
        <v>12751</v>
      </c>
      <c r="C291" s="4" t="s">
        <v>12752</v>
      </c>
      <c r="D291" s="4" t="s">
        <v>12753</v>
      </c>
      <c r="F291" s="5" t="str">
        <f>IFERROR(__xludf.DUMMYFUNCTION("GOOGLETRANSLATE(A291, ""en"", ""hi"")"),"290")</f>
        <v>290</v>
      </c>
      <c r="G291" s="5" t="str">
        <f>IFERROR(__xludf.DUMMYFUNCTION("GOOGLETRANSLATE(B291, ""en"", ""hi"")"),"किस मणिपुरी राजा को थांग-ता को शाही प्रशिक्षण कार्यक्रमों में शामिल करने का श्रेय दिया जाता है?")</f>
        <v>किस मणिपुरी राजा को थांग-ता को शाही प्रशिक्षण कार्यक्रमों में शामिल करने का श्रेय दिया जाता है?</v>
      </c>
      <c r="H291" s="5" t="str">
        <f>IFERROR(__xludf.DUMMYFUNCTION("GOOGLETRANSLATE(C291, ""en"", ""hi"")"),"ए) महाराजा चंद्रकीर्ति, बी) महाराजा भाग्यचंद्र, सी) महाराजा गरीबनिवाज़, डी) महाराजा खगेम्बा")</f>
        <v>ए) महाराजा चंद्रकीर्ति, बी) महाराजा भाग्यचंद्र, सी) महाराजा गरीबनिवाज़, डी) महाराजा खगेम्बा</v>
      </c>
      <c r="I291" s="5" t="str">
        <f>IFERROR(__xludf.DUMMYFUNCTION("GOOGLETRANSLATE(D291, ""en"", ""hi"")"),"B) महाराजा भाग्यचंद्र")</f>
        <v>B) महाराजा भाग्यचंद्र</v>
      </c>
    </row>
    <row r="292" ht="22.5" customHeight="1">
      <c r="A292" s="3">
        <v>291.0</v>
      </c>
      <c r="B292" s="4" t="s">
        <v>12754</v>
      </c>
      <c r="C292" s="4" t="s">
        <v>12755</v>
      </c>
      <c r="D292" s="4" t="s">
        <v>12756</v>
      </c>
      <c r="F292" s="5" t="str">
        <f>IFERROR(__xludf.DUMMYFUNCTION("GOOGLETRANSLATE(A292, ""en"", ""hi"")"),"291")</f>
        <v>291</v>
      </c>
      <c r="G292" s="5" t="str">
        <f>IFERROR(__xludf.DUMMYFUNCTION("GOOGLETRANSLATE(B292, ""en"", ""hi"")"),"पूर्व-औपनिवेशिक युग के दौरान, थांग-ता मुख्य रूप से किस उद्देश्य के लिए पढ़ाया जाता था?")</f>
        <v>पूर्व-औपनिवेशिक युग के दौरान, थांग-ता मुख्य रूप से किस उद्देश्य के लिए पढ़ाया जाता था?</v>
      </c>
      <c r="H292" s="5" t="str">
        <f>IFERROR(__xludf.DUMMYFUNCTION("GOOGLETRANSLATE(C292, ""en"", ""hi"")"),"A) मनोरंजन, B) आध्यात्मिक विकास, C) युद्ध की तैयारी, D) कूटनीति")</f>
        <v>A) मनोरंजन, B) आध्यात्मिक विकास, C) युद्ध की तैयारी, D) कूटनीति</v>
      </c>
      <c r="I292" s="5" t="str">
        <f>IFERROR(__xludf.DUMMYFUNCTION("GOOGLETRANSLATE(D292, ""en"", ""hi"")"),"C) युद्ध की तैयारी")</f>
        <v>C) युद्ध की तैयारी</v>
      </c>
    </row>
    <row r="293" ht="22.5" customHeight="1">
      <c r="A293" s="3">
        <v>292.0</v>
      </c>
      <c r="B293" s="4" t="s">
        <v>12757</v>
      </c>
      <c r="C293" s="4" t="s">
        <v>12758</v>
      </c>
      <c r="D293" s="4" t="s">
        <v>12759</v>
      </c>
      <c r="F293" s="5" t="str">
        <f>IFERROR(__xludf.DUMMYFUNCTION("GOOGLETRANSLATE(A293, ""en"", ""hi"")"),"292")</f>
        <v>292</v>
      </c>
      <c r="G293" s="5" t="str">
        <f>IFERROR(__xludf.DUMMYFUNCTION("GOOGLETRANSLATE(B293, ""en"", ""hi"")"),"कौन सा मणिपुरी समुदाय थांग-ता प्रथा में विशेषज्ञता के लिए जाना जाता था?")</f>
        <v>कौन सा मणिपुरी समुदाय थांग-ता प्रथा में विशेषज्ञता के लिए जाना जाता था?</v>
      </c>
      <c r="H293" s="5" t="str">
        <f>IFERROR(__xludf.DUMMYFUNCTION("GOOGLETRANSLATE(C293, ""en"", ""hi"")"),"ए) मैतेई, बी) नागा, सी) कुकी, डी) तांगखुल")</f>
        <v>ए) मैतेई, बी) नागा, सी) कुकी, डी) तांगखुल</v>
      </c>
      <c r="I293" s="5" t="str">
        <f>IFERROR(__xludf.DUMMYFUNCTION("GOOGLETRANSLATE(D293, ""en"", ""hi"")"),"ए) मेइतेई")</f>
        <v>ए) मेइतेई</v>
      </c>
    </row>
    <row r="294" ht="22.5" customHeight="1">
      <c r="A294" s="3">
        <v>293.0</v>
      </c>
      <c r="B294" s="4" t="s">
        <v>12760</v>
      </c>
      <c r="C294" s="4" t="s">
        <v>12761</v>
      </c>
      <c r="D294" s="4" t="s">
        <v>12762</v>
      </c>
      <c r="F294" s="5" t="str">
        <f>IFERROR(__xludf.DUMMYFUNCTION("GOOGLETRANSLATE(A294, ""en"", ""hi"")"),"293")</f>
        <v>293</v>
      </c>
      <c r="G294" s="5" t="str">
        <f>IFERROR(__xludf.DUMMYFUNCTION("GOOGLETRANSLATE(B294, ""en"", ""hi"")"),"थांग-ता का प्रयोग ऐतिहासिक रूप से किस रक्षा पद्धति के साथ किया जाता था?")</f>
        <v>थांग-ता का प्रयोग ऐतिहासिक रूप से किस रक्षा पद्धति के साथ किया जाता था?</v>
      </c>
      <c r="H294" s="5" t="str">
        <f>IFERROR(__xludf.DUMMYFUNCTION("GOOGLETRANSLATE(C294, ""en"", ""hi"")"),"A) ढाल, B) कवच, C) जादुई मंत्र, D) चुपके")</f>
        <v>A) ढाल, B) कवच, C) जादुई मंत्र, D) चुपके</v>
      </c>
      <c r="I294" s="5" t="str">
        <f>IFERROR(__xludf.DUMMYFUNCTION("GOOGLETRANSLATE(D294, ""en"", ""hi"")"),"ए) ढाल")</f>
        <v>ए) ढाल</v>
      </c>
    </row>
    <row r="295" ht="22.5" customHeight="1">
      <c r="A295" s="3">
        <v>294.0</v>
      </c>
      <c r="B295" s="4" t="s">
        <v>12763</v>
      </c>
      <c r="C295" s="4" t="s">
        <v>12764</v>
      </c>
      <c r="D295" s="4" t="s">
        <v>12604</v>
      </c>
      <c r="F295" s="5" t="str">
        <f>IFERROR(__xludf.DUMMYFUNCTION("GOOGLETRANSLATE(A295, ""en"", ""hi"")"),"294")</f>
        <v>294</v>
      </c>
      <c r="G295" s="5" t="str">
        <f>IFERROR(__xludf.DUMMYFUNCTION("GOOGLETRANSLATE(B295, ""en"", ""hi"")"),"प्राचीन काल में थांग-ता कला किस पद्धति से आगे बढ़ी?")</f>
        <v>प्राचीन काल में थांग-ता कला किस पद्धति से आगे बढ़ी?</v>
      </c>
      <c r="H295" s="5" t="str">
        <f>IFERROR(__xludf.DUMMYFUNCTION("GOOGLETRANSLATE(C295, ""en"", ""hi"")"),"A) लिखित पांडुलिपियाँ, B) मंदिर विद्यालय, C) मौखिक परंपरा, D) व्यापार संघ")</f>
        <v>A) लिखित पांडुलिपियाँ, B) मंदिर विद्यालय, C) मौखिक परंपरा, D) व्यापार संघ</v>
      </c>
      <c r="I295" s="5" t="str">
        <f>IFERROR(__xludf.DUMMYFUNCTION("GOOGLETRANSLATE(D295, ""en"", ""hi"")"),"C) मौखिक परंपरा")</f>
        <v>C) मौखिक परंपरा</v>
      </c>
    </row>
    <row r="296" ht="22.5" customHeight="1">
      <c r="A296" s="3">
        <v>295.0</v>
      </c>
      <c r="B296" s="4" t="s">
        <v>12765</v>
      </c>
      <c r="C296" s="4" t="s">
        <v>12766</v>
      </c>
      <c r="D296" s="4" t="s">
        <v>12720</v>
      </c>
      <c r="F296" s="5" t="str">
        <f>IFERROR(__xludf.DUMMYFUNCTION("GOOGLETRANSLATE(A296, ""en"", ""hi"")"),"295")</f>
        <v>295</v>
      </c>
      <c r="G296" s="5" t="str">
        <f>IFERROR(__xludf.DUMMYFUNCTION("GOOGLETRANSLATE(B296, ""en"", ""hi"")"),"किस मणिपुरी त्यौहार में अक्सर थांग-ता को मार्शल मनोरंजन के रूप में प्रदर्शित किया जाता है?")</f>
        <v>किस मणिपुरी त्यौहार में अक्सर थांग-ता को मार्शल मनोरंजन के रूप में प्रदर्शित किया जाता है?</v>
      </c>
      <c r="H296" s="5" t="str">
        <f>IFERROR(__xludf.DUMMYFUNCTION("GOOGLETRANSLATE(C296, ""en"", ""hi"")"),"ए) याओशांग, बी) चेइराओबा, सी) हेइकरू हिडोंगबा, डी) लाई हराओबा")</f>
        <v>ए) याओशांग, बी) चेइराओबा, सी) हेइकरू हिडोंगबा, डी) लाई हराओबा</v>
      </c>
      <c r="I296" s="5" t="str">
        <f>IFERROR(__xludf.DUMMYFUNCTION("GOOGLETRANSLATE(D296, ""en"", ""hi"")"),"D) लाई हरोबा")</f>
        <v>D) लाई हरोबा</v>
      </c>
    </row>
    <row r="297" ht="22.5" customHeight="1">
      <c r="A297" s="3">
        <v>296.0</v>
      </c>
      <c r="B297" s="4" t="s">
        <v>12767</v>
      </c>
      <c r="C297" s="4" t="s">
        <v>12768</v>
      </c>
      <c r="D297" s="4" t="s">
        <v>12769</v>
      </c>
      <c r="F297" s="5" t="str">
        <f>IFERROR(__xludf.DUMMYFUNCTION("GOOGLETRANSLATE(A297, ""en"", ""hi"")"),"296")</f>
        <v>296</v>
      </c>
      <c r="G297" s="5" t="str">
        <f>IFERROR(__xludf.DUMMYFUNCTION("GOOGLETRANSLATE(B297, ""en"", ""hi"")"),"कौन सा मणिपुरी शब्द थांग-ता में 'तलवार' को संदर्भित करता है?")</f>
        <v>कौन सा मणिपुरी शब्द थांग-ता में 'तलवार' को संदर्भित करता है?</v>
      </c>
      <c r="H297" s="5" t="str">
        <f>IFERROR(__xludf.DUMMYFUNCTION("GOOGLETRANSLATE(C297, ""en"", ""hi"")"),"ए) लैंगलॉन, बी) सरित, सी) थांग, डी) सारोंग")</f>
        <v>ए) लैंगलॉन, बी) सरित, सी) थांग, डी) सारोंग</v>
      </c>
      <c r="I297" s="5" t="str">
        <f>IFERROR(__xludf.DUMMYFUNCTION("GOOGLETRANSLATE(D297, ""en"", ""hi"")"),"C) थांग")</f>
        <v>C) थांग</v>
      </c>
    </row>
    <row r="298" ht="22.5" customHeight="1">
      <c r="A298" s="3">
        <v>297.0</v>
      </c>
      <c r="B298" s="4" t="s">
        <v>12770</v>
      </c>
      <c r="C298" s="4" t="s">
        <v>12771</v>
      </c>
      <c r="D298" s="4" t="s">
        <v>12772</v>
      </c>
      <c r="F298" s="5" t="str">
        <f>IFERROR(__xludf.DUMMYFUNCTION("GOOGLETRANSLATE(A298, ""en"", ""hi"")"),"297")</f>
        <v>297</v>
      </c>
      <c r="G298" s="5" t="str">
        <f>IFERROR(__xludf.DUMMYFUNCTION("GOOGLETRANSLATE(B298, ""en"", ""hi"")"),"कौन सा मणिपुरी शब्द थांग-ता में 'भाले' को संदर्भित करता है?")</f>
        <v>कौन सा मणिपुरी शब्द थांग-ता में 'भाले' को संदर्भित करता है?</v>
      </c>
      <c r="H298" s="5" t="str">
        <f>IFERROR(__xludf.DUMMYFUNCTION("GOOGLETRANSLATE(C298, ""en"", ""hi"")"),"ए) ता, बी) सरित, सी) लैंग्लोन, डी) शास्त्र")</f>
        <v>ए) ता, बी) सरित, सी) लैंग्लोन, डी) शास्त्र</v>
      </c>
      <c r="I298" s="5" t="str">
        <f>IFERROR(__xludf.DUMMYFUNCTION("GOOGLETRANSLATE(D298, ""en"", ""hi"")"),"ए) ता")</f>
        <v>ए) ता</v>
      </c>
    </row>
    <row r="299" ht="22.5" customHeight="1">
      <c r="A299" s="3">
        <v>298.0</v>
      </c>
      <c r="B299" s="4" t="s">
        <v>12773</v>
      </c>
      <c r="C299" s="4" t="s">
        <v>12774</v>
      </c>
      <c r="D299" s="4" t="s">
        <v>12775</v>
      </c>
      <c r="F299" s="5" t="str">
        <f>IFERROR(__xludf.DUMMYFUNCTION("GOOGLETRANSLATE(A299, ""en"", ""hi"")"),"298")</f>
        <v>298</v>
      </c>
      <c r="G299" s="5" t="str">
        <f>IFERROR(__xludf.DUMMYFUNCTION("GOOGLETRANSLATE(B299, ""en"", ""hi"")"),"प्राचीन मणिपुर में थांग-ता साधक किन तत्वों के सामंजस्य में विश्वास करते थे?")</f>
        <v>प्राचीन मणिपुर में थांग-ता साधक किन तत्वों के सामंजस्य में विश्वास करते थे?</v>
      </c>
      <c r="H299" s="5" t="str">
        <f>IFERROR(__xludf.DUMMYFUNCTION("GOOGLETRANSLATE(C299, ""en"", ""hi"")"),"A) पृथ्वी और जल, B) शरीर और मन, C) तलवार और ढाल, D) प्रकाश और अंधकार")</f>
        <v>A) पृथ्वी और जल, B) शरीर और मन, C) तलवार और ढाल, D) प्रकाश और अंधकार</v>
      </c>
      <c r="I299" s="5" t="str">
        <f>IFERROR(__xludf.DUMMYFUNCTION("GOOGLETRANSLATE(D299, ""en"", ""hi"")"),"बी) शरीर और मन")</f>
        <v>बी) शरीर और मन</v>
      </c>
    </row>
    <row r="300" ht="22.5" customHeight="1">
      <c r="A300" s="3">
        <v>299.0</v>
      </c>
      <c r="B300" s="4" t="s">
        <v>12776</v>
      </c>
      <c r="C300" s="4" t="s">
        <v>12777</v>
      </c>
      <c r="D300" s="4" t="s">
        <v>12778</v>
      </c>
      <c r="F300" s="5" t="str">
        <f>IFERROR(__xludf.DUMMYFUNCTION("GOOGLETRANSLATE(A300, ""en"", ""hi"")"),"299")</f>
        <v>299</v>
      </c>
      <c r="G300" s="5" t="str">
        <f>IFERROR(__xludf.DUMMYFUNCTION("GOOGLETRANSLATE(B300, ""en"", ""hi"")"),"किस मणिपुरी राजा ने शाही दरबारों में थांग-ता के लिए औपचारिक प्रशिक्षण अकादमियां शुरू कीं?")</f>
        <v>किस मणिपुरी राजा ने शाही दरबारों में थांग-ता के लिए औपचारिक प्रशिक्षण अकादमियां शुरू कीं?</v>
      </c>
      <c r="H300" s="5" t="str">
        <f>IFERROR(__xludf.DUMMYFUNCTION("GOOGLETRANSLATE(C300, ""en"", ""hi"")"),"ए) महाराजा चुराचंद सिंह, बी) महाराजा गरीबनिवाज़, सी) महाराजा भाग्यचंद्र, डी) महाराजा खगेम्बा")</f>
        <v>ए) महाराजा चुराचंद सिंह, बी) महाराजा गरीबनिवाज़, सी) महाराजा भाग्यचंद्र, डी) महाराजा खगेम्बा</v>
      </c>
      <c r="I300" s="5" t="str">
        <f>IFERROR(__xludf.DUMMYFUNCTION("GOOGLETRANSLATE(D300, ""en"", ""hi"")"),"C) महाराजा भाग्यचंद्र")</f>
        <v>C) महाराजा भाग्यचंद्र</v>
      </c>
    </row>
    <row r="301" ht="22.5" customHeight="1">
      <c r="A301" s="3">
        <v>300.0</v>
      </c>
      <c r="B301" s="4" t="s">
        <v>12779</v>
      </c>
      <c r="C301" s="4" t="s">
        <v>12780</v>
      </c>
      <c r="D301" s="4" t="s">
        <v>12781</v>
      </c>
      <c r="F301" s="5" t="str">
        <f>IFERROR(__xludf.DUMMYFUNCTION("GOOGLETRANSLATE(A301, ""en"", ""hi"")"),"300")</f>
        <v>300</v>
      </c>
      <c r="G301" s="5" t="str">
        <f>IFERROR(__xludf.DUMMYFUNCTION("GOOGLETRANSLATE(B301, ""en"", ""hi"")"),"ब्रिटिश औपनिवेशिक प्रशासन ने थांग-टा पर किस कारण से प्रतिबंध लगाया था?")</f>
        <v>ब्रिटिश औपनिवेशिक प्रशासन ने थांग-टा पर किस कारण से प्रतिबंध लगाया था?</v>
      </c>
      <c r="H301" s="5" t="str">
        <f>IFERROR(__xludf.DUMMYFUNCTION("GOOGLETRANSLATE(C301, ""en"", ""hi"")"),"A) इसे उनके शासन के लिए खतरा माना जाता था, B) यह बहुत खतरनाक था, C) यह विद्रोह से जुड़ा था, D) यह एक आध्यात्मिक अभ्यास था")</f>
        <v>A) इसे उनके शासन के लिए खतरा माना जाता था, B) यह बहुत खतरनाक था, C) यह विद्रोह से जुड़ा था, D) यह एक आध्यात्मिक अभ्यास था</v>
      </c>
      <c r="I301" s="5" t="str">
        <f>IFERROR(__xludf.DUMMYFUNCTION("GOOGLETRANSLATE(D301, ""en"", ""hi"")"),"A) इसे उनके शासन के लिए खतरे के रूप में देखा गया")</f>
        <v>A) इसे उनके शासन के लिए खतरे के रूप में देखा गया</v>
      </c>
    </row>
    <row r="302" ht="22.5" customHeight="1">
      <c r="A302" s="3">
        <v>301.0</v>
      </c>
      <c r="B302" s="4" t="s">
        <v>12782</v>
      </c>
      <c r="C302" s="4" t="s">
        <v>12783</v>
      </c>
      <c r="D302" s="4" t="s">
        <v>3593</v>
      </c>
      <c r="F302" s="5" t="str">
        <f>IFERROR(__xludf.DUMMYFUNCTION("GOOGLETRANSLATE(A302, ""en"", ""hi"")"),"301")</f>
        <v>301</v>
      </c>
      <c r="G302" s="5" t="str">
        <f>IFERROR(__xludf.DUMMYFUNCTION("GOOGLETRANSLATE(B302, ""en"", ""hi"")"),"थांग-ता के किस पहलू ने मानसिक अनुशासन और आत्म-नियंत्रण पर जोर दिया?")</f>
        <v>थांग-ता के किस पहलू ने मानसिक अनुशासन और आत्म-नियंत्रण पर जोर दिया?</v>
      </c>
      <c r="H302" s="5" t="str">
        <f>IFERROR(__xludf.DUMMYFUNCTION("GOOGLETRANSLATE(C302, ""en"", ""hi"")"),"A) तलवारबाजी, B) ध्यान, C) पैरों की क्रिया, D) रक्षात्मक तकनीकें")</f>
        <v>A) तलवारबाजी, B) ध्यान, C) पैरों की क्रिया, D) रक्षात्मक तकनीकें</v>
      </c>
      <c r="I302" s="5" t="str">
        <f>IFERROR(__xludf.DUMMYFUNCTION("GOOGLETRANSLATE(D302, ""en"", ""hi"")"),"बी) ध्यान")</f>
        <v>बी) ध्यान</v>
      </c>
    </row>
    <row r="303" ht="22.5" customHeight="1">
      <c r="A303" s="3">
        <v>302.0</v>
      </c>
      <c r="B303" s="4" t="s">
        <v>12784</v>
      </c>
      <c r="C303" s="4" t="s">
        <v>12785</v>
      </c>
      <c r="D303" s="4" t="s">
        <v>12786</v>
      </c>
      <c r="F303" s="5" t="str">
        <f>IFERROR(__xludf.DUMMYFUNCTION("GOOGLETRANSLATE(A303, ""en"", ""hi"")"),"302")</f>
        <v>302</v>
      </c>
      <c r="G303" s="5" t="str">
        <f>IFERROR(__xludf.DUMMYFUNCTION("GOOGLETRANSLATE(B303, ""en"", ""hi"")"),"प्राचीन मणिपुरी समाज में थांग-ता प्रशिक्षण पारंपरिक रूप से किस उम्र में शुरू होता था?")</f>
        <v>प्राचीन मणिपुरी समाज में थांग-ता प्रशिक्षण पारंपरिक रूप से किस उम्र में शुरू होता था?</v>
      </c>
      <c r="H303" s="5" t="str">
        <f>IFERROR(__xludf.DUMMYFUNCTION("GOOGLETRANSLATE(C303, ""en"", ""hi"")"),"A) 5 वर्ष, B) 10 वर्ष, C) 15 वर्ष, D) 20 वर्ष")</f>
        <v>A) 5 वर्ष, B) 10 वर्ष, C) 15 वर्ष, D) 20 वर्ष</v>
      </c>
      <c r="I303" s="5" t="str">
        <f>IFERROR(__xludf.DUMMYFUNCTION("GOOGLETRANSLATE(D303, ""en"", ""hi"")"),"बी) 10 वर्ष")</f>
        <v>बी) 10 वर्ष</v>
      </c>
    </row>
    <row r="304" ht="22.5" customHeight="1">
      <c r="A304" s="3">
        <v>303.0</v>
      </c>
      <c r="B304" s="4" t="s">
        <v>12787</v>
      </c>
      <c r="C304" s="4" t="s">
        <v>12788</v>
      </c>
      <c r="D304" s="4" t="s">
        <v>12361</v>
      </c>
      <c r="F304" s="5" t="str">
        <f>IFERROR(__xludf.DUMMYFUNCTION("GOOGLETRANSLATE(A304, ""en"", ""hi"")"),"303")</f>
        <v>303</v>
      </c>
      <c r="G304" s="5" t="str">
        <f>IFERROR(__xludf.DUMMYFUNCTION("GOOGLETRANSLATE(B304, ""en"", ""hi"")"),"19वीं शताब्दी के दौरान थांग-ता को पुनर्जीवित करने का श्रेय मणिपुर के किस शासक को दिया जाता है?")</f>
        <v>19वीं शताब्दी के दौरान थांग-ता को पुनर्जीवित करने का श्रेय मणिपुर के किस शासक को दिया जाता है?</v>
      </c>
      <c r="H304" s="5" t="str">
        <f>IFERROR(__xludf.DUMMYFUNCTION("GOOGLETRANSLATE(C304, ""en"", ""hi"")"),"ए) महाराजा गंभीर सिंह, बी) महाराजा चंद्रकीर्ति, सी) महाराजा मरजीत सिंह, डी) महाराजा भाग्यचंद्र")</f>
        <v>ए) महाराजा गंभीर सिंह, बी) महाराजा चंद्रकीर्ति, सी) महाराजा मरजीत सिंह, डी) महाराजा भाग्यचंद्र</v>
      </c>
      <c r="I304" s="5" t="str">
        <f>IFERROR(__xludf.DUMMYFUNCTION("GOOGLETRANSLATE(D304, ""en"", ""hi"")"),"A) महाराजा गंभीर सिंह")</f>
        <v>A) महाराजा गंभीर सिंह</v>
      </c>
    </row>
    <row r="305" ht="22.5" customHeight="1">
      <c r="A305" s="3">
        <v>304.0</v>
      </c>
      <c r="B305" s="4" t="s">
        <v>12789</v>
      </c>
      <c r="C305" s="4" t="s">
        <v>12790</v>
      </c>
      <c r="D305" s="4" t="s">
        <v>12791</v>
      </c>
      <c r="F305" s="5" t="str">
        <f>IFERROR(__xludf.DUMMYFUNCTION("GOOGLETRANSLATE(A305, ""en"", ""hi"")"),"304")</f>
        <v>304</v>
      </c>
      <c r="G305" s="5" t="str">
        <f>IFERROR(__xludf.DUMMYFUNCTION("GOOGLETRANSLATE(B305, ""en"", ""hi"")"),"20वीं सदी में किस मणिपुरी सांस्कृतिक पुनरुत्थान आंदोलन ने थांग-ता के पुनरुत्थान को जन्म दिया?")</f>
        <v>20वीं सदी में किस मणिपुरी सांस्कृतिक पुनरुत्थान आंदोलन ने थांग-ता के पुनरुत्थान को जन्म दिया?</v>
      </c>
      <c r="H305" s="5" t="str">
        <f>IFERROR(__xludf.DUMMYFUNCTION("GOOGLETRANSLATE(C305, ""en"", ""hi"")"),"A) मणिपुरी नृत्य पुनरुत्थान, B) राष्ट्रीय स्वतंत्रता आंदोलन, C) भारतीय मार्शल आर्ट पुनरुत्थान, D) मणिपुरी मार्शल आर्ट पुनर्जागरण")</f>
        <v>A) मणिपुरी नृत्य पुनरुत्थान, B) राष्ट्रीय स्वतंत्रता आंदोलन, C) भारतीय मार्शल आर्ट पुनरुत्थान, D) मणिपुरी मार्शल आर्ट पुनर्जागरण</v>
      </c>
      <c r="I305" s="5" t="str">
        <f>IFERROR(__xludf.DUMMYFUNCTION("GOOGLETRANSLATE(D305, ""en"", ""hi"")"),"C) भारतीय मार्शल आर्ट पुनरुद्धार")</f>
        <v>C) भारतीय मार्शल आर्ट पुनरुद्धार</v>
      </c>
    </row>
    <row r="306" ht="22.5" customHeight="1">
      <c r="A306" s="3">
        <v>305.0</v>
      </c>
      <c r="B306" s="4" t="s">
        <v>12792</v>
      </c>
      <c r="C306" s="4" t="s">
        <v>12793</v>
      </c>
      <c r="D306" s="4" t="s">
        <v>12794</v>
      </c>
      <c r="F306" s="5" t="str">
        <f>IFERROR(__xludf.DUMMYFUNCTION("GOOGLETRANSLATE(A306, ""en"", ""hi"")"),"305")</f>
        <v>305</v>
      </c>
      <c r="G306" s="5" t="str">
        <f>IFERROR(__xludf.DUMMYFUNCTION("GOOGLETRANSLATE(B306, ""en"", ""hi"")"),"थांग-ता ऐतिहासिक रूप से किस मणिपुरी धार्मिक त्योहार से जुड़ा हुआ है?")</f>
        <v>थांग-ता ऐतिहासिक रूप से किस मणिपुरी धार्मिक त्योहार से जुड़ा हुआ है?</v>
      </c>
      <c r="H306" s="5" t="str">
        <f>IFERROR(__xludf.DUMMYFUNCTION("GOOGLETRANSLATE(C306, ""en"", ""hi"")"),"ए) याओशांग, बी) लाई हराओबा, सी) निंगोल चाकोउबा, डी) चेइराओबा")</f>
        <v>ए) याओशांग, बी) लाई हराओबा, सी) निंगोल चाकोउबा, डी) चेइराओबा</v>
      </c>
      <c r="I306" s="5" t="str">
        <f>IFERROR(__xludf.DUMMYFUNCTION("GOOGLETRANSLATE(D306, ""en"", ""hi"")"),"बी) लाई हरोबा")</f>
        <v>बी) लाई हरोबा</v>
      </c>
    </row>
    <row r="307" ht="22.5" customHeight="1">
      <c r="A307" s="3">
        <v>306.0</v>
      </c>
      <c r="B307" s="4" t="s">
        <v>12795</v>
      </c>
      <c r="C307" s="4" t="s">
        <v>12796</v>
      </c>
      <c r="D307" s="4" t="s">
        <v>12797</v>
      </c>
      <c r="F307" s="5" t="str">
        <f>IFERROR(__xludf.DUMMYFUNCTION("GOOGLETRANSLATE(A307, ""en"", ""hi"")"),"306")</f>
        <v>306</v>
      </c>
      <c r="G307" s="5" t="str">
        <f>IFERROR(__xludf.DUMMYFUNCTION("GOOGLETRANSLATE(B307, ""en"", ""hi"")"),"थांग-ता में 'हुयेन लैंग्लोन' शब्द किस पहलू को संदर्भित करता है?")</f>
        <v>थांग-ता में 'हुयेन लैंग्लोन' शब्द किस पहलू को संदर्भित करता है?</v>
      </c>
      <c r="H307" s="5" t="str">
        <f>IFERROR(__xludf.DUMMYFUNCTION("GOOGLETRANSLATE(C307, ""en"", ""hi"")"),"A) तलवार तकनीक, B) रक्षात्मक चालें, C) पूर्ण मार्शल प्रणाली, D) ध्यान अभ्यास")</f>
        <v>A) तलवार तकनीक, B) रक्षात्मक चालें, C) पूर्ण मार्शल प्रणाली, D) ध्यान अभ्यास</v>
      </c>
      <c r="I307" s="5" t="str">
        <f>IFERROR(__xludf.DUMMYFUNCTION("GOOGLETRANSLATE(D307, ""en"", ""hi"")"),"C) पूर्ण मार्शल प्रणाली")</f>
        <v>C) पूर्ण मार्शल प्रणाली</v>
      </c>
    </row>
    <row r="308" ht="22.5" customHeight="1">
      <c r="A308" s="3">
        <v>307.0</v>
      </c>
      <c r="B308" s="4" t="s">
        <v>12798</v>
      </c>
      <c r="C308" s="4" t="s">
        <v>12799</v>
      </c>
      <c r="D308" s="4" t="s">
        <v>12800</v>
      </c>
      <c r="F308" s="5" t="str">
        <f>IFERROR(__xludf.DUMMYFUNCTION("GOOGLETRANSLATE(A308, ""en"", ""hi"")"),"307")</f>
        <v>307</v>
      </c>
      <c r="G308" s="5" t="str">
        <f>IFERROR(__xludf.DUMMYFUNCTION("GOOGLETRANSLATE(B308, ""en"", ""hi"")"),"ब्रिटिश औपनिवेशिक शासन के दौरान थांग-टा के संरक्षित रहने का मुख्य कारण क्या था?")</f>
        <v>ब्रिटिश औपनिवेशिक शासन के दौरान थांग-टा के संरक्षित रहने का मुख्य कारण क्या था?</v>
      </c>
      <c r="H308" s="5" t="str">
        <f>IFERROR(__xludf.DUMMYFUNCTION("GOOGLETRANSLATE(C308, ""en"", ""hi"")"),"A) गुप्त अभ्यास, B) लोक प्रदर्शनों में शामिल होना, C) शाही संरक्षण, D) प्रतिरोध आंदोलन")</f>
        <v>A) गुप्त अभ्यास, B) लोक प्रदर्शनों में शामिल होना, C) शाही संरक्षण, D) प्रतिरोध आंदोलन</v>
      </c>
      <c r="I308" s="5" t="str">
        <f>IFERROR(__xludf.DUMMYFUNCTION("GOOGLETRANSLATE(D308, ""en"", ""hi"")"),"बी) लोक प्रदर्शनों में शामिल होना")</f>
        <v>बी) लोक प्रदर्शनों में शामिल होना</v>
      </c>
    </row>
    <row r="309" ht="22.5" customHeight="1">
      <c r="A309" s="3">
        <v>308.0</v>
      </c>
      <c r="B309" s="4" t="s">
        <v>12801</v>
      </c>
      <c r="C309" s="4" t="s">
        <v>12802</v>
      </c>
      <c r="D309" s="4" t="s">
        <v>12803</v>
      </c>
      <c r="F309" s="5" t="str">
        <f>IFERROR(__xludf.DUMMYFUNCTION("GOOGLETRANSLATE(A309, ""en"", ""hi"")"),"308")</f>
        <v>308</v>
      </c>
      <c r="G309" s="5" t="str">
        <f>IFERROR(__xludf.DUMMYFUNCTION("GOOGLETRANSLATE(B309, ""en"", ""hi"")"),"थांग-ता में मणिपुरी संस्कृति से कौन सी दार्शनिक मान्यता सम्मिलित है?")</f>
        <v>थांग-ता में मणिपुरी संस्कृति से कौन सी दार्शनिक मान्यता सम्मिलित है?</v>
      </c>
      <c r="H309" s="5" t="str">
        <f>IFERROR(__xludf.DUMMYFUNCTION("GOOGLETRANSLATE(C309, ""en"", ""hi"")"),"A) विपरीतताओं का संतुलन, B) प्रकृति की शक्ति, C) दैवीय सुरक्षा, D) योद्धा भावना")</f>
        <v>A) विपरीतताओं का संतुलन, B) प्रकृति की शक्ति, C) दैवीय सुरक्षा, D) योद्धा भावना</v>
      </c>
      <c r="I309" s="5" t="str">
        <f>IFERROR(__xludf.DUMMYFUNCTION("GOOGLETRANSLATE(D309, ""en"", ""hi"")"),"A) विपरीतताओं का संतुलन")</f>
        <v>A) विपरीतताओं का संतुलन</v>
      </c>
    </row>
    <row r="310" ht="22.5" customHeight="1">
      <c r="A310" s="3">
        <v>309.0</v>
      </c>
      <c r="B310" s="4" t="s">
        <v>12804</v>
      </c>
      <c r="C310" s="4" t="s">
        <v>12805</v>
      </c>
      <c r="D310" s="4" t="s">
        <v>12806</v>
      </c>
      <c r="F310" s="5" t="str">
        <f>IFERROR(__xludf.DUMMYFUNCTION("GOOGLETRANSLATE(A310, ""en"", ""hi"")"),"309")</f>
        <v>309</v>
      </c>
      <c r="G310" s="5" t="str">
        <f>IFERROR(__xludf.DUMMYFUNCTION("GOOGLETRANSLATE(B310, ""en"", ""hi"")"),"1940 के दशक के दौरान थांग-ता को बढ़ावा देने के लिए कौन सा मणिपुरी नेता जाना जाता था?")</f>
        <v>1940 के दशक के दौरान थांग-ता को बढ़ावा देने के लिए कौन सा मणिपुरी नेता जाना जाता था?</v>
      </c>
      <c r="H310" s="5" t="str">
        <f>IFERROR(__xludf.DUMMYFUNCTION("GOOGLETRANSLATE(C310, ""en"", ""hi"")"),"ए) महाराजा बोधचंद्र, बी) महाराजा चंद्रकीर्ति, सी) महाराजा चुराचंद, डी) महाराजा गंभीर सिंह")</f>
        <v>ए) महाराजा बोधचंद्र, बी) महाराजा चंद्रकीर्ति, सी) महाराजा चुराचंद, डी) महाराजा गंभीर सिंह</v>
      </c>
      <c r="I310" s="5" t="str">
        <f>IFERROR(__xludf.DUMMYFUNCTION("GOOGLETRANSLATE(D310, ""en"", ""hi"")"),"A) महाराजा बोधचंद्र")</f>
        <v>A) महाराजा बोधचंद्र</v>
      </c>
    </row>
    <row r="311" ht="22.5" customHeight="1">
      <c r="A311" s="3">
        <v>310.0</v>
      </c>
      <c r="B311" s="4" t="s">
        <v>12807</v>
      </c>
      <c r="C311" s="4" t="s">
        <v>12808</v>
      </c>
      <c r="D311" s="4" t="s">
        <v>12747</v>
      </c>
      <c r="F311" s="5" t="str">
        <f>IFERROR(__xludf.DUMMYFUNCTION("GOOGLETRANSLATE(A311, ""en"", ""hi"")"),"310")</f>
        <v>310</v>
      </c>
      <c r="G311" s="5" t="str">
        <f>IFERROR(__xludf.DUMMYFUNCTION("GOOGLETRANSLATE(B311, ""en"", ""hi"")"),"कौन सा युद्ध अंतिम प्रमुख संघर्ष था जिसमें थांग-टा का प्रयोग युद्ध में किया गया था?")</f>
        <v>कौन सा युद्ध अंतिम प्रमुख संघर्ष था जिसमें थांग-टा का प्रयोग युद्ध में किया गया था?</v>
      </c>
      <c r="H311" s="5" t="str">
        <f>IFERROR(__xludf.DUMMYFUNCTION("GOOGLETRANSLATE(C311, ""en"", ""hi"")"),"A) एंग्लो-मणिपुर युद्ध, B) इम्फाल का युद्ध, C) बर्मी आक्रमण, D) एंग्लो-बर्मी युद्ध")</f>
        <v>A) एंग्लो-मणिपुर युद्ध, B) इम्फाल का युद्ध, C) बर्मी आक्रमण, D) एंग्लो-बर्मी युद्ध</v>
      </c>
      <c r="I311" s="5" t="str">
        <f>IFERROR(__xludf.DUMMYFUNCTION("GOOGLETRANSLATE(D311, ""en"", ""hi"")"),"A) एंग्लो-मणिपुर युद्ध")</f>
        <v>A) एंग्लो-मणिपुर युद्ध</v>
      </c>
    </row>
    <row r="312" ht="22.5" customHeight="1">
      <c r="A312" s="3">
        <v>311.0</v>
      </c>
      <c r="B312" s="4" t="s">
        <v>12809</v>
      </c>
      <c r="C312" s="4" t="s">
        <v>12810</v>
      </c>
      <c r="D312" s="4" t="s">
        <v>12811</v>
      </c>
      <c r="F312" s="5" t="str">
        <f>IFERROR(__xludf.DUMMYFUNCTION("GOOGLETRANSLATE(A312, ""en"", ""hi"")"),"311")</f>
        <v>311</v>
      </c>
      <c r="G312" s="5" t="str">
        <f>IFERROR(__xludf.DUMMYFUNCTION("GOOGLETRANSLATE(B312, ""en"", ""hi"")"),"थांग-ता किस अन्य मणिपुरी मार्शल आर्ट के साथ विकसित हुआ?")</f>
        <v>थांग-ता किस अन्य मणिपुरी मार्शल आर्ट के साथ विकसित हुआ?</v>
      </c>
      <c r="H312" s="5" t="str">
        <f>IFERROR(__xludf.DUMMYFUNCTION("GOOGLETRANSLATE(C312, ""en"", ""hi"")"),"ए) मुकना, बी) चेइबी गाड-गा, सी) सरित-सरक, डी) कलारी")</f>
        <v>ए) मुकना, बी) चेइबी गाड-गा, सी) सरित-सरक, डी) कलारी</v>
      </c>
      <c r="I312" s="5" t="str">
        <f>IFERROR(__xludf.DUMMYFUNCTION("GOOGLETRANSLATE(D312, ""en"", ""hi"")"),"C) सरित-सरक")</f>
        <v>C) सरित-सरक</v>
      </c>
    </row>
    <row r="313" ht="22.5" customHeight="1">
      <c r="A313" s="3">
        <v>312.0</v>
      </c>
      <c r="B313" s="4" t="s">
        <v>12812</v>
      </c>
      <c r="C313" s="4" t="s">
        <v>12813</v>
      </c>
      <c r="D313" s="4" t="s">
        <v>12814</v>
      </c>
      <c r="F313" s="5" t="str">
        <f>IFERROR(__xludf.DUMMYFUNCTION("GOOGLETRANSLATE(A313, ""en"", ""hi"")"),"312")</f>
        <v>312</v>
      </c>
      <c r="G313" s="5" t="str">
        <f>IFERROR(__xludf.DUMMYFUNCTION("GOOGLETRANSLATE(B313, ""en"", ""hi"")"),"थांग-ता को मणिपुरी धार्मिक अनुष्ठानों में किसके प्रतीक के रूप में शामिल किया गया?")</f>
        <v>थांग-ता को मणिपुरी धार्मिक अनुष्ठानों में किसके प्रतीक के रूप में शामिल किया गया?</v>
      </c>
      <c r="H313" s="5" t="str">
        <f>IFERROR(__xludf.DUMMYFUNCTION("GOOGLETRANSLATE(C313, ""en"", ""hi"")"),"A) शक्ति और सुरक्षा, B) दिव्यता और ज्ञान, C) शांति और समृद्धि, D) पवित्रता और न्याय")</f>
        <v>A) शक्ति और सुरक्षा, B) दिव्यता और ज्ञान, C) शांति और समृद्धि, D) पवित्रता और न्याय</v>
      </c>
      <c r="I313" s="5" t="str">
        <f>IFERROR(__xludf.DUMMYFUNCTION("GOOGLETRANSLATE(D313, ""en"", ""hi"")"),"ए) शक्ति और सुरक्षा")</f>
        <v>ए) शक्ति और सुरक्षा</v>
      </c>
    </row>
    <row r="314" ht="22.5" customHeight="1">
      <c r="A314" s="3">
        <v>313.0</v>
      </c>
      <c r="B314" s="4" t="s">
        <v>12815</v>
      </c>
      <c r="C314" s="4" t="s">
        <v>12816</v>
      </c>
      <c r="D314" s="4" t="s">
        <v>12817</v>
      </c>
      <c r="F314" s="5" t="str">
        <f>IFERROR(__xludf.DUMMYFUNCTION("GOOGLETRANSLATE(A314, ""en"", ""hi"")"),"313")</f>
        <v>313</v>
      </c>
      <c r="G314" s="5" t="str">
        <f>IFERROR(__xludf.DUMMYFUNCTION("GOOGLETRANSLATE(B314, ""en"", ""hi"")"),"19वीं शताब्दी के दौरान किस यूरोपीय देश ने थांग-टा में विशेष रुचि ली?")</f>
        <v>19वीं शताब्दी के दौरान किस यूरोपीय देश ने थांग-टा में विशेष रुचि ली?</v>
      </c>
      <c r="H314" s="5" t="str">
        <f>IFERROR(__xludf.DUMMYFUNCTION("GOOGLETRANSLATE(C314, ""en"", ""hi"")"),"A) फ्रांस, B) इंग्लैंड, C) जर्मनी, D) इटली")</f>
        <v>A) फ्रांस, B) इंग्लैंड, C) जर्मनी, D) इटली</v>
      </c>
      <c r="I314" s="5" t="str">
        <f>IFERROR(__xludf.DUMMYFUNCTION("GOOGLETRANSLATE(D314, ""en"", ""hi"")"),"बी) इंग्लैंड")</f>
        <v>बी) इंग्लैंड</v>
      </c>
    </row>
    <row r="315" ht="22.5" customHeight="1">
      <c r="A315" s="3">
        <v>314.0</v>
      </c>
      <c r="B315" s="4" t="s">
        <v>12818</v>
      </c>
      <c r="C315" s="4" t="s">
        <v>12819</v>
      </c>
      <c r="D315" s="4" t="s">
        <v>12820</v>
      </c>
      <c r="F315" s="5" t="str">
        <f>IFERROR(__xludf.DUMMYFUNCTION("GOOGLETRANSLATE(A315, ""en"", ""hi"")"),"314")</f>
        <v>314</v>
      </c>
      <c r="G315" s="5" t="str">
        <f>IFERROR(__xludf.DUMMYFUNCTION("GOOGLETRANSLATE(B315, ""en"", ""hi"")"),"कौन सी मणिपुरी मार्शल आर्ट शैली और इतिहास में थांग-ता के सबसे अधिक समान है?")</f>
        <v>कौन सी मणिपुरी मार्शल आर्ट शैली और इतिहास में थांग-ता के सबसे अधिक समान है?</v>
      </c>
      <c r="H315" s="5" t="str">
        <f>IFERROR(__xludf.DUMMYFUNCTION("GOOGLETRANSLATE(C315, ""en"", ""hi"")"),"ए) मुकना, बी) सरित-सरक, सी) कलारी, डी) सिलंबम")</f>
        <v>ए) मुकना, बी) सरित-सरक, सी) कलारी, डी) सिलंबम</v>
      </c>
      <c r="I315" s="5" t="str">
        <f>IFERROR(__xludf.DUMMYFUNCTION("GOOGLETRANSLATE(D315, ""en"", ""hi"")"),"B) सरित-सरक")</f>
        <v>B) सरित-सरक</v>
      </c>
    </row>
    <row r="316" ht="22.5" customHeight="1">
      <c r="A316" s="3">
        <v>315.0</v>
      </c>
      <c r="B316" s="4" t="s">
        <v>12821</v>
      </c>
      <c r="C316" s="4" t="s">
        <v>12822</v>
      </c>
      <c r="D316" s="4" t="s">
        <v>12823</v>
      </c>
      <c r="F316" s="5" t="str">
        <f>IFERROR(__xludf.DUMMYFUNCTION("GOOGLETRANSLATE(A316, ""en"", ""hi"")"),"315")</f>
        <v>315</v>
      </c>
      <c r="G316" s="5" t="str">
        <f>IFERROR(__xludf.DUMMYFUNCTION("GOOGLETRANSLATE(B316, ""en"", ""hi"")"),"19वीं सदी के किस मणिपुरी राजा के बारे में कहा जाता है कि वह थांग-ता में अत्यधिक कुशल था?")</f>
        <v>19वीं सदी के किस मणिपुरी राजा के बारे में कहा जाता है कि वह थांग-ता में अत्यधिक कुशल था?</v>
      </c>
      <c r="H316" s="5" t="str">
        <f>IFERROR(__xludf.DUMMYFUNCTION("GOOGLETRANSLATE(C316, ""en"", ""hi"")"),"ए) महाराजा गंभीर सिंह, बी) महाराजा भाग्यचंद्र, सी) महाराजा चंद्रकीर्ति, डी) महाराजा बोधचंद्र")</f>
        <v>ए) महाराजा गंभीर सिंह, बी) महाराजा भाग्यचंद्र, सी) महाराजा चंद्रकीर्ति, डी) महाराजा बोधचंद्र</v>
      </c>
      <c r="I316" s="5" t="str">
        <f>IFERROR(__xludf.DUMMYFUNCTION("GOOGLETRANSLATE(D316, ""en"", ""hi"")"),"C) महाराजा चंद्रकीर्ति")</f>
        <v>C) महाराजा चंद्रकीर्ति</v>
      </c>
    </row>
    <row r="317" ht="22.5" customHeight="1">
      <c r="A317" s="3">
        <v>316.0</v>
      </c>
      <c r="B317" s="4" t="s">
        <v>12824</v>
      </c>
      <c r="C317" s="4" t="s">
        <v>12825</v>
      </c>
      <c r="D317" s="4" t="s">
        <v>12826</v>
      </c>
      <c r="F317" s="5" t="str">
        <f>IFERROR(__xludf.DUMMYFUNCTION("GOOGLETRANSLATE(A317, ""en"", ""hi"")"),"316")</f>
        <v>316</v>
      </c>
      <c r="G317" s="5" t="str">
        <f>IFERROR(__xludf.DUMMYFUNCTION("GOOGLETRANSLATE(B317, ""en"", ""hi"")"),"प्राचीन मणिपुर में थांग-ता का प्रशिक्षण किस सामाजिक वर्ग तक सीमित था?")</f>
        <v>प्राचीन मणिपुर में थांग-ता का प्रशिक्षण किस सामाजिक वर्ग तक सीमित था?</v>
      </c>
      <c r="H317" s="5" t="str">
        <f>IFERROR(__xludf.DUMMYFUNCTION("GOOGLETRANSLATE(C317, ""en"", ""hi"")"),"A) किसान, B) योद्धा और राजपरिवार, C) पुजारी, D) व्यापारी")</f>
        <v>A) किसान, B) योद्धा और राजपरिवार, C) पुजारी, D) व्यापारी</v>
      </c>
      <c r="I317" s="5" t="str">
        <f>IFERROR(__xludf.DUMMYFUNCTION("GOOGLETRANSLATE(D317, ""en"", ""hi"")"),"बी) योद्धा और राजघराने")</f>
        <v>बी) योद्धा और राजघराने</v>
      </c>
    </row>
    <row r="318" ht="22.5" customHeight="1">
      <c r="A318" s="3">
        <v>317.0</v>
      </c>
      <c r="B318" s="4" t="s">
        <v>12827</v>
      </c>
      <c r="C318" s="4" t="s">
        <v>12828</v>
      </c>
      <c r="D318" s="4" t="s">
        <v>12736</v>
      </c>
      <c r="F318" s="5" t="str">
        <f>IFERROR(__xludf.DUMMYFUNCTION("GOOGLETRANSLATE(A318, ""en"", ""hi"")"),"317")</f>
        <v>317</v>
      </c>
      <c r="G318" s="5" t="str">
        <f>IFERROR(__xludf.DUMMYFUNCTION("GOOGLETRANSLATE(B318, ""en"", ""hi"")"),"कौन सी मणिपुरी धार्मिक मान्यता थांग-ता के आध्यात्मिक पहलुओं से निकटता से जुड़ी हुई है?")</f>
        <v>कौन सी मणिपुरी धार्मिक मान्यता थांग-ता के आध्यात्मिक पहलुओं से निकटता से जुड़ी हुई है?</v>
      </c>
      <c r="H318" s="5" t="str">
        <f>IFERROR(__xludf.DUMMYFUNCTION("GOOGLETRANSLATE(C318, ""en"", ""hi"")"),"A) हिंदू धर्म, B) सनमहवाद, C) बौद्ध धर्म, D) जीववाद")</f>
        <v>A) हिंदू धर्म, B) सनमहवाद, C) बौद्ध धर्म, D) जीववाद</v>
      </c>
      <c r="I318" s="5" t="str">
        <f>IFERROR(__xludf.DUMMYFUNCTION("GOOGLETRANSLATE(D318, ""en"", ""hi"")"),"बी) सनामावाद")</f>
        <v>बी) सनामावाद</v>
      </c>
    </row>
    <row r="319" ht="22.5" customHeight="1">
      <c r="A319" s="3">
        <v>318.0</v>
      </c>
      <c r="B319" s="4" t="s">
        <v>12829</v>
      </c>
      <c r="C319" s="4" t="s">
        <v>12830</v>
      </c>
      <c r="D319" s="4" t="s">
        <v>12831</v>
      </c>
      <c r="F319" s="5" t="str">
        <f>IFERROR(__xludf.DUMMYFUNCTION("GOOGLETRANSLATE(A319, ""en"", ""hi"")"),"318")</f>
        <v>318</v>
      </c>
      <c r="G319" s="5" t="str">
        <f>IFERROR(__xludf.DUMMYFUNCTION("GOOGLETRANSLATE(B319, ""en"", ""hi"")"),"आधुनिक समय में थांग-टा के पुनरुत्थान का श्रेय किस व्यक्ति के प्रयासों को दिया जाता है?")</f>
        <v>आधुनिक समय में थांग-टा के पुनरुत्थान का श्रेय किस व्यक्ति के प्रयासों को दिया जाता है?</v>
      </c>
      <c r="H319" s="5" t="str">
        <f>IFERROR(__xludf.DUMMYFUNCTION("GOOGLETRANSLATE(C319, ""en"", ""hi"")"),"ए) गुरुमायुम गौरकिशोर शर्मा, बी) महाराजा गंभीर सिंह, सी) महाराजा चुराचंद, डी) महारानी तम्फासन")</f>
        <v>ए) गुरुमायुम गौरकिशोर शर्मा, बी) महाराजा गंभीर सिंह, सी) महाराजा चुराचंद, डी) महारानी तम्फासन</v>
      </c>
      <c r="I319" s="5" t="str">
        <f>IFERROR(__xludf.DUMMYFUNCTION("GOOGLETRANSLATE(D319, ""en"", ""hi"")"),"ए) गुरुमायुम गौरकिशोर शर्मा")</f>
        <v>ए) गुरुमायुम गौरकिशोर शर्मा</v>
      </c>
    </row>
    <row r="320" ht="22.5" customHeight="1">
      <c r="A320" s="3">
        <v>319.0</v>
      </c>
      <c r="B320" s="4" t="s">
        <v>12832</v>
      </c>
      <c r="C320" s="4" t="s">
        <v>12833</v>
      </c>
      <c r="D320" s="4" t="s">
        <v>12599</v>
      </c>
      <c r="F320" s="5" t="str">
        <f>IFERROR(__xludf.DUMMYFUNCTION("GOOGLETRANSLATE(A320, ""en"", ""hi"")"),"319")</f>
        <v>319</v>
      </c>
      <c r="G320" s="5" t="str">
        <f>IFERROR(__xludf.DUMMYFUNCTION("GOOGLETRANSLATE(B320, ""en"", ""hi"")"),"कौन सा प्राचीन मणिपुरी ग्रंथ थांग-ता के सिद्धांतों और तकनीकों के बारे में जानकारी प्रदान करता है?")</f>
        <v>कौन सा प्राचीन मणिपुरी ग्रंथ थांग-ता के सिद्धांतों और तकनीकों के बारे में जानकारी प्रदान करता है?</v>
      </c>
      <c r="H320" s="5" t="str">
        <f>IFERROR(__xludf.DUMMYFUNCTION("GOOGLETRANSLATE(C320, ""en"", ""hi"")"),"ए) चेथारोल कुंबाबा, बी) निंगथौरोल लाम्बुबा, सी) पुया, डी) सरित-सरक पांडुलिपि")</f>
        <v>ए) चेथारोल कुंबाबा, बी) निंगथौरोल लाम्बुबा, सी) पुया, डी) सरित-सरक पांडुलिपि</v>
      </c>
      <c r="I320" s="5" t="str">
        <f>IFERROR(__xludf.DUMMYFUNCTION("GOOGLETRANSLATE(D320, ""en"", ""hi"")"),"C) पुया")</f>
        <v>C) पुया</v>
      </c>
    </row>
    <row r="321" ht="22.5" customHeight="1">
      <c r="A321" s="3">
        <v>320.0</v>
      </c>
      <c r="B321" s="4" t="s">
        <v>12834</v>
      </c>
      <c r="C321" s="4" t="s">
        <v>12835</v>
      </c>
      <c r="D321" s="4" t="s">
        <v>12836</v>
      </c>
      <c r="F321" s="5" t="str">
        <f>IFERROR(__xludf.DUMMYFUNCTION("GOOGLETRANSLATE(A321, ""en"", ""hi"")"),"320")</f>
        <v>320</v>
      </c>
      <c r="G321" s="5" t="str">
        <f>IFERROR(__xludf.DUMMYFUNCTION("GOOGLETRANSLATE(B321, ""en"", ""hi"")"),"थांग-ता ऐतिहासिक रूप से किस व्यापक मणिपुरी मार्शल आर्ट प्रणाली का हिस्सा है?")</f>
        <v>थांग-ता ऐतिहासिक रूप से किस व्यापक मणिपुरी मार्शल आर्ट प्रणाली का हिस्सा है?</v>
      </c>
      <c r="H321" s="5" t="str">
        <f>IFERROR(__xludf.DUMMYFUNCTION("GOOGLETRANSLATE(C321, ""en"", ""hi"")"),"ए) सरित-सरक, बी) हुयेन लैंगलोन, सी) मुकना, डी) चेइबी गाड-गा")</f>
        <v>ए) सरित-सरक, बी) हुयेन लैंगलोन, सी) मुकना, डी) चेइबी गाड-गा</v>
      </c>
      <c r="I321" s="5" t="str">
        <f>IFERROR(__xludf.DUMMYFUNCTION("GOOGLETRANSLATE(D321, ""en"", ""hi"")"),"बी) ह्येन लैंगलॉन")</f>
        <v>बी) ह्येन लैंगलॉन</v>
      </c>
    </row>
    <row r="322" ht="22.5" customHeight="1">
      <c r="A322" s="3">
        <v>321.0</v>
      </c>
      <c r="B322" s="4" t="s">
        <v>12837</v>
      </c>
      <c r="C322" s="4" t="s">
        <v>12838</v>
      </c>
      <c r="D322" s="4" t="s">
        <v>4731</v>
      </c>
      <c r="F322" s="5" t="str">
        <f>IFERROR(__xludf.DUMMYFUNCTION("GOOGLETRANSLATE(A322, ""en"", ""hi"")"),"321")</f>
        <v>321</v>
      </c>
      <c r="G322" s="5" t="str">
        <f>IFERROR(__xludf.DUMMYFUNCTION("GOOGLETRANSLATE(B322, ""en"", ""hi"")"),"किस काल में थांग-टा का उपयोग मणिपुरी सैनिकों को युद्ध के लिए प्रशिक्षित करने के लिए किया जाता था?")</f>
        <v>किस काल में थांग-टा का उपयोग मणिपुरी सैनिकों को युद्ध के लिए प्रशिक्षित करने के लिए किया जाता था?</v>
      </c>
      <c r="H322" s="5" t="str">
        <f>IFERROR(__xludf.DUMMYFUNCTION("GOOGLETRANSLATE(C322, ""en"", ""hi"")"),"A) प्राचीन काल, B) मध्यकाल, C) ब्रिटिश औपनिवेशिक काल, D) स्वतंत्रता के बाद का काल")</f>
        <v>A) प्राचीन काल, B) मध्यकाल, C) ब्रिटिश औपनिवेशिक काल, D) स्वतंत्रता के बाद का काल</v>
      </c>
      <c r="I322" s="5" t="str">
        <f>IFERROR(__xludf.DUMMYFUNCTION("GOOGLETRANSLATE(D322, ""en"", ""hi"")"),"बी) मध्यकालीन काल")</f>
        <v>बी) मध्यकालीन काल</v>
      </c>
    </row>
    <row r="323" ht="22.5" customHeight="1">
      <c r="A323" s="3">
        <v>322.0</v>
      </c>
      <c r="B323" s="4" t="s">
        <v>12839</v>
      </c>
      <c r="C323" s="4" t="s">
        <v>12840</v>
      </c>
      <c r="D323" s="4" t="s">
        <v>12641</v>
      </c>
      <c r="F323" s="5" t="str">
        <f>IFERROR(__xludf.DUMMYFUNCTION("GOOGLETRANSLATE(A323, ""en"", ""hi"")"),"322")</f>
        <v>322</v>
      </c>
      <c r="G323" s="5" t="str">
        <f>IFERROR(__xludf.DUMMYFUNCTION("GOOGLETRANSLATE(B323, ""en"", ""hi"")"),"कौन सा प्राचीन मणिपुरी समुदाय थांग-ता की परंपरा को बनाए रखने के लिए जिम्मेदार था?")</f>
        <v>कौन सा प्राचीन मणिपुरी समुदाय थांग-ता की परंपरा को बनाए रखने के लिए जिम्मेदार था?</v>
      </c>
      <c r="H323" s="5" t="str">
        <f>IFERROR(__xludf.DUMMYFUNCTION("GOOGLETRANSLATE(C323, ""en"", ""hi"")"),"ए) नागा, बी) मैतेई, सी) कुकी, डी) पंगल")</f>
        <v>ए) नागा, बी) मैतेई, सी) कुकी, डी) पंगल</v>
      </c>
      <c r="I323" s="5" t="str">
        <f>IFERROR(__xludf.DUMMYFUNCTION("GOOGLETRANSLATE(D323, ""en"", ""hi"")"),"बी) मैतेई")</f>
        <v>बी) मैतेई</v>
      </c>
    </row>
    <row r="324" ht="22.5" customHeight="1">
      <c r="A324" s="3">
        <v>323.0</v>
      </c>
      <c r="B324" s="4" t="s">
        <v>12841</v>
      </c>
      <c r="C324" s="4" t="s">
        <v>12105</v>
      </c>
      <c r="D324" s="4" t="s">
        <v>9034</v>
      </c>
      <c r="F324" s="5" t="str">
        <f>IFERROR(__xludf.DUMMYFUNCTION("GOOGLETRANSLATE(A324, ""en"", ""hi"")"),"323")</f>
        <v>323</v>
      </c>
      <c r="G324" s="5" t="str">
        <f>IFERROR(__xludf.DUMMYFUNCTION("GOOGLETRANSLATE(B324, ""en"", ""hi"")"),"थांग-ता में 'थांग' किस प्रकार के हथियार को संदर्भित करता है?")</f>
        <v>थांग-ता में 'थांग' किस प्रकार के हथियार को संदर्भित करता है?</v>
      </c>
      <c r="H324" s="5" t="str">
        <f>IFERROR(__xludf.DUMMYFUNCTION("GOOGLETRANSLATE(C324, ""en"", ""hi"")"),"A) तलवार, B) भाला, C) ढाल, D) धनुष")</f>
        <v>A) तलवार, B) भाला, C) ढाल, D) धनुष</v>
      </c>
      <c r="I324" s="5" t="str">
        <f>IFERROR(__xludf.DUMMYFUNCTION("GOOGLETRANSLATE(D324, ""en"", ""hi"")"),"ए) तलवार")</f>
        <v>ए) तलवार</v>
      </c>
    </row>
    <row r="325" ht="22.5" customHeight="1">
      <c r="A325" s="3">
        <v>324.0</v>
      </c>
      <c r="B325" s="4" t="s">
        <v>12842</v>
      </c>
      <c r="C325" s="4" t="s">
        <v>12843</v>
      </c>
      <c r="D325" s="4" t="s">
        <v>12844</v>
      </c>
      <c r="F325" s="5" t="str">
        <f>IFERROR(__xludf.DUMMYFUNCTION("GOOGLETRANSLATE(A325, ""en"", ""hi"")"),"324")</f>
        <v>324</v>
      </c>
      <c r="G325" s="5" t="str">
        <f>IFERROR(__xludf.DUMMYFUNCTION("GOOGLETRANSLATE(B325, ""en"", ""hi"")"),"थांग-टा को शुरू में किस ऐतिहासिक खतरे से बचने के साधन के रूप में विकसित किया गया था?")</f>
        <v>थांग-टा को शुरू में किस ऐतिहासिक खतरे से बचने के साधन के रूप में विकसित किया गया था?</v>
      </c>
      <c r="H325" s="5" t="str">
        <f>IFERROR(__xludf.DUMMYFUNCTION("GOOGLETRANSLATE(C325, ""en"", ""hi"")"),"A) जंगली जानवर, B) प्रतिद्वंद्वी जनजातियाँ, C) बर्मी आक्रमण, D) ब्रिटिश औपनिवेशिक ताकतें")</f>
        <v>A) जंगली जानवर, B) प्रतिद्वंद्वी जनजातियाँ, C) बर्मी आक्रमण, D) ब्रिटिश औपनिवेशिक ताकतें</v>
      </c>
      <c r="I325" s="5" t="str">
        <f>IFERROR(__xludf.DUMMYFUNCTION("GOOGLETRANSLATE(D325, ""en"", ""hi"")"),"C) बर्मी आक्रमण")</f>
        <v>C) बर्मी आक्रमण</v>
      </c>
    </row>
    <row r="326" ht="22.5" customHeight="1">
      <c r="A326" s="3">
        <v>325.0</v>
      </c>
      <c r="B326" s="4" t="s">
        <v>12845</v>
      </c>
      <c r="C326" s="4" t="s">
        <v>12846</v>
      </c>
      <c r="D326" s="4" t="s">
        <v>12847</v>
      </c>
      <c r="F326" s="5" t="str">
        <f>IFERROR(__xludf.DUMMYFUNCTION("GOOGLETRANSLATE(A326, ""en"", ""hi"")"),"325")</f>
        <v>325</v>
      </c>
      <c r="G326" s="5" t="str">
        <f>IFERROR(__xludf.DUMMYFUNCTION("GOOGLETRANSLATE(B326, ""en"", ""hi"")"),"थांग-ता प्रणाली में निम्नलिखित में से कौन सी गैर-हथियार प्रथाएं शामिल हैं?")</f>
        <v>थांग-ता प्रणाली में निम्नलिखित में से कौन सी गैर-हथियार प्रथाएं शामिल हैं?</v>
      </c>
      <c r="H326" s="5" t="str">
        <f>IFERROR(__xludf.DUMMYFUNCTION("GOOGLETRANSLATE(C326, ""en"", ""hi"")"),"A) कुश्ती, B) आध्यात्मिक ध्यान, C) हर्बल चिकित्सा, D) तीरंदाजी")</f>
        <v>A) कुश्ती, B) आध्यात्मिक ध्यान, C) हर्बल चिकित्सा, D) तीरंदाजी</v>
      </c>
      <c r="I326" s="5" t="str">
        <f>IFERROR(__xludf.DUMMYFUNCTION("GOOGLETRANSLATE(D326, ""en"", ""hi"")"),"बी) आध्यात्मिक ध्यान")</f>
        <v>बी) आध्यात्मिक ध्यान</v>
      </c>
    </row>
    <row r="327" ht="22.5" customHeight="1">
      <c r="A327" s="3">
        <v>326.0</v>
      </c>
      <c r="B327" s="4" t="s">
        <v>12848</v>
      </c>
      <c r="C327" s="4" t="s">
        <v>12849</v>
      </c>
      <c r="D327" s="4" t="s">
        <v>12361</v>
      </c>
      <c r="F327" s="5" t="str">
        <f>IFERROR(__xludf.DUMMYFUNCTION("GOOGLETRANSLATE(A327, ""en"", ""hi"")"),"326")</f>
        <v>326</v>
      </c>
      <c r="G327" s="5" t="str">
        <f>IFERROR(__xludf.DUMMYFUNCTION("GOOGLETRANSLATE(B327, ""en"", ""hi"")"),"किस मणिपुरी राजा को शाही सैन्य प्रशिक्षण में थांग-ता को शामिल करने के लिए याद किया जाता है?")</f>
        <v>किस मणिपुरी राजा को शाही सैन्य प्रशिक्षण में थांग-ता को शामिल करने के लिए याद किया जाता है?</v>
      </c>
      <c r="H327" s="5" t="str">
        <f>IFERROR(__xludf.DUMMYFUNCTION("GOOGLETRANSLATE(C327, ""en"", ""hi"")"),"ए) महाराजा गंभीर सिंह, बी) महाराजा मरजीत सिंह, सी) महाराजा भाग्यचंद्र, डी) महाराजा चंद्रकीर्ति")</f>
        <v>ए) महाराजा गंभीर सिंह, बी) महाराजा मरजीत सिंह, सी) महाराजा भाग्यचंद्र, डी) महाराजा चंद्रकीर्ति</v>
      </c>
      <c r="I327" s="5" t="str">
        <f>IFERROR(__xludf.DUMMYFUNCTION("GOOGLETRANSLATE(D327, ""en"", ""hi"")"),"A) महाराजा गंभीर सिंह")</f>
        <v>A) महाराजा गंभीर सिंह</v>
      </c>
    </row>
    <row r="328" ht="22.5" customHeight="1">
      <c r="A328" s="3">
        <v>327.0</v>
      </c>
      <c r="B328" s="4" t="s">
        <v>12850</v>
      </c>
      <c r="C328" s="4" t="s">
        <v>12851</v>
      </c>
      <c r="D328" s="4" t="s">
        <v>12852</v>
      </c>
      <c r="F328" s="5" t="str">
        <f>IFERROR(__xludf.DUMMYFUNCTION("GOOGLETRANSLATE(A328, ""en"", ""hi"")"),"327")</f>
        <v>327</v>
      </c>
      <c r="G328" s="5" t="str">
        <f>IFERROR(__xludf.DUMMYFUNCTION("GOOGLETRANSLATE(B328, ""en"", ""hi"")"),"प्राचीन मणिपुर में, थांग-ता का उपयोग युद्ध के अलावा निम्नलिखित में से किस उद्देश्य के लिए किया जाता था?")</f>
        <v>प्राचीन मणिपुर में, थांग-ता का उपयोग युद्ध के अलावा निम्नलिखित में से किस उद्देश्य के लिए किया जाता था?</v>
      </c>
      <c r="H328" s="5" t="str">
        <f>IFERROR(__xludf.DUMMYFUNCTION("GOOGLETRANSLATE(C328, ""en"", ""hi"")"),"A) कृषि गतिविधियाँ, B) मनोरंजन और त्यौहार, C) समुद्री नौवहन, D) धार्मिक समारोह")</f>
        <v>A) कृषि गतिविधियाँ, B) मनोरंजन और त्यौहार, C) समुद्री नौवहन, D) धार्मिक समारोह</v>
      </c>
      <c r="I328" s="5" t="str">
        <f>IFERROR(__xludf.DUMMYFUNCTION("GOOGLETRANSLATE(D328, ""en"", ""hi"")"),"D) धार्मिक समारोह")</f>
        <v>D) धार्मिक समारोह</v>
      </c>
    </row>
    <row r="329" ht="22.5" customHeight="1">
      <c r="A329" s="3">
        <v>328.0</v>
      </c>
      <c r="B329" s="4" t="s">
        <v>12853</v>
      </c>
      <c r="C329" s="4" t="s">
        <v>12854</v>
      </c>
      <c r="D329" s="4" t="s">
        <v>12855</v>
      </c>
      <c r="F329" s="5" t="str">
        <f>IFERROR(__xludf.DUMMYFUNCTION("GOOGLETRANSLATE(A329, ""en"", ""hi"")"),"328")</f>
        <v>328</v>
      </c>
      <c r="G329" s="5" t="str">
        <f>IFERROR(__xludf.DUMMYFUNCTION("GOOGLETRANSLATE(B329, ""en"", ""hi"")"),"किस मणिपुरी सांस्कृतिक ग्रंथ में थांग-ता से संबंधित तकनीकों का उल्लेख है?")</f>
        <v>किस मणिपुरी सांस्कृतिक ग्रंथ में थांग-ता से संबंधित तकनीकों का उल्लेख है?</v>
      </c>
      <c r="H329" s="5" t="str">
        <f>IFERROR(__xludf.DUMMYFUNCTION("GOOGLETRANSLATE(C329, ""en"", ""hi"")"),"ए) पुया, बी) निंगथौरोल लाम्बुबा, सी) चेइथारोल कुंबाबा, डी) थिरुबोम्बा")</f>
        <v>ए) पुया, बी) निंगथौरोल लाम्बुबा, सी) चेइथारोल कुंबाबा, डी) थिरुबोम्बा</v>
      </c>
      <c r="I329" s="5" t="str">
        <f>IFERROR(__xludf.DUMMYFUNCTION("GOOGLETRANSLATE(D329, ""en"", ""hi"")"),"A) पुया")</f>
        <v>A) पुया</v>
      </c>
    </row>
    <row r="330" ht="22.5" customHeight="1">
      <c r="A330" s="3">
        <v>329.0</v>
      </c>
      <c r="B330" s="4" t="s">
        <v>12856</v>
      </c>
      <c r="C330" s="4" t="s">
        <v>12857</v>
      </c>
      <c r="D330" s="4" t="s">
        <v>12006</v>
      </c>
      <c r="F330" s="5" t="str">
        <f>IFERROR(__xludf.DUMMYFUNCTION("GOOGLETRANSLATE(A330, ""en"", ""hi"")"),"329")</f>
        <v>329</v>
      </c>
      <c r="G330" s="5" t="str">
        <f>IFERROR(__xludf.DUMMYFUNCTION("GOOGLETRANSLATE(B330, ""en"", ""hi"")"),"ऐतिहासिक युद्धों में थांग-ता का प्रयोग किस मणिपुरी शासक के शासनकाल में चरम पर था?")</f>
        <v>ऐतिहासिक युद्धों में थांग-ता का प्रयोग किस मणिपुरी शासक के शासनकाल में चरम पर था?</v>
      </c>
      <c r="H330" s="5" t="str">
        <f>IFERROR(__xludf.DUMMYFUNCTION("GOOGLETRANSLATE(C330, ""en"", ""hi"")"),"ए) महाराजा खगेम्बा, बी) महाराजा भाग्यचंद्र, सी) महाराजा चंद्रकीर्ति, डी) महाराजा गंभीर सिंह")</f>
        <v>ए) महाराजा खगेम्बा, बी) महाराजा भाग्यचंद्र, सी) महाराजा चंद्रकीर्ति, डी) महाराजा गंभीर सिंह</v>
      </c>
      <c r="I330" s="5" t="str">
        <f>IFERROR(__xludf.DUMMYFUNCTION("GOOGLETRANSLATE(D330, ""en"", ""hi"")"),"D) महाराजा गंभीर सिंह")</f>
        <v>D) महाराजा गंभीर सिंह</v>
      </c>
    </row>
    <row r="331" ht="22.5" customHeight="1">
      <c r="A331" s="3">
        <v>330.0</v>
      </c>
      <c r="B331" s="4" t="s">
        <v>12858</v>
      </c>
      <c r="C331" s="4" t="s">
        <v>12859</v>
      </c>
      <c r="D331" s="4" t="s">
        <v>12860</v>
      </c>
      <c r="F331" s="5" t="str">
        <f>IFERROR(__xludf.DUMMYFUNCTION("GOOGLETRANSLATE(A331, ""en"", ""hi"")"),"330")</f>
        <v>330</v>
      </c>
      <c r="G331" s="5" t="str">
        <f>IFERROR(__xludf.DUMMYFUNCTION("GOOGLETRANSLATE(B331, ""en"", ""hi"")"),"ब्रिटिश औपनिवेशिक शासन के दौरान थांग-टा पर किस कारण से प्रतिबंध लगाया गया था?")</f>
        <v>ब्रिटिश औपनिवेशिक शासन के दौरान थांग-टा पर किस कारण से प्रतिबंध लगाया गया था?</v>
      </c>
      <c r="H331" s="5" t="str">
        <f>IFERROR(__xludf.DUMMYFUNCTION("GOOGLETRANSLATE(C331, ""en"", ""hi"")"),"A) सांस्कृतिक खतरे के रूप में देखा जाता है, B) विद्रोह से जुड़ा हुआ है, C) इसके धार्मिक महत्व के कारण, D) व्यवहार में उच्च मृत्यु दर के कारण")</f>
        <v>A) सांस्कृतिक खतरे के रूप में देखा जाता है, B) विद्रोह से जुड़ा हुआ है, C) इसके धार्मिक महत्व के कारण, D) व्यवहार में उच्च मृत्यु दर के कारण</v>
      </c>
      <c r="I331" s="5" t="str">
        <f>IFERROR(__xludf.DUMMYFUNCTION("GOOGLETRANSLATE(D331, ""en"", ""hi"")"),"B) विद्रोह से जुड़ा हुआ")</f>
        <v>B) विद्रोह से जुड़ा हुआ</v>
      </c>
    </row>
    <row r="332" ht="22.5" customHeight="1">
      <c r="A332" s="3">
        <v>331.0</v>
      </c>
      <c r="B332" s="4" t="s">
        <v>12861</v>
      </c>
      <c r="C332" s="4" t="s">
        <v>12862</v>
      </c>
      <c r="D332" s="4" t="s">
        <v>12863</v>
      </c>
      <c r="F332" s="5" t="str">
        <f>IFERROR(__xludf.DUMMYFUNCTION("GOOGLETRANSLATE(A332, ""en"", ""hi"")"),"331")</f>
        <v>331</v>
      </c>
      <c r="G332" s="5" t="str">
        <f>IFERROR(__xludf.DUMMYFUNCTION("GOOGLETRANSLATE(B332, ""en"", ""hi"")"),"मणिपुरी लड़कों के लिए थांग-ता प्रशिक्षण पारंपरिक रूप से किस उम्र में शुरू किया जाता है?")</f>
        <v>मणिपुरी लड़कों के लिए थांग-ता प्रशिक्षण पारंपरिक रूप से किस उम्र में शुरू किया जाता है?</v>
      </c>
      <c r="H332" s="5" t="str">
        <f>IFERROR(__xludf.DUMMYFUNCTION("GOOGLETRANSLATE(C332, ""en"", ""hi"")"),"ए) 7, बी) 10, सी) 12, डी) 15")</f>
        <v>ए) 7, बी) 10, सी) 12, डी) 15</v>
      </c>
      <c r="I332" s="5" t="str">
        <f>IFERROR(__xludf.DUMMYFUNCTION("GOOGLETRANSLATE(D332, ""en"", ""hi"")"),"बी) 10")</f>
        <v>बी) 10</v>
      </c>
    </row>
    <row r="333" ht="22.5" customHeight="1">
      <c r="A333" s="3">
        <v>332.0</v>
      </c>
      <c r="B333" s="4" t="s">
        <v>12864</v>
      </c>
      <c r="C333" s="4" t="s">
        <v>12865</v>
      </c>
      <c r="D333" s="4" t="s">
        <v>12395</v>
      </c>
      <c r="F333" s="5" t="str">
        <f>IFERROR(__xludf.DUMMYFUNCTION("GOOGLETRANSLATE(A333, ""en"", ""hi"")"),"332")</f>
        <v>332</v>
      </c>
      <c r="G333" s="5" t="str">
        <f>IFERROR(__xludf.DUMMYFUNCTION("GOOGLETRANSLATE(B333, ""en"", ""hi"")"),"मणिपुर के इतिहास में किस संघर्ष के दौरान थांग-ता ने महत्वपूर्ण भूमिका निभाई?")</f>
        <v>मणिपुर के इतिहास में किस संघर्ष के दौरान थांग-ता ने महत्वपूर्ण भूमिका निभाई?</v>
      </c>
      <c r="H333" s="5" t="str">
        <f>IFERROR(__xludf.DUMMYFUNCTION("GOOGLETRANSLATE(C333, ""en"", ""hi"")"),"A) एंग्लो-मणिपुर युद्ध, B) भारत-बर्मा युद्ध, C) भारत-चीन युद्ध, D) मणिपुर विद्रोह")</f>
        <v>A) एंग्लो-मणिपुर युद्ध, B) भारत-बर्मा युद्ध, C) भारत-चीन युद्ध, D) मणिपुर विद्रोह</v>
      </c>
      <c r="I333" s="5" t="str">
        <f>IFERROR(__xludf.DUMMYFUNCTION("GOOGLETRANSLATE(D333, ""en"", ""hi"")"),"A) एंग्लो-मणिपुर युद्ध")</f>
        <v>A) एंग्लो-मणिपुर युद्ध</v>
      </c>
    </row>
    <row r="334" ht="22.5" customHeight="1">
      <c r="A334" s="3">
        <v>333.0</v>
      </c>
      <c r="B334" s="4" t="s">
        <v>12866</v>
      </c>
      <c r="C334" s="4" t="s">
        <v>12867</v>
      </c>
      <c r="D334" s="4" t="s">
        <v>12086</v>
      </c>
      <c r="F334" s="5" t="str">
        <f>IFERROR(__xludf.DUMMYFUNCTION("GOOGLETRANSLATE(A334, ""en"", ""hi"")"),"333")</f>
        <v>333</v>
      </c>
      <c r="G334" s="5" t="str">
        <f>IFERROR(__xludf.DUMMYFUNCTION("GOOGLETRANSLATE(B334, ""en"", ""hi"")"),"किस मणिपुरी त्यौहार में सांस्कृतिक विरासत के हिस्से के रूप में थांग-ता प्रदर्शन प्रदर्शित किया गया?")</f>
        <v>किस मणिपुरी त्यौहार में सांस्कृतिक विरासत के हिस्से के रूप में थांग-ता प्रदर्शन प्रदर्शित किया गया?</v>
      </c>
      <c r="H334" s="5" t="str">
        <f>IFERROR(__xludf.DUMMYFUNCTION("GOOGLETRANSLATE(C334, ""en"", ""hi"")"),"ए) लाई हराओबा, बी) निंगोल चाकोउबा, सी) याओशांग, डी) चेइराओबा")</f>
        <v>ए) लाई हराओबा, बी) निंगोल चाकोउबा, सी) याओशांग, डी) चेइराओबा</v>
      </c>
      <c r="I334" s="5" t="str">
        <f>IFERROR(__xludf.DUMMYFUNCTION("GOOGLETRANSLATE(D334, ""en"", ""hi"")"),"A) लाई हरोबा")</f>
        <v>A) लाई हरोबा</v>
      </c>
    </row>
    <row r="335" ht="22.5" customHeight="1">
      <c r="A335" s="3">
        <v>334.0</v>
      </c>
      <c r="B335" s="4" t="s">
        <v>12868</v>
      </c>
      <c r="C335" s="4" t="s">
        <v>12869</v>
      </c>
      <c r="D335" s="4" t="s">
        <v>12870</v>
      </c>
      <c r="F335" s="5" t="str">
        <f>IFERROR(__xludf.DUMMYFUNCTION("GOOGLETRANSLATE(A335, ""en"", ""hi"")"),"334")</f>
        <v>334</v>
      </c>
      <c r="G335" s="5" t="str">
        <f>IFERROR(__xludf.DUMMYFUNCTION("GOOGLETRANSLATE(B335, ""en"", ""hi"")"),"थांग-ता की मार्शल आर्ट किन दो तत्वों के बीच संतुलन के सिद्धांतों पर आधारित है?")</f>
        <v>थांग-ता की मार्शल आर्ट किन दो तत्वों के बीच संतुलन के सिद्धांतों पर आधारित है?</v>
      </c>
      <c r="H335" s="5" t="str">
        <f>IFERROR(__xludf.DUMMYFUNCTION("GOOGLETRANSLATE(C335, ""en"", ""hi"")"),"A) जल और अग्नि, B) तलवार और भाला, C) शरीर और मन, D) शक्ति और गति")</f>
        <v>A) जल और अग्नि, B) तलवार और भाला, C) शरीर और मन, D) शक्ति और गति</v>
      </c>
      <c r="I335" s="5" t="str">
        <f>IFERROR(__xludf.DUMMYFUNCTION("GOOGLETRANSLATE(D335, ""en"", ""hi"")"),"C) शरीर और मन")</f>
        <v>C) शरीर और मन</v>
      </c>
    </row>
    <row r="336" ht="22.5" customHeight="1">
      <c r="A336" s="3">
        <v>335.0</v>
      </c>
      <c r="B336" s="4" t="s">
        <v>12871</v>
      </c>
      <c r="C336" s="4" t="s">
        <v>12872</v>
      </c>
      <c r="D336" s="4" t="s">
        <v>12831</v>
      </c>
      <c r="F336" s="5" t="str">
        <f>IFERROR(__xludf.DUMMYFUNCTION("GOOGLETRANSLATE(A336, ""en"", ""hi"")"),"335")</f>
        <v>335</v>
      </c>
      <c r="G336" s="5" t="str">
        <f>IFERROR(__xludf.DUMMYFUNCTION("GOOGLETRANSLATE(B336, ""en"", ""hi"")"),"आधुनिक समय में थांग-टा के पुनरुत्थान का श्रेय किसे दिया जाता है?")</f>
        <v>आधुनिक समय में थांग-टा के पुनरुत्थान का श्रेय किसे दिया जाता है?</v>
      </c>
      <c r="H336" s="5" t="str">
        <f>IFERROR(__xludf.DUMMYFUNCTION("GOOGLETRANSLATE(C336, ""en"", ""hi"")"),"ए) गुरुमायुम गौरकिशोर शर्मा, बी) महाराजा गंभीर सिंह, सी) महाराजा बोधचंद्र सिंह, डी) महाराजा भाग्यचंद्र")</f>
        <v>ए) गुरुमायुम गौरकिशोर शर्मा, बी) महाराजा गंभीर सिंह, सी) महाराजा बोधचंद्र सिंह, डी) महाराजा भाग्यचंद्र</v>
      </c>
      <c r="I336" s="5" t="str">
        <f>IFERROR(__xludf.DUMMYFUNCTION("GOOGLETRANSLATE(D336, ""en"", ""hi"")"),"ए) गुरुमायुम गौरकिशोर शर्मा")</f>
        <v>ए) गुरुमायुम गौरकिशोर शर्मा</v>
      </c>
    </row>
    <row r="337" ht="22.5" customHeight="1">
      <c r="A337" s="3">
        <v>336.0</v>
      </c>
      <c r="B337" s="4" t="s">
        <v>12873</v>
      </c>
      <c r="C337" s="4" t="s">
        <v>12874</v>
      </c>
      <c r="D337" s="4" t="s">
        <v>12875</v>
      </c>
      <c r="F337" s="5" t="str">
        <f>IFERROR(__xludf.DUMMYFUNCTION("GOOGLETRANSLATE(A337, ""en"", ""hi"")"),"336")</f>
        <v>336</v>
      </c>
      <c r="G337" s="5" t="str">
        <f>IFERROR(__xludf.DUMMYFUNCTION("GOOGLETRANSLATE(B337, ""en"", ""hi"")"),"किस मणिपुरी कबीले ने ऐतिहासिक रूप से थांग-ता के ज्ञान और अभ्यास को संरक्षित किया?")</f>
        <v>किस मणिपुरी कबीले ने ऐतिहासिक रूप से थांग-ता के ज्ञान और अभ्यास को संरक्षित किया?</v>
      </c>
      <c r="H337" s="5" t="str">
        <f>IFERROR(__xludf.DUMMYFUNCTION("GOOGLETRANSLATE(C337, ""en"", ""hi"")"),"ए) निंगथौजा, बी) अंगोम, सी) खुमान, डी) मोइरांग")</f>
        <v>ए) निंगथौजा, बी) अंगोम, सी) खुमान, डी) मोइरांग</v>
      </c>
      <c r="I337" s="5" t="str">
        <f>IFERROR(__xludf.DUMMYFUNCTION("GOOGLETRANSLATE(D337, ""en"", ""hi"")"),"A) निंगथौजा")</f>
        <v>A) निंगथौजा</v>
      </c>
    </row>
    <row r="338" ht="22.5" customHeight="1">
      <c r="A338" s="3">
        <v>337.0</v>
      </c>
      <c r="B338" s="4" t="s">
        <v>12876</v>
      </c>
      <c r="C338" s="4" t="s">
        <v>12877</v>
      </c>
      <c r="D338" s="4" t="s">
        <v>12855</v>
      </c>
      <c r="F338" s="5" t="str">
        <f>IFERROR(__xludf.DUMMYFUNCTION("GOOGLETRANSLATE(A338, ""en"", ""hi"")"),"337")</f>
        <v>337</v>
      </c>
      <c r="G338" s="5" t="str">
        <f>IFERROR(__xludf.DUMMYFUNCTION("GOOGLETRANSLATE(B338, ""en"", ""hi"")"),"ऐसा माना जाता है कि किस ऐतिहासिक मणिपुरी ग्रंथ में थांग-ता प्रशिक्षण से संबंधित निर्देश शामिल हैं?")</f>
        <v>ऐसा माना जाता है कि किस ऐतिहासिक मणिपुरी ग्रंथ में थांग-ता प्रशिक्षण से संबंधित निर्देश शामिल हैं?</v>
      </c>
      <c r="H338" s="5" t="str">
        <f>IFERROR(__xludf.DUMMYFUNCTION("GOOGLETRANSLATE(C338, ""en"", ""hi"")"),"ए) पुया, बी) निंगथौरोल लाम्बुबा, सी) कांगलेइरोल, डी) चेइथारोल कुम्बाबा")</f>
        <v>ए) पुया, बी) निंगथौरोल लाम्बुबा, सी) कांगलेइरोल, डी) चेइथारोल कुम्बाबा</v>
      </c>
      <c r="I338" s="5" t="str">
        <f>IFERROR(__xludf.DUMMYFUNCTION("GOOGLETRANSLATE(D338, ""en"", ""hi"")"),"A) पुया")</f>
        <v>A) पुया</v>
      </c>
    </row>
    <row r="339" ht="22.5" customHeight="1">
      <c r="A339" s="3">
        <v>338.0</v>
      </c>
      <c r="B339" s="4" t="s">
        <v>12878</v>
      </c>
      <c r="C339" s="4" t="s">
        <v>12879</v>
      </c>
      <c r="D339" s="4" t="s">
        <v>12880</v>
      </c>
      <c r="F339" s="5" t="str">
        <f>IFERROR(__xludf.DUMMYFUNCTION("GOOGLETRANSLATE(A339, ""en"", ""hi"")"),"338")</f>
        <v>338</v>
      </c>
      <c r="G339" s="5" t="str">
        <f>IFERROR(__xludf.DUMMYFUNCTION("GOOGLETRANSLATE(B339, ""en"", ""hi"")"),"ब्रिटिश उपनिवेशवादियों ने थांग-ता प्रथा पर मुख्यतः इसके संबंध के कारण प्रतिबंध लगा दिया था:")</f>
        <v>ब्रिटिश उपनिवेशवादियों ने थांग-ता प्रथा पर मुख्यतः इसके संबंध के कारण प्रतिबंध लगा दिया था:</v>
      </c>
      <c r="H339" s="5" t="str">
        <f>IFERROR(__xludf.DUMMYFUNCTION("GOOGLETRANSLATE(C339, ""en"", ""hi"")"),"A) उपनिवेशवाद विरोधी प्रतिरोध, B) धार्मिक समारोह, C) शाही अनुष्ठान, D) स्थानीय त्यौहार")</f>
        <v>A) उपनिवेशवाद विरोधी प्रतिरोध, B) धार्मिक समारोह, C) शाही अनुष्ठान, D) स्थानीय त्यौहार</v>
      </c>
      <c r="I339" s="5" t="str">
        <f>IFERROR(__xludf.DUMMYFUNCTION("GOOGLETRANSLATE(D339, ""en"", ""hi"")"),"A) उपनिवेश-विरोधी प्रतिरोध")</f>
        <v>A) उपनिवेश-विरोधी प्रतिरोध</v>
      </c>
    </row>
    <row r="340" ht="22.5" customHeight="1">
      <c r="A340" s="3">
        <v>339.0</v>
      </c>
      <c r="B340" s="4" t="s">
        <v>12881</v>
      </c>
      <c r="C340" s="4" t="s">
        <v>12882</v>
      </c>
      <c r="D340" s="4" t="s">
        <v>12883</v>
      </c>
      <c r="F340" s="5" t="str">
        <f>IFERROR(__xludf.DUMMYFUNCTION("GOOGLETRANSLATE(A340, ""en"", ""hi"")"),"339")</f>
        <v>339</v>
      </c>
      <c r="G340" s="5" t="str">
        <f>IFERROR(__xludf.DUMMYFUNCTION("GOOGLETRANSLATE(B340, ""en"", ""hi"")"),"कौन सा मणिपुरी युद्ध नेता गुरिल्ला युद्ध में थांग-ता का उपयोग करने के लिए जाना जाता है?")</f>
        <v>कौन सा मणिपुरी युद्ध नेता गुरिल्ला युद्ध में थांग-ता का उपयोग करने के लिए जाना जाता है?</v>
      </c>
      <c r="H340" s="5" t="str">
        <f>IFERROR(__xludf.DUMMYFUNCTION("GOOGLETRANSLATE(C340, ""en"", ""hi"")"),"ए) महाराजा गंभीर सिंह, बी) पाओना ब्रजबाशी, सी) राजा मरजीत सिंह, डी) महाराजा भाग्यचंद्र")</f>
        <v>ए) महाराजा गंभीर सिंह, बी) पाओना ब्रजबाशी, सी) राजा मरजीत सिंह, डी) महाराजा भाग्यचंद्र</v>
      </c>
      <c r="I340" s="5" t="str">
        <f>IFERROR(__xludf.DUMMYFUNCTION("GOOGLETRANSLATE(D340, ""en"", ""hi"")"),"बी) पाओना ब्रजबाशी")</f>
        <v>बी) पाओना ब्रजबाशी</v>
      </c>
    </row>
    <row r="341" ht="22.5" customHeight="1">
      <c r="A341" s="3">
        <v>340.0</v>
      </c>
      <c r="B341" s="4" t="s">
        <v>12884</v>
      </c>
      <c r="C341" s="4" t="s">
        <v>12885</v>
      </c>
      <c r="D341" s="4" t="s">
        <v>12886</v>
      </c>
      <c r="F341" s="5" t="str">
        <f>IFERROR(__xludf.DUMMYFUNCTION("GOOGLETRANSLATE(A341, ""en"", ""hi"")"),"340")</f>
        <v>340</v>
      </c>
      <c r="G341" s="5" t="str">
        <f>IFERROR(__xludf.DUMMYFUNCTION("GOOGLETRANSLATE(B341, ""en"", ""hi"")"),"मणिपुर के किस राजा को थांग-ता कला में निपुण माना जाता है?")</f>
        <v>मणिपुर के किस राजा को थांग-ता कला में निपुण माना जाता है?</v>
      </c>
      <c r="H341" s="5" t="str">
        <f>IFERROR(__xludf.DUMMYFUNCTION("GOOGLETRANSLATE(C341, ""en"", ""hi"")"),"ए) महाराजा चंद्रकीर्ति, बी) महाराजा गंभीर सिंह, सी) महाराजा मरजीत सिंह, डी) महाराजा बोधचंद्र")</f>
        <v>ए) महाराजा चंद्रकीर्ति, बी) महाराजा गंभीर सिंह, सी) महाराजा मरजीत सिंह, डी) महाराजा बोधचंद्र</v>
      </c>
      <c r="I341" s="5" t="str">
        <f>IFERROR(__xludf.DUMMYFUNCTION("GOOGLETRANSLATE(D341, ""en"", ""hi"")"),"A) महाराजा चंद्रकीर्ति")</f>
        <v>A) महाराजा चंद्रकीर्ति</v>
      </c>
    </row>
    <row r="342" ht="22.5" customHeight="1">
      <c r="A342" s="3">
        <v>341.0</v>
      </c>
      <c r="B342" s="4" t="s">
        <v>12887</v>
      </c>
      <c r="C342" s="4" t="s">
        <v>12888</v>
      </c>
      <c r="D342" s="4" t="s">
        <v>12889</v>
      </c>
      <c r="F342" s="5" t="str">
        <f>IFERROR(__xludf.DUMMYFUNCTION("GOOGLETRANSLATE(A342, ""en"", ""hi"")"),"341")</f>
        <v>341</v>
      </c>
      <c r="G342" s="5" t="str">
        <f>IFERROR(__xludf.DUMMYFUNCTION("GOOGLETRANSLATE(B342, ""en"", ""hi"")"),"मणिपुरी मार्शल आर्ट थांग-ता में हथियारों और हथियारों दोनों के उपयोग पर जोर दिया जाता है:")</f>
        <v>मणिपुरी मार्शल आर्ट थांग-ता में हथियारों और हथियारों दोनों के उपयोग पर जोर दिया जाता है:</v>
      </c>
      <c r="H342" s="5" t="str">
        <f>IFERROR(__xludf.DUMMYFUNCTION("GOOGLETRANSLATE(C342, ""en"", ""hi"")"),"A) शील्ड्स, B) ध्यान, C) शारीरिक चपलता, D) नंगे हाथ तकनीक")</f>
        <v>A) शील्ड्स, B) ध्यान, C) शारीरिक चपलता, D) नंगे हाथ तकनीक</v>
      </c>
      <c r="I342" s="5" t="str">
        <f>IFERROR(__xludf.DUMMYFUNCTION("GOOGLETRANSLATE(D342, ""en"", ""hi"")"),"D) नंगे हाथ तकनीक")</f>
        <v>D) नंगे हाथ तकनीक</v>
      </c>
    </row>
    <row r="343" ht="22.5" customHeight="1">
      <c r="A343" s="3">
        <v>342.0</v>
      </c>
      <c r="B343" s="4" t="s">
        <v>12890</v>
      </c>
      <c r="C343" s="4" t="s">
        <v>12891</v>
      </c>
      <c r="D343" s="4" t="s">
        <v>12892</v>
      </c>
      <c r="F343" s="5" t="str">
        <f>IFERROR(__xludf.DUMMYFUNCTION("GOOGLETRANSLATE(A343, ""en"", ""hi"")"),"342")</f>
        <v>342</v>
      </c>
      <c r="G343" s="5" t="str">
        <f>IFERROR(__xludf.DUMMYFUNCTION("GOOGLETRANSLATE(B343, ""en"", ""hi"")"),"मणिपुर का कौन सा योद्धा नेता थांग-ता और राजनीति दोनों में अपनी विशेषज्ञता के लिए जाना जाता है?")</f>
        <v>मणिपुर का कौन सा योद्धा नेता थांग-ता और राजनीति दोनों में अपनी विशेषज्ञता के लिए जाना जाता है?</v>
      </c>
      <c r="H343" s="5" t="str">
        <f>IFERROR(__xludf.DUMMYFUNCTION("GOOGLETRANSLATE(C343, ""en"", ""hi"")"),"ए) महाराजा भाग्यचंद्र, बी) महाराजा चंद्रकीर्ति, सी) पाओना ब्रजबाशी, डी) महाराजा गंभीर सिंह")</f>
        <v>ए) महाराजा भाग्यचंद्र, बी) महाराजा चंद्रकीर्ति, सी) पाओना ब्रजबाशी, डी) महाराजा गंभीर सिंह</v>
      </c>
      <c r="I343" s="5" t="str">
        <f>IFERROR(__xludf.DUMMYFUNCTION("GOOGLETRANSLATE(D343, ""en"", ""hi"")"),"C) पाओना ब्रजबाशी")</f>
        <v>C) पाओना ब्रजबाशी</v>
      </c>
    </row>
    <row r="344" ht="22.5" customHeight="1">
      <c r="A344" s="3">
        <v>343.0</v>
      </c>
      <c r="B344" s="4" t="s">
        <v>12893</v>
      </c>
      <c r="C344" s="4" t="s">
        <v>12894</v>
      </c>
      <c r="D344" s="4" t="s">
        <v>12895</v>
      </c>
      <c r="F344" s="5" t="str">
        <f>IFERROR(__xludf.DUMMYFUNCTION("GOOGLETRANSLATE(A344, ""en"", ""hi"")"),"343")</f>
        <v>343</v>
      </c>
      <c r="G344" s="5" t="str">
        <f>IFERROR(__xludf.DUMMYFUNCTION("GOOGLETRANSLATE(B344, ""en"", ""hi"")"),"20वीं सदी में थांग-ता का पुनरुद्धार मुख्यतः निम्नलिखित कारणों से हुआ:")</f>
        <v>20वीं सदी में थांग-ता का पुनरुद्धार मुख्यतः निम्नलिखित कारणों से हुआ:</v>
      </c>
      <c r="H344" s="5" t="str">
        <f>IFERROR(__xludf.DUMMYFUNCTION("GOOGLETRANSLATE(C344, ""en"", ""hi"")"),"A) मार्शल कलाकार, B) धार्मिक नेता, C) सांस्कृतिक सुधारक, D) सरकारी अधिकारी")</f>
        <v>A) मार्शल कलाकार, B) धार्मिक नेता, C) सांस्कृतिक सुधारक, D) सरकारी अधिकारी</v>
      </c>
      <c r="I344" s="5" t="str">
        <f>IFERROR(__xludf.DUMMYFUNCTION("GOOGLETRANSLATE(D344, ""en"", ""hi"")"),"C) सांस्कृतिक सुधारक")</f>
        <v>C) सांस्कृतिक सुधारक</v>
      </c>
    </row>
    <row r="345" ht="22.5" customHeight="1">
      <c r="A345" s="3">
        <v>344.0</v>
      </c>
      <c r="B345" s="4" t="s">
        <v>12896</v>
      </c>
      <c r="C345" s="4" t="s">
        <v>12897</v>
      </c>
      <c r="D345" s="4" t="s">
        <v>12153</v>
      </c>
      <c r="F345" s="5" t="str">
        <f>IFERROR(__xludf.DUMMYFUNCTION("GOOGLETRANSLATE(A345, ""en"", ""hi"")"),"344")</f>
        <v>344</v>
      </c>
      <c r="G345" s="5" t="str">
        <f>IFERROR(__xludf.DUMMYFUNCTION("GOOGLETRANSLATE(B345, ""en"", ""hi"")"),"थांग-ता प्रथाओं को किस राजा के शासनकाल के दौरान शाही सैन्य प्रशिक्षण में शामिल किया गया था?")</f>
        <v>थांग-ता प्रथाओं को किस राजा के शासनकाल के दौरान शाही सैन्य प्रशिक्षण में शामिल किया गया था?</v>
      </c>
      <c r="H345" s="5" t="str">
        <f>IFERROR(__xludf.DUMMYFUNCTION("GOOGLETRANSLATE(C345, ""en"", ""hi"")"),"ए) महाराजा खगेम्बा, बी) महाराजा गंभीर सिंह, सी) महाराजा भाग्यचंद्र, डी) महाराजा चंद्रकीर्ति")</f>
        <v>ए) महाराजा खगेम्बा, बी) महाराजा गंभीर सिंह, सी) महाराजा भाग्यचंद्र, डी) महाराजा चंद्रकीर्ति</v>
      </c>
      <c r="I345" s="5" t="str">
        <f>IFERROR(__xludf.DUMMYFUNCTION("GOOGLETRANSLATE(D345, ""en"", ""hi"")"),"बी) महाराजा गंभीर सिंह")</f>
        <v>बी) महाराजा गंभीर सिंह</v>
      </c>
    </row>
    <row r="346" ht="22.5" customHeight="1">
      <c r="A346" s="3">
        <v>345.0</v>
      </c>
      <c r="B346" s="4" t="s">
        <v>12898</v>
      </c>
      <c r="C346" s="4" t="s">
        <v>12899</v>
      </c>
      <c r="D346" s="4" t="s">
        <v>12900</v>
      </c>
      <c r="F346" s="5" t="str">
        <f>IFERROR(__xludf.DUMMYFUNCTION("GOOGLETRANSLATE(A346, ""en"", ""hi"")"),"345")</f>
        <v>345</v>
      </c>
      <c r="G346" s="5" t="str">
        <f>IFERROR(__xludf.DUMMYFUNCTION("GOOGLETRANSLATE(B346, ""en"", ""hi"")"),"19वीं शताब्दी में किस ऐतिहासिक घटना के कारण थांग-ता प्रथा में गिरावट आई?")</f>
        <v>19वीं शताब्दी में किस ऐतिहासिक घटना के कारण थांग-ता प्रथा में गिरावट आई?</v>
      </c>
      <c r="H346" s="5" t="str">
        <f>IFERROR(__xludf.DUMMYFUNCTION("GOOGLETRANSLATE(C346, ""en"", ""hi"")"),"A) एंग्लो-मणिपुर युद्ध, B) ब्रिटिश उपनिवेशीकरण, C) बर्मी आक्रमण, D) भारत के साथ एकीकरण")</f>
        <v>A) एंग्लो-मणिपुर युद्ध, B) ब्रिटिश उपनिवेशीकरण, C) बर्मी आक्रमण, D) भारत के साथ एकीकरण</v>
      </c>
      <c r="I346" s="5" t="str">
        <f>IFERROR(__xludf.DUMMYFUNCTION("GOOGLETRANSLATE(D346, ""en"", ""hi"")"),"बी) ब्रिटिश उपनिवेशीकरण")</f>
        <v>बी) ब्रिटिश उपनिवेशीकरण</v>
      </c>
    </row>
    <row r="347" ht="22.5" customHeight="1">
      <c r="A347" s="3">
        <v>346.0</v>
      </c>
      <c r="B347" s="4" t="s">
        <v>12901</v>
      </c>
      <c r="C347" s="4" t="s">
        <v>12819</v>
      </c>
      <c r="D347" s="4" t="s">
        <v>12820</v>
      </c>
      <c r="F347" s="5" t="str">
        <f>IFERROR(__xludf.DUMMYFUNCTION("GOOGLETRANSLATE(A347, ""en"", ""hi"")"),"346")</f>
        <v>346</v>
      </c>
      <c r="G347" s="5" t="str">
        <f>IFERROR(__xludf.DUMMYFUNCTION("GOOGLETRANSLATE(B347, ""en"", ""hi"")"),"कौन सी मणिपुरी मार्शल आर्ट शैली थांग-ता से सबसे अधिक संबंधित है?")</f>
        <v>कौन सी मणिपुरी मार्शल आर्ट शैली थांग-ता से सबसे अधिक संबंधित है?</v>
      </c>
      <c r="H347" s="5" t="str">
        <f>IFERROR(__xludf.DUMMYFUNCTION("GOOGLETRANSLATE(C347, ""en"", ""hi"")"),"ए) मुकना, बी) सरित-सरक, सी) कलारी, डी) सिलंबम")</f>
        <v>ए) मुकना, बी) सरित-सरक, सी) कलारी, डी) सिलंबम</v>
      </c>
      <c r="I347" s="5" t="str">
        <f>IFERROR(__xludf.DUMMYFUNCTION("GOOGLETRANSLATE(D347, ""en"", ""hi"")"),"B) सरित-सरक")</f>
        <v>B) सरित-सरक</v>
      </c>
    </row>
    <row r="348" ht="22.5" customHeight="1">
      <c r="A348" s="3">
        <v>347.0</v>
      </c>
      <c r="B348" s="4" t="s">
        <v>12902</v>
      </c>
      <c r="C348" s="4" t="s">
        <v>12903</v>
      </c>
      <c r="D348" s="4" t="s">
        <v>12904</v>
      </c>
      <c r="F348" s="5" t="str">
        <f>IFERROR(__xludf.DUMMYFUNCTION("GOOGLETRANSLATE(A348, ""en"", ""hi"")"),"347")</f>
        <v>347</v>
      </c>
      <c r="G348" s="5" t="str">
        <f>IFERROR(__xludf.DUMMYFUNCTION("GOOGLETRANSLATE(B348, ""en"", ""hi"")"),"प्राचीन मणिपुर में थांग-ता प्रशिक्षण किस सामाजिक वर्ग के लिए अनिवार्य था?")</f>
        <v>प्राचीन मणिपुर में थांग-ता प्रशिक्षण किस सामाजिक वर्ग के लिए अनिवार्य था?</v>
      </c>
      <c r="H348" s="5" t="str">
        <f>IFERROR(__xludf.DUMMYFUNCTION("GOOGLETRANSLATE(C348, ""en"", ""hi"")"),"A) पुजारी, B) किसान, C) कुलीन वर्ग और योद्धा, D) व्यापारी")</f>
        <v>A) पुजारी, B) किसान, C) कुलीन वर्ग और योद्धा, D) व्यापारी</v>
      </c>
      <c r="I348" s="5" t="str">
        <f>IFERROR(__xludf.DUMMYFUNCTION("GOOGLETRANSLATE(D348, ""en"", ""hi"")"),"C) कुलीनता और योद्धा")</f>
        <v>C) कुलीनता और योद्धा</v>
      </c>
    </row>
    <row r="349" ht="22.5" customHeight="1">
      <c r="A349" s="3">
        <v>348.0</v>
      </c>
      <c r="B349" s="4" t="s">
        <v>12905</v>
      </c>
      <c r="C349" s="4" t="s">
        <v>12906</v>
      </c>
      <c r="D349" s="4" t="s">
        <v>12907</v>
      </c>
      <c r="F349" s="5" t="str">
        <f>IFERROR(__xludf.DUMMYFUNCTION("GOOGLETRANSLATE(A349, ""en"", ""hi"")"),"348")</f>
        <v>348</v>
      </c>
      <c r="G349" s="5" t="str">
        <f>IFERROR(__xludf.DUMMYFUNCTION("GOOGLETRANSLATE(B349, ""en"", ""hi"")"),"थांग-ता के अभ्यास में किस प्रकार का पारंपरिक ध्यान शामिल है?")</f>
        <v>थांग-ता के अभ्यास में किस प्रकार का पारंपरिक ध्यान शामिल है?</v>
      </c>
      <c r="H349" s="5" t="str">
        <f>IFERROR(__xludf.DUMMYFUNCTION("GOOGLETRANSLATE(C349, ""en"", ""hi"")"),"A) योग, B) तांत्रिक, C) श्वास व्यायाम, D) शैमानिक अनुष्ठान")</f>
        <v>A) योग, B) तांत्रिक, C) श्वास व्यायाम, D) शैमानिक अनुष्ठान</v>
      </c>
      <c r="I349" s="5" t="str">
        <f>IFERROR(__xludf.DUMMYFUNCTION("GOOGLETRANSLATE(D349, ""en"", ""hi"")"),"सी) श्वास व्यायाम")</f>
        <v>सी) श्वास व्यायाम</v>
      </c>
    </row>
    <row r="350" ht="22.5" customHeight="1">
      <c r="A350" s="3">
        <v>349.0</v>
      </c>
      <c r="B350" s="4" t="s">
        <v>12908</v>
      </c>
      <c r="C350" s="4" t="s">
        <v>12909</v>
      </c>
      <c r="D350" s="4" t="s">
        <v>12361</v>
      </c>
      <c r="F350" s="5" t="str">
        <f>IFERROR(__xludf.DUMMYFUNCTION("GOOGLETRANSLATE(A350, ""en"", ""hi"")"),"349")</f>
        <v>349</v>
      </c>
      <c r="G350" s="5" t="str">
        <f>IFERROR(__xludf.DUMMYFUNCTION("GOOGLETRANSLATE(B350, ""en"", ""hi"")"),"किस राजा के शासनकाल के दौरान थांग-ता को शाही सैन्य अभ्यास के रूप में संस्थागत किया गया था?")</f>
        <v>किस राजा के शासनकाल के दौरान थांग-ता को शाही सैन्य अभ्यास के रूप में संस्थागत किया गया था?</v>
      </c>
      <c r="H350" s="5" t="str">
        <f>IFERROR(__xludf.DUMMYFUNCTION("GOOGLETRANSLATE(C350,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350" s="5" t="str">
        <f>IFERROR(__xludf.DUMMYFUNCTION("GOOGLETRANSLATE(D350, ""en"", ""hi"")"),"A) महाराजा गंभीर सिंह")</f>
        <v>A) महाराजा गंभीर सिंह</v>
      </c>
    </row>
    <row r="351" ht="22.5" customHeight="1">
      <c r="A351" s="3">
        <v>350.0</v>
      </c>
      <c r="B351" s="4" t="s">
        <v>12910</v>
      </c>
      <c r="C351" s="4" t="s">
        <v>12911</v>
      </c>
      <c r="D351" s="4" t="s">
        <v>12912</v>
      </c>
      <c r="F351" s="5" t="str">
        <f>IFERROR(__xludf.DUMMYFUNCTION("GOOGLETRANSLATE(A351, ""en"", ""hi"")"),"350")</f>
        <v>350</v>
      </c>
      <c r="G351" s="5" t="str">
        <f>IFERROR(__xludf.DUMMYFUNCTION("GOOGLETRANSLATE(B351, ""en"", ""hi"")"),"मणिपुरी त्योहारों में थांग-ता को शामिल करना संस्कृति के किस पहलू का प्रतीक है?")</f>
        <v>मणिपुरी त्योहारों में थांग-ता को शामिल करना संस्कृति के किस पहलू का प्रतीक है?</v>
      </c>
      <c r="H351" s="5" t="str">
        <f>IFERROR(__xludf.DUMMYFUNCTION("GOOGLETRANSLATE(C351, ""en"", ""hi"")"),"A) योद्धा भावना, B) कृषि, C) धार्मिक भक्ति, D) सामाजिक सद्भाव")</f>
        <v>A) योद्धा भावना, B) कृषि, C) धार्मिक भक्ति, D) सामाजिक सद्भाव</v>
      </c>
      <c r="I351" s="5" t="str">
        <f>IFERROR(__xludf.DUMMYFUNCTION("GOOGLETRANSLATE(D351, ""en"", ""hi"")"),"A) योद्धा भावना")</f>
        <v>A) योद्धा भावना</v>
      </c>
    </row>
    <row r="352" ht="22.5" customHeight="1">
      <c r="A352" s="3">
        <v>351.0</v>
      </c>
      <c r="B352" s="4" t="s">
        <v>12913</v>
      </c>
      <c r="C352" s="4" t="s">
        <v>12914</v>
      </c>
      <c r="D352" s="4" t="s">
        <v>12915</v>
      </c>
      <c r="F352" s="5" t="str">
        <f>IFERROR(__xludf.DUMMYFUNCTION("GOOGLETRANSLATE(A352, ""en"", ""hi"")"),"351")</f>
        <v>351</v>
      </c>
      <c r="G352" s="5" t="str">
        <f>IFERROR(__xludf.DUMMYFUNCTION("GOOGLETRANSLATE(B352, ""en"", ""hi"")"),"महाराजा गंभीर सिंह के कौन से समकालीन थांग-ता में अपने कौशल के लिए भी जाने जाते थे?")</f>
        <v>महाराजा गंभीर सिंह के कौन से समकालीन थांग-ता में अपने कौशल के लिए भी जाने जाते थे?</v>
      </c>
      <c r="H352" s="5" t="str">
        <f>IFERROR(__xludf.DUMMYFUNCTION("GOOGLETRANSLATE(C352, ""en"", ""hi"")"),"ए) पाओना ब्रजबाशी, बी) राजा मरजीत सिंह, सी) महाराजा चंद्रकीर्ति, डी) राजा खगेम्बा")</f>
        <v>ए) पाओना ब्रजबाशी, बी) राजा मरजीत सिंह, सी) महाराजा चंद्रकीर्ति, डी) राजा खगेम्बा</v>
      </c>
      <c r="I352" s="5" t="str">
        <f>IFERROR(__xludf.DUMMYFUNCTION("GOOGLETRANSLATE(D352, ""en"", ""hi"")"),"A) पाओना ब्रजबाशी")</f>
        <v>A) पाओना ब्रजबाशी</v>
      </c>
    </row>
    <row r="353" ht="22.5" customHeight="1">
      <c r="A353" s="3">
        <v>352.0</v>
      </c>
      <c r="B353" s="4" t="s">
        <v>12916</v>
      </c>
      <c r="C353" s="4" t="s">
        <v>12917</v>
      </c>
      <c r="D353" s="4" t="s">
        <v>12918</v>
      </c>
      <c r="F353" s="5" t="str">
        <f>IFERROR(__xludf.DUMMYFUNCTION("GOOGLETRANSLATE(A353, ""en"", ""hi"")"),"352")</f>
        <v>352</v>
      </c>
      <c r="G353" s="5" t="str">
        <f>IFERROR(__xludf.DUMMYFUNCTION("GOOGLETRANSLATE(B353, ""en"", ""hi"")"),"कौन सा प्राचीन मणिपुरी समाज मुख्य रूप से थांग-ता का अभ्यास करता था?")</f>
        <v>कौन सा प्राचीन मणिपुरी समाज मुख्य रूप से थांग-ता का अभ्यास करता था?</v>
      </c>
      <c r="H353" s="5" t="str">
        <f>IFERROR(__xludf.DUMMYFUNCTION("GOOGLETRANSLATE(C353, ""en"", ""hi"")"),"ए) खुमान, बी) अंगोम, सी) निंगथौजा, डी) मोइरांग")</f>
        <v>ए) खुमान, बी) अंगोम, सी) निंगथौजा, डी) मोइरांग</v>
      </c>
      <c r="I353" s="5" t="str">
        <f>IFERROR(__xludf.DUMMYFUNCTION("GOOGLETRANSLATE(D353, ""en"", ""hi"")"),"C) निंगथौजा")</f>
        <v>C) निंगथौजा</v>
      </c>
    </row>
    <row r="354" ht="22.5" customHeight="1">
      <c r="A354" s="3">
        <v>353.0</v>
      </c>
      <c r="B354" s="4" t="s">
        <v>12919</v>
      </c>
      <c r="C354" s="4" t="s">
        <v>12920</v>
      </c>
      <c r="D354" s="4" t="s">
        <v>7560</v>
      </c>
      <c r="F354" s="5" t="str">
        <f>IFERROR(__xludf.DUMMYFUNCTION("GOOGLETRANSLATE(A354, ""en"", ""hi"")"),"353")</f>
        <v>353</v>
      </c>
      <c r="G354" s="5" t="str">
        <f>IFERROR(__xludf.DUMMYFUNCTION("GOOGLETRANSLATE(B354, ""en"", ""hi"")"),"किस औपनिवेशिक प्राधिकरण ने मणिपुर में थांग-ता प्रथा को दबाने का प्रयास किया?")</f>
        <v>किस औपनिवेशिक प्राधिकरण ने मणिपुर में थांग-ता प्रथा को दबाने का प्रयास किया?</v>
      </c>
      <c r="H354" s="5" t="str">
        <f>IFERROR(__xludf.DUMMYFUNCTION("GOOGLETRANSLATE(C354, ""en"", ""hi"")"),"A) फ्रांसीसी, B) डच, C) ब्रिटिश, D) पुर्तगाली")</f>
        <v>A) फ्रांसीसी, B) डच, C) ब्रिटिश, D) पुर्तगाली</v>
      </c>
      <c r="I354" s="5" t="str">
        <f>IFERROR(__xludf.DUMMYFUNCTION("GOOGLETRANSLATE(D354, ""en"", ""hi"")"),"C) ब्रिटिश")</f>
        <v>C) ब्रिटिश</v>
      </c>
    </row>
    <row r="355" ht="22.5" customHeight="1">
      <c r="A355" s="3">
        <v>354.0</v>
      </c>
      <c r="B355" s="4" t="s">
        <v>12921</v>
      </c>
      <c r="C355" s="4" t="s">
        <v>12922</v>
      </c>
      <c r="D355" s="4" t="s">
        <v>12492</v>
      </c>
      <c r="F355" s="5" t="str">
        <f>IFERROR(__xludf.DUMMYFUNCTION("GOOGLETRANSLATE(A355, ""en"", ""hi"")"),"354")</f>
        <v>354</v>
      </c>
      <c r="G355" s="5" t="str">
        <f>IFERROR(__xludf.DUMMYFUNCTION("GOOGLETRANSLATE(B355, ""en"", ""hi"")"),"थांग-ता का प्रभाव किस पड़ोसी राज्य के सैन्य प्रशिक्षण तक फैला?")</f>
        <v>थांग-ता का प्रभाव किस पड़ोसी राज्य के सैन्य प्रशिक्षण तक फैला?</v>
      </c>
      <c r="H355" s="5" t="str">
        <f>IFERROR(__xludf.DUMMYFUNCTION("GOOGLETRANSLATE(C355, ""en"", ""hi"")"),"ए) त्रिपुरा, बी) असम, सी) बर्मा, डी) मेघालय")</f>
        <v>ए) त्रिपुरा, बी) असम, सी) बर्मा, डी) मेघालय</v>
      </c>
      <c r="I355" s="5" t="str">
        <f>IFERROR(__xludf.DUMMYFUNCTION("GOOGLETRANSLATE(D355, ""en"", ""hi"")"),"C) बर्मा")</f>
        <v>C) बर्मा</v>
      </c>
    </row>
    <row r="356" ht="22.5" customHeight="1">
      <c r="A356" s="3">
        <v>355.0</v>
      </c>
      <c r="B356" s="4" t="s">
        <v>12923</v>
      </c>
      <c r="C356" s="4" t="s">
        <v>12924</v>
      </c>
      <c r="D356" s="4" t="s">
        <v>11956</v>
      </c>
      <c r="F356" s="5" t="str">
        <f>IFERROR(__xludf.DUMMYFUNCTION("GOOGLETRANSLATE(A356, ""en"", ""hi"")"),"355")</f>
        <v>355</v>
      </c>
      <c r="G356" s="5" t="str">
        <f>IFERROR(__xludf.DUMMYFUNCTION("GOOGLETRANSLATE(B356, ""en"", ""hi"")"),"आधुनिक समय में थांग-टा के संरक्षण और पुनरुद्धार का श्रेय किस भारतीय राज्य को दिया जाता है?")</f>
        <v>आधुनिक समय में थांग-टा के संरक्षण और पुनरुद्धार का श्रेय किस भारतीय राज्य को दिया जाता है?</v>
      </c>
      <c r="H356" s="5" t="str">
        <f>IFERROR(__xludf.DUMMYFUNCTION("GOOGLETRANSLATE(C356, ""en"", ""hi"")"),"A) मणिपुर, B) असम, C) त्रिपुरा, D) नागालैंड")</f>
        <v>A) मणिपुर, B) असम, C) त्रिपुरा, D) नागालैंड</v>
      </c>
      <c r="I356" s="5" t="str">
        <f>IFERROR(__xludf.DUMMYFUNCTION("GOOGLETRANSLATE(D356, ""en"", ""hi"")"),"ए) मणिपुर")</f>
        <v>ए) मणिपुर</v>
      </c>
    </row>
    <row r="357" ht="22.5" customHeight="1">
      <c r="A357" s="3">
        <v>356.0</v>
      </c>
      <c r="B357" s="4" t="s">
        <v>12925</v>
      </c>
      <c r="C357" s="4" t="s">
        <v>12828</v>
      </c>
      <c r="D357" s="4" t="s">
        <v>12736</v>
      </c>
      <c r="F357" s="5" t="str">
        <f>IFERROR(__xludf.DUMMYFUNCTION("GOOGLETRANSLATE(A357, ""en"", ""hi"")"),"356")</f>
        <v>356</v>
      </c>
      <c r="G357" s="5" t="str">
        <f>IFERROR(__xludf.DUMMYFUNCTION("GOOGLETRANSLATE(B357, ""en"", ""hi"")"),"थांग-ता किस प्राचीन मणिपुरी विश्वास प्रणाली से संबंधित है?")</f>
        <v>थांग-ता किस प्राचीन मणिपुरी विश्वास प्रणाली से संबंधित है?</v>
      </c>
      <c r="H357" s="5" t="str">
        <f>IFERROR(__xludf.DUMMYFUNCTION("GOOGLETRANSLATE(C357, ""en"", ""hi"")"),"A) हिंदू धर्म, B) सनमहवाद, C) बौद्ध धर्म, D) जीववाद")</f>
        <v>A) हिंदू धर्म, B) सनमहवाद, C) बौद्ध धर्म, D) जीववाद</v>
      </c>
      <c r="I357" s="5" t="str">
        <f>IFERROR(__xludf.DUMMYFUNCTION("GOOGLETRANSLATE(D357, ""en"", ""hi"")"),"बी) सनामावाद")</f>
        <v>बी) सनामावाद</v>
      </c>
    </row>
    <row r="358" ht="22.5" customHeight="1">
      <c r="A358" s="3">
        <v>357.0</v>
      </c>
      <c r="B358" s="4" t="s">
        <v>12926</v>
      </c>
      <c r="C358" s="4" t="s">
        <v>12927</v>
      </c>
      <c r="D358" s="4" t="s">
        <v>12928</v>
      </c>
      <c r="F358" s="5" t="str">
        <f>IFERROR(__xludf.DUMMYFUNCTION("GOOGLETRANSLATE(A358, ""en"", ""hi"")"),"357")</f>
        <v>357</v>
      </c>
      <c r="G358" s="5" t="str">
        <f>IFERROR(__xludf.DUMMYFUNCTION("GOOGLETRANSLATE(B358, ""en"", ""hi"")"),"कौन सा मणिपुरी महाकाव्य थांग-ता की योद्धा संस्कृति का विवरण देता है?")</f>
        <v>कौन सा मणिपुरी महाकाव्य थांग-ता की योद्धा संस्कृति का विवरण देता है?</v>
      </c>
      <c r="H358" s="5" t="str">
        <f>IFERROR(__xludf.DUMMYFUNCTION("GOOGLETRANSLATE(C358, ""en"", ""hi"")"),"ए) खंबा थोइबी, बी) पुयास, सी) निंगथौरोल लाम्बुबा, डी) थिरुबोम्बा")</f>
        <v>ए) खंबा थोइबी, बी) पुयास, सी) निंगथौरोल लाम्बुबा, डी) थिरुबोम्बा</v>
      </c>
      <c r="I358" s="5" t="str">
        <f>IFERROR(__xludf.DUMMYFUNCTION("GOOGLETRANSLATE(D358, ""en"", ""hi"")"),"A) खंबा थोइबी")</f>
        <v>A) खंबा थोइबी</v>
      </c>
    </row>
    <row r="359" ht="22.5" customHeight="1">
      <c r="A359" s="3">
        <v>358.0</v>
      </c>
      <c r="B359" s="4" t="s">
        <v>12929</v>
      </c>
      <c r="C359" s="4" t="s">
        <v>12930</v>
      </c>
      <c r="D359" s="4" t="s">
        <v>12931</v>
      </c>
      <c r="F359" s="5" t="str">
        <f>IFERROR(__xludf.DUMMYFUNCTION("GOOGLETRANSLATE(A359, ""en"", ""hi"")"),"358")</f>
        <v>358</v>
      </c>
      <c r="G359" s="5" t="str">
        <f>IFERROR(__xludf.DUMMYFUNCTION("GOOGLETRANSLATE(B359, ""en"", ""hi"")"),"थांग-ता की प्रथा मणिपुर में किस पारंपरिक प्रणाली के माध्यम से पारित की गई थी?")</f>
        <v>थांग-ता की प्रथा मणिपुर में किस पारंपरिक प्रणाली के माध्यम से पारित की गई थी?</v>
      </c>
      <c r="H359" s="5" t="str">
        <f>IFERROR(__xludf.DUMMYFUNCTION("GOOGLETRANSLATE(C359, ""en"", ""hi"")"),"A) गुरु-शिष्य परंपरा, B) सैन्य स्कूल, C) ग्राम परिषदें, D) शाही फरमान")</f>
        <v>A) गुरु-शिष्य परंपरा, B) सैन्य स्कूल, C) ग्राम परिषदें, D) शाही फरमान</v>
      </c>
      <c r="I359" s="5" t="str">
        <f>IFERROR(__xludf.DUMMYFUNCTION("GOOGLETRANSLATE(D359, ""en"", ""hi"")"),"A) गुरु-शिष्य परंपरा")</f>
        <v>A) गुरु-शिष्य परंपरा</v>
      </c>
    </row>
    <row r="360" ht="22.5" customHeight="1">
      <c r="A360" s="3">
        <v>359.0</v>
      </c>
      <c r="B360" s="4" t="s">
        <v>12932</v>
      </c>
      <c r="C360" s="4" t="s">
        <v>12933</v>
      </c>
      <c r="D360" s="4" t="s">
        <v>12934</v>
      </c>
      <c r="F360" s="5" t="str">
        <f>IFERROR(__xludf.DUMMYFUNCTION("GOOGLETRANSLATE(A360, ""en"", ""hi"")"),"359")</f>
        <v>359</v>
      </c>
      <c r="G360" s="5" t="str">
        <f>IFERROR(__xludf.DUMMYFUNCTION("GOOGLETRANSLATE(B360, ""en"", ""hi"")"),"मणिपुरी शाही दरबारों में थांग-ता का प्रयोग प्रतीकात्मक रूप से निम्नलिखित से जुड़ा था:")</f>
        <v>मणिपुरी शाही दरबारों में थांग-ता का प्रयोग प्रतीकात्मक रूप से निम्नलिखित से जुड़ा था:</v>
      </c>
      <c r="H360" s="5" t="str">
        <f>IFERROR(__xludf.DUMMYFUNCTION("GOOGLETRANSLATE(C360, ""en"", ""hi"")"),"A) न्याय और संरक्षण, B) सैन्य शक्ति, C) धार्मिक अधिकार, D) सामाजिक नियंत्रण")</f>
        <v>A) न्याय और संरक्षण, B) सैन्य शक्ति, C) धार्मिक अधिकार, D) सामाजिक नियंत्रण</v>
      </c>
      <c r="I360" s="5" t="str">
        <f>IFERROR(__xludf.DUMMYFUNCTION("GOOGLETRANSLATE(D360, ""en"", ""hi"")"),"A) न्याय और संरक्षण")</f>
        <v>A) न्याय और संरक्षण</v>
      </c>
    </row>
    <row r="361" ht="22.5" customHeight="1">
      <c r="A361" s="3">
        <v>360.0</v>
      </c>
      <c r="B361" s="4" t="s">
        <v>12935</v>
      </c>
      <c r="C361" s="4" t="s">
        <v>12936</v>
      </c>
      <c r="D361" s="4" t="s">
        <v>12937</v>
      </c>
      <c r="F361" s="5" t="str">
        <f>IFERROR(__xludf.DUMMYFUNCTION("GOOGLETRANSLATE(A361, ""en"", ""hi"")"),"360")</f>
        <v>360</v>
      </c>
      <c r="G361" s="5" t="str">
        <f>IFERROR(__xludf.DUMMYFUNCTION("GOOGLETRANSLATE(B361, ""en"", ""hi"")"),"थांग-ता प्रशिक्षण में कौन से प्राकृतिक तत्वों की नकल करने वाली गतिविधियां शामिल हैं?")</f>
        <v>थांग-ता प्रशिक्षण में कौन से प्राकृतिक तत्वों की नकल करने वाली गतिविधियां शामिल हैं?</v>
      </c>
      <c r="H361" s="5" t="str">
        <f>IFERROR(__xludf.DUMMYFUNCTION("GOOGLETRANSLATE(C361, ""en"", ""hi"")"),"A) अग्नि और जल, B) पृथ्वी और वायु, C) सूर्य और चंद्रमा, D) बिजली और हवा")</f>
        <v>A) अग्नि और जल, B) पृथ्वी और वायु, C) सूर्य और चंद्रमा, D) बिजली और हवा</v>
      </c>
      <c r="I361" s="5" t="str">
        <f>IFERROR(__xludf.DUMMYFUNCTION("GOOGLETRANSLATE(D361, ""en"", ""hi"")"),"C) सूर्य और चंद्रमा")</f>
        <v>C) सूर्य और चंद्रमा</v>
      </c>
    </row>
    <row r="362" ht="22.5" customHeight="1">
      <c r="A362" s="3">
        <v>361.0</v>
      </c>
      <c r="B362" s="4" t="s">
        <v>12938</v>
      </c>
      <c r="C362" s="4" t="s">
        <v>12939</v>
      </c>
      <c r="D362" s="4" t="s">
        <v>12610</v>
      </c>
      <c r="F362" s="5" t="str">
        <f>IFERROR(__xludf.DUMMYFUNCTION("GOOGLETRANSLATE(A362, ""en"", ""hi"")"),"361")</f>
        <v>361</v>
      </c>
      <c r="G362" s="5" t="str">
        <f>IFERROR(__xludf.DUMMYFUNCTION("GOOGLETRANSLATE(B362, ""en"", ""hi"")"),"कौन सा प्राचीन मणिपुरी कार्यक्रम थांग-ता प्रदर्शनों के लिए जाना जाता था?")</f>
        <v>कौन सा प्राचीन मणिपुरी कार्यक्रम थांग-ता प्रदर्शनों के लिए जाना जाता था?</v>
      </c>
      <c r="H362" s="5" t="str">
        <f>IFERROR(__xludf.DUMMYFUNCTION("GOOGLETRANSLATE(C362, ""en"", ""hi"")"),"ए) खोंगजोम दिवस, बी) निंगोल चाकोउबा, सी) लाई हराओबा, डी) संगाई महोत्सव")</f>
        <v>ए) खोंगजोम दिवस, बी) निंगोल चाकोउबा, सी) लाई हराओबा, डी) संगाई महोत्सव</v>
      </c>
      <c r="I362" s="5" t="str">
        <f>IFERROR(__xludf.DUMMYFUNCTION("GOOGLETRANSLATE(D362, ""en"", ""hi"")"),"C) लाई हरोबा")</f>
        <v>C) लाई हरोबा</v>
      </c>
    </row>
    <row r="363" ht="22.5" customHeight="1">
      <c r="A363" s="3">
        <v>362.0</v>
      </c>
      <c r="B363" s="4" t="s">
        <v>12940</v>
      </c>
      <c r="C363" s="4" t="s">
        <v>12897</v>
      </c>
      <c r="D363" s="4" t="s">
        <v>12153</v>
      </c>
      <c r="F363" s="5" t="str">
        <f>IFERROR(__xludf.DUMMYFUNCTION("GOOGLETRANSLATE(A363, ""en"", ""hi"")"),"362")</f>
        <v>362</v>
      </c>
      <c r="G363" s="5" t="str">
        <f>IFERROR(__xludf.DUMMYFUNCTION("GOOGLETRANSLATE(B363, ""en"", ""hi"")"),"किस मणिपुरी राजा के शासनकाल में थांग-टा को राज्य रक्षा का एक प्रमुख अंग माना गया?")</f>
        <v>किस मणिपुरी राजा के शासनकाल में थांग-टा को राज्य रक्षा का एक प्रमुख अंग माना गया?</v>
      </c>
      <c r="H363" s="5" t="str">
        <f>IFERROR(__xludf.DUMMYFUNCTION("GOOGLETRANSLATE(C363, ""en"", ""hi"")"),"ए) महाराजा खगेम्बा, बी) महाराजा गंभीर सिंह, सी) महाराजा भाग्यचंद्र, डी) महाराजा चंद्रकीर्ति")</f>
        <v>ए) महाराजा खगेम्बा, बी) महाराजा गंभीर सिंह, सी) महाराजा भाग्यचंद्र, डी) महाराजा चंद्रकीर्ति</v>
      </c>
      <c r="I363" s="5" t="str">
        <f>IFERROR(__xludf.DUMMYFUNCTION("GOOGLETRANSLATE(D363, ""en"", ""hi"")"),"बी) महाराजा गंभीर सिंह")</f>
        <v>बी) महाराजा गंभीर सिंह</v>
      </c>
    </row>
    <row r="364" ht="22.5" customHeight="1">
      <c r="A364" s="3">
        <v>363.0</v>
      </c>
      <c r="B364" s="4" t="s">
        <v>12941</v>
      </c>
      <c r="C364" s="4" t="s">
        <v>12942</v>
      </c>
      <c r="D364" s="4" t="s">
        <v>8827</v>
      </c>
      <c r="F364" s="5" t="str">
        <f>IFERROR(__xludf.DUMMYFUNCTION("GOOGLETRANSLATE(A364, ""en"", ""hi"")"),"363")</f>
        <v>363</v>
      </c>
      <c r="G364" s="5" t="str">
        <f>IFERROR(__xludf.DUMMYFUNCTION("GOOGLETRANSLATE(B364, ""en"", ""hi"")"),"निम्नलिखित में से किसे थांग-ता में प्रयुक्त प्राथमिक हथियार माना जाता है?")</f>
        <v>निम्नलिखित में से किसे थांग-ता में प्रयुक्त प्राथमिक हथियार माना जाता है?</v>
      </c>
      <c r="H364" s="5" t="str">
        <f>IFERROR(__xludf.DUMMYFUNCTION("GOOGLETRANSLATE(C364, ""en"", ""hi"")"),"A) खंजर, B) तलवार, C) भाला, D) धनुष")</f>
        <v>A) खंजर, B) तलवार, C) भाला, D) धनुष</v>
      </c>
      <c r="I364" s="5" t="str">
        <f>IFERROR(__xludf.DUMMYFUNCTION("GOOGLETRANSLATE(D364, ""en"", ""hi"")"),"बी) तलवार")</f>
        <v>बी) तलवार</v>
      </c>
    </row>
    <row r="365" ht="22.5" customHeight="1">
      <c r="A365" s="3">
        <v>364.0</v>
      </c>
      <c r="B365" s="4" t="s">
        <v>12943</v>
      </c>
      <c r="C365" s="4" t="s">
        <v>12944</v>
      </c>
      <c r="D365" s="4" t="s">
        <v>12945</v>
      </c>
      <c r="F365" s="5" t="str">
        <f>IFERROR(__xludf.DUMMYFUNCTION("GOOGLETRANSLATE(A365, ""en"", ""hi"")"),"364")</f>
        <v>364</v>
      </c>
      <c r="G365" s="5" t="str">
        <f>IFERROR(__xludf.DUMMYFUNCTION("GOOGLETRANSLATE(B365, ""en"", ""hi"")"),"मणिपुर में थांग-ता की प्रथा किस ऐतिहासिक काल के दौरान सबसे अधिक प्रचलित थी?")</f>
        <v>मणिपुर में थांग-ता की प्रथा किस ऐतिहासिक काल के दौरान सबसे अधिक प्रचलित थी?</v>
      </c>
      <c r="H365" s="5" t="str">
        <f>IFERROR(__xludf.DUMMYFUNCTION("GOOGLETRANSLATE(C365, ""en"", ""hi"")"),"A) पूर्व-औपनिवेशिक, B) औपनिवेशिक, C) स्वतंत्रता-पश्चात, D) प्राचीन")</f>
        <v>A) पूर्व-औपनिवेशिक, B) औपनिवेशिक, C) स्वतंत्रता-पश्चात, D) प्राचीन</v>
      </c>
      <c r="I365" s="5" t="str">
        <f>IFERROR(__xludf.DUMMYFUNCTION("GOOGLETRANSLATE(D365, ""en"", ""hi"")"),"ए) पूर्व-औपनिवेशिक")</f>
        <v>ए) पूर्व-औपनिवेशिक</v>
      </c>
    </row>
    <row r="366" ht="22.5" customHeight="1">
      <c r="A366" s="3">
        <v>365.0</v>
      </c>
      <c r="B366" s="4" t="s">
        <v>12946</v>
      </c>
      <c r="C366" s="4" t="s">
        <v>12947</v>
      </c>
      <c r="D366" s="4" t="s">
        <v>12610</v>
      </c>
      <c r="F366" s="5" t="str">
        <f>IFERROR(__xludf.DUMMYFUNCTION("GOOGLETRANSLATE(A366, ""en"", ""hi"")"),"365")</f>
        <v>365</v>
      </c>
      <c r="G366" s="5" t="str">
        <f>IFERROR(__xludf.DUMMYFUNCTION("GOOGLETRANSLATE(B366, ""en"", ""hi"")"),"मणिपुर के किस त्यौहार में पारंपरिक थांग-ता प्रदर्शन को इसके उत्सव के हिस्से के रूप में शामिल किया जाता है?")</f>
        <v>मणिपुर के किस त्यौहार में पारंपरिक थांग-ता प्रदर्शन को इसके उत्सव के हिस्से के रूप में शामिल किया जाता है?</v>
      </c>
      <c r="H366" s="5" t="str">
        <f>IFERROR(__xludf.DUMMYFUNCTION("GOOGLETRANSLATE(C366, ""en"", ""hi"")"),"ए) याओशांग, बी) निंगोल चाकोउबा, सी) लाई हराओबा, डी) चेइराओबा")</f>
        <v>ए) याओशांग, बी) निंगोल चाकोउबा, सी) लाई हराओबा, डी) चेइराओबा</v>
      </c>
      <c r="I366" s="5" t="str">
        <f>IFERROR(__xludf.DUMMYFUNCTION("GOOGLETRANSLATE(D366, ""en"", ""hi"")"),"C) लाई हरोबा")</f>
        <v>C) लाई हरोबा</v>
      </c>
    </row>
    <row r="367" ht="22.5" customHeight="1">
      <c r="A367" s="3">
        <v>366.0</v>
      </c>
      <c r="B367" s="4" t="s">
        <v>12948</v>
      </c>
      <c r="C367" s="4" t="s">
        <v>12949</v>
      </c>
      <c r="D367" s="4" t="s">
        <v>4512</v>
      </c>
      <c r="F367" s="5" t="str">
        <f>IFERROR(__xludf.DUMMYFUNCTION("GOOGLETRANSLATE(A367, ""en"", ""hi"")"),"366")</f>
        <v>366</v>
      </c>
      <c r="G367" s="5" t="str">
        <f>IFERROR(__xludf.DUMMYFUNCTION("GOOGLETRANSLATE(B367, ""en"", ""hi"")"),"थांग-ता का ज्ञान पारंपरिक रूप से किस विधि से प्रसारित किया जाता था?")</f>
        <v>थांग-ता का ज्ञान पारंपरिक रूप से किस विधि से प्रसारित किया जाता था?</v>
      </c>
      <c r="H367" s="5" t="str">
        <f>IFERROR(__xludf.DUMMYFUNCTION("GOOGLETRANSLATE(C367, ""en"", ""hi"")"),"A) लिखित ग्रंथ, B) मौखिक परंपरा, C) सार्वजनिक प्रदर्शन, D) सरकारी आदेश")</f>
        <v>A) लिखित ग्रंथ, B) मौखिक परंपरा, C) सार्वजनिक प्रदर्शन, D) सरकारी आदेश</v>
      </c>
      <c r="I367" s="5" t="str">
        <f>IFERROR(__xludf.DUMMYFUNCTION("GOOGLETRANSLATE(D367, ""en"", ""hi"")"),"बी) मौखिक परंपरा")</f>
        <v>बी) मौखिक परंपरा</v>
      </c>
    </row>
    <row r="368" ht="22.5" customHeight="1">
      <c r="A368" s="3">
        <v>367.0</v>
      </c>
      <c r="B368" s="4" t="s">
        <v>12950</v>
      </c>
      <c r="C368" s="4" t="s">
        <v>12951</v>
      </c>
      <c r="D368" s="4" t="s">
        <v>12153</v>
      </c>
      <c r="F368" s="5" t="str">
        <f>IFERROR(__xludf.DUMMYFUNCTION("GOOGLETRANSLATE(A368, ""en"", ""hi"")"),"367")</f>
        <v>367</v>
      </c>
      <c r="G368" s="5" t="str">
        <f>IFERROR(__xludf.DUMMYFUNCTION("GOOGLETRANSLATE(B368, ""en"", ""hi"")"),"कौन सा मणिपुरी राजा थांग-ता के पुनरुद्धार में अपनी भूमिका के लिए प्रसिद्ध है?")</f>
        <v>कौन सा मणिपुरी राजा थांग-ता के पुनरुद्धार में अपनी भूमिका के लिए प्रसिद्ध है?</v>
      </c>
      <c r="H368" s="5" t="str">
        <f>IFERROR(__xludf.DUMMYFUNCTION("GOOGLETRANSLATE(C368, ""en"", ""hi"")"),"ए) महाराजा चंद्रकीर्ति, बी) महाराजा गंभीर सिंह, सी) महाराजा भाग्यचंद्र, डी) महाराजा मरजीत सिंह")</f>
        <v>ए) महाराजा चंद्रकीर्ति, बी) महाराजा गंभीर सिंह, सी) महाराजा भाग्यचंद्र, डी) महाराजा मरजीत सिंह</v>
      </c>
      <c r="I368" s="5" t="str">
        <f>IFERROR(__xludf.DUMMYFUNCTION("GOOGLETRANSLATE(D368, ""en"", ""hi"")"),"बी) महाराजा गंभीर सिंह")</f>
        <v>बी) महाराजा गंभीर सिंह</v>
      </c>
    </row>
    <row r="369" ht="22.5" customHeight="1">
      <c r="A369" s="3">
        <v>368.0</v>
      </c>
      <c r="B369" s="4" t="s">
        <v>12952</v>
      </c>
      <c r="C369" s="4" t="s">
        <v>12953</v>
      </c>
      <c r="D369" s="4" t="s">
        <v>12954</v>
      </c>
      <c r="F369" s="5" t="str">
        <f>IFERROR(__xludf.DUMMYFUNCTION("GOOGLETRANSLATE(A369, ""en"", ""hi"")"),"368")</f>
        <v>368</v>
      </c>
      <c r="G369" s="5" t="str">
        <f>IFERROR(__xludf.DUMMYFUNCTION("GOOGLETRANSLATE(B369, ""en"", ""hi"")"),"ऐतिहासिक रूप से थांग-ता किस मणिपुरी सामाजिक वर्ग के व्यक्तियों को सिखाया जाता था?")</f>
        <v>ऐतिहासिक रूप से थांग-ता किस मणिपुरी सामाजिक वर्ग के व्यक्तियों को सिखाया जाता था?</v>
      </c>
      <c r="H369" s="5" t="str">
        <f>IFERROR(__xludf.DUMMYFUNCTION("GOOGLETRANSLATE(C369, ""en"", ""hi"")"),"A) किसान, B) कुलीन, C) कारीगर, D) पुजारी")</f>
        <v>A) किसान, B) कुलीन, C) कारीगर, D) पुजारी</v>
      </c>
      <c r="I369" s="5" t="str">
        <f>IFERROR(__xludf.DUMMYFUNCTION("GOOGLETRANSLATE(D369, ""en"", ""hi"")"),"बी) कुलीन")</f>
        <v>बी) कुलीन</v>
      </c>
    </row>
    <row r="370" ht="22.5" customHeight="1">
      <c r="A370" s="3">
        <v>369.0</v>
      </c>
      <c r="B370" s="4" t="s">
        <v>12955</v>
      </c>
      <c r="C370" s="4" t="s">
        <v>12956</v>
      </c>
      <c r="D370" s="4" t="s">
        <v>12957</v>
      </c>
      <c r="F370" s="5" t="str">
        <f>IFERROR(__xludf.DUMMYFUNCTION("GOOGLETRANSLATE(A370, ""en"", ""hi"")"),"369")</f>
        <v>369</v>
      </c>
      <c r="G370" s="5" t="str">
        <f>IFERROR(__xludf.DUMMYFUNCTION("GOOGLETRANSLATE(B370, ""en"", ""hi"")"),"किस संघर्ष में मणिपुर को बाहरी आक्रमणों से बचाने के लिए थांग-टा का उपयोग किया गया था?")</f>
        <v>किस संघर्ष में मणिपुर को बाहरी आक्रमणों से बचाने के लिए थांग-टा का उपयोग किया गया था?</v>
      </c>
      <c r="H370" s="5" t="str">
        <f>IFERROR(__xludf.DUMMYFUNCTION("GOOGLETRANSLATE(C370, ""en"", ""hi"")"),"A) बर्मी आक्रमण, B) एंग्लो-मणिपुर युद्ध, C) भारत-चीन युद्ध, D) भारत-पाकिस्तान युद्ध")</f>
        <v>A) बर्मी आक्रमण, B) एंग्लो-मणिपुर युद्ध, C) भारत-चीन युद्ध, D) भारत-पाकिस्तान युद्ध</v>
      </c>
      <c r="I370" s="5" t="str">
        <f>IFERROR(__xludf.DUMMYFUNCTION("GOOGLETRANSLATE(D370, ""en"", ""hi"")"),"बी) एंग्लो-मणिपुर युद्ध")</f>
        <v>बी) एंग्लो-मणिपुर युद्ध</v>
      </c>
    </row>
    <row r="371" ht="22.5" customHeight="1">
      <c r="A371" s="3">
        <v>370.0</v>
      </c>
      <c r="B371" s="4" t="s">
        <v>12958</v>
      </c>
      <c r="C371" s="4" t="s">
        <v>12959</v>
      </c>
      <c r="D371" s="4" t="s">
        <v>12855</v>
      </c>
      <c r="F371" s="5" t="str">
        <f>IFERROR(__xludf.DUMMYFUNCTION("GOOGLETRANSLATE(A371, ""en"", ""hi"")"),"370")</f>
        <v>370</v>
      </c>
      <c r="G371" s="5" t="str">
        <f>IFERROR(__xludf.DUMMYFUNCTION("GOOGLETRANSLATE(B371, ""en"", ""hi"")"),"कौन सा प्राचीन ग्रंथ थांग-ता की तकनीकों और सिद्धांतों के बारे में जानकारी का प्रमुख स्रोत है?")</f>
        <v>कौन सा प्राचीन ग्रंथ थांग-ता की तकनीकों और सिद्धांतों के बारे में जानकारी का प्रमुख स्रोत है?</v>
      </c>
      <c r="H371" s="5" t="str">
        <f>IFERROR(__xludf.DUMMYFUNCTION("GOOGLETRANSLATE(C371, ""en"", ""hi"")"),"ए) पुया, बी) चेइथारोल कुंबाबा, सी) निंगथौरोल लाम्बुबा, डी) थिरुबोम्बा")</f>
        <v>ए) पुया, बी) चेइथारोल कुंबाबा, सी) निंगथौरोल लाम्बुबा, डी) थिरुबोम्बा</v>
      </c>
      <c r="I371" s="5" t="str">
        <f>IFERROR(__xludf.DUMMYFUNCTION("GOOGLETRANSLATE(D371, ""en"", ""hi"")"),"A) पुया")</f>
        <v>A) पुया</v>
      </c>
    </row>
    <row r="372" ht="22.5" customHeight="1">
      <c r="A372" s="3">
        <v>371.0</v>
      </c>
      <c r="B372" s="4" t="s">
        <v>12960</v>
      </c>
      <c r="C372" s="4" t="s">
        <v>12819</v>
      </c>
      <c r="D372" s="4" t="s">
        <v>12820</v>
      </c>
      <c r="F372" s="5" t="str">
        <f>IFERROR(__xludf.DUMMYFUNCTION("GOOGLETRANSLATE(A372, ""en"", ""hi"")"),"371")</f>
        <v>371</v>
      </c>
      <c r="G372" s="5" t="str">
        <f>IFERROR(__xludf.DUMMYFUNCTION("GOOGLETRANSLATE(B372, ""en"", ""hi"")"),"थांग-ता प्रशिक्षण में पारंपरिक रूप से किस अन्य मणिपुरी मार्शल आर्ट का अभ्यास शामिल था?")</f>
        <v>थांग-ता प्रशिक्षण में पारंपरिक रूप से किस अन्य मणिपुरी मार्शल आर्ट का अभ्यास शामिल था?</v>
      </c>
      <c r="H372" s="5" t="str">
        <f>IFERROR(__xludf.DUMMYFUNCTION("GOOGLETRANSLATE(C372, ""en"", ""hi"")"),"ए) मुकना, बी) सरित-सरक, सी) कलारी, डी) सिलंबम")</f>
        <v>ए) मुकना, बी) सरित-सरक, सी) कलारी, डी) सिलंबम</v>
      </c>
      <c r="I372" s="5" t="str">
        <f>IFERROR(__xludf.DUMMYFUNCTION("GOOGLETRANSLATE(D372, ""en"", ""hi"")"),"B) सरित-सरक")</f>
        <v>B) सरित-सरक</v>
      </c>
    </row>
    <row r="373" ht="22.5" customHeight="1">
      <c r="A373" s="3">
        <v>372.0</v>
      </c>
      <c r="B373" s="4" t="s">
        <v>12961</v>
      </c>
      <c r="C373" s="4" t="s">
        <v>12962</v>
      </c>
      <c r="D373" s="4" t="s">
        <v>12963</v>
      </c>
      <c r="F373" s="5" t="str">
        <f>IFERROR(__xludf.DUMMYFUNCTION("GOOGLETRANSLATE(A373, ""en"", ""hi"")"),"372")</f>
        <v>372</v>
      </c>
      <c r="G373" s="5" t="str">
        <f>IFERROR(__xludf.DUMMYFUNCTION("GOOGLETRANSLATE(B373, ""en"", ""hi"")"),"ब्रिटिश औपनिवेशिक काल के दौरान थांग-टा का दमन मुख्य रूप से इसके साथ संबंध के कारण था:")</f>
        <v>ब्रिटिश औपनिवेशिक काल के दौरान थांग-टा का दमन मुख्य रूप से इसके साथ संबंध के कारण था:</v>
      </c>
      <c r="H373" s="5" t="str">
        <f>IFERROR(__xludf.DUMMYFUNCTION("GOOGLETRANSLATE(C373, ""en"", ""hi"")"),"A) धार्मिक प्रथाएँ, B) शाही अनुष्ठान, C) उपनिवेशवाद विरोधी प्रतिरोध, D) त्यौहार")</f>
        <v>A) धार्मिक प्रथाएँ, B) शाही अनुष्ठान, C) उपनिवेशवाद विरोधी प्रतिरोध, D) त्यौहार</v>
      </c>
      <c r="I373" s="5" t="str">
        <f>IFERROR(__xludf.DUMMYFUNCTION("GOOGLETRANSLATE(D373, ""en"", ""hi"")"),"C) उपनिवेश-विरोधी प्रतिरोध")</f>
        <v>C) उपनिवेश-विरोधी प्रतिरोध</v>
      </c>
    </row>
    <row r="374" ht="22.5" customHeight="1">
      <c r="A374" s="3">
        <v>373.0</v>
      </c>
      <c r="B374" s="4" t="s">
        <v>12964</v>
      </c>
      <c r="C374" s="4" t="s">
        <v>12965</v>
      </c>
      <c r="D374" s="4" t="s">
        <v>12966</v>
      </c>
      <c r="F374" s="5" t="str">
        <f>IFERROR(__xludf.DUMMYFUNCTION("GOOGLETRANSLATE(A374, ""en"", ""hi"")"),"373")</f>
        <v>373</v>
      </c>
      <c r="G374" s="5" t="str">
        <f>IFERROR(__xludf.DUMMYFUNCTION("GOOGLETRANSLATE(B374, ""en"", ""hi"")"),"किस ऐतिहासिक घटना ने मणिपुर में थांग-ता प्रथा को महत्वपूर्ण रूप से प्रभावित किया?")</f>
        <v>किस ऐतिहासिक घटना ने मणिपुर में थांग-ता प्रथा को महत्वपूर्ण रूप से प्रभावित किया?</v>
      </c>
      <c r="H374" s="5" t="str">
        <f>IFERROR(__xludf.DUMMYFUNCTION("GOOGLETRANSLATE(C374, ""en"", ""hi"")"),"A) अंग्रेजों द्वारा विलय, B) यंदाबो की संधि, C) भारत-पाकिस्तान युद्ध, D) बर्मी आक्रमण")</f>
        <v>A) अंग्रेजों द्वारा विलय, B) यंदाबो की संधि, C) भारत-पाकिस्तान युद्ध, D) बर्मी आक्रमण</v>
      </c>
      <c r="I374" s="5" t="str">
        <f>IFERROR(__xludf.DUMMYFUNCTION("GOOGLETRANSLATE(D374, ""en"", ""hi"")"),"बी) यंदाबो की संधि")</f>
        <v>बी) यंदाबो की संधि</v>
      </c>
    </row>
    <row r="375" ht="22.5" customHeight="1">
      <c r="A375" s="3">
        <v>374.0</v>
      </c>
      <c r="B375" s="4" t="s">
        <v>12967</v>
      </c>
      <c r="C375" s="4" t="s">
        <v>12968</v>
      </c>
      <c r="D375" s="4" t="s">
        <v>12969</v>
      </c>
      <c r="F375" s="5" t="str">
        <f>IFERROR(__xludf.DUMMYFUNCTION("GOOGLETRANSLATE(A375, ""en"", ""hi"")"),"374")</f>
        <v>374</v>
      </c>
      <c r="G375" s="5" t="str">
        <f>IFERROR(__xludf.DUMMYFUNCTION("GOOGLETRANSLATE(B375, ""en"", ""hi"")"),"थांग-ता पारंपरिक रूप से किस प्रकार के मणिपुरी समारोह के भाग के रूप में किया जाता था?")</f>
        <v>थांग-ता पारंपरिक रूप से किस प्रकार के मणिपुरी समारोह के भाग के रूप में किया जाता था?</v>
      </c>
      <c r="H375" s="5" t="str">
        <f>IFERROR(__xludf.DUMMYFUNCTION("GOOGLETRANSLATE(C375, ""en"", ""hi"")"),"A) शाही राज्याभिषेक, B) फसल उत्सव, C) धार्मिक अनुष्ठान, D) विवाह समारोह")</f>
        <v>A) शाही राज्याभिषेक, B) फसल उत्सव, C) धार्मिक अनुष्ठान, D) विवाह समारोह</v>
      </c>
      <c r="I375" s="5" t="str">
        <f>IFERROR(__xludf.DUMMYFUNCTION("GOOGLETRANSLATE(D375, ""en"", ""hi"")"),"C) धार्मिक अनुष्ठान")</f>
        <v>C) धार्मिक अनुष्ठान</v>
      </c>
    </row>
    <row r="376" ht="22.5" customHeight="1">
      <c r="A376" s="3">
        <v>375.0</v>
      </c>
      <c r="B376" s="4" t="s">
        <v>12970</v>
      </c>
      <c r="C376" s="4" t="s">
        <v>12971</v>
      </c>
      <c r="D376" s="4" t="s">
        <v>12915</v>
      </c>
      <c r="F376" s="5" t="str">
        <f>IFERROR(__xludf.DUMMYFUNCTION("GOOGLETRANSLATE(A376, ""en"", ""hi"")"),"375")</f>
        <v>375</v>
      </c>
      <c r="G376" s="5" t="str">
        <f>IFERROR(__xludf.DUMMYFUNCTION("GOOGLETRANSLATE(B376, ""en"", ""hi"")"),"कौन सा मणिपुरी योद्धा गुरिल्ला युद्ध में थांग-ता के प्रयोग के लिए प्रसिद्ध है?")</f>
        <v>कौन सा मणिपुरी योद्धा गुरिल्ला युद्ध में थांग-ता के प्रयोग के लिए प्रसिद्ध है?</v>
      </c>
      <c r="H376" s="5" t="str">
        <f>IFERROR(__xludf.DUMMYFUNCTION("GOOGLETRANSLATE(C376, ""en"", ""hi"")"),"ए) पाओना ब्रजबाशी, बी) महाराजा भाग्यचंद्र, सी) महाराजा मरजीत सिंह, डी) महाराजा चंद्रकीर्ति")</f>
        <v>ए) पाओना ब्रजबाशी, बी) महाराजा भाग्यचंद्र, सी) महाराजा मरजीत सिंह, डी) महाराजा चंद्रकीर्ति</v>
      </c>
      <c r="I376" s="5" t="str">
        <f>IFERROR(__xludf.DUMMYFUNCTION("GOOGLETRANSLATE(D376, ""en"", ""hi"")"),"A) पाओना ब्रजबाशी")</f>
        <v>A) पाओना ब्रजबाशी</v>
      </c>
    </row>
    <row r="377" ht="22.5" customHeight="1">
      <c r="A377" s="3">
        <v>376.0</v>
      </c>
      <c r="B377" s="4" t="s">
        <v>12972</v>
      </c>
      <c r="C377" s="4" t="s">
        <v>12973</v>
      </c>
      <c r="D377" s="4" t="s">
        <v>12974</v>
      </c>
      <c r="F377" s="5" t="str">
        <f>IFERROR(__xludf.DUMMYFUNCTION("GOOGLETRANSLATE(A377, ""en"", ""hi"")"),"376")</f>
        <v>376</v>
      </c>
      <c r="G377" s="5" t="str">
        <f>IFERROR(__xludf.DUMMYFUNCTION("GOOGLETRANSLATE(B377, ""en"", ""hi"")"),"थांग-ता की तकनीकें निम्नलिखित में से किस ऐतिहासिक कारक से प्रभावित थीं?")</f>
        <v>थांग-ता की तकनीकें निम्नलिखित में से किस ऐतिहासिक कारक से प्रभावित थीं?</v>
      </c>
      <c r="H377" s="5" t="str">
        <f>IFERROR(__xludf.DUMMYFUNCTION("GOOGLETRANSLATE(C377, ""en"", ""hi"")"),"A) क्षेत्रीय व्यापार मार्ग, B) उपनिवेशवाद, C) धार्मिक विश्वास, D) अंतर-जनजातीय संघर्ष")</f>
        <v>A) क्षेत्रीय व्यापार मार्ग, B) उपनिवेशवाद, C) धार्मिक विश्वास, D) अंतर-जनजातीय संघर्ष</v>
      </c>
      <c r="I377" s="5" t="str">
        <f>IFERROR(__xludf.DUMMYFUNCTION("GOOGLETRANSLATE(D377, ""en"", ""hi"")"),"D) अंतर-जनजातीय संघर्ष")</f>
        <v>D) अंतर-जनजातीय संघर्ष</v>
      </c>
    </row>
    <row r="378" ht="22.5" customHeight="1">
      <c r="A378" s="3">
        <v>377.0</v>
      </c>
      <c r="B378" s="4" t="s">
        <v>12975</v>
      </c>
      <c r="C378" s="4" t="s">
        <v>12976</v>
      </c>
      <c r="D378" s="4" t="s">
        <v>12831</v>
      </c>
      <c r="F378" s="5" t="str">
        <f>IFERROR(__xludf.DUMMYFUNCTION("GOOGLETRANSLATE(A378, ""en"", ""hi"")"),"377")</f>
        <v>377</v>
      </c>
      <c r="G378" s="5" t="str">
        <f>IFERROR(__xludf.DUMMYFUNCTION("GOOGLETRANSLATE(B378, ""en"", ""hi"")"),"20वीं सदी में थांग-टा का पुनरुद्धार किस व्यक्ति के प्रयासों के कारण हुआ?")</f>
        <v>20वीं सदी में थांग-टा का पुनरुद्धार किस व्यक्ति के प्रयासों के कारण हुआ?</v>
      </c>
      <c r="H378" s="5" t="str">
        <f>IFERROR(__xludf.DUMMYFUNCTION("GOOGLETRANSLATE(C378,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378" s="5" t="str">
        <f>IFERROR(__xludf.DUMMYFUNCTION("GOOGLETRANSLATE(D378, ""en"", ""hi"")"),"ए) गुरुमायुम गौरकिशोर शर्मा")</f>
        <v>ए) गुरुमायुम गौरकिशोर शर्मा</v>
      </c>
    </row>
    <row r="379" ht="22.5" customHeight="1">
      <c r="A379" s="3">
        <v>378.0</v>
      </c>
      <c r="B379" s="4" t="s">
        <v>12977</v>
      </c>
      <c r="C379" s="4" t="s">
        <v>12978</v>
      </c>
      <c r="D379" s="4" t="s">
        <v>12979</v>
      </c>
      <c r="F379" s="5" t="str">
        <f>IFERROR(__xludf.DUMMYFUNCTION("GOOGLETRANSLATE(A379, ""en"", ""hi"")"),"378")</f>
        <v>378</v>
      </c>
      <c r="G379" s="5" t="str">
        <f>IFERROR(__xludf.DUMMYFUNCTION("GOOGLETRANSLATE(B379, ""en"", ""hi"")"),"थांग-ता प्रशिक्षण का प्राथमिक फोकस इस पर है:")</f>
        <v>थांग-ता प्रशिक्षण का प्राथमिक फोकस इस पर है:</v>
      </c>
      <c r="H379" s="5" t="str">
        <f>IFERROR(__xludf.DUMMYFUNCTION("GOOGLETRANSLATE(C379, ""en"", ""hi"")"),"A) शारीरिक फिटनेस, B) युद्ध कौशल, C) अनुष्ठान और समारोह, D) कलात्मक अभिव्यक्ति")</f>
        <v>A) शारीरिक फिटनेस, B) युद्ध कौशल, C) अनुष्ठान और समारोह, D) कलात्मक अभिव्यक्ति</v>
      </c>
      <c r="I379" s="5" t="str">
        <f>IFERROR(__xludf.DUMMYFUNCTION("GOOGLETRANSLATE(D379, ""en"", ""hi"")"),"बी) युद्ध कौशल")</f>
        <v>बी) युद्ध कौशल</v>
      </c>
    </row>
    <row r="380" ht="22.5" customHeight="1">
      <c r="A380" s="3">
        <v>379.0</v>
      </c>
      <c r="B380" s="4" t="s">
        <v>12980</v>
      </c>
      <c r="C380" s="4" t="s">
        <v>12981</v>
      </c>
      <c r="D380" s="4" t="s">
        <v>12855</v>
      </c>
      <c r="F380" s="5" t="str">
        <f>IFERROR(__xludf.DUMMYFUNCTION("GOOGLETRANSLATE(A380, ""en"", ""hi"")"),"379")</f>
        <v>379</v>
      </c>
      <c r="G380" s="5" t="str">
        <f>IFERROR(__xludf.DUMMYFUNCTION("GOOGLETRANSLATE(B380, ""en"", ""hi"")"),"कौन सा मणिपुरी ग्रंथ थांग-ता के इतिहास और दर्शन का वर्णन करता है?")</f>
        <v>कौन सा मणिपुरी ग्रंथ थांग-ता के इतिहास और दर्शन का वर्णन करता है?</v>
      </c>
      <c r="H380" s="5" t="str">
        <f>IFERROR(__xludf.DUMMYFUNCTION("GOOGLETRANSLATE(C380, ""en"", ""hi"")"),"ए) पुया, बी) निंगथौरोल लाम्बुबा, सी) चेइथारोल कुंबाबा, डी) कांगलेइरोल")</f>
        <v>ए) पुया, बी) निंगथौरोल लाम्बुबा, सी) चेइथारोल कुंबाबा, डी) कांगलेइरोल</v>
      </c>
      <c r="I380" s="5" t="str">
        <f>IFERROR(__xludf.DUMMYFUNCTION("GOOGLETRANSLATE(D380, ""en"", ""hi"")"),"A) पुया")</f>
        <v>A) पुया</v>
      </c>
    </row>
    <row r="381" ht="22.5" customHeight="1">
      <c r="A381" s="3">
        <v>380.0</v>
      </c>
      <c r="B381" s="4" t="s">
        <v>12982</v>
      </c>
      <c r="C381" s="4" t="s">
        <v>12983</v>
      </c>
      <c r="D381" s="4" t="s">
        <v>2776</v>
      </c>
      <c r="F381" s="5" t="str">
        <f>IFERROR(__xludf.DUMMYFUNCTION("GOOGLETRANSLATE(A381, ""en"", ""hi"")"),"380")</f>
        <v>380</v>
      </c>
      <c r="G381" s="5" t="str">
        <f>IFERROR(__xludf.DUMMYFUNCTION("GOOGLETRANSLATE(B381, ""en"", ""hi"")"),"थांग-ता की प्रथा में किस प्रकार की पारंपरिक मणिपुरी कला के तत्व शामिल हैं?")</f>
        <v>थांग-ता की प्रथा में किस प्रकार की पारंपरिक मणिपुरी कला के तत्व शामिल हैं?</v>
      </c>
      <c r="H381" s="5" t="str">
        <f>IFERROR(__xludf.DUMMYFUNCTION("GOOGLETRANSLATE(C381, ""en"", ""hi"")"),"A) नृत्य, B) संगीत, C) नाटक, D) मूर्तिकला")</f>
        <v>A) नृत्य, B) संगीत, C) नाटक, D) मूर्तिकला</v>
      </c>
      <c r="I381" s="5" t="str">
        <f>IFERROR(__xludf.DUMMYFUNCTION("GOOGLETRANSLATE(D381, ""en"", ""hi"")"),"नृत्य")</f>
        <v>नृत्य</v>
      </c>
    </row>
    <row r="382" ht="22.5" customHeight="1">
      <c r="A382" s="3">
        <v>381.0</v>
      </c>
      <c r="B382" s="4" t="s">
        <v>12984</v>
      </c>
      <c r="C382" s="4" t="s">
        <v>12985</v>
      </c>
      <c r="D382" s="4" t="s">
        <v>5552</v>
      </c>
      <c r="F382" s="5" t="str">
        <f>IFERROR(__xludf.DUMMYFUNCTION("GOOGLETRANSLATE(A382, ""en"", ""hi"")"),"381")</f>
        <v>381</v>
      </c>
      <c r="G382" s="5" t="str">
        <f>IFERROR(__xludf.DUMMYFUNCTION("GOOGLETRANSLATE(B382, ""en"", ""hi"")"),"थांग-ता का प्रशिक्षण और अभ्यास पारंपरिक रूप से निम्नलिखित स्थानों पर होता था:")</f>
        <v>थांग-ता का प्रशिक्षण और अभ्यास पारंपरिक रूप से निम्नलिखित स्थानों पर होता था:</v>
      </c>
      <c r="H382" s="5" t="str">
        <f>IFERROR(__xludf.DUMMYFUNCTION("GOOGLETRANSLATE(C382, ""en"", ""hi"")"),"A) शाही दरबार, B) मठ, C) गाँव के चौराहे, D) जंगल")</f>
        <v>A) शाही दरबार, B) मठ, C) गाँव के चौराहे, D) जंगल</v>
      </c>
      <c r="I382" s="5" t="str">
        <f>IFERROR(__xludf.DUMMYFUNCTION("GOOGLETRANSLATE(D382, ""en"", ""hi"")"),"C) गाँव के चौराहे")</f>
        <v>C) गाँव के चौराहे</v>
      </c>
    </row>
    <row r="383" ht="22.5" customHeight="1">
      <c r="A383" s="3">
        <v>382.0</v>
      </c>
      <c r="B383" s="4" t="s">
        <v>12986</v>
      </c>
      <c r="C383" s="4" t="s">
        <v>12987</v>
      </c>
      <c r="D383" s="4" t="s">
        <v>12988</v>
      </c>
      <c r="F383" s="5" t="str">
        <f>IFERROR(__xludf.DUMMYFUNCTION("GOOGLETRANSLATE(A383, ""en"", ""hi"")"),"382")</f>
        <v>382</v>
      </c>
      <c r="G383" s="5" t="str">
        <f>IFERROR(__xludf.DUMMYFUNCTION("GOOGLETRANSLATE(B383, ""en"", ""hi"")"),"19वीं शताब्दी में किस घटना ने थांग-ता की पारंपरिक प्रथा को महत्वपूर्ण रूप से प्रभावित किया?")</f>
        <v>19वीं शताब्दी में किस घटना ने थांग-ता की पारंपरिक प्रथा को महत्वपूर्ण रूप से प्रभावित किया?</v>
      </c>
      <c r="H383" s="5" t="str">
        <f>IFERROR(__xludf.DUMMYFUNCTION("GOOGLETRANSLATE(C383, ""en"", ""hi"")"),"A) ब्रिटिश विलय, B) बर्मी आक्रमण, C) व्यापार मार्गों का खुलना, D) पश्चिमी शिक्षा का आगमन")</f>
        <v>A) ब्रिटिश विलय, B) बर्मी आक्रमण, C) व्यापार मार्गों का खुलना, D) पश्चिमी शिक्षा का आगमन</v>
      </c>
      <c r="I383" s="5" t="str">
        <f>IFERROR(__xludf.DUMMYFUNCTION("GOOGLETRANSLATE(D383, ""en"", ""hi"")"),"A) ब्रिटिश विलय")</f>
        <v>A) ब्रिटिश विलय</v>
      </c>
    </row>
    <row r="384" ht="22.5" customHeight="1">
      <c r="A384" s="3">
        <v>383.0</v>
      </c>
      <c r="B384" s="4" t="s">
        <v>12989</v>
      </c>
      <c r="C384" s="4" t="s">
        <v>12990</v>
      </c>
      <c r="D384" s="4" t="s">
        <v>12991</v>
      </c>
      <c r="F384" s="5" t="str">
        <f>IFERROR(__xludf.DUMMYFUNCTION("GOOGLETRANSLATE(A384, ""en"", ""hi"")"),"383")</f>
        <v>383</v>
      </c>
      <c r="G384" s="5" t="str">
        <f>IFERROR(__xludf.DUMMYFUNCTION("GOOGLETRANSLATE(B384, ""en"", ""hi"")"),"मणिपुर में ऐतिहासिक रूप से थांग-ता का प्रयोग निम्नलिखित में से किसके लिए किया जाता था?")</f>
        <v>मणिपुर में ऐतिहासिक रूप से थांग-ता का प्रयोग निम्नलिखित में से किसके लिए किया जाता था?</v>
      </c>
      <c r="H384" s="5" t="str">
        <f>IFERROR(__xludf.DUMMYFUNCTION("GOOGLETRANSLATE(C384, ""en"", ""hi"")"),"A) शाही दरबार समारोह, B) युद्ध प्रशिक्षण, C) धार्मिक अनुष्ठान, D) सामाजिक समारोह")</f>
        <v>A) शाही दरबार समारोह, B) युद्ध प्रशिक्षण, C) धार्मिक अनुष्ठान, D) सामाजिक समारोह</v>
      </c>
      <c r="I384" s="5" t="str">
        <f>IFERROR(__xludf.DUMMYFUNCTION("GOOGLETRANSLATE(D384, ""en"", ""hi"")"),"बी) युद्ध प्रशिक्षण")</f>
        <v>बी) युद्ध प्रशिक्षण</v>
      </c>
    </row>
    <row r="385" ht="22.5" customHeight="1">
      <c r="A385" s="3">
        <v>384.0</v>
      </c>
      <c r="B385" s="4" t="s">
        <v>12992</v>
      </c>
      <c r="C385" s="4" t="s">
        <v>12951</v>
      </c>
      <c r="D385" s="4" t="s">
        <v>12153</v>
      </c>
      <c r="F385" s="5" t="str">
        <f>IFERROR(__xludf.DUMMYFUNCTION("GOOGLETRANSLATE(A385, ""en"", ""hi"")"),"384")</f>
        <v>384</v>
      </c>
      <c r="G385" s="5" t="str">
        <f>IFERROR(__xludf.DUMMYFUNCTION("GOOGLETRANSLATE(B385, ""en"", ""hi"")"),"किस मणिपुरी राजा के शासनकाल में औपनिवेशिक प्रतिबंधों के कारण थांग-ता का पतन हुआ?")</f>
        <v>किस मणिपुरी राजा के शासनकाल में औपनिवेशिक प्रतिबंधों के कारण थांग-ता का पतन हुआ?</v>
      </c>
      <c r="H385" s="5" t="str">
        <f>IFERROR(__xludf.DUMMYFUNCTION("GOOGLETRANSLATE(C385, ""en"", ""hi"")"),"ए) महाराजा चंद्रकीर्ति, बी) महाराजा गंभीर सिंह, सी) महाराजा भाग्यचंद्र, डी) महाराजा मरजीत सिंह")</f>
        <v>ए) महाराजा चंद्रकीर्ति, बी) महाराजा गंभीर सिंह, सी) महाराजा भाग्यचंद्र, डी) महाराजा मरजीत सिंह</v>
      </c>
      <c r="I385" s="5" t="str">
        <f>IFERROR(__xludf.DUMMYFUNCTION("GOOGLETRANSLATE(D385, ""en"", ""hi"")"),"बी) महाराजा गंभीर सिंह")</f>
        <v>बी) महाराजा गंभीर सिंह</v>
      </c>
    </row>
    <row r="386" ht="22.5" customHeight="1">
      <c r="A386" s="3">
        <v>385.0</v>
      </c>
      <c r="B386" s="4" t="s">
        <v>12993</v>
      </c>
      <c r="C386" s="4" t="s">
        <v>12994</v>
      </c>
      <c r="D386" s="4" t="s">
        <v>10930</v>
      </c>
      <c r="F386" s="5" t="str">
        <f>IFERROR(__xludf.DUMMYFUNCTION("GOOGLETRANSLATE(A386, ""en"", ""hi"")"),"385")</f>
        <v>385</v>
      </c>
      <c r="G386" s="5" t="str">
        <f>IFERROR(__xludf.DUMMYFUNCTION("GOOGLETRANSLATE(B386, ""en"", ""hi"")"),"पारंपरिक रूप से थांग-ता सिखाने के लिए कौन सा समूह जिम्मेदार था?")</f>
        <v>पारंपरिक रूप से थांग-ता सिखाने के लिए कौन सा समूह जिम्मेदार था?</v>
      </c>
      <c r="H386" s="5" t="str">
        <f>IFERROR(__xludf.DUMMYFUNCTION("GOOGLETRANSLATE(C386, ""en"", ""hi"")"),"A) पुजारी, B) योद्धा, C) कलाकार, D) विद्वान")</f>
        <v>A) पुजारी, B) योद्धा, C) कलाकार, D) विद्वान</v>
      </c>
      <c r="I386" s="5" t="str">
        <f>IFERROR(__xludf.DUMMYFUNCTION("GOOGLETRANSLATE(D386, ""en"", ""hi"")"),"बी) योद्धा")</f>
        <v>बी) योद्धा</v>
      </c>
    </row>
    <row r="387" ht="22.5" customHeight="1">
      <c r="A387" s="3">
        <v>386.0</v>
      </c>
      <c r="B387" s="4" t="s">
        <v>12995</v>
      </c>
      <c r="C387" s="4" t="s">
        <v>12996</v>
      </c>
      <c r="D387" s="4" t="s">
        <v>12997</v>
      </c>
      <c r="F387" s="5" t="str">
        <f>IFERROR(__xludf.DUMMYFUNCTION("GOOGLETRANSLATE(A387, ""en"", ""hi"")"),"386")</f>
        <v>386</v>
      </c>
      <c r="G387" s="5" t="str">
        <f>IFERROR(__xludf.DUMMYFUNCTION("GOOGLETRANSLATE(B387, ""en"", ""hi"")"),"मणिपुर में थांग-ता का प्रयोग जीवन के किस पहलू से निकटता से जुड़ा हुआ था?")</f>
        <v>मणिपुर में थांग-ता का प्रयोग जीवन के किस पहलू से निकटता से जुड़ा हुआ था?</v>
      </c>
      <c r="H387" s="5" t="str">
        <f>IFERROR(__xludf.DUMMYFUNCTION("GOOGLETRANSLATE(C387, ""en"", ""hi"")"),"A) सैन्य रक्षा, B) व्यापार, C) कला, D) कृषि")</f>
        <v>A) सैन्य रक्षा, B) व्यापार, C) कला, D) कृषि</v>
      </c>
      <c r="I387" s="5" t="str">
        <f>IFERROR(__xludf.DUMMYFUNCTION("GOOGLETRANSLATE(D387, ""en"", ""hi"")"),"ए) सैन्य रक्षा")</f>
        <v>ए) सैन्य रक्षा</v>
      </c>
    </row>
    <row r="388" ht="22.5" customHeight="1">
      <c r="A388" s="3">
        <v>387.0</v>
      </c>
      <c r="B388" s="4" t="s">
        <v>12998</v>
      </c>
      <c r="C388" s="4" t="s">
        <v>12793</v>
      </c>
      <c r="D388" s="4" t="s">
        <v>12794</v>
      </c>
      <c r="F388" s="5" t="str">
        <f>IFERROR(__xludf.DUMMYFUNCTION("GOOGLETRANSLATE(A388, ""en"", ""hi"")"),"387")</f>
        <v>387</v>
      </c>
      <c r="G388" s="5" t="str">
        <f>IFERROR(__xludf.DUMMYFUNCTION("GOOGLETRANSLATE(B388, ""en"", ""hi"")"),"किस पारंपरिक मणिपुरी उत्सव में थांग-ता प्रदर्शन शामिल है?")</f>
        <v>किस पारंपरिक मणिपुरी उत्सव में थांग-ता प्रदर्शन शामिल है?</v>
      </c>
      <c r="H388" s="5" t="str">
        <f>IFERROR(__xludf.DUMMYFUNCTION("GOOGLETRANSLATE(C388, ""en"", ""hi"")"),"ए) याओशांग, बी) लाई हराओबा, सी) निंगोल चाकोउबा, डी) चेइराओबा")</f>
        <v>ए) याओशांग, बी) लाई हराओबा, सी) निंगोल चाकोउबा, डी) चेइराओबा</v>
      </c>
      <c r="I388" s="5" t="str">
        <f>IFERROR(__xludf.DUMMYFUNCTION("GOOGLETRANSLATE(D388, ""en"", ""hi"")"),"बी) लाई हरोबा")</f>
        <v>बी) लाई हरोबा</v>
      </c>
    </row>
    <row r="389" ht="22.5" customHeight="1">
      <c r="A389" s="3">
        <v>388.0</v>
      </c>
      <c r="B389" s="4" t="s">
        <v>12999</v>
      </c>
      <c r="C389" s="4" t="s">
        <v>13000</v>
      </c>
      <c r="D389" s="4" t="s">
        <v>12153</v>
      </c>
      <c r="F389" s="5" t="str">
        <f>IFERROR(__xludf.DUMMYFUNCTION("GOOGLETRANSLATE(A389, ""en"", ""hi"")"),"388")</f>
        <v>388</v>
      </c>
      <c r="G389" s="5" t="str">
        <f>IFERROR(__xludf.DUMMYFUNCTION("GOOGLETRANSLATE(B389, ""en"", ""hi"")"),"किस मणिपुरी शाही नेता ने अपने शासनकाल के दौरान थांग-ता को बढ़ावा दिया?")</f>
        <v>किस मणिपुरी शाही नेता ने अपने शासनकाल के दौरान थांग-ता को बढ़ावा दिया?</v>
      </c>
      <c r="H389" s="5" t="str">
        <f>IFERROR(__xludf.DUMMYFUNCTION("GOOGLETRANSLATE(C389, ""en"", ""hi"")"),"ए) महाराजा खगेम्बा, बी) महाराजा गंभीर सिंह, सी) महाराजा मरजीत सिंह, डी) महाराजा चंद्रकीर्ति")</f>
        <v>ए) महाराजा खगेम्बा, बी) महाराजा गंभीर सिंह, सी) महाराजा मरजीत सिंह, डी) महाराजा चंद्रकीर्ति</v>
      </c>
      <c r="I389" s="5" t="str">
        <f>IFERROR(__xludf.DUMMYFUNCTION("GOOGLETRANSLATE(D389, ""en"", ""hi"")"),"बी) महाराजा गंभीर सिंह")</f>
        <v>बी) महाराजा गंभीर सिंह</v>
      </c>
    </row>
    <row r="390" ht="22.5" customHeight="1">
      <c r="A390" s="3">
        <v>389.0</v>
      </c>
      <c r="B390" s="4" t="s">
        <v>13001</v>
      </c>
      <c r="C390" s="4" t="s">
        <v>12976</v>
      </c>
      <c r="D390" s="4" t="s">
        <v>12831</v>
      </c>
      <c r="F390" s="5" t="str">
        <f>IFERROR(__xludf.DUMMYFUNCTION("GOOGLETRANSLATE(A390, ""en"", ""hi"")"),"389")</f>
        <v>389</v>
      </c>
      <c r="G390" s="5" t="str">
        <f>IFERROR(__xludf.DUMMYFUNCTION("GOOGLETRANSLATE(B390, ""en"", ""hi"")"),"आधुनिक समय में थांग-टा के पुनरुत्थान का श्रेय किस व्यक्ति को दिया जाता है?")</f>
        <v>आधुनिक समय में थांग-टा के पुनरुत्थान का श्रेय किस व्यक्ति को दिया जाता है?</v>
      </c>
      <c r="H390" s="5" t="str">
        <f>IFERROR(__xludf.DUMMYFUNCTION("GOOGLETRANSLATE(C390,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390" s="5" t="str">
        <f>IFERROR(__xludf.DUMMYFUNCTION("GOOGLETRANSLATE(D390, ""en"", ""hi"")"),"ए) गुरुमायुम गौरकिशोर शर्मा")</f>
        <v>ए) गुरुमायुम गौरकिशोर शर्मा</v>
      </c>
    </row>
    <row r="391" ht="22.5" customHeight="1">
      <c r="A391" s="3">
        <v>390.0</v>
      </c>
      <c r="B391" s="4" t="s">
        <v>13002</v>
      </c>
      <c r="C391" s="4" t="s">
        <v>13003</v>
      </c>
      <c r="D391" s="4" t="s">
        <v>12855</v>
      </c>
      <c r="F391" s="5" t="str">
        <f>IFERROR(__xludf.DUMMYFUNCTION("GOOGLETRANSLATE(A391, ""en"", ""hi"")"),"390")</f>
        <v>390</v>
      </c>
      <c r="G391" s="5" t="str">
        <f>IFERROR(__xludf.DUMMYFUNCTION("GOOGLETRANSLATE(B391, ""en"", ""hi"")"),"कौन सा ऐतिहासिक दस्तावेज़ थांग-ता तकनीकों का महत्वपूर्ण स्रोत है?")</f>
        <v>कौन सा ऐतिहासिक दस्तावेज़ थांग-ता तकनीकों का महत्वपूर्ण स्रोत है?</v>
      </c>
      <c r="H391" s="5" t="str">
        <f>IFERROR(__xludf.DUMMYFUNCTION("GOOGLETRANSLATE(C391, ""en"", ""hi"")"),"ए) पुया, बी) चेइथारोल कुंबाबा, सी) निंगथौरोल लाम्बुबा, डी) कांगलेइरोल")</f>
        <v>ए) पुया, बी) चेइथारोल कुंबाबा, सी) निंगथौरोल लाम्बुबा, डी) कांगलेइरोल</v>
      </c>
      <c r="I391" s="5" t="str">
        <f>IFERROR(__xludf.DUMMYFUNCTION("GOOGLETRANSLATE(D391, ""en"", ""hi"")"),"A) पुया")</f>
        <v>A) पुया</v>
      </c>
    </row>
    <row r="392" ht="22.5" customHeight="1">
      <c r="A392" s="3">
        <v>391.0</v>
      </c>
      <c r="B392" s="4" t="s">
        <v>13004</v>
      </c>
      <c r="C392" s="4" t="s">
        <v>13005</v>
      </c>
      <c r="D392" s="4" t="s">
        <v>3593</v>
      </c>
      <c r="F392" s="5" t="str">
        <f>IFERROR(__xludf.DUMMYFUNCTION("GOOGLETRANSLATE(A392, ""en"", ""hi"")"),"391")</f>
        <v>391</v>
      </c>
      <c r="G392" s="5" t="str">
        <f>IFERROR(__xludf.DUMMYFUNCTION("GOOGLETRANSLATE(B392, ""en"", ""hi"")"),"थांग-ता की प्रथा में ऐतिहासिक रूप से किस प्रकार की आध्यात्मिक प्रथा शामिल थी?")</f>
        <v>थांग-ता की प्रथा में ऐतिहासिक रूप से किस प्रकार की आध्यात्मिक प्रथा शामिल थी?</v>
      </c>
      <c r="H392" s="5" t="str">
        <f>IFERROR(__xludf.DUMMYFUNCTION("GOOGLETRANSLATE(C392, ""en"", ""hi"")"),"A) अनुष्ठान नृत्य, B) ध्यान, C) जप, D) अर्पण")</f>
        <v>A) अनुष्ठान नृत्य, B) ध्यान, C) जप, D) अर्पण</v>
      </c>
      <c r="I392" s="5" t="str">
        <f>IFERROR(__xludf.DUMMYFUNCTION("GOOGLETRANSLATE(D392, ""en"", ""hi"")"),"बी) ध्यान")</f>
        <v>बी) ध्यान</v>
      </c>
    </row>
    <row r="393" ht="22.5" customHeight="1">
      <c r="A393" s="3">
        <v>392.0</v>
      </c>
      <c r="B393" s="4" t="s">
        <v>13006</v>
      </c>
      <c r="C393" s="4" t="s">
        <v>12909</v>
      </c>
      <c r="D393" s="4" t="s">
        <v>12361</v>
      </c>
      <c r="F393" s="5" t="str">
        <f>IFERROR(__xludf.DUMMYFUNCTION("GOOGLETRANSLATE(A393, ""en"", ""hi"")"),"392")</f>
        <v>392</v>
      </c>
      <c r="G393" s="5" t="str">
        <f>IFERROR(__xludf.DUMMYFUNCTION("GOOGLETRANSLATE(B393, ""en"", ""hi"")"),"किस मणिपुरी राजा के शासनकाल में थांग-ता को राज्य रक्षा में एकीकृत किया गया था?")</f>
        <v>किस मणिपुरी राजा के शासनकाल में थांग-ता को राज्य रक्षा में एकीकृत किया गया था?</v>
      </c>
      <c r="H393" s="5" t="str">
        <f>IFERROR(__xludf.DUMMYFUNCTION("GOOGLETRANSLATE(C393,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393" s="5" t="str">
        <f>IFERROR(__xludf.DUMMYFUNCTION("GOOGLETRANSLATE(D393, ""en"", ""hi"")"),"A) महाराजा गंभीर सिंह")</f>
        <v>A) महाराजा गंभीर सिंह</v>
      </c>
    </row>
    <row r="394" ht="22.5" customHeight="1">
      <c r="A394" s="3">
        <v>393.0</v>
      </c>
      <c r="B394" s="4" t="s">
        <v>13007</v>
      </c>
      <c r="C394" s="4" t="s">
        <v>13008</v>
      </c>
      <c r="D394" s="4" t="s">
        <v>12957</v>
      </c>
      <c r="F394" s="5" t="str">
        <f>IFERROR(__xludf.DUMMYFUNCTION("GOOGLETRANSLATE(A394, ""en"", ""hi"")"),"393")</f>
        <v>393</v>
      </c>
      <c r="G394" s="5" t="str">
        <f>IFERROR(__xludf.DUMMYFUNCTION("GOOGLETRANSLATE(B394, ""en"", ""hi"")"),"किस संघर्ष के कारण मणिपुर में थांग-टा का दमन हुआ?")</f>
        <v>किस संघर्ष के कारण मणिपुर में थांग-टा का दमन हुआ?</v>
      </c>
      <c r="H394" s="5" t="str">
        <f>IFERROR(__xludf.DUMMYFUNCTION("GOOGLETRANSLATE(C394, ""en"", ""hi"")"),"A) बर्मी आक्रमण, B) एंग्लो-मणिपुर युद्ध, C) प्रथम अफीम युद्ध, D) द्वितीय अफीम युद्ध")</f>
        <v>A) बर्मी आक्रमण, B) एंग्लो-मणिपुर युद्ध, C) प्रथम अफीम युद्ध, D) द्वितीय अफीम युद्ध</v>
      </c>
      <c r="I394" s="5" t="str">
        <f>IFERROR(__xludf.DUMMYFUNCTION("GOOGLETRANSLATE(D394, ""en"", ""hi"")"),"बी) एंग्लो-मणिपुर युद्ध")</f>
        <v>बी) एंग्लो-मणिपुर युद्ध</v>
      </c>
    </row>
    <row r="395" ht="22.5" customHeight="1">
      <c r="A395" s="3">
        <v>394.0</v>
      </c>
      <c r="B395" s="4" t="s">
        <v>13009</v>
      </c>
      <c r="C395" s="4" t="s">
        <v>12927</v>
      </c>
      <c r="D395" s="4" t="s">
        <v>13010</v>
      </c>
      <c r="F395" s="5" t="str">
        <f>IFERROR(__xludf.DUMMYFUNCTION("GOOGLETRANSLATE(A395, ""en"", ""hi"")"),"394")</f>
        <v>394</v>
      </c>
      <c r="G395" s="5" t="str">
        <f>IFERROR(__xludf.DUMMYFUNCTION("GOOGLETRANSLATE(B395, ""en"", ""hi"")"),"कौन सा मणिपुरी महाकाव्य थांग-ता सहित मार्शल आर्ट के इतिहास का वर्णन करता है?")</f>
        <v>कौन सा मणिपुरी महाकाव्य थांग-ता सहित मार्शल आर्ट के इतिहास का वर्णन करता है?</v>
      </c>
      <c r="H395" s="5" t="str">
        <f>IFERROR(__xludf.DUMMYFUNCTION("GOOGLETRANSLATE(C395, ""en"", ""hi"")"),"ए) खंबा थोइबी, बी) पुयास, सी) निंगथौरोल लाम्बुबा, डी) थिरुबोम्बा")</f>
        <v>ए) खंबा थोइबी, बी) पुयास, सी) निंगथौरोल लाम्बुबा, डी) थिरुबोम्बा</v>
      </c>
      <c r="I395" s="5" t="str">
        <f>IFERROR(__xludf.DUMMYFUNCTION("GOOGLETRANSLATE(D395, ""en"", ""hi"")"),"बी) पुयास")</f>
        <v>बी) पुयास</v>
      </c>
    </row>
    <row r="396" ht="22.5" customHeight="1">
      <c r="A396" s="3">
        <v>395.0</v>
      </c>
      <c r="B396" s="4" t="s">
        <v>13011</v>
      </c>
      <c r="C396" s="4" t="s">
        <v>13012</v>
      </c>
      <c r="D396" s="4" t="s">
        <v>13013</v>
      </c>
      <c r="F396" s="5" t="str">
        <f>IFERROR(__xludf.DUMMYFUNCTION("GOOGLETRANSLATE(A396, ""en"", ""hi"")"),"395")</f>
        <v>395</v>
      </c>
      <c r="G396" s="5" t="str">
        <f>IFERROR(__xludf.DUMMYFUNCTION("GOOGLETRANSLATE(B396, ""en"", ""hi"")"),"थांग-ता का इतिहास किस प्राचीन सांस्कृतिक परंपरा के प्रभाव को दर्शाता है?")</f>
        <v>थांग-ता का इतिहास किस प्राचीन सांस्कृतिक परंपरा के प्रभाव को दर्शाता है?</v>
      </c>
      <c r="H396" s="5" t="str">
        <f>IFERROR(__xludf.DUMMYFUNCTION("GOOGLETRANSLATE(C396, ""en"", ""hi"")"),"ए) वैदिक, बी) बौद्ध, सी) सनमही, डी) जैन")</f>
        <v>ए) वैदिक, बी) बौद्ध, सी) सनमही, डी) जैन</v>
      </c>
      <c r="I396" s="5" t="str">
        <f>IFERROR(__xludf.DUMMYFUNCTION("GOOGLETRANSLATE(D396, ""en"", ""hi"")"),"C) सनामाही")</f>
        <v>C) सनामाही</v>
      </c>
    </row>
    <row r="397" ht="22.5" customHeight="1">
      <c r="A397" s="3">
        <v>396.0</v>
      </c>
      <c r="B397" s="4" t="s">
        <v>13014</v>
      </c>
      <c r="C397" s="4" t="s">
        <v>13015</v>
      </c>
      <c r="D397" s="4" t="s">
        <v>13016</v>
      </c>
      <c r="F397" s="5" t="str">
        <f>IFERROR(__xludf.DUMMYFUNCTION("GOOGLETRANSLATE(A397, ""en"", ""hi"")"),"396")</f>
        <v>396</v>
      </c>
      <c r="G397" s="5" t="str">
        <f>IFERROR(__xludf.DUMMYFUNCTION("GOOGLETRANSLATE(B397, ""en"", ""hi"")"),"थांग-ता की पारंपरिक शिक्षा अक्सर किस परिवेश में होती थी?")</f>
        <v>थांग-ता की पारंपरिक शिक्षा अक्सर किस परिवेश में होती थी?</v>
      </c>
      <c r="H397" s="5" t="str">
        <f>IFERROR(__xludf.DUMMYFUNCTION("GOOGLETRANSLATE(C397, ""en"", ""hi"")"),"A) वन, B) शाही महल, C) सामुदायिक केंद्र, D) मंदिर")</f>
        <v>A) वन, B) शाही महल, C) सामुदायिक केंद्र, D) मंदिर</v>
      </c>
      <c r="I397" s="5" t="str">
        <f>IFERROR(__xludf.DUMMYFUNCTION("GOOGLETRANSLATE(D397, ""en"", ""hi"")"),"ए) वन")</f>
        <v>ए) वन</v>
      </c>
    </row>
    <row r="398" ht="22.5" customHeight="1">
      <c r="A398" s="3">
        <v>397.0</v>
      </c>
      <c r="B398" s="4" t="s">
        <v>13017</v>
      </c>
      <c r="C398" s="4" t="s">
        <v>13018</v>
      </c>
      <c r="D398" s="4" t="s">
        <v>2765</v>
      </c>
      <c r="F398" s="5" t="str">
        <f>IFERROR(__xludf.DUMMYFUNCTION("GOOGLETRANSLATE(A398, ""en"", ""hi"")"),"397")</f>
        <v>397</v>
      </c>
      <c r="G398" s="5" t="str">
        <f>IFERROR(__xludf.DUMMYFUNCTION("GOOGLETRANSLATE(B398, ""en"", ""hi"")"),"थांग-ता को मणिपुरी शाही संस्कृति के किस पहलू में एकीकृत किया गया था?")</f>
        <v>थांग-ता को मणिपुरी शाही संस्कृति के किस पहलू में एकीकृत किया गया था?</v>
      </c>
      <c r="H398" s="5" t="str">
        <f>IFERROR(__xludf.DUMMYFUNCTION("GOOGLETRANSLATE(C398, ""en"", ""hi"")"),"A) औपचारिक नृत्य, B) दरबारी अनुष्ठान, C) सैन्य प्रशिक्षण, D) धार्मिक अनुष्ठान")</f>
        <v>A) औपचारिक नृत्य, B) दरबारी अनुष्ठान, C) सैन्य प्रशिक्षण, D) धार्मिक अनुष्ठान</v>
      </c>
      <c r="I398" s="5" t="str">
        <f>IFERROR(__xludf.DUMMYFUNCTION("GOOGLETRANSLATE(D398, ""en"", ""hi"")"),"C) सैन्य प्रशिक्षण")</f>
        <v>C) सैन्य प्रशिक्षण</v>
      </c>
    </row>
    <row r="399" ht="22.5" customHeight="1">
      <c r="A399" s="3">
        <v>398.0</v>
      </c>
      <c r="B399" s="4" t="s">
        <v>13019</v>
      </c>
      <c r="C399" s="4" t="s">
        <v>13020</v>
      </c>
      <c r="D399" s="4" t="s">
        <v>12963</v>
      </c>
      <c r="F399" s="5" t="str">
        <f>IFERROR(__xludf.DUMMYFUNCTION("GOOGLETRANSLATE(A399, ""en"", ""hi"")"),"398")</f>
        <v>398</v>
      </c>
      <c r="G399" s="5" t="str">
        <f>IFERROR(__xludf.DUMMYFUNCTION("GOOGLETRANSLATE(B399, ""en"", ""hi"")"),"औपनिवेशिक शासन के दौरान थांग-ता का पतन मणिपुरी जीवन के किस पहलू से जुड़े होने के कारण हुआ?")</f>
        <v>औपनिवेशिक शासन के दौरान थांग-ता का पतन मणिपुरी जीवन के किस पहलू से जुड़े होने के कारण हुआ?</v>
      </c>
      <c r="H399" s="5" t="str">
        <f>IFERROR(__xludf.DUMMYFUNCTION("GOOGLETRANSLATE(C399, ""en"", ""hi"")"),"A) पारंपरिक कलाएँ, B) शाही शक्ति, C) उपनिवेशवाद विरोधी प्रतिरोध, D) कृषि पद्धतियाँ")</f>
        <v>A) पारंपरिक कलाएँ, B) शाही शक्ति, C) उपनिवेशवाद विरोधी प्रतिरोध, D) कृषि पद्धतियाँ</v>
      </c>
      <c r="I399" s="5" t="str">
        <f>IFERROR(__xludf.DUMMYFUNCTION("GOOGLETRANSLATE(D399, ""en"", ""hi"")"),"C) उपनिवेश-विरोधी प्रतिरोध")</f>
        <v>C) उपनिवेश-विरोधी प्रतिरोध</v>
      </c>
    </row>
    <row r="400" ht="22.5" customHeight="1">
      <c r="A400" s="3">
        <v>399.0</v>
      </c>
      <c r="B400" s="4" t="s">
        <v>13021</v>
      </c>
      <c r="C400" s="4" t="s">
        <v>12976</v>
      </c>
      <c r="D400" s="4" t="s">
        <v>12831</v>
      </c>
      <c r="F400" s="5" t="str">
        <f>IFERROR(__xludf.DUMMYFUNCTION("GOOGLETRANSLATE(A400, ""en"", ""hi"")"),"399")</f>
        <v>399</v>
      </c>
      <c r="G400" s="5" t="str">
        <f>IFERROR(__xludf.DUMMYFUNCTION("GOOGLETRANSLATE(B400, ""en"", ""hi"")"),"औपनिवेशिक युग के दौरान थांग-ता परंपराओं को संरक्षित करने में किस ऐतिहासिक व्यक्ति ने महत्वपूर्ण भूमिका निभाई?")</f>
        <v>औपनिवेशिक युग के दौरान थांग-ता परंपराओं को संरक्षित करने में किस ऐतिहासिक व्यक्ति ने महत्वपूर्ण भूमिका निभाई?</v>
      </c>
      <c r="H400" s="5" t="str">
        <f>IFERROR(__xludf.DUMMYFUNCTION("GOOGLETRANSLATE(C400,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400" s="5" t="str">
        <f>IFERROR(__xludf.DUMMYFUNCTION("GOOGLETRANSLATE(D400, ""en"", ""hi"")"),"ए) गुरुमायुम गौरकिशोर शर्मा")</f>
        <v>ए) गुरुमायुम गौरकिशोर शर्मा</v>
      </c>
    </row>
    <row r="401" ht="22.5" customHeight="1">
      <c r="A401" s="3">
        <v>400.0</v>
      </c>
      <c r="B401" s="4" t="s">
        <v>13022</v>
      </c>
      <c r="C401" s="4" t="s">
        <v>13023</v>
      </c>
      <c r="D401" s="4" t="s">
        <v>12361</v>
      </c>
      <c r="F401" s="5" t="str">
        <f>IFERROR(__xludf.DUMMYFUNCTION("GOOGLETRANSLATE(A401, ""en"", ""hi"")"),"400")</f>
        <v>400</v>
      </c>
      <c r="G401" s="5" t="str">
        <f>IFERROR(__xludf.DUMMYFUNCTION("GOOGLETRANSLATE(B401, ""en"", ""hi"")"),"सांस्कृतिक पुनरुत्थान के एक भाग के रूप में थांग-ता को बढ़ावा देने में किस मणिपुरी राजा की महत्वपूर्ण भूमिका थी?")</f>
        <v>सांस्कृतिक पुनरुत्थान के एक भाग के रूप में थांग-ता को बढ़ावा देने में किस मणिपुरी राजा की महत्वपूर्ण भूमिका थी?</v>
      </c>
      <c r="H401" s="5" t="str">
        <f>IFERROR(__xludf.DUMMYFUNCTION("GOOGLETRANSLATE(C401, ""en"", ""hi"")"),"ए) महाराजा गंभीर सिंह, बी) महाराजा खगेम्बा, सी) महाराजा मरजीत सिंह, डी) महाराजा चंद्रकीर्ति")</f>
        <v>ए) महाराजा गंभीर सिंह, बी) महाराजा खगेम्बा, सी) महाराजा मरजीत सिंह, डी) महाराजा चंद्रकीर्ति</v>
      </c>
      <c r="I401" s="5" t="str">
        <f>IFERROR(__xludf.DUMMYFUNCTION("GOOGLETRANSLATE(D401, ""en"", ""hi"")"),"A) महाराजा गंभीर सिंह")</f>
        <v>A) महाराजा गंभीर सिंह</v>
      </c>
    </row>
    <row r="402" ht="22.5" customHeight="1">
      <c r="A402" s="3">
        <v>401.0</v>
      </c>
      <c r="B402" s="4" t="s">
        <v>13024</v>
      </c>
      <c r="C402" s="4" t="s">
        <v>13025</v>
      </c>
      <c r="D402" s="4" t="s">
        <v>13026</v>
      </c>
      <c r="F402" s="5" t="str">
        <f>IFERROR(__xludf.DUMMYFUNCTION("GOOGLETRANSLATE(A402, ""en"", ""hi"")"),"401")</f>
        <v>401</v>
      </c>
      <c r="G402" s="5" t="str">
        <f>IFERROR(__xludf.DUMMYFUNCTION("GOOGLETRANSLATE(B402, ""en"", ""hi"")"),"थांग-ता मुख्य रूप से भारत के किस क्षेत्र में प्रचलित है?")</f>
        <v>थांग-ता मुख्य रूप से भारत के किस क्षेत्र में प्रचलित है?</v>
      </c>
      <c r="H402" s="5" t="str">
        <f>IFERROR(__xludf.DUMMYFUNCTION("GOOGLETRANSLATE(C402, ""en"", ""hi"")"),"A) असम, B) नागालैंड, C) मणिपुर, D) मिजोरम")</f>
        <v>A) असम, B) नागालैंड, C) मणिपुर, D) मिजोरम</v>
      </c>
      <c r="I402" s="5" t="str">
        <f>IFERROR(__xludf.DUMMYFUNCTION("GOOGLETRANSLATE(D402, ""en"", ""hi"")"),"C) मणिपुर")</f>
        <v>C) मणिपुर</v>
      </c>
    </row>
    <row r="403" ht="22.5" customHeight="1">
      <c r="A403" s="3">
        <v>402.0</v>
      </c>
      <c r="B403" s="4" t="s">
        <v>13027</v>
      </c>
      <c r="C403" s="4" t="s">
        <v>13028</v>
      </c>
      <c r="D403" s="4" t="s">
        <v>13029</v>
      </c>
      <c r="F403" s="5" t="str">
        <f>IFERROR(__xludf.DUMMYFUNCTION("GOOGLETRANSLATE(A403, ""en"", ""hi"")"),"402")</f>
        <v>402</v>
      </c>
      <c r="G403" s="5" t="str">
        <f>IFERROR(__xludf.DUMMYFUNCTION("GOOGLETRANSLATE(B403, ""en"", ""hi"")"),"मणिपुर में कौन सा शाही समारोह थांग-ता प्रदर्शन के लिए जाना जाता था?")</f>
        <v>मणिपुर में कौन सा शाही समारोह थांग-ता प्रदर्शन के लिए जाना जाता था?</v>
      </c>
      <c r="H403" s="5" t="str">
        <f>IFERROR(__xludf.DUMMYFUNCTION("GOOGLETRANSLATE(C403, ""en"", ""hi"")"),"A) राज्याभिषेक समारोह, B) फसल उत्सव, C) विवाह समारोह, D) धार्मिक अनुष्ठान")</f>
        <v>A) राज्याभिषेक समारोह, B) फसल उत्सव, C) विवाह समारोह, D) धार्मिक अनुष्ठान</v>
      </c>
      <c r="I403" s="5" t="str">
        <f>IFERROR(__xludf.DUMMYFUNCTION("GOOGLETRANSLATE(D403, ""en"", ""hi"")"),"ए) राज्याभिषेक समारोह")</f>
        <v>ए) राज्याभिषेक समारोह</v>
      </c>
    </row>
    <row r="404" ht="22.5" customHeight="1">
      <c r="A404" s="3">
        <v>403.0</v>
      </c>
      <c r="B404" s="4" t="s">
        <v>13030</v>
      </c>
      <c r="C404" s="4" t="s">
        <v>13031</v>
      </c>
      <c r="D404" s="4" t="s">
        <v>13032</v>
      </c>
      <c r="F404" s="5" t="str">
        <f>IFERROR(__xludf.DUMMYFUNCTION("GOOGLETRANSLATE(A404, ""en"", ""hi"")"),"403")</f>
        <v>403</v>
      </c>
      <c r="G404" s="5" t="str">
        <f>IFERROR(__xludf.DUMMYFUNCTION("GOOGLETRANSLATE(B404, ""en"", ""hi"")"),"किस प्राचीन मणिपुरी ग्रंथ में थांग-ता की तकनीकों का वर्णन किया गया है?")</f>
        <v>किस प्राचीन मणिपुरी ग्रंथ में थांग-ता की तकनीकों का वर्णन किया गया है?</v>
      </c>
      <c r="H404" s="5" t="str">
        <f>IFERROR(__xludf.DUMMYFUNCTION("GOOGLETRANSLATE(C404, ""en"", ""hi"")"),"ए) निंगथौरोल लाम्बुबा, बी) पुयास, सी) चेइथारोल कुंबाबा, डी) थिरुबोम्बा")</f>
        <v>ए) निंगथौरोल लाम्बुबा, बी) पुयास, सी) चेइथारोल कुंबाबा, डी) थिरुबोम्बा</v>
      </c>
      <c r="I404" s="5" t="str">
        <f>IFERROR(__xludf.DUMMYFUNCTION("GOOGLETRANSLATE(D404, ""en"", ""hi"")"),"A) निंग्थौरोल लाम्बुबा")</f>
        <v>A) निंग्थौरोल लाम्बुबा</v>
      </c>
    </row>
    <row r="405" ht="22.5" customHeight="1">
      <c r="A405" s="3">
        <v>404.0</v>
      </c>
      <c r="B405" s="4" t="s">
        <v>13033</v>
      </c>
      <c r="C405" s="4" t="s">
        <v>13034</v>
      </c>
      <c r="D405" s="4" t="s">
        <v>13035</v>
      </c>
      <c r="F405" s="5" t="str">
        <f>IFERROR(__xludf.DUMMYFUNCTION("GOOGLETRANSLATE(A405, ""en"", ""hi"")"),"404")</f>
        <v>404</v>
      </c>
      <c r="G405" s="5" t="str">
        <f>IFERROR(__xludf.DUMMYFUNCTION("GOOGLETRANSLATE(B405, ""en"", ""hi"")"),"थांग-ता की प्रथा में किस पारंपरिक हथियार का उपयोग शामिल है?")</f>
        <v>थांग-ता की प्रथा में किस पारंपरिक हथियार का उपयोग शामिल है?</v>
      </c>
      <c r="H405" s="5" t="str">
        <f>IFERROR(__xludf.DUMMYFUNCTION("GOOGLETRANSLATE(C405, ""en"", ""hi"")"),"A) भाला, B) धनुष, C) खंजर, D) तलवार")</f>
        <v>A) भाला, B) धनुष, C) खंजर, D) तलवार</v>
      </c>
      <c r="I405" s="5" t="str">
        <f>IFERROR(__xludf.DUMMYFUNCTION("GOOGLETRANSLATE(D405, ""en"", ""hi"")"),"D) तलवार")</f>
        <v>D) तलवार</v>
      </c>
    </row>
    <row r="406" ht="22.5" customHeight="1">
      <c r="A406" s="3">
        <v>405.0</v>
      </c>
      <c r="B406" s="4" t="s">
        <v>13036</v>
      </c>
      <c r="C406" s="4" t="s">
        <v>12867</v>
      </c>
      <c r="D406" s="4" t="s">
        <v>12086</v>
      </c>
      <c r="F406" s="5" t="str">
        <f>IFERROR(__xludf.DUMMYFUNCTION("GOOGLETRANSLATE(A406, ""en"", ""hi"")"),"405")</f>
        <v>405</v>
      </c>
      <c r="G406" s="5" t="str">
        <f>IFERROR(__xludf.DUMMYFUNCTION("GOOGLETRANSLATE(B406, ""en"", ""hi"")"),"कौन सा मणिपुर त्योहार थांग-ता प्रदर्शन से सबसे अधिक जुड़ा हुआ है?")</f>
        <v>कौन सा मणिपुर त्योहार थांग-ता प्रदर्शन से सबसे अधिक जुड़ा हुआ है?</v>
      </c>
      <c r="H406" s="5" t="str">
        <f>IFERROR(__xludf.DUMMYFUNCTION("GOOGLETRANSLATE(C406, ""en"", ""hi"")"),"ए) लाई हराओबा, बी) निंगोल चाकोउबा, सी) याओशांग, डी) चेइराओबा")</f>
        <v>ए) लाई हराओबा, बी) निंगोल चाकोउबा, सी) याओशांग, डी) चेइराओबा</v>
      </c>
      <c r="I406" s="5" t="str">
        <f>IFERROR(__xludf.DUMMYFUNCTION("GOOGLETRANSLATE(D406, ""en"", ""hi"")"),"A) लाई हरोबा")</f>
        <v>A) लाई हरोबा</v>
      </c>
    </row>
    <row r="407" ht="22.5" customHeight="1">
      <c r="A407" s="3">
        <v>406.0</v>
      </c>
      <c r="B407" s="4" t="s">
        <v>13037</v>
      </c>
      <c r="C407" s="4" t="s">
        <v>13038</v>
      </c>
      <c r="D407" s="4" t="s">
        <v>12153</v>
      </c>
      <c r="F407" s="5" t="str">
        <f>IFERROR(__xludf.DUMMYFUNCTION("GOOGLETRANSLATE(A407, ""en"", ""hi"")"),"406")</f>
        <v>406</v>
      </c>
      <c r="G407" s="5" t="str">
        <f>IFERROR(__xludf.DUMMYFUNCTION("GOOGLETRANSLATE(B407, ""en"", ""hi"")"),"थांग-ता की प्रथा किस ऐतिहासिक व्यक्ति के शासनकाल से जुड़ी है?")</f>
        <v>थांग-ता की प्रथा किस ऐतिहासिक व्यक्ति के शासनकाल से जुड़ी है?</v>
      </c>
      <c r="H407" s="5" t="str">
        <f>IFERROR(__xludf.DUMMYFUNCTION("GOOGLETRANSLATE(C407,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07" s="5" t="str">
        <f>IFERROR(__xludf.DUMMYFUNCTION("GOOGLETRANSLATE(D407, ""en"", ""hi"")"),"बी) महाराजा गंभीर सिंह")</f>
        <v>बी) महाराजा गंभीर सिंह</v>
      </c>
    </row>
    <row r="408" ht="22.5" customHeight="1">
      <c r="A408" s="3">
        <v>407.0</v>
      </c>
      <c r="B408" s="4" t="s">
        <v>13039</v>
      </c>
      <c r="C408" s="4" t="s">
        <v>13040</v>
      </c>
      <c r="D408" s="4" t="s">
        <v>13041</v>
      </c>
      <c r="F408" s="5" t="str">
        <f>IFERROR(__xludf.DUMMYFUNCTION("GOOGLETRANSLATE(A408, ""en"", ""hi"")"),"407")</f>
        <v>407</v>
      </c>
      <c r="G408" s="5" t="str">
        <f>IFERROR(__xludf.DUMMYFUNCTION("GOOGLETRANSLATE(B408, ""en"", ""hi"")"),"मणिपुर में थांग-ता प्रथा पर किस ब्रिटिश नीति का प्रभाव पड़ा?")</f>
        <v>मणिपुर में थांग-ता प्रथा पर किस ब्रिटिश नीति का प्रभाव पड़ा?</v>
      </c>
      <c r="H408" s="5" t="str">
        <f>IFERROR(__xludf.DUMMYFUNCTION("GOOGLETRANSLATE(C408, ""en"", ""hi"")"),"A) शैक्षिक सुधार, B) भूमि अधिग्रहण, C) सांस्कृतिक दमन, D) व्यापार प्रतिबंध")</f>
        <v>A) शैक्षिक सुधार, B) भूमि अधिग्रहण, C) सांस्कृतिक दमन, D) व्यापार प्रतिबंध</v>
      </c>
      <c r="I408" s="5" t="str">
        <f>IFERROR(__xludf.DUMMYFUNCTION("GOOGLETRANSLATE(D408, ""en"", ""hi"")"),"C) सांस्कृतिक दमन")</f>
        <v>C) सांस्कृतिक दमन</v>
      </c>
    </row>
    <row r="409" ht="22.5" customHeight="1">
      <c r="A409" s="3">
        <v>408.0</v>
      </c>
      <c r="B409" s="4" t="s">
        <v>13042</v>
      </c>
      <c r="C409" s="4" t="s">
        <v>13043</v>
      </c>
      <c r="D409" s="4" t="s">
        <v>13044</v>
      </c>
      <c r="F409" s="5" t="str">
        <f>IFERROR(__xludf.DUMMYFUNCTION("GOOGLETRANSLATE(A409, ""en"", ""hi"")"),"408")</f>
        <v>408</v>
      </c>
      <c r="G409" s="5" t="str">
        <f>IFERROR(__xludf.DUMMYFUNCTION("GOOGLETRANSLATE(B409, ""en"", ""hi"")"),"किस ऐतिहासिक काल में मणिपुर में थांग-टा का पुनरुद्धार हुआ?")</f>
        <v>किस ऐतिहासिक काल में मणिपुर में थांग-टा का पुनरुद्धार हुआ?</v>
      </c>
      <c r="H409" s="5" t="str">
        <f>IFERROR(__xludf.DUMMYFUNCTION("GOOGLETRANSLATE(C409, ""en"", ""hi"")"),"A) स्वतंत्रता के बाद, B) औपनिवेशिक, C) मध्यकालीन, D) प्राचीन")</f>
        <v>A) स्वतंत्रता के बाद, B) औपनिवेशिक, C) मध्यकालीन, D) प्राचीन</v>
      </c>
      <c r="I409" s="5" t="str">
        <f>IFERROR(__xludf.DUMMYFUNCTION("GOOGLETRANSLATE(D409, ""en"", ""hi"")"),"A) स्वतंत्रता के बाद")</f>
        <v>A) स्वतंत्रता के बाद</v>
      </c>
    </row>
    <row r="410" ht="22.5" customHeight="1">
      <c r="A410" s="3">
        <v>409.0</v>
      </c>
      <c r="B410" s="4" t="s">
        <v>13045</v>
      </c>
      <c r="C410" s="4" t="s">
        <v>13046</v>
      </c>
      <c r="D410" s="4" t="s">
        <v>13047</v>
      </c>
      <c r="F410" s="5" t="str">
        <f>IFERROR(__xludf.DUMMYFUNCTION("GOOGLETRANSLATE(A410, ""en"", ""hi"")"),"409")</f>
        <v>409</v>
      </c>
      <c r="G410" s="5" t="str">
        <f>IFERROR(__xludf.DUMMYFUNCTION("GOOGLETRANSLATE(B410, ""en"", ""hi"")"),"थांग-ता प्रशिक्षण में अक्सर किस परिवेश में अभ्यास शामिल होता है?")</f>
        <v>थांग-ता प्रशिक्षण में अक्सर किस परिवेश में अभ्यास शामिल होता है?</v>
      </c>
      <c r="H410" s="5" t="str">
        <f>IFERROR(__xludf.DUMMYFUNCTION("GOOGLETRANSLATE(C410, ""en"", ""hi"")"),"A) ग्राम केंद्र, B) शाही दरबार, C) मंदिर, D) निजी घर")</f>
        <v>A) ग्राम केंद्र, B) शाही दरबार, C) मंदिर, D) निजी घर</v>
      </c>
      <c r="I410" s="5" t="str">
        <f>IFERROR(__xludf.DUMMYFUNCTION("GOOGLETRANSLATE(D410, ""en"", ""hi"")"),"ए) ग्राम केंद्र")</f>
        <v>ए) ग्राम केंद्र</v>
      </c>
    </row>
    <row r="411" ht="22.5" customHeight="1">
      <c r="A411" s="3">
        <v>410.0</v>
      </c>
      <c r="B411" s="4" t="s">
        <v>13048</v>
      </c>
      <c r="C411" s="4" t="s">
        <v>13049</v>
      </c>
      <c r="D411" s="4" t="s">
        <v>13050</v>
      </c>
      <c r="F411" s="5" t="str">
        <f>IFERROR(__xludf.DUMMYFUNCTION("GOOGLETRANSLATE(A411, ""en"", ""hi"")"),"410")</f>
        <v>410</v>
      </c>
      <c r="G411" s="5" t="str">
        <f>IFERROR(__xludf.DUMMYFUNCTION("GOOGLETRANSLATE(B411, ""en"", ""hi"")"),"थांग-टा का ऐतिहासिक पतन किस प्रकार के प्रतिरोध से जुड़े होने के कारण हुआ?")</f>
        <v>थांग-टा का ऐतिहासिक पतन किस प्रकार के प्रतिरोध से जुड़े होने के कारण हुआ?</v>
      </c>
      <c r="H411" s="5" t="str">
        <f>IFERROR(__xludf.DUMMYFUNCTION("GOOGLETRANSLATE(C411, ""en"", ""hi"")"),"A) सांस्कृतिक, B) राजनीतिक, C) आर्थिक, D) सैन्य")</f>
        <v>A) सांस्कृतिक, B) राजनीतिक, C) आर्थिक, D) सैन्य</v>
      </c>
      <c r="I411" s="5" t="str">
        <f>IFERROR(__xludf.DUMMYFUNCTION("GOOGLETRANSLATE(D411, ""en"", ""hi"")"),"डी) सैन्य")</f>
        <v>डी) सैन्य</v>
      </c>
    </row>
    <row r="412" ht="22.5" customHeight="1">
      <c r="A412" s="3">
        <v>411.0</v>
      </c>
      <c r="B412" s="4" t="s">
        <v>13051</v>
      </c>
      <c r="C412" s="4" t="s">
        <v>13003</v>
      </c>
      <c r="D412" s="4" t="s">
        <v>12855</v>
      </c>
      <c r="F412" s="5" t="str">
        <f>IFERROR(__xludf.DUMMYFUNCTION("GOOGLETRANSLATE(A412, ""en"", ""hi"")"),"411")</f>
        <v>411</v>
      </c>
      <c r="G412" s="5" t="str">
        <f>IFERROR(__xludf.DUMMYFUNCTION("GOOGLETRANSLATE(B412, ""en"", ""hi"")"),"कौन सा मणिपुरी ग्रंथ थांग-ता तकनीकों का विस्तृत विवरण प्रदान करता है?")</f>
        <v>कौन सा मणिपुरी ग्रंथ थांग-ता तकनीकों का विस्तृत विवरण प्रदान करता है?</v>
      </c>
      <c r="H412" s="5" t="str">
        <f>IFERROR(__xludf.DUMMYFUNCTION("GOOGLETRANSLATE(C412, ""en"", ""hi"")"),"ए) पुया, बी) चेइथारोल कुंबाबा, सी) निंगथौरोल लाम्बुबा, डी) कांगलेइरोल")</f>
        <v>ए) पुया, बी) चेइथारोल कुंबाबा, सी) निंगथौरोल लाम्बुबा, डी) कांगलेइरोल</v>
      </c>
      <c r="I412" s="5" t="str">
        <f>IFERROR(__xludf.DUMMYFUNCTION("GOOGLETRANSLATE(D412, ""en"", ""hi"")"),"A) पुया")</f>
        <v>A) पुया</v>
      </c>
    </row>
    <row r="413" ht="22.5" customHeight="1">
      <c r="A413" s="3">
        <v>412.0</v>
      </c>
      <c r="B413" s="4" t="s">
        <v>13052</v>
      </c>
      <c r="C413" s="4" t="s">
        <v>12909</v>
      </c>
      <c r="D413" s="4" t="s">
        <v>12361</v>
      </c>
      <c r="F413" s="5" t="str">
        <f>IFERROR(__xludf.DUMMYFUNCTION("GOOGLETRANSLATE(A413, ""en"", ""hi"")"),"412")</f>
        <v>412</v>
      </c>
      <c r="G413" s="5" t="str">
        <f>IFERROR(__xludf.DUMMYFUNCTION("GOOGLETRANSLATE(B413, ""en"", ""hi"")"),"कौन सा मणिपुरी राजा औपनिवेशिक काल के दौरान थांग-ता को संरक्षित करने के अपने प्रयासों के लिए जाना जाता है?")</f>
        <v>कौन सा मणिपुरी राजा औपनिवेशिक काल के दौरान थांग-ता को संरक्षित करने के अपने प्रयासों के लिए जाना जाता है?</v>
      </c>
      <c r="H413" s="5" t="str">
        <f>IFERROR(__xludf.DUMMYFUNCTION("GOOGLETRANSLATE(C413,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13" s="5" t="str">
        <f>IFERROR(__xludf.DUMMYFUNCTION("GOOGLETRANSLATE(D413, ""en"", ""hi"")"),"A) महाराजा गंभीर सिंह")</f>
        <v>A) महाराजा गंभीर सिंह</v>
      </c>
    </row>
    <row r="414" ht="22.5" customHeight="1">
      <c r="A414" s="3">
        <v>413.0</v>
      </c>
      <c r="B414" s="4" t="s">
        <v>13053</v>
      </c>
      <c r="C414" s="4" t="s">
        <v>13054</v>
      </c>
      <c r="D414" s="4" t="s">
        <v>13055</v>
      </c>
      <c r="F414" s="5" t="str">
        <f>IFERROR(__xludf.DUMMYFUNCTION("GOOGLETRANSLATE(A414, ""en"", ""hi"")"),"413")</f>
        <v>413</v>
      </c>
      <c r="G414" s="5" t="str">
        <f>IFERROR(__xludf.DUMMYFUNCTION("GOOGLETRANSLATE(B414, ""en"", ""hi"")"),"थांग-ता का इतिहास किस प्रकार की मणिपुरी परंपरा से प्रभावित है?")</f>
        <v>थांग-ता का इतिहास किस प्रकार की मणिपुरी परंपरा से प्रभावित है?</v>
      </c>
      <c r="H414" s="5" t="str">
        <f>IFERROR(__xludf.DUMMYFUNCTION("GOOGLETRANSLATE(C414, ""en"", ""hi"")"),"A) हिंदू धर्म, B) सनमही, C) बौद्ध धर्म, D) जैन धर्म")</f>
        <v>A) हिंदू धर्म, B) सनमही, C) बौद्ध धर्म, D) जैन धर्म</v>
      </c>
      <c r="I414" s="5" t="str">
        <f>IFERROR(__xludf.DUMMYFUNCTION("GOOGLETRANSLATE(D414, ""en"", ""hi"")"),"बी) सनामाही")</f>
        <v>बी) सनामाही</v>
      </c>
    </row>
    <row r="415" ht="22.5" customHeight="1">
      <c r="A415" s="3">
        <v>414.0</v>
      </c>
      <c r="B415" s="4" t="s">
        <v>13056</v>
      </c>
      <c r="C415" s="4" t="s">
        <v>13057</v>
      </c>
      <c r="D415" s="4" t="s">
        <v>12153</v>
      </c>
      <c r="F415" s="5" t="str">
        <f>IFERROR(__xludf.DUMMYFUNCTION("GOOGLETRANSLATE(A415, ""en"", ""hi"")"),"414")</f>
        <v>414</v>
      </c>
      <c r="G415" s="5" t="str">
        <f>IFERROR(__xludf.DUMMYFUNCTION("GOOGLETRANSLATE(B415, ""en"", ""hi"")"),"शाही अनुष्ठानों में थांग-ता का एकीकरण किसके शासनकाल में सबसे प्रमुख था?")</f>
        <v>शाही अनुष्ठानों में थांग-ता का एकीकरण किसके शासनकाल में सबसे प्रमुख था?</v>
      </c>
      <c r="H415" s="5" t="str">
        <f>IFERROR(__xludf.DUMMYFUNCTION("GOOGLETRANSLATE(C415,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415" s="5" t="str">
        <f>IFERROR(__xludf.DUMMYFUNCTION("GOOGLETRANSLATE(D415, ""en"", ""hi"")"),"बी) महाराजा गंभीर सिंह")</f>
        <v>बी) महाराजा गंभीर सिंह</v>
      </c>
    </row>
    <row r="416" ht="22.5" customHeight="1">
      <c r="A416" s="3">
        <v>415.0</v>
      </c>
      <c r="B416" s="4" t="s">
        <v>13058</v>
      </c>
      <c r="C416" s="4" t="s">
        <v>13059</v>
      </c>
      <c r="D416" s="4" t="s">
        <v>13060</v>
      </c>
      <c r="F416" s="5" t="str">
        <f>IFERROR(__xludf.DUMMYFUNCTION("GOOGLETRANSLATE(A416, ""en"", ""hi"")"),"415")</f>
        <v>415</v>
      </c>
      <c r="G416" s="5" t="str">
        <f>IFERROR(__xludf.DUMMYFUNCTION("GOOGLETRANSLATE(B416, ""en"", ""hi"")"),"निम्नलिखित में से किस काल में औपनिवेशिक नीतियों के कारण थांग-ता प्रथा में गिरावट देखी गई?")</f>
        <v>निम्नलिखित में से किस काल में औपनिवेशिक नीतियों के कारण थांग-ता प्रथा में गिरावट देखी गई?</v>
      </c>
      <c r="H416" s="5" t="str">
        <f>IFERROR(__xludf.DUMMYFUNCTION("GOOGLETRANSLATE(C416, ""en"", ""hi"")"),"A) पूर्व-औपनिवेशिक, B) औपनिवेशिक, C) स्वतंत्रता-पश्चात, D) मध्यकालीन")</f>
        <v>A) पूर्व-औपनिवेशिक, B) औपनिवेशिक, C) स्वतंत्रता-पश्चात, D) मध्यकालीन</v>
      </c>
      <c r="I416" s="5" t="str">
        <f>IFERROR(__xludf.DUMMYFUNCTION("GOOGLETRANSLATE(D416, ""en"", ""hi"")"),"बी) औपनिवेशिक")</f>
        <v>बी) औपनिवेशिक</v>
      </c>
    </row>
    <row r="417" ht="22.5" customHeight="1">
      <c r="A417" s="3">
        <v>416.0</v>
      </c>
      <c r="B417" s="4" t="s">
        <v>13061</v>
      </c>
      <c r="C417" s="4" t="s">
        <v>12793</v>
      </c>
      <c r="D417" s="4" t="s">
        <v>12794</v>
      </c>
      <c r="F417" s="5" t="str">
        <f>IFERROR(__xludf.DUMMYFUNCTION("GOOGLETRANSLATE(A417, ""en"", ""hi"")"),"416")</f>
        <v>416</v>
      </c>
      <c r="G417" s="5" t="str">
        <f>IFERROR(__xludf.DUMMYFUNCTION("GOOGLETRANSLATE(B417, ""en"", ""hi"")"),"किस मणिपुरी त्यौहार में पारंपरिक प्रदर्शन के रूप में थांग-ता को शामिल किया जाता है?")</f>
        <v>किस मणिपुरी त्यौहार में पारंपरिक प्रदर्शन के रूप में थांग-ता को शामिल किया जाता है?</v>
      </c>
      <c r="H417" s="5" t="str">
        <f>IFERROR(__xludf.DUMMYFUNCTION("GOOGLETRANSLATE(C417, ""en"", ""hi"")"),"ए) याओशांग, बी) लाई हराओबा, सी) निंगोल चाकोउबा, डी) चेइराओबा")</f>
        <v>ए) याओशांग, बी) लाई हराओबा, सी) निंगोल चाकोउबा, डी) चेइराओबा</v>
      </c>
      <c r="I417" s="5" t="str">
        <f>IFERROR(__xludf.DUMMYFUNCTION("GOOGLETRANSLATE(D417, ""en"", ""hi"")"),"बी) लाई हरोबा")</f>
        <v>बी) लाई हरोबा</v>
      </c>
    </row>
    <row r="418" ht="22.5" customHeight="1">
      <c r="A418" s="3">
        <v>417.0</v>
      </c>
      <c r="B418" s="4" t="s">
        <v>13062</v>
      </c>
      <c r="C418" s="4" t="s">
        <v>13063</v>
      </c>
      <c r="D418" s="4" t="s">
        <v>12610</v>
      </c>
      <c r="F418" s="5" t="str">
        <f>IFERROR(__xludf.DUMMYFUNCTION("GOOGLETRANSLATE(A418, ""en"", ""hi"")"),"417")</f>
        <v>417</v>
      </c>
      <c r="G418" s="5" t="str">
        <f>IFERROR(__xludf.DUMMYFUNCTION("GOOGLETRANSLATE(B418, ""en"", ""hi"")"),"किस पारंपरिक मणिपुरी नृत्य शैली को अक्सर थांग-ता के साथ प्रस्तुत किया जाता है?")</f>
        <v>किस पारंपरिक मणिपुरी नृत्य शैली को अक्सर थांग-ता के साथ प्रस्तुत किया जाता है?</v>
      </c>
      <c r="H418" s="5" t="str">
        <f>IFERROR(__xludf.DUMMYFUNCTION("GOOGLETRANSLATE(C418, ""en"", ""hi"")"),"ए) रास लीला, बी) मणिपुरी रास, सी) लाई हरोबा, डी) नोंगक्रेम")</f>
        <v>ए) रास लीला, बी) मणिपुरी रास, सी) लाई हरोबा, डी) नोंगक्रेम</v>
      </c>
      <c r="I418" s="5" t="str">
        <f>IFERROR(__xludf.DUMMYFUNCTION("GOOGLETRANSLATE(D418, ""en"", ""hi"")"),"C) लाई हरोबा")</f>
        <v>C) लाई हरोबा</v>
      </c>
    </row>
    <row r="419" ht="22.5" customHeight="1">
      <c r="A419" s="3">
        <v>418.0</v>
      </c>
      <c r="B419" s="4" t="s">
        <v>13064</v>
      </c>
      <c r="C419" s="4" t="s">
        <v>13008</v>
      </c>
      <c r="D419" s="4" t="s">
        <v>12957</v>
      </c>
      <c r="F419" s="5" t="str">
        <f>IFERROR(__xludf.DUMMYFUNCTION("GOOGLETRANSLATE(A419, ""en"", ""hi"")"),"418")</f>
        <v>418</v>
      </c>
      <c r="G419" s="5" t="str">
        <f>IFERROR(__xludf.DUMMYFUNCTION("GOOGLETRANSLATE(B419, ""en"", ""hi"")"),"किस ऐतिहासिक संघर्ष के कारण मणिपुर में थांग-ता प्रथा का दमन हुआ?")</f>
        <v>किस ऐतिहासिक संघर्ष के कारण मणिपुर में थांग-ता प्रथा का दमन हुआ?</v>
      </c>
      <c r="H419" s="5" t="str">
        <f>IFERROR(__xludf.DUMMYFUNCTION("GOOGLETRANSLATE(C419, ""en"", ""hi"")"),"A) बर्मी आक्रमण, B) एंग्लो-मणिपुर युद्ध, C) प्रथम अफीम युद्ध, D) द्वितीय अफीम युद्ध")</f>
        <v>A) बर्मी आक्रमण, B) एंग्लो-मणिपुर युद्ध, C) प्रथम अफीम युद्ध, D) द्वितीय अफीम युद्ध</v>
      </c>
      <c r="I419" s="5" t="str">
        <f>IFERROR(__xludf.DUMMYFUNCTION("GOOGLETRANSLATE(D419, ""en"", ""hi"")"),"बी) एंग्लो-मणिपुर युद्ध")</f>
        <v>बी) एंग्लो-मणिपुर युद्ध</v>
      </c>
    </row>
    <row r="420" ht="22.5" customHeight="1">
      <c r="A420" s="3">
        <v>419.0</v>
      </c>
      <c r="B420" s="4" t="s">
        <v>13065</v>
      </c>
      <c r="C420" s="4" t="s">
        <v>13003</v>
      </c>
      <c r="D420" s="4" t="s">
        <v>12855</v>
      </c>
      <c r="F420" s="5" t="str">
        <f>IFERROR(__xludf.DUMMYFUNCTION("GOOGLETRANSLATE(A420, ""en"", ""hi"")"),"419")</f>
        <v>419</v>
      </c>
      <c r="G420" s="5" t="str">
        <f>IFERROR(__xludf.DUMMYFUNCTION("GOOGLETRANSLATE(B420, ""en"", ""hi"")"),"कौन सा ऐतिहासिक दस्तावेज़ थांग-ता के दार्शनिक पहलुओं पर अंतर्दृष्टि प्रदान करता है?")</f>
        <v>कौन सा ऐतिहासिक दस्तावेज़ थांग-ता के दार्शनिक पहलुओं पर अंतर्दृष्टि प्रदान करता है?</v>
      </c>
      <c r="H420" s="5" t="str">
        <f>IFERROR(__xludf.DUMMYFUNCTION("GOOGLETRANSLATE(C420, ""en"", ""hi"")"),"ए) पुया, बी) चेइथारोल कुंबाबा, सी) निंगथौरोल लाम्बुबा, डी) कांगलेइरोल")</f>
        <v>ए) पुया, बी) चेइथारोल कुंबाबा, सी) निंगथौरोल लाम्बुबा, डी) कांगलेइरोल</v>
      </c>
      <c r="I420" s="5" t="str">
        <f>IFERROR(__xludf.DUMMYFUNCTION("GOOGLETRANSLATE(D420, ""en"", ""hi"")"),"A) पुया")</f>
        <v>A) पुया</v>
      </c>
    </row>
    <row r="421" ht="22.5" customHeight="1">
      <c r="A421" s="3">
        <v>420.0</v>
      </c>
      <c r="B421" s="4" t="s">
        <v>13066</v>
      </c>
      <c r="C421" s="4" t="s">
        <v>13067</v>
      </c>
      <c r="D421" s="4" t="s">
        <v>10930</v>
      </c>
      <c r="F421" s="5" t="str">
        <f>IFERROR(__xludf.DUMMYFUNCTION("GOOGLETRANSLATE(A421, ""en"", ""hi"")"),"420")</f>
        <v>420</v>
      </c>
      <c r="G421" s="5" t="str">
        <f>IFERROR(__xludf.DUMMYFUNCTION("GOOGLETRANSLATE(B421, ""en"", ""hi"")"),"मणिपुर में थांग-ता प्रशिक्षण पारंपरिक रूप से किस समूह द्वारा पर्यवेक्षण किया जाता था?")</f>
        <v>मणिपुर में थांग-ता प्रशिक्षण पारंपरिक रूप से किस समूह द्वारा पर्यवेक्षण किया जाता था?</v>
      </c>
      <c r="H421" s="5" t="str">
        <f>IFERROR(__xludf.DUMMYFUNCTION("GOOGLETRANSLATE(C421, ""en"", ""hi"")"),"A) पुजारी, B) योद्धा, C) विद्वान, D) कारीगर")</f>
        <v>A) पुजारी, B) योद्धा, C) विद्वान, D) कारीगर</v>
      </c>
      <c r="I421" s="5" t="str">
        <f>IFERROR(__xludf.DUMMYFUNCTION("GOOGLETRANSLATE(D421, ""en"", ""hi"")"),"बी) योद्धा")</f>
        <v>बी) योद्धा</v>
      </c>
    </row>
    <row r="422" ht="22.5" customHeight="1">
      <c r="A422" s="3">
        <v>421.0</v>
      </c>
      <c r="B422" s="4" t="s">
        <v>13068</v>
      </c>
      <c r="C422" s="4" t="s">
        <v>13038</v>
      </c>
      <c r="D422" s="4" t="s">
        <v>12153</v>
      </c>
      <c r="F422" s="5" t="str">
        <f>IFERROR(__xludf.DUMMYFUNCTION("GOOGLETRANSLATE(A422, ""en"", ""hi"")"),"421")</f>
        <v>421</v>
      </c>
      <c r="G422" s="5" t="str">
        <f>IFERROR(__xludf.DUMMYFUNCTION("GOOGLETRANSLATE(B422, ""en"", ""hi"")"),"कौन सा मणिपुरी राजा राज्य रक्षा में थांग-ता के प्रचार और एकीकरण से जुड़ा हुआ है?")</f>
        <v>कौन सा मणिपुरी राजा राज्य रक्षा में थांग-ता के प्रचार और एकीकरण से जुड़ा हुआ है?</v>
      </c>
      <c r="H422" s="5" t="str">
        <f>IFERROR(__xludf.DUMMYFUNCTION("GOOGLETRANSLATE(C422,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22" s="5" t="str">
        <f>IFERROR(__xludf.DUMMYFUNCTION("GOOGLETRANSLATE(D422, ""en"", ""hi"")"),"बी) महाराजा गंभीर सिंह")</f>
        <v>बी) महाराजा गंभीर सिंह</v>
      </c>
    </row>
    <row r="423" ht="22.5" customHeight="1">
      <c r="A423" s="3">
        <v>422.0</v>
      </c>
      <c r="B423" s="4" t="s">
        <v>13069</v>
      </c>
      <c r="C423" s="4" t="s">
        <v>13070</v>
      </c>
      <c r="D423" s="4" t="s">
        <v>13071</v>
      </c>
      <c r="F423" s="5" t="str">
        <f>IFERROR(__xludf.DUMMYFUNCTION("GOOGLETRANSLATE(A423, ""en"", ""hi"")"),"422")</f>
        <v>422</v>
      </c>
      <c r="G423" s="5" t="str">
        <f>IFERROR(__xludf.DUMMYFUNCTION("GOOGLETRANSLATE(B423, ""en"", ""hi"")"),"थांग-ता का ऐतिहासिक महत्व मणिपुरी संस्कृति के किस पहलू में इसकी भूमिका को शामिल करता है?")</f>
        <v>थांग-ता का ऐतिहासिक महत्व मणिपुरी संस्कृति के किस पहलू में इसकी भूमिका को शामिल करता है?</v>
      </c>
      <c r="H423" s="5" t="str">
        <f>IFERROR(__xludf.DUMMYFUNCTION("GOOGLETRANSLATE(C423, ""en"", ""hi"")"),"A) अनुष्ठान, B) कला, C) संगीत, D) व्यापार")</f>
        <v>A) अनुष्ठान, B) कला, C) संगीत, D) व्यापार</v>
      </c>
      <c r="I423" s="5" t="str">
        <f>IFERROR(__xludf.DUMMYFUNCTION("GOOGLETRANSLATE(D423, ""en"", ""hi"")"),"क) अनुष्ठान")</f>
        <v>क) अनुष्ठान</v>
      </c>
    </row>
    <row r="424" ht="22.5" customHeight="1">
      <c r="A424" s="3">
        <v>423.0</v>
      </c>
      <c r="B424" s="4" t="s">
        <v>13072</v>
      </c>
      <c r="C424" s="4" t="s">
        <v>12897</v>
      </c>
      <c r="D424" s="4" t="s">
        <v>12153</v>
      </c>
      <c r="F424" s="5" t="str">
        <f>IFERROR(__xludf.DUMMYFUNCTION("GOOGLETRANSLATE(A424, ""en"", ""hi"")"),"423")</f>
        <v>423</v>
      </c>
      <c r="G424" s="5" t="str">
        <f>IFERROR(__xludf.DUMMYFUNCTION("GOOGLETRANSLATE(B424, ""en"", ""hi"")"),"किस मणिपुरी राजा के शासनकाल में थांग-ता प्रथा का पुनरुत्थान हुआ?")</f>
        <v>किस मणिपुरी राजा के शासनकाल में थांग-ता प्रथा का पुनरुत्थान हुआ?</v>
      </c>
      <c r="H424" s="5" t="str">
        <f>IFERROR(__xludf.DUMMYFUNCTION("GOOGLETRANSLATE(C424, ""en"", ""hi"")"),"ए) महाराजा खगेम्बा, बी) महाराजा गंभीर सिंह, सी) महाराजा भाग्यचंद्र, डी) महाराजा चंद्रकीर्ति")</f>
        <v>ए) महाराजा खगेम्बा, बी) महाराजा गंभीर सिंह, सी) महाराजा भाग्यचंद्र, डी) महाराजा चंद्रकीर्ति</v>
      </c>
      <c r="I424" s="5" t="str">
        <f>IFERROR(__xludf.DUMMYFUNCTION("GOOGLETRANSLATE(D424, ""en"", ""hi"")"),"बी) महाराजा गंभीर सिंह")</f>
        <v>बी) महाराजा गंभीर सिंह</v>
      </c>
    </row>
    <row r="425" ht="22.5" customHeight="1">
      <c r="A425" s="3">
        <v>424.0</v>
      </c>
      <c r="B425" s="4" t="s">
        <v>13073</v>
      </c>
      <c r="C425" s="4" t="s">
        <v>13074</v>
      </c>
      <c r="D425" s="4" t="s">
        <v>13075</v>
      </c>
      <c r="F425" s="5" t="str">
        <f>IFERROR(__xludf.DUMMYFUNCTION("GOOGLETRANSLATE(A425, ""en"", ""hi"")"),"424")</f>
        <v>424</v>
      </c>
      <c r="G425" s="5" t="str">
        <f>IFERROR(__xludf.DUMMYFUNCTION("GOOGLETRANSLATE(B425, ""en"", ""hi"")"),"थांग-ता की पारंपरिक प्रथा किस बाहरी ऐतिहासिक घटना से प्रभावित थी?")</f>
        <v>थांग-ता की पारंपरिक प्रथा किस बाहरी ऐतिहासिक घटना से प्रभावित थी?</v>
      </c>
      <c r="H425" s="5" t="str">
        <f>IFERROR(__xludf.DUMMYFUNCTION("GOOGLETRANSLATE(C425, ""en"", ""hi"")"),"A) बर्मी आक्रमण, B) ब्रिटिश विलय, C) अफीम युद्ध, D) चीनी आक्रमण")</f>
        <v>A) बर्मी आक्रमण, B) ब्रिटिश विलय, C) अफीम युद्ध, D) चीनी आक्रमण</v>
      </c>
      <c r="I425" s="5" t="str">
        <f>IFERROR(__xludf.DUMMYFUNCTION("GOOGLETRANSLATE(D425, ""en"", ""hi"")"),"बी) ब्रिटिश विलय")</f>
        <v>बी) ब्रिटिश विलय</v>
      </c>
    </row>
    <row r="426" ht="22.5" customHeight="1">
      <c r="A426" s="3">
        <v>425.0</v>
      </c>
      <c r="B426" s="4" t="s">
        <v>13076</v>
      </c>
      <c r="C426" s="4" t="s">
        <v>12959</v>
      </c>
      <c r="D426" s="4" t="s">
        <v>12855</v>
      </c>
      <c r="F426" s="5" t="str">
        <f>IFERROR(__xludf.DUMMYFUNCTION("GOOGLETRANSLATE(A426, ""en"", ""hi"")"),"425")</f>
        <v>425</v>
      </c>
      <c r="G426" s="5" t="str">
        <f>IFERROR(__xludf.DUMMYFUNCTION("GOOGLETRANSLATE(B426, ""en"", ""hi"")"),"थांग-ता की मार्शल तकनीकों को समझने के लिए कौन सा दस्तावेज़ महत्वपूर्ण है?")</f>
        <v>थांग-ता की मार्शल तकनीकों को समझने के लिए कौन सा दस्तावेज़ महत्वपूर्ण है?</v>
      </c>
      <c r="H426" s="5" t="str">
        <f>IFERROR(__xludf.DUMMYFUNCTION("GOOGLETRANSLATE(C426, ""en"", ""hi"")"),"ए) पुया, बी) चेइथारोल कुंबाबा, सी) निंगथौरोल लाम्बुबा, डी) थिरुबोम्बा")</f>
        <v>ए) पुया, बी) चेइथारोल कुंबाबा, सी) निंगथौरोल लाम्बुबा, डी) थिरुबोम्बा</v>
      </c>
      <c r="I426" s="5" t="str">
        <f>IFERROR(__xludf.DUMMYFUNCTION("GOOGLETRANSLATE(D426, ""en"", ""hi"")"),"A) पुया")</f>
        <v>A) पुया</v>
      </c>
    </row>
    <row r="427" ht="22.5" customHeight="1">
      <c r="A427" s="3">
        <v>426.0</v>
      </c>
      <c r="B427" s="4" t="s">
        <v>13077</v>
      </c>
      <c r="C427" s="4" t="s">
        <v>13078</v>
      </c>
      <c r="D427" s="4" t="s">
        <v>13079</v>
      </c>
      <c r="F427" s="5" t="str">
        <f>IFERROR(__xludf.DUMMYFUNCTION("GOOGLETRANSLATE(A427, ""en"", ""hi"")"),"426")</f>
        <v>426</v>
      </c>
      <c r="G427" s="5" t="str">
        <f>IFERROR(__xludf.DUMMYFUNCTION("GOOGLETRANSLATE(B427, ""en"", ""hi"")"),"थांग-ता ऐतिहासिक रूप से किस प्रकार के मणिपुरी त्योहारों से जुड़ा हुआ था?")</f>
        <v>थांग-ता ऐतिहासिक रूप से किस प्रकार के मणिपुरी त्योहारों से जुड़ा हुआ था?</v>
      </c>
      <c r="H427" s="5" t="str">
        <f>IFERROR(__xludf.DUMMYFUNCTION("GOOGLETRANSLATE(C427, ""en"", ""hi"")"),"A) धार्मिक, B) फसल, C) शाही, D) सांस्कृतिक")</f>
        <v>A) धार्मिक, B) फसल, C) शाही, D) सांस्कृतिक</v>
      </c>
      <c r="I427" s="5" t="str">
        <f>IFERROR(__xludf.DUMMYFUNCTION("GOOGLETRANSLATE(D427, ""en"", ""hi"")"),"ए) धार्मिक")</f>
        <v>ए) धार्मिक</v>
      </c>
    </row>
    <row r="428" ht="22.5" customHeight="1">
      <c r="A428" s="3">
        <v>427.0</v>
      </c>
      <c r="B428" s="4" t="s">
        <v>13080</v>
      </c>
      <c r="C428" s="4" t="s">
        <v>12927</v>
      </c>
      <c r="D428" s="4" t="s">
        <v>13010</v>
      </c>
      <c r="F428" s="5" t="str">
        <f>IFERROR(__xludf.DUMMYFUNCTION("GOOGLETRANSLATE(A428, ""en"", ""hi"")"),"427")</f>
        <v>427</v>
      </c>
      <c r="G428" s="5" t="str">
        <f>IFERROR(__xludf.DUMMYFUNCTION("GOOGLETRANSLATE(B428, ""en"", ""hi"")"),"किस मणिपुरी महाकाव्य में थांग-ता मार्शल आर्ट का उल्लेख मिलता है?")</f>
        <v>किस मणिपुरी महाकाव्य में थांग-ता मार्शल आर्ट का उल्लेख मिलता है?</v>
      </c>
      <c r="H428" s="5" t="str">
        <f>IFERROR(__xludf.DUMMYFUNCTION("GOOGLETRANSLATE(C428, ""en"", ""hi"")"),"ए) खंबा थोइबी, बी) पुयास, सी) निंगथौरोल लाम्बुबा, डी) थिरुबोम्बा")</f>
        <v>ए) खंबा थोइबी, बी) पुयास, सी) निंगथौरोल लाम्बुबा, डी) थिरुबोम्बा</v>
      </c>
      <c r="I428" s="5" t="str">
        <f>IFERROR(__xludf.DUMMYFUNCTION("GOOGLETRANSLATE(D428, ""en"", ""hi"")"),"बी) पुयास")</f>
        <v>बी) पुयास</v>
      </c>
    </row>
    <row r="429" ht="22.5" customHeight="1">
      <c r="A429" s="3">
        <v>428.0</v>
      </c>
      <c r="B429" s="4" t="s">
        <v>13081</v>
      </c>
      <c r="C429" s="4" t="s">
        <v>12976</v>
      </c>
      <c r="D429" s="4" t="s">
        <v>12831</v>
      </c>
      <c r="F429" s="5" t="str">
        <f>IFERROR(__xludf.DUMMYFUNCTION("GOOGLETRANSLATE(A429, ""en"", ""hi"")"),"428")</f>
        <v>428</v>
      </c>
      <c r="G429" s="5" t="str">
        <f>IFERROR(__xludf.DUMMYFUNCTION("GOOGLETRANSLATE(B429, ""en"", ""hi"")"),"औपनिवेशिक काल के दौरान थांग-टा का संरक्षण मुख्यतः किस व्यक्ति के प्रयासों के कारण हुआ था?")</f>
        <v>औपनिवेशिक काल के दौरान थांग-टा का संरक्षण मुख्यतः किस व्यक्ति के प्रयासों के कारण हुआ था?</v>
      </c>
      <c r="H429" s="5" t="str">
        <f>IFERROR(__xludf.DUMMYFUNCTION("GOOGLETRANSLATE(C429,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429" s="5" t="str">
        <f>IFERROR(__xludf.DUMMYFUNCTION("GOOGLETRANSLATE(D429, ""en"", ""hi"")"),"ए) गुरुमायुम गौरकिशोर शर्मा")</f>
        <v>ए) गुरुमायुम गौरकिशोर शर्मा</v>
      </c>
    </row>
    <row r="430" ht="22.5" customHeight="1">
      <c r="A430" s="3">
        <v>429.0</v>
      </c>
      <c r="B430" s="4" t="s">
        <v>13082</v>
      </c>
      <c r="C430" s="4" t="s">
        <v>13083</v>
      </c>
      <c r="D430" s="4" t="s">
        <v>12006</v>
      </c>
      <c r="F430" s="5" t="str">
        <f>IFERROR(__xludf.DUMMYFUNCTION("GOOGLETRANSLATE(A430, ""en"", ""hi"")"),"429")</f>
        <v>429</v>
      </c>
      <c r="G430" s="5" t="str">
        <f>IFERROR(__xludf.DUMMYFUNCTION("GOOGLETRANSLATE(B430, ""en"", ""hi"")"),"किस मणिपुरी राजा के शासनकाल में बाहरी दबाव के कारण थांग-ता प्रथा में गिरावट देखी गई?")</f>
        <v>किस मणिपुरी राजा के शासनकाल में बाहरी दबाव के कारण थांग-ता प्रथा में गिरावट देखी गई?</v>
      </c>
      <c r="H430" s="5" t="str">
        <f>IFERROR(__xludf.DUMMYFUNCTION("GOOGLETRANSLATE(C430, ""en"", ""hi"")"),"ए) महाराजा चंद्रकीर्ति, बी) महाराजा भाग्यचंद्र, सी) महाराजा मरजीत सिंह, डी) महाराजा गंभीर सिंह")</f>
        <v>ए) महाराजा चंद्रकीर्ति, बी) महाराजा भाग्यचंद्र, सी) महाराजा मरजीत सिंह, डी) महाराजा गंभीर सिंह</v>
      </c>
      <c r="I430" s="5" t="str">
        <f>IFERROR(__xludf.DUMMYFUNCTION("GOOGLETRANSLATE(D430, ""en"", ""hi"")"),"D) महाराजा गंभीर सिंह")</f>
        <v>D) महाराजा गंभीर सिंह</v>
      </c>
    </row>
    <row r="431" ht="22.5" customHeight="1">
      <c r="A431" s="3">
        <v>430.0</v>
      </c>
      <c r="B431" s="4" t="s">
        <v>13084</v>
      </c>
      <c r="C431" s="4" t="s">
        <v>13085</v>
      </c>
      <c r="D431" s="4" t="s">
        <v>13086</v>
      </c>
      <c r="F431" s="5" t="str">
        <f>IFERROR(__xludf.DUMMYFUNCTION("GOOGLETRANSLATE(A431, ""en"", ""hi"")"),"430")</f>
        <v>430</v>
      </c>
      <c r="G431" s="5" t="str">
        <f>IFERROR(__xludf.DUMMYFUNCTION("GOOGLETRANSLATE(B431, ""en"", ""hi"")"),"थांग-ता का इतिहास किस प्रकार की पारंपरिक मणिपुरी कला से जुड़ा है?")</f>
        <v>थांग-ता का इतिहास किस प्रकार की पारंपरिक मणिपुरी कला से जुड़ा है?</v>
      </c>
      <c r="H431" s="5" t="str">
        <f>IFERROR(__xludf.DUMMYFUNCTION("GOOGLETRANSLATE(C431, ""en"", ""hi"")"),"A) मार्शल आर्ट, B) नृत्य, C) संगीत, D) मूर्तिकला")</f>
        <v>A) मार्शल आर्ट, B) नृत्य, C) संगीत, D) मूर्तिकला</v>
      </c>
      <c r="I431" s="5" t="str">
        <f>IFERROR(__xludf.DUMMYFUNCTION("GOOGLETRANSLATE(D431, ""en"", ""hi"")"),"ए) मार्शल आर्ट")</f>
        <v>ए) मार्शल आर्ट</v>
      </c>
    </row>
    <row r="432" ht="22.5" customHeight="1">
      <c r="A432" s="3">
        <v>431.0</v>
      </c>
      <c r="B432" s="4" t="s">
        <v>13087</v>
      </c>
      <c r="C432" s="4" t="s">
        <v>13088</v>
      </c>
      <c r="D432" s="4" t="s">
        <v>644</v>
      </c>
      <c r="F432" s="5" t="str">
        <f>IFERROR(__xludf.DUMMYFUNCTION("GOOGLETRANSLATE(A432, ""en"", ""hi"")"),"431")</f>
        <v>431</v>
      </c>
      <c r="G432" s="5" t="str">
        <f>IFERROR(__xludf.DUMMYFUNCTION("GOOGLETRANSLATE(B432, ""en"", ""hi"")"),"थांग-ता की पारंपरिक प्रथा में किन हथियारों का उपयोग शामिल है?")</f>
        <v>थांग-ता की पारंपरिक प्रथा में किन हथियारों का उपयोग शामिल है?</v>
      </c>
      <c r="H432" s="5" t="str">
        <f>IFERROR(__xludf.DUMMYFUNCTION("GOOGLETRANSLATE(C432, ""en"", ""hi"")"),"A) तलवारें, B) धनुष, C) भाले, D) उपरोक्त सभी")</f>
        <v>A) तलवारें, B) धनुष, C) भाले, D) उपरोक्त सभी</v>
      </c>
      <c r="I432" s="5" t="str">
        <f>IFERROR(__xludf.DUMMYFUNCTION("GOOGLETRANSLATE(D432, ""en"", ""hi"")"),"D। उपरोक्त सभी")</f>
        <v>D। उपरोक्त सभी</v>
      </c>
    </row>
    <row r="433" ht="22.5" customHeight="1">
      <c r="A433" s="3">
        <v>432.0</v>
      </c>
      <c r="B433" s="4" t="s">
        <v>13089</v>
      </c>
      <c r="C433" s="4" t="s">
        <v>12857</v>
      </c>
      <c r="D433" s="4" t="s">
        <v>12753</v>
      </c>
      <c r="F433" s="5" t="str">
        <f>IFERROR(__xludf.DUMMYFUNCTION("GOOGLETRANSLATE(A433, ""en"", ""hi"")"),"432")</f>
        <v>432</v>
      </c>
      <c r="G433" s="5" t="str">
        <f>IFERROR(__xludf.DUMMYFUNCTION("GOOGLETRANSLATE(B433, ""en"", ""hi"")"),"कौन सा मणिपुरी राजा सांस्कृतिक पुनर्जागरण में अपनी भूमिका के लिए जाना जाता है जिसमें थांग-ता भी शामिल है?")</f>
        <v>कौन सा मणिपुरी राजा सांस्कृतिक पुनर्जागरण में अपनी भूमिका के लिए जाना जाता है जिसमें थांग-ता भी शामिल है?</v>
      </c>
      <c r="H433" s="5" t="str">
        <f>IFERROR(__xludf.DUMMYFUNCTION("GOOGLETRANSLATE(C433, ""en"", ""hi"")"),"ए) महाराजा खगेम्बा, बी) महाराजा भाग्यचंद्र, सी) महाराजा चंद्रकीर्ति, डी) महाराजा गंभीर सिंह")</f>
        <v>ए) महाराजा खगेम्बा, बी) महाराजा भाग्यचंद्र, सी) महाराजा चंद्रकीर्ति, डी) महाराजा गंभीर सिंह</v>
      </c>
      <c r="I433" s="5" t="str">
        <f>IFERROR(__xludf.DUMMYFUNCTION("GOOGLETRANSLATE(D433, ""en"", ""hi"")"),"B) महाराजा भाग्यचंद्र")</f>
        <v>B) महाराजा भाग्यचंद्र</v>
      </c>
    </row>
    <row r="434" ht="22.5" customHeight="1">
      <c r="A434" s="3">
        <v>433.0</v>
      </c>
      <c r="B434" s="4" t="s">
        <v>13090</v>
      </c>
      <c r="C434" s="4" t="s">
        <v>13091</v>
      </c>
      <c r="D434" s="4" t="s">
        <v>12969</v>
      </c>
      <c r="F434" s="5" t="str">
        <f>IFERROR(__xludf.DUMMYFUNCTION("GOOGLETRANSLATE(A434, ""en"", ""hi"")"),"433")</f>
        <v>433</v>
      </c>
      <c r="G434" s="5" t="str">
        <f>IFERROR(__xludf.DUMMYFUNCTION("GOOGLETRANSLATE(B434, ""en"", ""hi"")"),"थांग-ता पारंपरिक रूप से किस मणिपुरी अनुष्ठान के भाग के रूप में किया जाता था?")</f>
        <v>थांग-ता पारंपरिक रूप से किस मणिपुरी अनुष्ठान के भाग के रूप में किया जाता था?</v>
      </c>
      <c r="H434" s="5" t="str">
        <f>IFERROR(__xludf.DUMMYFUNCTION("GOOGLETRANSLATE(C434, ""en"", ""hi"")"),"A) फसल, B) विवाह, C) धार्मिक अनुष्ठान, D) राज्याभिषेक")</f>
        <v>A) फसल, B) विवाह, C) धार्मिक अनुष्ठान, D) राज्याभिषेक</v>
      </c>
      <c r="I434" s="5" t="str">
        <f>IFERROR(__xludf.DUMMYFUNCTION("GOOGLETRANSLATE(D434, ""en"", ""hi"")"),"C) धार्मिक अनुष्ठान")</f>
        <v>C) धार्मिक अनुष्ठान</v>
      </c>
    </row>
    <row r="435" ht="22.5" customHeight="1">
      <c r="A435" s="3">
        <v>434.0</v>
      </c>
      <c r="B435" s="4" t="s">
        <v>13092</v>
      </c>
      <c r="C435" s="4" t="s">
        <v>12959</v>
      </c>
      <c r="D435" s="4" t="s">
        <v>12855</v>
      </c>
      <c r="F435" s="5" t="str">
        <f>IFERROR(__xludf.DUMMYFUNCTION("GOOGLETRANSLATE(A435, ""en"", ""hi"")"),"434")</f>
        <v>434</v>
      </c>
      <c r="G435" s="5" t="str">
        <f>IFERROR(__xludf.DUMMYFUNCTION("GOOGLETRANSLATE(B435, ""en"", ""hi"")"),"कौन सा दस्तावेज़ थांग-ता की तकनीकों और दर्शन का विवरण देता है?")</f>
        <v>कौन सा दस्तावेज़ थांग-ता की तकनीकों और दर्शन का विवरण देता है?</v>
      </c>
      <c r="H435" s="5" t="str">
        <f>IFERROR(__xludf.DUMMYFUNCTION("GOOGLETRANSLATE(C435, ""en"", ""hi"")"),"ए) पुया, बी) चेइथारोल कुंबाबा, सी) निंगथौरोल लाम्बुबा, डी) थिरुबोम्बा")</f>
        <v>ए) पुया, बी) चेइथारोल कुंबाबा, सी) निंगथौरोल लाम्बुबा, डी) थिरुबोम्बा</v>
      </c>
      <c r="I435" s="5" t="str">
        <f>IFERROR(__xludf.DUMMYFUNCTION("GOOGLETRANSLATE(D435, ""en"", ""hi"")"),"A) पुया")</f>
        <v>A) पुया</v>
      </c>
    </row>
    <row r="436" ht="22.5" customHeight="1">
      <c r="A436" s="3">
        <v>435.0</v>
      </c>
      <c r="B436" s="4" t="s">
        <v>13093</v>
      </c>
      <c r="C436" s="4" t="s">
        <v>13094</v>
      </c>
      <c r="D436" s="4" t="s">
        <v>4367</v>
      </c>
      <c r="F436" s="5" t="str">
        <f>IFERROR(__xludf.DUMMYFUNCTION("GOOGLETRANSLATE(A436, ""en"", ""hi"")"),"435")</f>
        <v>435</v>
      </c>
      <c r="G436" s="5" t="str">
        <f>IFERROR(__xludf.DUMMYFUNCTION("GOOGLETRANSLATE(B436, ""en"", ""hi"")"),"थांग-ता में तकनीकें और प्रशिक्षण विधियां शामिल हैं जो किस ऐतिहासिक काल से उत्पन्न हुई हैं?")</f>
        <v>थांग-ता में तकनीकें और प्रशिक्षण विधियां शामिल हैं जो किस ऐतिहासिक काल से उत्पन्न हुई हैं?</v>
      </c>
      <c r="H436" s="5" t="str">
        <f>IFERROR(__xludf.DUMMYFUNCTION("GOOGLETRANSLATE(C436, ""en"", ""hi"")"),"A) प्राचीन, B) मध्यकालीन, C) औपनिवेशिक, D) आधुनिक")</f>
        <v>A) प्राचीन, B) मध्यकालीन, C) औपनिवेशिक, D) आधुनिक</v>
      </c>
      <c r="I436" s="5" t="str">
        <f>IFERROR(__xludf.DUMMYFUNCTION("GOOGLETRANSLATE(D436, ""en"", ""hi"")"),"ए) प्राचीन")</f>
        <v>ए) प्राचीन</v>
      </c>
    </row>
    <row r="437" ht="22.5" customHeight="1">
      <c r="A437" s="3">
        <v>436.0</v>
      </c>
      <c r="B437" s="4" t="s">
        <v>13095</v>
      </c>
      <c r="C437" s="4" t="s">
        <v>13096</v>
      </c>
      <c r="D437" s="4" t="s">
        <v>13097</v>
      </c>
      <c r="F437" s="5" t="str">
        <f>IFERROR(__xludf.DUMMYFUNCTION("GOOGLETRANSLATE(A437, ""en"", ""hi"")"),"436")</f>
        <v>436</v>
      </c>
      <c r="G437" s="5" t="str">
        <f>IFERROR(__xludf.DUMMYFUNCTION("GOOGLETRANSLATE(B437, ""en"", ""hi"")"),"औपनिवेशिक शासन के दौरान थांग-ता की प्रथा में गिरावट इसके निम्नलिखित से जुड़े होने के कारण थी:")</f>
        <v>औपनिवेशिक शासन के दौरान थांग-ता की प्रथा में गिरावट इसके निम्नलिखित से जुड़े होने के कारण थी:</v>
      </c>
      <c r="H437" s="5" t="str">
        <f>IFERROR(__xludf.DUMMYFUNCTION("GOOGLETRANSLATE(C437, ""en"", ""hi"")"),"A) सांस्कृतिक विरासत, B) शाही अधिकार, C) उपनिवेश-विरोधी भावना, D) व्यापार")</f>
        <v>A) सांस्कृतिक विरासत, B) शाही अधिकार, C) उपनिवेश-विरोधी भावना, D) व्यापार</v>
      </c>
      <c r="I437" s="5" t="str">
        <f>IFERROR(__xludf.DUMMYFUNCTION("GOOGLETRANSLATE(D437, ""en"", ""hi"")"),"C) उपनिवेश-विरोधी भावना")</f>
        <v>C) उपनिवेश-विरोधी भावना</v>
      </c>
    </row>
    <row r="438" ht="22.5" customHeight="1">
      <c r="A438" s="3">
        <v>437.0</v>
      </c>
      <c r="B438" s="4" t="s">
        <v>13098</v>
      </c>
      <c r="C438" s="4" t="s">
        <v>13003</v>
      </c>
      <c r="D438" s="4" t="s">
        <v>12855</v>
      </c>
      <c r="F438" s="5" t="str">
        <f>IFERROR(__xludf.DUMMYFUNCTION("GOOGLETRANSLATE(A438, ""en"", ""hi"")"),"437")</f>
        <v>437</v>
      </c>
      <c r="G438" s="5" t="str">
        <f>IFERROR(__xludf.DUMMYFUNCTION("GOOGLETRANSLATE(B438, ""en"", ""hi"")"),"कौन सा मणिपुरी ग्रंथ थांग-ता के लिए ऐतिहासिक और दार्शनिक संदर्भ प्रदान करता है?")</f>
        <v>कौन सा मणिपुरी ग्रंथ थांग-ता के लिए ऐतिहासिक और दार्शनिक संदर्भ प्रदान करता है?</v>
      </c>
      <c r="H438" s="5" t="str">
        <f>IFERROR(__xludf.DUMMYFUNCTION("GOOGLETRANSLATE(C438, ""en"", ""hi"")"),"ए) पुया, बी) चेइथारोल कुंबाबा, सी) निंगथौरोल लाम्बुबा, डी) कांगलेइरोल")</f>
        <v>ए) पुया, बी) चेइथारोल कुंबाबा, सी) निंगथौरोल लाम्बुबा, डी) कांगलेइरोल</v>
      </c>
      <c r="I438" s="5" t="str">
        <f>IFERROR(__xludf.DUMMYFUNCTION("GOOGLETRANSLATE(D438, ""en"", ""hi"")"),"A) पुया")</f>
        <v>A) पुया</v>
      </c>
    </row>
    <row r="439" ht="22.5" customHeight="1">
      <c r="A439" s="3">
        <v>438.0</v>
      </c>
      <c r="B439" s="4" t="s">
        <v>13099</v>
      </c>
      <c r="C439" s="4" t="s">
        <v>12976</v>
      </c>
      <c r="D439" s="4" t="s">
        <v>12831</v>
      </c>
      <c r="F439" s="5" t="str">
        <f>IFERROR(__xludf.DUMMYFUNCTION("GOOGLETRANSLATE(A439, ""en"", ""hi"")"),"438")</f>
        <v>438</v>
      </c>
      <c r="G439" s="5" t="str">
        <f>IFERROR(__xludf.DUMMYFUNCTION("GOOGLETRANSLATE(B439, ""en"", ""hi"")"),"20वीं सदी में थांग-टा के पुनरुत्थान का श्रेय किस व्यक्ति को दिया जाता है?")</f>
        <v>20वीं सदी में थांग-टा के पुनरुत्थान का श्रेय किस व्यक्ति को दिया जाता है?</v>
      </c>
      <c r="H439" s="5" t="str">
        <f>IFERROR(__xludf.DUMMYFUNCTION("GOOGLETRANSLATE(C439,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439" s="5" t="str">
        <f>IFERROR(__xludf.DUMMYFUNCTION("GOOGLETRANSLATE(D439, ""en"", ""hi"")"),"ए) गुरुमायुम गौरकिशोर शर्मा")</f>
        <v>ए) गुरुमायुम गौरकिशोर शर्मा</v>
      </c>
    </row>
    <row r="440" ht="22.5" customHeight="1">
      <c r="A440" s="3">
        <v>439.0</v>
      </c>
      <c r="B440" s="4" t="s">
        <v>13100</v>
      </c>
      <c r="C440" s="4" t="s">
        <v>12897</v>
      </c>
      <c r="D440" s="4" t="s">
        <v>12153</v>
      </c>
      <c r="F440" s="5" t="str">
        <f>IFERROR(__xludf.DUMMYFUNCTION("GOOGLETRANSLATE(A440, ""en"", ""hi"")"),"439")</f>
        <v>439</v>
      </c>
      <c r="G440" s="5" t="str">
        <f>IFERROR(__xludf.DUMMYFUNCTION("GOOGLETRANSLATE(B440, ""en"", ""hi"")"),"शाही समारोहों में थांग-ता का एकीकरण किस मणिपुरी राजा से जुड़ा है?")</f>
        <v>शाही समारोहों में थांग-ता का एकीकरण किस मणिपुरी राजा से जुड़ा है?</v>
      </c>
      <c r="H440" s="5" t="str">
        <f>IFERROR(__xludf.DUMMYFUNCTION("GOOGLETRANSLATE(C440, ""en"", ""hi"")"),"ए) महाराजा खगेम्बा, बी) महाराजा गंभीर सिंह, सी) महाराजा भाग्यचंद्र, डी) महाराजा चंद्रकीर्ति")</f>
        <v>ए) महाराजा खगेम्बा, बी) महाराजा गंभीर सिंह, सी) महाराजा भाग्यचंद्र, डी) महाराजा चंद्रकीर्ति</v>
      </c>
      <c r="I440" s="5" t="str">
        <f>IFERROR(__xludf.DUMMYFUNCTION("GOOGLETRANSLATE(D440, ""en"", ""hi"")"),"बी) महाराजा गंभीर सिंह")</f>
        <v>बी) महाराजा गंभीर सिंह</v>
      </c>
    </row>
    <row r="441" ht="22.5" customHeight="1">
      <c r="A441" s="3">
        <v>440.0</v>
      </c>
      <c r="B441" s="4" t="s">
        <v>13101</v>
      </c>
      <c r="C441" s="4" t="s">
        <v>12927</v>
      </c>
      <c r="D441" s="4" t="s">
        <v>13010</v>
      </c>
      <c r="F441" s="5" t="str">
        <f>IFERROR(__xludf.DUMMYFUNCTION("GOOGLETRANSLATE(A441, ""en"", ""hi"")"),"440")</f>
        <v>440</v>
      </c>
      <c r="G441" s="5" t="str">
        <f>IFERROR(__xludf.DUMMYFUNCTION("GOOGLETRANSLATE(B441, ""en"", ""hi"")"),"किस मणिपुरी महाकाव्य में थांग-ता सहित मार्शल प्रथाओं का संदर्भ मिलता है?")</f>
        <v>किस मणिपुरी महाकाव्य में थांग-ता सहित मार्शल प्रथाओं का संदर्भ मिलता है?</v>
      </c>
      <c r="H441" s="5" t="str">
        <f>IFERROR(__xludf.DUMMYFUNCTION("GOOGLETRANSLATE(C441, ""en"", ""hi"")"),"ए) खंबा थोइबी, बी) पुयास, सी) निंगथौरोल लाम्बुबा, डी) थिरुबोम्बा")</f>
        <v>ए) खंबा थोइबी, बी) पुयास, सी) निंगथौरोल लाम्बुबा, डी) थिरुबोम्बा</v>
      </c>
      <c r="I441" s="5" t="str">
        <f>IFERROR(__xludf.DUMMYFUNCTION("GOOGLETRANSLATE(D441, ""en"", ""hi"")"),"बी) पुयास")</f>
        <v>बी) पुयास</v>
      </c>
    </row>
    <row r="442" ht="22.5" customHeight="1">
      <c r="A442" s="3">
        <v>441.0</v>
      </c>
      <c r="B442" s="4" t="s">
        <v>13102</v>
      </c>
      <c r="C442" s="4" t="s">
        <v>13103</v>
      </c>
      <c r="D442" s="4" t="s">
        <v>11956</v>
      </c>
      <c r="F442" s="5" t="str">
        <f>IFERROR(__xludf.DUMMYFUNCTION("GOOGLETRANSLATE(A442, ""en"", ""hi"")"),"441")</f>
        <v>441</v>
      </c>
      <c r="G442" s="5" t="str">
        <f>IFERROR(__xludf.DUMMYFUNCTION("GOOGLETRANSLATE(B442, ""en"", ""hi"")"),"थांग-ता पारंपरिक रूप से भारत के किस क्षेत्र में प्रचलित है?")</f>
        <v>थांग-ता पारंपरिक रूप से भारत के किस क्षेत्र में प्रचलित है?</v>
      </c>
      <c r="H442" s="5" t="str">
        <f>IFERROR(__xludf.DUMMYFUNCTION("GOOGLETRANSLATE(C442, ""en"", ""hi"")"),"A) मणिपुर, B) असम, C) नागालैंड, D) मिजोरम")</f>
        <v>A) मणिपुर, B) असम, C) नागालैंड, D) मिजोरम</v>
      </c>
      <c r="I442" s="5" t="str">
        <f>IFERROR(__xludf.DUMMYFUNCTION("GOOGLETRANSLATE(D442, ""en"", ""hi"")"),"ए) मणिपुर")</f>
        <v>ए) मणिपुर</v>
      </c>
    </row>
    <row r="443" ht="22.5" customHeight="1">
      <c r="A443" s="3">
        <v>442.0</v>
      </c>
      <c r="B443" s="4" t="s">
        <v>13104</v>
      </c>
      <c r="C443" s="4" t="s">
        <v>13038</v>
      </c>
      <c r="D443" s="4" t="s">
        <v>12153</v>
      </c>
      <c r="F443" s="5" t="str">
        <f>IFERROR(__xludf.DUMMYFUNCTION("GOOGLETRANSLATE(A443, ""en"", ""hi"")"),"442")</f>
        <v>442</v>
      </c>
      <c r="G443" s="5" t="str">
        <f>IFERROR(__xludf.DUMMYFUNCTION("GOOGLETRANSLATE(B443, ""en"", ""hi"")"),"किस मणिपुरी राजा के शासनकाल में औपनिवेशिक नीतियों के कारण थांग-ता में महत्वपूर्ण परिवर्तन हुए?")</f>
        <v>किस मणिपुरी राजा के शासनकाल में औपनिवेशिक नीतियों के कारण थांग-ता में महत्वपूर्ण परिवर्तन हुए?</v>
      </c>
      <c r="H443" s="5" t="str">
        <f>IFERROR(__xludf.DUMMYFUNCTION("GOOGLETRANSLATE(C443,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43" s="5" t="str">
        <f>IFERROR(__xludf.DUMMYFUNCTION("GOOGLETRANSLATE(D443, ""en"", ""hi"")"),"बी) महाराजा गंभीर सिंह")</f>
        <v>बी) महाराजा गंभीर सिंह</v>
      </c>
    </row>
    <row r="444" ht="22.5" customHeight="1">
      <c r="A444" s="3">
        <v>443.0</v>
      </c>
      <c r="B444" s="4" t="s">
        <v>13105</v>
      </c>
      <c r="C444" s="4" t="s">
        <v>13085</v>
      </c>
      <c r="D444" s="4" t="s">
        <v>13086</v>
      </c>
      <c r="F444" s="5" t="str">
        <f>IFERROR(__xludf.DUMMYFUNCTION("GOOGLETRANSLATE(A444, ""en"", ""hi"")"),"443")</f>
        <v>443</v>
      </c>
      <c r="G444" s="5" t="str">
        <f>IFERROR(__xludf.DUMMYFUNCTION("GOOGLETRANSLATE(B444, ""en"", ""hi"")"),"थांग-ता का इतिहास किस प्रकार की मणिपुरी परंपरा से जुड़ा हुआ है?")</f>
        <v>थांग-ता का इतिहास किस प्रकार की मणिपुरी परंपरा से जुड़ा हुआ है?</v>
      </c>
      <c r="H444" s="5" t="str">
        <f>IFERROR(__xludf.DUMMYFUNCTION("GOOGLETRANSLATE(C444, ""en"", ""hi"")"),"A) मार्शल आर्ट, B) नृत्य, C) संगीत, D) मूर्तिकला")</f>
        <v>A) मार्शल आर्ट, B) नृत्य, C) संगीत, D) मूर्तिकला</v>
      </c>
      <c r="I444" s="5" t="str">
        <f>IFERROR(__xludf.DUMMYFUNCTION("GOOGLETRANSLATE(D444, ""en"", ""hi"")"),"ए) मार्शल आर्ट")</f>
        <v>ए) मार्शल आर्ट</v>
      </c>
    </row>
    <row r="445" ht="22.5" customHeight="1">
      <c r="A445" s="3">
        <v>444.0</v>
      </c>
      <c r="B445" s="4" t="s">
        <v>13106</v>
      </c>
      <c r="C445" s="4" t="s">
        <v>12909</v>
      </c>
      <c r="D445" s="4" t="s">
        <v>12361</v>
      </c>
      <c r="F445" s="5" t="str">
        <f>IFERROR(__xludf.DUMMYFUNCTION("GOOGLETRANSLATE(A445, ""en"", ""hi"")"),"444")</f>
        <v>444</v>
      </c>
      <c r="G445" s="5" t="str">
        <f>IFERROR(__xludf.DUMMYFUNCTION("GOOGLETRANSLATE(B445, ""en"", ""hi"")"),"कौन सा मणिपुरी राजा औपनिवेशिक शासन के दौरान थांग-ता परंपराओं को संरक्षित करने के अपने प्रयासों के लिए जाना जाता है?")</f>
        <v>कौन सा मणिपुरी राजा औपनिवेशिक शासन के दौरान थांग-ता परंपराओं को संरक्षित करने के अपने प्रयासों के लिए जाना जाता है?</v>
      </c>
      <c r="H445" s="5" t="str">
        <f>IFERROR(__xludf.DUMMYFUNCTION("GOOGLETRANSLATE(C445,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45" s="5" t="str">
        <f>IFERROR(__xludf.DUMMYFUNCTION("GOOGLETRANSLATE(D445, ""en"", ""hi"")"),"A) महाराजा गंभीर सिंह")</f>
        <v>A) महाराजा गंभीर सिंह</v>
      </c>
    </row>
    <row r="446" ht="22.5" customHeight="1">
      <c r="A446" s="3">
        <v>445.0</v>
      </c>
      <c r="B446" s="4" t="s">
        <v>13107</v>
      </c>
      <c r="C446" s="4" t="s">
        <v>13108</v>
      </c>
      <c r="D446" s="4" t="s">
        <v>13109</v>
      </c>
      <c r="F446" s="5" t="str">
        <f>IFERROR(__xludf.DUMMYFUNCTION("GOOGLETRANSLATE(A446, ""en"", ""hi"")"),"445")</f>
        <v>445</v>
      </c>
      <c r="G446" s="5" t="str">
        <f>IFERROR(__xludf.DUMMYFUNCTION("GOOGLETRANSLATE(B446, ""en"", ""hi"")"),"किस ऐतिहासिक घटना के कारण आधुनिक समय में थांग-ता प्रथा का पुनरुत्थान हुआ?")</f>
        <v>किस ऐतिहासिक घटना के कारण आधुनिक समय में थांग-ता प्रथा का पुनरुत्थान हुआ?</v>
      </c>
      <c r="H446" s="5" t="str">
        <f>IFERROR(__xludf.DUMMYFUNCTION("GOOGLETRANSLATE(C446, ""en"", ""hi"")"),"A) स्वतंत्रता के बाद सांस्कृतिक पुनरुत्थान, B) औपनिवेशिक दमन, C) बर्मी आक्रमण, D) द्वितीय विश्व युद्ध")</f>
        <v>A) स्वतंत्रता के बाद सांस्कृतिक पुनरुत्थान, B) औपनिवेशिक दमन, C) बर्मी आक्रमण, D) द्वितीय विश्व युद्ध</v>
      </c>
      <c r="I446" s="5" t="str">
        <f>IFERROR(__xludf.DUMMYFUNCTION("GOOGLETRANSLATE(D446, ""en"", ""hi"")"),"A) स्वतंत्रता के बाद सांस्कृतिक पुनरुत्थान")</f>
        <v>A) स्वतंत्रता के बाद सांस्कृतिक पुनरुत्थान</v>
      </c>
    </row>
    <row r="447" ht="22.5" customHeight="1">
      <c r="A447" s="3">
        <v>446.0</v>
      </c>
      <c r="B447" s="4" t="s">
        <v>13110</v>
      </c>
      <c r="C447" s="4" t="s">
        <v>13111</v>
      </c>
      <c r="D447" s="4" t="s">
        <v>8827</v>
      </c>
      <c r="F447" s="5" t="str">
        <f>IFERROR(__xludf.DUMMYFUNCTION("GOOGLETRANSLATE(A447, ""en"", ""hi"")"),"446")</f>
        <v>446</v>
      </c>
      <c r="G447" s="5" t="str">
        <f>IFERROR(__xludf.DUMMYFUNCTION("GOOGLETRANSLATE(B447, ""en"", ""hi"")"),"थांग-ता के साथ सबसे अधिक किस प्रकार का हथियार जुड़ा हुआ है?")</f>
        <v>थांग-ता के साथ सबसे अधिक किस प्रकार का हथियार जुड़ा हुआ है?</v>
      </c>
      <c r="H447" s="5" t="str">
        <f>IFERROR(__xludf.DUMMYFUNCTION("GOOGLETRANSLATE(C447, ""en"", ""hi"")"),"A) भाला, B) तलवार, C) धनुष, D) कुल्हाड़ी")</f>
        <v>A) भाला, B) तलवार, C) धनुष, D) कुल्हाड़ी</v>
      </c>
      <c r="I447" s="5" t="str">
        <f>IFERROR(__xludf.DUMMYFUNCTION("GOOGLETRANSLATE(D447, ""en"", ""hi"")"),"बी) तलवार")</f>
        <v>बी) तलवार</v>
      </c>
    </row>
    <row r="448" ht="22.5" customHeight="1">
      <c r="A448" s="3">
        <v>447.0</v>
      </c>
      <c r="B448" s="4" t="s">
        <v>13112</v>
      </c>
      <c r="C448" s="4" t="s">
        <v>13113</v>
      </c>
      <c r="D448" s="4" t="s">
        <v>13114</v>
      </c>
      <c r="F448" s="5" t="str">
        <f>IFERROR(__xludf.DUMMYFUNCTION("GOOGLETRANSLATE(A448, ""en"", ""hi"")"),"447")</f>
        <v>447</v>
      </c>
      <c r="G448" s="5" t="str">
        <f>IFERROR(__xludf.DUMMYFUNCTION("GOOGLETRANSLATE(B448, ""en"", ""hi"")"),"किस ऐतिहासिक काल के दौरान थांग-ता को शाही मार्शल आर्ट के रूप में प्रसिद्धि मिली?")</f>
        <v>किस ऐतिहासिक काल के दौरान थांग-ता को शाही मार्शल आर्ट के रूप में प्रसिद्धि मिली?</v>
      </c>
      <c r="H448" s="5" t="str">
        <f>IFERROR(__xludf.DUMMYFUNCTION("GOOGLETRANSLATE(C448, ""en"", ""hi"")"),"A) औपनिवेशिक, B) स्वतंत्रता के बाद, C) मध्यकालीन, D) प्राचीन")</f>
        <v>A) औपनिवेशिक, B) स्वतंत्रता के बाद, C) मध्यकालीन, D) प्राचीन</v>
      </c>
      <c r="I448" s="5" t="str">
        <f>IFERROR(__xludf.DUMMYFUNCTION("GOOGLETRANSLATE(D448, ""en"", ""hi"")"),"डी) प्राचीन")</f>
        <v>डी) प्राचीन</v>
      </c>
    </row>
    <row r="449" ht="22.5" customHeight="1">
      <c r="A449" s="3">
        <v>448.0</v>
      </c>
      <c r="B449" s="4" t="s">
        <v>13115</v>
      </c>
      <c r="C449" s="4" t="s">
        <v>13038</v>
      </c>
      <c r="D449" s="4" t="s">
        <v>12153</v>
      </c>
      <c r="F449" s="5" t="str">
        <f>IFERROR(__xludf.DUMMYFUNCTION("GOOGLETRANSLATE(A449, ""en"", ""hi"")"),"448")</f>
        <v>448</v>
      </c>
      <c r="G449" s="5" t="str">
        <f>IFERROR(__xludf.DUMMYFUNCTION("GOOGLETRANSLATE(B449, ""en"", ""hi"")"),"कौन सा मणिपुरी राजा थांग-ता को शाही सैन्य पाठ्यक्रम में शामिल करने के लिए जाना जाता है?")</f>
        <v>कौन सा मणिपुरी राजा थांग-ता को शाही सैन्य पाठ्यक्रम में शामिल करने के लिए जाना जाता है?</v>
      </c>
      <c r="H449" s="5" t="str">
        <f>IFERROR(__xludf.DUMMYFUNCTION("GOOGLETRANSLATE(C449,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49" s="5" t="str">
        <f>IFERROR(__xludf.DUMMYFUNCTION("GOOGLETRANSLATE(D449, ""en"", ""hi"")"),"बी) महाराजा गंभीर सिंह")</f>
        <v>बी) महाराजा गंभीर सिंह</v>
      </c>
    </row>
    <row r="450" ht="22.5" customHeight="1">
      <c r="A450" s="3">
        <v>449.0</v>
      </c>
      <c r="B450" s="4" t="s">
        <v>13116</v>
      </c>
      <c r="C450" s="4" t="s">
        <v>13117</v>
      </c>
      <c r="D450" s="4" t="s">
        <v>12395</v>
      </c>
      <c r="F450" s="5" t="str">
        <f>IFERROR(__xludf.DUMMYFUNCTION("GOOGLETRANSLATE(A450, ""en"", ""hi"")"),"449")</f>
        <v>449</v>
      </c>
      <c r="G450" s="5" t="str">
        <f>IFERROR(__xludf.DUMMYFUNCTION("GOOGLETRANSLATE(B450, ""en"", ""hi"")"),"किस प्रमुख ऐतिहासिक संघर्ष ने मणिपुर में थांग-ता प्रथा को प्रभावित किया?")</f>
        <v>किस प्रमुख ऐतिहासिक संघर्ष ने मणिपुर में थांग-ता प्रथा को प्रभावित किया?</v>
      </c>
      <c r="H450" s="5" t="str">
        <f>IFERROR(__xludf.DUMMYFUNCTION("GOOGLETRANSLATE(C450, ""en"", ""hi"")"),"A) एंग्लो-मणिपुर युद्ध, B) प्रथम अफीम युद्ध, C) बर्मी आक्रमण, D) द्वितीय अफीम युद्ध")</f>
        <v>A) एंग्लो-मणिपुर युद्ध, B) प्रथम अफीम युद्ध, C) बर्मी आक्रमण, D) द्वितीय अफीम युद्ध</v>
      </c>
      <c r="I450" s="5" t="str">
        <f>IFERROR(__xludf.DUMMYFUNCTION("GOOGLETRANSLATE(D450, ""en"", ""hi"")"),"A) एंग्लो-मणिपुर युद्ध")</f>
        <v>A) एंग्लो-मणिपुर युद्ध</v>
      </c>
    </row>
    <row r="451" ht="22.5" customHeight="1">
      <c r="A451" s="3">
        <v>450.0</v>
      </c>
      <c r="B451" s="4" t="s">
        <v>13118</v>
      </c>
      <c r="C451" s="4" t="s">
        <v>12959</v>
      </c>
      <c r="D451" s="4" t="s">
        <v>12855</v>
      </c>
      <c r="F451" s="5" t="str">
        <f>IFERROR(__xludf.DUMMYFUNCTION("GOOGLETRANSLATE(A451, ""en"", ""hi"")"),"450")</f>
        <v>450</v>
      </c>
      <c r="G451" s="5" t="str">
        <f>IFERROR(__xludf.DUMMYFUNCTION("GOOGLETRANSLATE(B451, ""en"", ""hi"")"),"थांग-ता के इतिहास और तकनीकों का प्राथमिक स्रोत कौन सा दस्तावेज़ है?")</f>
        <v>थांग-ता के इतिहास और तकनीकों का प्राथमिक स्रोत कौन सा दस्तावेज़ है?</v>
      </c>
      <c r="H451" s="5" t="str">
        <f>IFERROR(__xludf.DUMMYFUNCTION("GOOGLETRANSLATE(C451, ""en"", ""hi"")"),"ए) पुया, बी) चेइथारोल कुंबाबा, सी) निंगथौरोल लाम्बुबा, डी) थिरुबोम्बा")</f>
        <v>ए) पुया, बी) चेइथारोल कुंबाबा, सी) निंगथौरोल लाम्बुबा, डी) थिरुबोम्बा</v>
      </c>
      <c r="I451" s="5" t="str">
        <f>IFERROR(__xludf.DUMMYFUNCTION("GOOGLETRANSLATE(D451, ""en"", ""hi"")"),"A) पुया")</f>
        <v>A) पुया</v>
      </c>
    </row>
    <row r="452" ht="22.5" customHeight="1">
      <c r="A452" s="3">
        <v>451.0</v>
      </c>
      <c r="B452" s="4" t="s">
        <v>13119</v>
      </c>
      <c r="C452" s="4" t="s">
        <v>13120</v>
      </c>
      <c r="D452" s="4" t="s">
        <v>10930</v>
      </c>
      <c r="F452" s="5" t="str">
        <f>IFERROR(__xludf.DUMMYFUNCTION("GOOGLETRANSLATE(A452, ""en"", ""hi"")"),"451")</f>
        <v>451</v>
      </c>
      <c r="G452" s="5" t="str">
        <f>IFERROR(__xludf.DUMMYFUNCTION("GOOGLETRANSLATE(B452, ""en"", ""hi"")"),"पारंपरिक मणिपुरी समाज में थांग-ता मुख्य रूप से किस समूह द्वारा प्रचलित था?")</f>
        <v>पारंपरिक मणिपुरी समाज में थांग-ता मुख्य रूप से किस समूह द्वारा प्रचलित था?</v>
      </c>
      <c r="H452" s="5" t="str">
        <f>IFERROR(__xludf.DUMMYFUNCTION("GOOGLETRANSLATE(C452, ""en"", ""hi"")"),"A) पुजारी, B) योद्धा, C) कारीगर, D) किसान")</f>
        <v>A) पुजारी, B) योद्धा, C) कारीगर, D) किसान</v>
      </c>
      <c r="I452" s="5" t="str">
        <f>IFERROR(__xludf.DUMMYFUNCTION("GOOGLETRANSLATE(D452, ""en"", ""hi"")"),"बी) योद्धा")</f>
        <v>बी) योद्धा</v>
      </c>
    </row>
    <row r="453" ht="22.5" customHeight="1">
      <c r="A453" s="3">
        <v>452.0</v>
      </c>
      <c r="B453" s="4" t="s">
        <v>13121</v>
      </c>
      <c r="C453" s="4" t="s">
        <v>12867</v>
      </c>
      <c r="D453" s="4" t="s">
        <v>12086</v>
      </c>
      <c r="F453" s="5" t="str">
        <f>IFERROR(__xludf.DUMMYFUNCTION("GOOGLETRANSLATE(A453, ""en"", ""hi"")"),"452")</f>
        <v>452</v>
      </c>
      <c r="G453" s="5" t="str">
        <f>IFERROR(__xludf.DUMMYFUNCTION("GOOGLETRANSLATE(B453, ""en"", ""hi"")"),"कौन सा मणिपुरी त्यौहार थांग-ता को पारंपरिक प्रदर्शन के रूप में प्रदर्शित करता है?")</f>
        <v>कौन सा मणिपुरी त्यौहार थांग-ता को पारंपरिक प्रदर्शन के रूप में प्रदर्शित करता है?</v>
      </c>
      <c r="H453" s="5" t="str">
        <f>IFERROR(__xludf.DUMMYFUNCTION("GOOGLETRANSLATE(C453, ""en"", ""hi"")"),"ए) लाई हराओबा, बी) निंगोल चाकोउबा, सी) याओशांग, डी) चेइराओबा")</f>
        <v>ए) लाई हराओबा, बी) निंगोल चाकोउबा, सी) याओशांग, डी) चेइराओबा</v>
      </c>
      <c r="I453" s="5" t="str">
        <f>IFERROR(__xludf.DUMMYFUNCTION("GOOGLETRANSLATE(D453, ""en"", ""hi"")"),"A) लाई हरोबा")</f>
        <v>A) लाई हरोबा</v>
      </c>
    </row>
    <row r="454" ht="22.5" customHeight="1">
      <c r="A454" s="3">
        <v>453.0</v>
      </c>
      <c r="B454" s="4" t="s">
        <v>13122</v>
      </c>
      <c r="C454" s="4" t="s">
        <v>12909</v>
      </c>
      <c r="D454" s="4" t="s">
        <v>12361</v>
      </c>
      <c r="F454" s="5" t="str">
        <f>IFERROR(__xludf.DUMMYFUNCTION("GOOGLETRANSLATE(A454, ""en"", ""hi"")"),"453")</f>
        <v>453</v>
      </c>
      <c r="G454" s="5" t="str">
        <f>IFERROR(__xludf.DUMMYFUNCTION("GOOGLETRANSLATE(B454, ""en"", ""hi"")"),"किस मणिपुरी राजा के शासनकाल में औपनिवेशिक चुनौतियों के बीच थांग-ता को संरक्षित करने के प्रयास किए गए?")</f>
        <v>किस मणिपुरी राजा के शासनकाल में औपनिवेशिक चुनौतियों के बीच थांग-ता को संरक्षित करने के प्रयास किए गए?</v>
      </c>
      <c r="H454" s="5" t="str">
        <f>IFERROR(__xludf.DUMMYFUNCTION("GOOGLETRANSLATE(C454,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54" s="5" t="str">
        <f>IFERROR(__xludf.DUMMYFUNCTION("GOOGLETRANSLATE(D454, ""en"", ""hi"")"),"A) महाराजा गंभीर सिंह")</f>
        <v>A) महाराजा गंभीर सिंह</v>
      </c>
    </row>
    <row r="455" ht="22.5" customHeight="1">
      <c r="A455" s="3">
        <v>454.0</v>
      </c>
      <c r="B455" s="4" t="s">
        <v>13123</v>
      </c>
      <c r="C455" s="4" t="s">
        <v>13124</v>
      </c>
      <c r="D455" s="4" t="s">
        <v>12831</v>
      </c>
      <c r="F455" s="5" t="str">
        <f>IFERROR(__xludf.DUMMYFUNCTION("GOOGLETRANSLATE(A455, ""en"", ""hi"")"),"454")</f>
        <v>454</v>
      </c>
      <c r="G455" s="5" t="str">
        <f>IFERROR(__xludf.DUMMYFUNCTION("GOOGLETRANSLATE(B455, ""en"", ""hi"")"),"20वीं सदी में थांग-टा के पुनरुत्थान का श्रेय किस व्यक्ति के प्रयासों को दिया जाता है?")</f>
        <v>20वीं सदी में थांग-टा के पुनरुत्थान का श्रेय किस व्यक्ति के प्रयासों को दिया जाता है?</v>
      </c>
      <c r="H455" s="5" t="str">
        <f>IFERROR(__xludf.DUMMYFUNCTION("GOOGLETRANSLATE(C455, ""en"", ""hi"")"),"ए) गुरुमायुम गौरकिशोर शर्मा, बी) महाराजा भाग्यचंद्र, सी) महाराजा गंभीर सिंह, डी) महाराजा चंद्रकीर्ति")</f>
        <v>ए) गुरुमायुम गौरकिशोर शर्मा, बी) महाराजा भाग्यचंद्र, सी) महाराजा गंभीर सिंह, डी) महाराजा चंद्रकीर्ति</v>
      </c>
      <c r="I455" s="5" t="str">
        <f>IFERROR(__xludf.DUMMYFUNCTION("GOOGLETRANSLATE(D455, ""en"", ""hi"")"),"ए) गुरुमायुम गौरकिशोर शर्मा")</f>
        <v>ए) गुरुमायुम गौरकिशोर शर्मा</v>
      </c>
    </row>
    <row r="456" ht="22.5" customHeight="1">
      <c r="A456" s="3">
        <v>455.0</v>
      </c>
      <c r="B456" s="4" t="s">
        <v>13125</v>
      </c>
      <c r="C456" s="4" t="s">
        <v>13126</v>
      </c>
      <c r="D456" s="4" t="s">
        <v>13127</v>
      </c>
      <c r="F456" s="5" t="str">
        <f>IFERROR(__xludf.DUMMYFUNCTION("GOOGLETRANSLATE(A456, ""en"", ""hi"")"),"455")</f>
        <v>455</v>
      </c>
      <c r="G456" s="5" t="str">
        <f>IFERROR(__xludf.DUMMYFUNCTION("GOOGLETRANSLATE(B456, ""en"", ""hi"")"),"थांग-ता किस पारंपरिक मणिपुरी सांस्कृतिक पहलू से निकटता से जुड़ा हुआ है?")</f>
        <v>थांग-ता किस पारंपरिक मणिपुरी सांस्कृतिक पहलू से निकटता से जुड़ा हुआ है?</v>
      </c>
      <c r="H456" s="5" t="str">
        <f>IFERROR(__xludf.DUMMYFUNCTION("GOOGLETRANSLATE(C456, ""en"", ""hi"")"),"A) संगीत, B) नृत्य, C) अनुष्ठान, D) त्यौहार")</f>
        <v>A) संगीत, B) नृत्य, C) अनुष्ठान, D) त्यौहार</v>
      </c>
      <c r="I456" s="5" t="str">
        <f>IFERROR(__xludf.DUMMYFUNCTION("GOOGLETRANSLATE(D456, ""en"", ""hi"")"),"सी) अनुष्ठान")</f>
        <v>सी) अनुष्ठान</v>
      </c>
    </row>
    <row r="457" ht="22.5" customHeight="1">
      <c r="A457" s="3">
        <v>456.0</v>
      </c>
      <c r="B457" s="4" t="s">
        <v>13128</v>
      </c>
      <c r="C457" s="4" t="s">
        <v>12724</v>
      </c>
      <c r="D457" s="4" t="s">
        <v>12725</v>
      </c>
      <c r="F457" s="5" t="str">
        <f>IFERROR(__xludf.DUMMYFUNCTION("GOOGLETRANSLATE(A457, ""en"", ""hi"")"),"456")</f>
        <v>456</v>
      </c>
      <c r="G457" s="5" t="str">
        <f>IFERROR(__xludf.DUMMYFUNCTION("GOOGLETRANSLATE(B457, ""en"", ""hi"")"),"किस मणिपुरी ग्रंथ में थांग-ता तकनीकों का विस्तृत वर्णन है?")</f>
        <v>किस मणिपुरी ग्रंथ में थांग-ता तकनीकों का विस्तृत वर्णन है?</v>
      </c>
      <c r="H457" s="5" t="str">
        <f>IFERROR(__xludf.DUMMYFUNCTION("GOOGLETRANSLATE(C457, ""en"", ""hi"")"),"ए) निंगथौरोल लाम्बुबा, बी) पुया, सी) चेइथारोल कुंबाबा, डी) कांगलेइरोल")</f>
        <v>ए) निंगथौरोल लाम्बुबा, बी) पुया, सी) चेइथारोल कुंबाबा, डी) कांगलेइरोल</v>
      </c>
      <c r="I457" s="5" t="str">
        <f>IFERROR(__xludf.DUMMYFUNCTION("GOOGLETRANSLATE(D457, ""en"", ""hi"")"),"बी) पुया")</f>
        <v>बी) पुया</v>
      </c>
    </row>
    <row r="458" ht="22.5" customHeight="1">
      <c r="A458" s="3">
        <v>457.0</v>
      </c>
      <c r="B458" s="4" t="s">
        <v>13129</v>
      </c>
      <c r="C458" s="4" t="s">
        <v>13130</v>
      </c>
      <c r="D458" s="4" t="s">
        <v>13131</v>
      </c>
      <c r="F458" s="5" t="str">
        <f>IFERROR(__xludf.DUMMYFUNCTION("GOOGLETRANSLATE(A458, ""en"", ""hi"")"),"457")</f>
        <v>457</v>
      </c>
      <c r="G458" s="5" t="str">
        <f>IFERROR(__xludf.DUMMYFUNCTION("GOOGLETRANSLATE(B458, ""en"", ""hi"")"),"थांग-ता प्रशिक्षण ऐतिहासिक रूप से किस प्रकार के स्थान पर हुआ था?")</f>
        <v>थांग-ता प्रशिक्षण ऐतिहासिक रूप से किस प्रकार के स्थान पर हुआ था?</v>
      </c>
      <c r="H458" s="5" t="str">
        <f>IFERROR(__xludf.DUMMYFUNCTION("GOOGLETRANSLATE(C458, ""en"", ""hi"")"),"A) मंदिर, B) शाही दरबार, C) वन, D) सामुदायिक केंद्र")</f>
        <v>A) मंदिर, B) शाही दरबार, C) वन, D) सामुदायिक केंद्र</v>
      </c>
      <c r="I458" s="5" t="str">
        <f>IFERROR(__xludf.DUMMYFUNCTION("GOOGLETRANSLATE(D458, ""en"", ""hi"")"),"सी) वन")</f>
        <v>सी) वन</v>
      </c>
    </row>
    <row r="459" ht="22.5" customHeight="1">
      <c r="A459" s="3">
        <v>458.0</v>
      </c>
      <c r="B459" s="4" t="s">
        <v>13132</v>
      </c>
      <c r="C459" s="4" t="s">
        <v>13057</v>
      </c>
      <c r="D459" s="4" t="s">
        <v>13133</v>
      </c>
      <c r="F459" s="5" t="str">
        <f>IFERROR(__xludf.DUMMYFUNCTION("GOOGLETRANSLATE(A459, ""en"", ""hi"")"),"458")</f>
        <v>458</v>
      </c>
      <c r="G459" s="5" t="str">
        <f>IFERROR(__xludf.DUMMYFUNCTION("GOOGLETRANSLATE(B459, ""en"", ""hi"")"),"कौन सा मणिपुरी राजा पूर्व-औपनिवेशिक काल के दौरान थांग-ता में अपने योगदान के लिए जाना जाता है?")</f>
        <v>कौन सा मणिपुरी राजा पूर्व-औपनिवेशिक काल के दौरान थांग-ता में अपने योगदान के लिए जाना जाता है?</v>
      </c>
      <c r="H459" s="5" t="str">
        <f>IFERROR(__xludf.DUMMYFUNCTION("GOOGLETRANSLATE(C459,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459" s="5" t="str">
        <f>IFERROR(__xludf.DUMMYFUNCTION("GOOGLETRANSLATE(D459, ""en"", ""hi"")"),"A) महाराजा खगेम्बा")</f>
        <v>A) महाराजा खगेम्बा</v>
      </c>
    </row>
    <row r="460" ht="22.5" customHeight="1">
      <c r="A460" s="3">
        <v>459.0</v>
      </c>
      <c r="B460" s="4" t="s">
        <v>13134</v>
      </c>
      <c r="C460" s="4" t="s">
        <v>13135</v>
      </c>
      <c r="D460" s="4" t="s">
        <v>13136</v>
      </c>
      <c r="F460" s="5" t="str">
        <f>IFERROR(__xludf.DUMMYFUNCTION("GOOGLETRANSLATE(A460, ""en"", ""hi"")"),"459")</f>
        <v>459</v>
      </c>
      <c r="G460" s="5" t="str">
        <f>IFERROR(__xludf.DUMMYFUNCTION("GOOGLETRANSLATE(B460, ""en"", ""hi"")"),"औपनिवेशिक शासन के दौरान थांग-ता प्रथा में गिरावट मुख्यतः इसके निम्नलिखित से जुड़े होने के कारण थी:")</f>
        <v>औपनिवेशिक शासन के दौरान थांग-ता प्रथा में गिरावट मुख्यतः इसके निम्नलिखित से जुड़े होने के कारण थी:</v>
      </c>
      <c r="H460" s="5" t="str">
        <f>IFERROR(__xludf.DUMMYFUNCTION("GOOGLETRANSLATE(C460, ""en"", ""hi"")"),"A) राजघराना, B) धर्म, C) सैन्य प्रतिरोध, D) कृषि")</f>
        <v>A) राजघराना, B) धर्म, C) सैन्य प्रतिरोध, D) कृषि</v>
      </c>
      <c r="I460" s="5" t="str">
        <f>IFERROR(__xludf.DUMMYFUNCTION("GOOGLETRANSLATE(D460, ""en"", ""hi"")"),"C) सैन्य प्रतिरोध")</f>
        <v>C) सैन्य प्रतिरोध</v>
      </c>
    </row>
    <row r="461" ht="22.5" customHeight="1">
      <c r="A461" s="3">
        <v>460.0</v>
      </c>
      <c r="B461" s="4" t="s">
        <v>13137</v>
      </c>
      <c r="C461" s="4" t="s">
        <v>12389</v>
      </c>
      <c r="D461" s="4" t="s">
        <v>12086</v>
      </c>
      <c r="F461" s="5" t="str">
        <f>IFERROR(__xludf.DUMMYFUNCTION("GOOGLETRANSLATE(A461, ""en"", ""hi"")"),"460")</f>
        <v>460</v>
      </c>
      <c r="G461" s="5" t="str">
        <f>IFERROR(__xludf.DUMMYFUNCTION("GOOGLETRANSLATE(B461, ""en"", ""hi"")"),"कौन सा मणिपुरी त्यौहार पारंपरिक रूप से थांग-ता प्रदर्शन के लिए प्रयोग किया जाता था?")</f>
        <v>कौन सा मणिपुरी त्यौहार पारंपरिक रूप से थांग-ता प्रदर्शन के लिए प्रयोग किया जाता था?</v>
      </c>
      <c r="H461" s="5" t="str">
        <f>IFERROR(__xludf.DUMMYFUNCTION("GOOGLETRANSLATE(C461, ""en"", ""hi"")"),"ए) लाई हराओबा, बी) याओशांग, सी) निंगोल चाकोउबा, डी) चेइराओबा")</f>
        <v>ए) लाई हराओबा, बी) याओशांग, सी) निंगोल चाकोउबा, डी) चेइराओबा</v>
      </c>
      <c r="I461" s="5" t="str">
        <f>IFERROR(__xludf.DUMMYFUNCTION("GOOGLETRANSLATE(D461, ""en"", ""hi"")"),"A) लाई हरोबा")</f>
        <v>A) लाई हरोबा</v>
      </c>
    </row>
    <row r="462" ht="22.5" customHeight="1">
      <c r="A462" s="3">
        <v>461.0</v>
      </c>
      <c r="B462" s="4" t="s">
        <v>13138</v>
      </c>
      <c r="C462" s="4" t="s">
        <v>13139</v>
      </c>
      <c r="D462" s="4" t="s">
        <v>13140</v>
      </c>
      <c r="F462" s="5" t="str">
        <f>IFERROR(__xludf.DUMMYFUNCTION("GOOGLETRANSLATE(A462, ""en"", ""hi"")"),"461")</f>
        <v>461</v>
      </c>
      <c r="G462" s="5" t="str">
        <f>IFERROR(__xludf.DUMMYFUNCTION("GOOGLETRANSLATE(B462, ""en"", ""hi"")"),"किस ऐतिहासिक घटना के कारण मणिपुर में थांग-ता का दमन हुआ?")</f>
        <v>किस ऐतिहासिक घटना के कारण मणिपुर में थांग-ता का दमन हुआ?</v>
      </c>
      <c r="H462" s="5" t="str">
        <f>IFERROR(__xludf.DUMMYFUNCTION("GOOGLETRANSLATE(C462, ""en"", ""hi"")"),"A) बर्मी आक्रमण, B) ब्रिटिश विलय, C) द्वितीय अफीम युद्ध, D) प्रथम विश्व युद्ध")</f>
        <v>A) बर्मी आक्रमण, B) ब्रिटिश विलय, C) द्वितीय अफीम युद्ध, D) प्रथम विश्व युद्ध</v>
      </c>
      <c r="I462" s="5" t="str">
        <f>IFERROR(__xludf.DUMMYFUNCTION("GOOGLETRANSLATE(D462, ""en"", ""hi"")"),"बी) ब्रिटिश विलय")</f>
        <v>बी) ब्रिटिश विलय</v>
      </c>
    </row>
    <row r="463" ht="22.5" customHeight="1">
      <c r="A463" s="3">
        <v>462.0</v>
      </c>
      <c r="B463" s="4" t="s">
        <v>13141</v>
      </c>
      <c r="C463" s="4" t="s">
        <v>12981</v>
      </c>
      <c r="D463" s="4" t="s">
        <v>12855</v>
      </c>
      <c r="F463" s="5" t="str">
        <f>IFERROR(__xludf.DUMMYFUNCTION("GOOGLETRANSLATE(A463, ""en"", ""hi"")"),"462")</f>
        <v>462</v>
      </c>
      <c r="G463" s="5" t="str">
        <f>IFERROR(__xludf.DUMMYFUNCTION("GOOGLETRANSLATE(B463, ""en"", ""hi"")"),"कौन सा मणिपुरी पाठ थांग-ता तकनीकों के लिए ऐतिहासिक संदर्भ प्रदान करता है?")</f>
        <v>कौन सा मणिपुरी पाठ थांग-ता तकनीकों के लिए ऐतिहासिक संदर्भ प्रदान करता है?</v>
      </c>
      <c r="H463" s="5" t="str">
        <f>IFERROR(__xludf.DUMMYFUNCTION("GOOGLETRANSLATE(C463, ""en"", ""hi"")"),"ए) पुया, बी) निंगथौरोल लाम्बुबा, सी) चेइथारोल कुंबाबा, डी) कांगलेइरोल")</f>
        <v>ए) पुया, बी) निंगथौरोल लाम्बुबा, सी) चेइथारोल कुंबाबा, डी) कांगलेइरोल</v>
      </c>
      <c r="I463" s="5" t="str">
        <f>IFERROR(__xludf.DUMMYFUNCTION("GOOGLETRANSLATE(D463, ""en"", ""hi"")"),"A) पुया")</f>
        <v>A) पुया</v>
      </c>
    </row>
    <row r="464" ht="22.5" customHeight="1">
      <c r="A464" s="3">
        <v>463.0</v>
      </c>
      <c r="B464" s="4" t="s">
        <v>13142</v>
      </c>
      <c r="C464" s="4" t="s">
        <v>13143</v>
      </c>
      <c r="D464" s="4" t="s">
        <v>10930</v>
      </c>
      <c r="F464" s="5" t="str">
        <f>IFERROR(__xludf.DUMMYFUNCTION("GOOGLETRANSLATE(A464, ""en"", ""hi"")"),"463")</f>
        <v>463</v>
      </c>
      <c r="G464" s="5" t="str">
        <f>IFERROR(__xludf.DUMMYFUNCTION("GOOGLETRANSLATE(B464, ""en"", ""hi"")"),"थांग-ता प्रशिक्षण पारंपरिक रूप से किस समूह द्वारा पर्यवेक्षण किया जाता था?")</f>
        <v>थांग-ता प्रशिक्षण पारंपरिक रूप से किस समूह द्वारा पर्यवेक्षण किया जाता था?</v>
      </c>
      <c r="H464" s="5" t="str">
        <f>IFERROR(__xludf.DUMMYFUNCTION("GOOGLETRANSLATE(C464, ""en"", ""hi"")"),"A) पुजारी, B) योद्धा, C) कारीगर, D) विद्वान")</f>
        <v>A) पुजारी, B) योद्धा, C) कारीगर, D) विद्वान</v>
      </c>
      <c r="I464" s="5" t="str">
        <f>IFERROR(__xludf.DUMMYFUNCTION("GOOGLETRANSLATE(D464, ""en"", ""hi"")"),"बी) योद्धा")</f>
        <v>बी) योद्धा</v>
      </c>
    </row>
    <row r="465" ht="22.5" customHeight="1">
      <c r="A465" s="3">
        <v>464.0</v>
      </c>
      <c r="B465" s="4" t="s">
        <v>13144</v>
      </c>
      <c r="C465" s="4" t="s">
        <v>13038</v>
      </c>
      <c r="D465" s="4" t="s">
        <v>12153</v>
      </c>
      <c r="F465" s="5" t="str">
        <f>IFERROR(__xludf.DUMMYFUNCTION("GOOGLETRANSLATE(A465, ""en"", ""hi"")"),"464")</f>
        <v>464</v>
      </c>
      <c r="G465" s="5" t="str">
        <f>IFERROR(__xludf.DUMMYFUNCTION("GOOGLETRANSLATE(B465, ""en"", ""hi"")"),"किस मणिपुरी राजा ने राज्य की रक्षा व्यवस्था के हिस्से के रूप में थांग-ता को बढ़ावा दिया?")</f>
        <v>किस मणिपुरी राजा ने राज्य की रक्षा व्यवस्था के हिस्से के रूप में थांग-ता को बढ़ावा दिया?</v>
      </c>
      <c r="H465" s="5" t="str">
        <f>IFERROR(__xludf.DUMMYFUNCTION("GOOGLETRANSLATE(C465,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65" s="5" t="str">
        <f>IFERROR(__xludf.DUMMYFUNCTION("GOOGLETRANSLATE(D465, ""en"", ""hi"")"),"बी) महाराजा गंभीर सिंह")</f>
        <v>बी) महाराजा गंभीर सिंह</v>
      </c>
    </row>
    <row r="466" ht="22.5" customHeight="1">
      <c r="A466" s="3">
        <v>465.0</v>
      </c>
      <c r="B466" s="4" t="s">
        <v>13145</v>
      </c>
      <c r="C466" s="4" t="s">
        <v>13146</v>
      </c>
      <c r="D466" s="4" t="s">
        <v>13050</v>
      </c>
      <c r="F466" s="5" t="str">
        <f>IFERROR(__xludf.DUMMYFUNCTION("GOOGLETRANSLATE(A466, ""en"", ""hi"")"),"465")</f>
        <v>465</v>
      </c>
      <c r="G466" s="5" t="str">
        <f>IFERROR(__xludf.DUMMYFUNCTION("GOOGLETRANSLATE(B466, ""en"", ""hi"")"),"औपनिवेशिक काल के दौरान थांग-ता प्रथा में गिरावट मुख्य रूप से किस प्रकार के प्रतिरोध से जुड़ी होने के कारण थी?")</f>
        <v>औपनिवेशिक काल के दौरान थांग-ता प्रथा में गिरावट मुख्य रूप से किस प्रकार के प्रतिरोध से जुड़ी होने के कारण थी?</v>
      </c>
      <c r="H466" s="5" t="str">
        <f>IFERROR(__xludf.DUMMYFUNCTION("GOOGLETRANSLATE(C466, ""en"", ""hi"")"),"A) राजनीतिक, B) आर्थिक, C) सांस्कृतिक, D) सैन्य")</f>
        <v>A) राजनीतिक, B) आर्थिक, C) सांस्कृतिक, D) सैन्य</v>
      </c>
      <c r="I466" s="5" t="str">
        <f>IFERROR(__xludf.DUMMYFUNCTION("GOOGLETRANSLATE(D466, ""en"", ""hi"")"),"डी) सैन्य")</f>
        <v>डी) सैन्य</v>
      </c>
    </row>
    <row r="467" ht="22.5" customHeight="1">
      <c r="A467" s="3">
        <v>466.0</v>
      </c>
      <c r="B467" s="4" t="s">
        <v>13147</v>
      </c>
      <c r="C467" s="4" t="s">
        <v>12959</v>
      </c>
      <c r="D467" s="4" t="s">
        <v>12855</v>
      </c>
      <c r="F467" s="5" t="str">
        <f>IFERROR(__xludf.DUMMYFUNCTION("GOOGLETRANSLATE(A467, ""en"", ""hi"")"),"466")</f>
        <v>466</v>
      </c>
      <c r="G467" s="5" t="str">
        <f>IFERROR(__xludf.DUMMYFUNCTION("GOOGLETRANSLATE(B467, ""en"", ""hi"")"),"थांग-ता के मार्शल आर्ट पहलू को समझने के लिए कौन सा दस्तावेज़ आवश्यक है?")</f>
        <v>थांग-ता के मार्शल आर्ट पहलू को समझने के लिए कौन सा दस्तावेज़ आवश्यक है?</v>
      </c>
      <c r="H467" s="5" t="str">
        <f>IFERROR(__xludf.DUMMYFUNCTION("GOOGLETRANSLATE(C467, ""en"", ""hi"")"),"ए) पुया, बी) चेइथारोल कुंबाबा, सी) निंगथौरोल लाम्बुबा, डी) थिरुबोम्बा")</f>
        <v>ए) पुया, बी) चेइथारोल कुंबाबा, सी) निंगथौरोल लाम्बुबा, डी) थिरुबोम्बा</v>
      </c>
      <c r="I467" s="5" t="str">
        <f>IFERROR(__xludf.DUMMYFUNCTION("GOOGLETRANSLATE(D467, ""en"", ""hi"")"),"A) पुया")</f>
        <v>A) पुया</v>
      </c>
    </row>
    <row r="468" ht="22.5" customHeight="1">
      <c r="A468" s="3">
        <v>467.0</v>
      </c>
      <c r="B468" s="4" t="s">
        <v>13148</v>
      </c>
      <c r="C468" s="4" t="s">
        <v>13149</v>
      </c>
      <c r="D468" s="4" t="s">
        <v>13150</v>
      </c>
      <c r="F468" s="5" t="str">
        <f>IFERROR(__xludf.DUMMYFUNCTION("GOOGLETRANSLATE(A468, ""en"", ""hi"")"),"467")</f>
        <v>467</v>
      </c>
      <c r="G468" s="5" t="str">
        <f>IFERROR(__xludf.DUMMYFUNCTION("GOOGLETRANSLATE(B468, ""en"", ""hi"")"),"थांग-ता पारंपरिक रूप से किस प्रकार के मणिपुरी समारोह के भाग के रूप में किया जाता है?")</f>
        <v>थांग-ता पारंपरिक रूप से किस प्रकार के मणिपुरी समारोह के भाग के रूप में किया जाता है?</v>
      </c>
      <c r="H468" s="5" t="str">
        <f>IFERROR(__xludf.DUMMYFUNCTION("GOOGLETRANSLATE(C468, ""en"", ""hi"")"),"A) फसल, B) धार्मिक, C) शाही, D) सामाजिक")</f>
        <v>A) फसल, B) धार्मिक, C) शाही, D) सामाजिक</v>
      </c>
      <c r="I468" s="5" t="str">
        <f>IFERROR(__xludf.DUMMYFUNCTION("GOOGLETRANSLATE(D468, ""en"", ""hi"")"),"बी) धार्मिक")</f>
        <v>बी) धार्मिक</v>
      </c>
    </row>
    <row r="469" ht="22.5" customHeight="1">
      <c r="A469" s="3">
        <v>468.0</v>
      </c>
      <c r="B469" s="4" t="s">
        <v>13151</v>
      </c>
      <c r="C469" s="4" t="s">
        <v>12927</v>
      </c>
      <c r="D469" s="4" t="s">
        <v>13010</v>
      </c>
      <c r="F469" s="5" t="str">
        <f>IFERROR(__xludf.DUMMYFUNCTION("GOOGLETRANSLATE(A469, ""en"", ""hi"")"),"468")</f>
        <v>468</v>
      </c>
      <c r="G469" s="5" t="str">
        <f>IFERROR(__xludf.DUMMYFUNCTION("GOOGLETRANSLATE(B469, ""en"", ""hi"")"),"किस मणिपुरी महाकाव्य में थांग-ता की मार्शल आर्ट परंपरा का संदर्भ शामिल है?")</f>
        <v>किस मणिपुरी महाकाव्य में थांग-ता की मार्शल आर्ट परंपरा का संदर्भ शामिल है?</v>
      </c>
      <c r="H469" s="5" t="str">
        <f>IFERROR(__xludf.DUMMYFUNCTION("GOOGLETRANSLATE(C469, ""en"", ""hi"")"),"ए) खंबा थोइबी, बी) पुयास, सी) निंगथौरोल लाम्बुबा, डी) थिरुबोम्बा")</f>
        <v>ए) खंबा थोइबी, बी) पुयास, सी) निंगथौरोल लाम्बुबा, डी) थिरुबोम्बा</v>
      </c>
      <c r="I469" s="5" t="str">
        <f>IFERROR(__xludf.DUMMYFUNCTION("GOOGLETRANSLATE(D469, ""en"", ""hi"")"),"बी) पुयास")</f>
        <v>बी) पुयास</v>
      </c>
    </row>
    <row r="470" ht="22.5" customHeight="1">
      <c r="A470" s="3">
        <v>469.0</v>
      </c>
      <c r="B470" s="4" t="s">
        <v>13152</v>
      </c>
      <c r="C470" s="4" t="s">
        <v>12976</v>
      </c>
      <c r="D470" s="4" t="s">
        <v>12831</v>
      </c>
      <c r="F470" s="5" t="str">
        <f>IFERROR(__xludf.DUMMYFUNCTION("GOOGLETRANSLATE(A470, ""en"", ""hi"")"),"469")</f>
        <v>469</v>
      </c>
      <c r="G470" s="5" t="str">
        <f>IFERROR(__xludf.DUMMYFUNCTION("GOOGLETRANSLATE(B470, ""en"", ""hi"")"),"आधुनिक समय में थांग-टा के पुनरुत्थान का श्रेय किस व्यक्ति के प्रयासों को दिया जाता है?")</f>
        <v>आधुनिक समय में थांग-टा के पुनरुत्थान का श्रेय किस व्यक्ति के प्रयासों को दिया जाता है?</v>
      </c>
      <c r="H470" s="5" t="str">
        <f>IFERROR(__xludf.DUMMYFUNCTION("GOOGLETRANSLATE(C470,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470" s="5" t="str">
        <f>IFERROR(__xludf.DUMMYFUNCTION("GOOGLETRANSLATE(D470, ""en"", ""hi"")"),"ए) गुरुमायुम गौरकिशोर शर्मा")</f>
        <v>ए) गुरुमायुम गौरकिशोर शर्मा</v>
      </c>
    </row>
    <row r="471" ht="22.5" customHeight="1">
      <c r="A471" s="3">
        <v>470.0</v>
      </c>
      <c r="B471" s="4" t="s">
        <v>13153</v>
      </c>
      <c r="C471" s="4" t="s">
        <v>12897</v>
      </c>
      <c r="D471" s="4" t="s">
        <v>12153</v>
      </c>
      <c r="F471" s="5" t="str">
        <f>IFERROR(__xludf.DUMMYFUNCTION("GOOGLETRANSLATE(A471, ""en"", ""hi"")"),"470")</f>
        <v>470</v>
      </c>
      <c r="G471" s="5" t="str">
        <f>IFERROR(__xludf.DUMMYFUNCTION("GOOGLETRANSLATE(B471, ""en"", ""hi"")"),"किस मणिपुरी राजा के शासनकाल में थांग-ता प्रथा का पुनरुत्थान हुआ?")</f>
        <v>किस मणिपुरी राजा के शासनकाल में थांग-ता प्रथा का पुनरुत्थान हुआ?</v>
      </c>
      <c r="H471" s="5" t="str">
        <f>IFERROR(__xludf.DUMMYFUNCTION("GOOGLETRANSLATE(C471, ""en"", ""hi"")"),"ए) महाराजा खगेम्बा, बी) महाराजा गंभीर सिंह, सी) महाराजा भाग्यचंद्र, डी) महाराजा चंद्रकीर्ति")</f>
        <v>ए) महाराजा खगेम्बा, बी) महाराजा गंभीर सिंह, सी) महाराजा भाग्यचंद्र, डी) महाराजा चंद्रकीर्ति</v>
      </c>
      <c r="I471" s="5" t="str">
        <f>IFERROR(__xludf.DUMMYFUNCTION("GOOGLETRANSLATE(D471, ""en"", ""hi"")"),"बी) महाराजा गंभीर सिंह")</f>
        <v>बी) महाराजा गंभीर सिंह</v>
      </c>
    </row>
    <row r="472" ht="22.5" customHeight="1">
      <c r="A472" s="3">
        <v>471.0</v>
      </c>
      <c r="B472" s="4" t="s">
        <v>13154</v>
      </c>
      <c r="C472" s="4" t="s">
        <v>13155</v>
      </c>
      <c r="D472" s="4" t="s">
        <v>4161</v>
      </c>
      <c r="F472" s="5" t="str">
        <f>IFERROR(__xludf.DUMMYFUNCTION("GOOGLETRANSLATE(A472, ""en"", ""hi"")"),"471")</f>
        <v>471</v>
      </c>
      <c r="G472" s="5" t="str">
        <f>IFERROR(__xludf.DUMMYFUNCTION("GOOGLETRANSLATE(B472, ""en"", ""hi"")"),"थांग-ता का इतिहास किस पारंपरिक मणिपुरी कला से गहराई से जुड़ा हुआ है?")</f>
        <v>थांग-ता का इतिहास किस पारंपरिक मणिपुरी कला से गहराई से जुड़ा हुआ है?</v>
      </c>
      <c r="H472" s="5" t="str">
        <f>IFERROR(__xludf.DUMMYFUNCTION("GOOGLETRANSLATE(C472, ""en"", ""hi"")"),"A) नृत्य, B) मार्शल आर्ट, C) संगीत, D) चित्रकला")</f>
        <v>A) नृत्य, B) मार्शल आर्ट, C) संगीत, D) चित्रकला</v>
      </c>
      <c r="I472" s="5" t="str">
        <f>IFERROR(__xludf.DUMMYFUNCTION("GOOGLETRANSLATE(D472, ""en"", ""hi"")"),"बी) मार्शल आर्ट")</f>
        <v>बी) मार्शल आर्ट</v>
      </c>
    </row>
    <row r="473" ht="22.5" customHeight="1">
      <c r="A473" s="3">
        <v>472.0</v>
      </c>
      <c r="B473" s="4" t="s">
        <v>13156</v>
      </c>
      <c r="C473" s="4" t="s">
        <v>13003</v>
      </c>
      <c r="D473" s="4" t="s">
        <v>12855</v>
      </c>
      <c r="F473" s="5" t="str">
        <f>IFERROR(__xludf.DUMMYFUNCTION("GOOGLETRANSLATE(A473, ""en"", ""hi"")"),"472")</f>
        <v>472</v>
      </c>
      <c r="G473" s="5" t="str">
        <f>IFERROR(__xludf.DUMMYFUNCTION("GOOGLETRANSLATE(B473, ""en"", ""hi"")"),"कौन सा ऐतिहासिक दस्तावेज़ थांग-ता के दार्शनिक और तकनीकी पहलुओं पर अंतर्दृष्टि प्रदान करता है?")</f>
        <v>कौन सा ऐतिहासिक दस्तावेज़ थांग-ता के दार्शनिक और तकनीकी पहलुओं पर अंतर्दृष्टि प्रदान करता है?</v>
      </c>
      <c r="H473" s="5" t="str">
        <f>IFERROR(__xludf.DUMMYFUNCTION("GOOGLETRANSLATE(C473, ""en"", ""hi"")"),"ए) पुया, बी) चेइथारोल कुंबाबा, सी) निंगथौरोल लाम्बुबा, डी) कांगलेइरोल")</f>
        <v>ए) पुया, बी) चेइथारोल कुंबाबा, सी) निंगथौरोल लाम्बुबा, डी) कांगलेइरोल</v>
      </c>
      <c r="I473" s="5" t="str">
        <f>IFERROR(__xludf.DUMMYFUNCTION("GOOGLETRANSLATE(D473, ""en"", ""hi"")"),"A) पुया")</f>
        <v>A) पुया</v>
      </c>
    </row>
    <row r="474" ht="22.5" customHeight="1">
      <c r="A474" s="3">
        <v>473.0</v>
      </c>
      <c r="B474" s="4" t="s">
        <v>13157</v>
      </c>
      <c r="C474" s="4" t="s">
        <v>13158</v>
      </c>
      <c r="D474" s="4" t="s">
        <v>13159</v>
      </c>
      <c r="F474" s="5" t="str">
        <f>IFERROR(__xludf.DUMMYFUNCTION("GOOGLETRANSLATE(A474, ""en"", ""hi"")"),"473")</f>
        <v>473</v>
      </c>
      <c r="G474" s="5" t="str">
        <f>IFERROR(__xludf.DUMMYFUNCTION("GOOGLETRANSLATE(B474, ""en"", ""hi"")"),"थांग-ता पारंपरिक रूप से किस प्रकार के मणिपुरी त्योहारों के हिस्से के रूप में प्रचलित था?")</f>
        <v>थांग-ता पारंपरिक रूप से किस प्रकार के मणिपुरी त्योहारों के हिस्से के रूप में प्रचलित था?</v>
      </c>
      <c r="H474" s="5" t="str">
        <f>IFERROR(__xludf.DUMMYFUNCTION("GOOGLETRANSLATE(C474, ""en"", ""hi"")"),"A) फसल, B) सांस्कृतिक, C) शाही, D) धार्मिक")</f>
        <v>A) फसल, B) सांस्कृतिक, C) शाही, D) धार्मिक</v>
      </c>
      <c r="I474" s="5" t="str">
        <f>IFERROR(__xludf.DUMMYFUNCTION("GOOGLETRANSLATE(D474, ""en"", ""hi"")"),"डी) धार्मिक")</f>
        <v>डी) धार्मिक</v>
      </c>
    </row>
    <row r="475" ht="22.5" customHeight="1">
      <c r="A475" s="3">
        <v>474.0</v>
      </c>
      <c r="B475" s="4" t="s">
        <v>13160</v>
      </c>
      <c r="C475" s="4" t="s">
        <v>13038</v>
      </c>
      <c r="D475" s="4" t="s">
        <v>12153</v>
      </c>
      <c r="F475" s="5" t="str">
        <f>IFERROR(__xludf.DUMMYFUNCTION("GOOGLETRANSLATE(A475, ""en"", ""hi"")"),"474")</f>
        <v>474</v>
      </c>
      <c r="G475" s="5" t="str">
        <f>IFERROR(__xludf.DUMMYFUNCTION("GOOGLETRANSLATE(B475, ""en"", ""hi"")"),"किस मणिपुरी राजा का शासनकाल औपनिवेशिक प्रभावों के कारण थांग-ता में महत्वपूर्ण परिवर्तनों के लिए जाना जाता है?")</f>
        <v>किस मणिपुरी राजा का शासनकाल औपनिवेशिक प्रभावों के कारण थांग-ता में महत्वपूर्ण परिवर्तनों के लिए जाना जाता है?</v>
      </c>
      <c r="H475" s="5" t="str">
        <f>IFERROR(__xludf.DUMMYFUNCTION("GOOGLETRANSLATE(C475,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75" s="5" t="str">
        <f>IFERROR(__xludf.DUMMYFUNCTION("GOOGLETRANSLATE(D475, ""en"", ""hi"")"),"बी) महाराजा गंभीर सिंह")</f>
        <v>बी) महाराजा गंभीर सिंह</v>
      </c>
    </row>
    <row r="476" ht="22.5" customHeight="1">
      <c r="A476" s="3">
        <v>475.0</v>
      </c>
      <c r="B476" s="4" t="s">
        <v>13161</v>
      </c>
      <c r="C476" s="4" t="s">
        <v>13094</v>
      </c>
      <c r="D476" s="4" t="s">
        <v>4367</v>
      </c>
      <c r="F476" s="5" t="str">
        <f>IFERROR(__xludf.DUMMYFUNCTION("GOOGLETRANSLATE(A476, ""en"", ""hi"")"),"475")</f>
        <v>475</v>
      </c>
      <c r="G476" s="5" t="str">
        <f>IFERROR(__xludf.DUMMYFUNCTION("GOOGLETRANSLATE(B476, ""en"", ""hi"")"),"थांग-ता की पारंपरिक प्रथा में किस ऐतिहासिक काल की तकनीकें शामिल हैं?")</f>
        <v>थांग-ता की पारंपरिक प्रथा में किस ऐतिहासिक काल की तकनीकें शामिल हैं?</v>
      </c>
      <c r="H476" s="5" t="str">
        <f>IFERROR(__xludf.DUMMYFUNCTION("GOOGLETRANSLATE(C476, ""en"", ""hi"")"),"A) प्राचीन, B) मध्यकालीन, C) औपनिवेशिक, D) आधुनिक")</f>
        <v>A) प्राचीन, B) मध्यकालीन, C) औपनिवेशिक, D) आधुनिक</v>
      </c>
      <c r="I476" s="5" t="str">
        <f>IFERROR(__xludf.DUMMYFUNCTION("GOOGLETRANSLATE(D476, ""en"", ""hi"")"),"ए) प्राचीन")</f>
        <v>ए) प्राचीन</v>
      </c>
    </row>
    <row r="477" ht="22.5" customHeight="1">
      <c r="A477" s="3">
        <v>476.0</v>
      </c>
      <c r="B477" s="4" t="s">
        <v>13162</v>
      </c>
      <c r="C477" s="4" t="s">
        <v>13163</v>
      </c>
      <c r="D477" s="4" t="s">
        <v>13164</v>
      </c>
      <c r="F477" s="5" t="str">
        <f>IFERROR(__xludf.DUMMYFUNCTION("GOOGLETRANSLATE(A477, ""en"", ""hi"")"),"476")</f>
        <v>476</v>
      </c>
      <c r="G477" s="5" t="str">
        <f>IFERROR(__xludf.DUMMYFUNCTION("GOOGLETRANSLATE(B477, ""en"", ""hi"")"),"औपनिवेशिक काल के दौरान थांग-टा का दमन किस प्रकार के प्रतिरोध से संबंधित था?")</f>
        <v>औपनिवेशिक काल के दौरान थांग-टा का दमन किस प्रकार के प्रतिरोध से संबंधित था?</v>
      </c>
      <c r="H477" s="5" t="str">
        <f>IFERROR(__xludf.DUMMYFUNCTION("GOOGLETRANSLATE(C477, ""en"", ""hi"")"),"A) राजनीतिक, B) सैन्य, C) आर्थिक, D) सामाजिक")</f>
        <v>A) राजनीतिक, B) सैन्य, C) आर्थिक, D) सामाजिक</v>
      </c>
      <c r="I477" s="5" t="str">
        <f>IFERROR(__xludf.DUMMYFUNCTION("GOOGLETRANSLATE(D477, ""en"", ""hi"")"),"बी) सैन्य")</f>
        <v>बी) सैन्य</v>
      </c>
    </row>
    <row r="478" ht="22.5" customHeight="1">
      <c r="A478" s="3">
        <v>477.0</v>
      </c>
      <c r="B478" s="4" t="s">
        <v>13165</v>
      </c>
      <c r="C478" s="4" t="s">
        <v>12854</v>
      </c>
      <c r="D478" s="4" t="s">
        <v>12855</v>
      </c>
      <c r="F478" s="5" t="str">
        <f>IFERROR(__xludf.DUMMYFUNCTION("GOOGLETRANSLATE(A478, ""en"", ""hi"")"),"477")</f>
        <v>477</v>
      </c>
      <c r="G478" s="5" t="str">
        <f>IFERROR(__xludf.DUMMYFUNCTION("GOOGLETRANSLATE(B478, ""en"", ""hi"")"),"कौन सा मणिपुरी ग्रंथ थांग-ता के इतिहास का प्राथमिक स्रोत है?")</f>
        <v>कौन सा मणिपुरी ग्रंथ थांग-ता के इतिहास का प्राथमिक स्रोत है?</v>
      </c>
      <c r="H478" s="5" t="str">
        <f>IFERROR(__xludf.DUMMYFUNCTION("GOOGLETRANSLATE(C478, ""en"", ""hi"")"),"ए) पुया, बी) निंगथौरोल लाम्बुबा, सी) चेइथारोल कुंबाबा, डी) थिरुबोम्बा")</f>
        <v>ए) पुया, बी) निंगथौरोल लाम्बुबा, सी) चेइथारोल कुंबाबा, डी) थिरुबोम्बा</v>
      </c>
      <c r="I478" s="5" t="str">
        <f>IFERROR(__xludf.DUMMYFUNCTION("GOOGLETRANSLATE(D478, ""en"", ""hi"")"),"A) पुया")</f>
        <v>A) पुया</v>
      </c>
    </row>
    <row r="479" ht="22.5" customHeight="1">
      <c r="A479" s="3">
        <v>478.0</v>
      </c>
      <c r="B479" s="4" t="s">
        <v>13166</v>
      </c>
      <c r="C479" s="4" t="s">
        <v>13167</v>
      </c>
      <c r="D479" s="4" t="s">
        <v>4161</v>
      </c>
      <c r="F479" s="5" t="str">
        <f>IFERROR(__xludf.DUMMYFUNCTION("GOOGLETRANSLATE(A479, ""en"", ""hi"")"),"478")</f>
        <v>478</v>
      </c>
      <c r="G479" s="5" t="str">
        <f>IFERROR(__xludf.DUMMYFUNCTION("GOOGLETRANSLATE(B479, ""en"", ""hi"")"),"थांग-ता के इतिहास में किस प्रकार की पारंपरिक मणिपुरी कला शामिल है?")</f>
        <v>थांग-ता के इतिहास में किस प्रकार की पारंपरिक मणिपुरी कला शामिल है?</v>
      </c>
      <c r="H479" s="5" t="str">
        <f>IFERROR(__xludf.DUMMYFUNCTION("GOOGLETRANSLATE(C479, ""en"", ""hi"")"),"A) नृत्य, B) मार्शल आर्ट, C) संगीत, D) मूर्तिकला")</f>
        <v>A) नृत्य, B) मार्शल आर्ट, C) संगीत, D) मूर्तिकला</v>
      </c>
      <c r="I479" s="5" t="str">
        <f>IFERROR(__xludf.DUMMYFUNCTION("GOOGLETRANSLATE(D479, ""en"", ""hi"")"),"बी) मार्शल आर्ट")</f>
        <v>बी) मार्शल आर्ट</v>
      </c>
    </row>
    <row r="480" ht="22.5" customHeight="1">
      <c r="A480" s="3">
        <v>479.0</v>
      </c>
      <c r="B480" s="4" t="s">
        <v>13168</v>
      </c>
      <c r="C480" s="4" t="s">
        <v>12909</v>
      </c>
      <c r="D480" s="4" t="s">
        <v>12361</v>
      </c>
      <c r="F480" s="5" t="str">
        <f>IFERROR(__xludf.DUMMYFUNCTION("GOOGLETRANSLATE(A480, ""en"", ""hi"")"),"479")</f>
        <v>479</v>
      </c>
      <c r="G480" s="5" t="str">
        <f>IFERROR(__xludf.DUMMYFUNCTION("GOOGLETRANSLATE(B480, ""en"", ""hi"")"),"कौन सा मणिपुरी राजा औपनिवेशिक शासन के दौरान थांग-ता के संरक्षण में अपनी भूमिका के लिए जाना जाता है?")</f>
        <v>कौन सा मणिपुरी राजा औपनिवेशिक शासन के दौरान थांग-ता के संरक्षण में अपनी भूमिका के लिए जाना जाता है?</v>
      </c>
      <c r="H480" s="5" t="str">
        <f>IFERROR(__xludf.DUMMYFUNCTION("GOOGLETRANSLATE(C480,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80" s="5" t="str">
        <f>IFERROR(__xludf.DUMMYFUNCTION("GOOGLETRANSLATE(D480, ""en"", ""hi"")"),"A) महाराजा गंभीर सिंह")</f>
        <v>A) महाराजा गंभीर सिंह</v>
      </c>
    </row>
    <row r="481" ht="22.5" customHeight="1">
      <c r="A481" s="3">
        <v>480.0</v>
      </c>
      <c r="B481" s="4" t="s">
        <v>13169</v>
      </c>
      <c r="C481" s="4" t="s">
        <v>13124</v>
      </c>
      <c r="D481" s="4" t="s">
        <v>12831</v>
      </c>
      <c r="F481" s="5" t="str">
        <f>IFERROR(__xludf.DUMMYFUNCTION("GOOGLETRANSLATE(A481, ""en"", ""hi"")"),"480")</f>
        <v>480</v>
      </c>
      <c r="G481" s="5" t="str">
        <f>IFERROR(__xludf.DUMMYFUNCTION("GOOGLETRANSLATE(B481, ""en"", ""hi"")"),"20वीं सदी में थांग-टा के पुनरुद्धार का श्रेय किस व्यक्ति के प्रयासों को दिया जाता है?")</f>
        <v>20वीं सदी में थांग-टा के पुनरुद्धार का श्रेय किस व्यक्ति के प्रयासों को दिया जाता है?</v>
      </c>
      <c r="H481" s="5" t="str">
        <f>IFERROR(__xludf.DUMMYFUNCTION("GOOGLETRANSLATE(C481, ""en"", ""hi"")"),"ए) गुरुमायुम गौरकिशोर शर्मा, बी) महाराजा भाग्यचंद्र, सी) महाराजा गंभीर सिंह, डी) महाराजा चंद्रकीर्ति")</f>
        <v>ए) गुरुमायुम गौरकिशोर शर्मा, बी) महाराजा भाग्यचंद्र, सी) महाराजा गंभीर सिंह, डी) महाराजा चंद्रकीर्ति</v>
      </c>
      <c r="I481" s="5" t="str">
        <f>IFERROR(__xludf.DUMMYFUNCTION("GOOGLETRANSLATE(D481, ""en"", ""hi"")"),"ए) गुरुमायुम गौरकिशोर शर्मा")</f>
        <v>ए) गुरुमायुम गौरकिशोर शर्मा</v>
      </c>
    </row>
    <row r="482" ht="22.5" customHeight="1">
      <c r="A482" s="3">
        <v>481.0</v>
      </c>
      <c r="B482" s="4" t="s">
        <v>13170</v>
      </c>
      <c r="C482" s="4" t="s">
        <v>13057</v>
      </c>
      <c r="D482" s="4" t="s">
        <v>12153</v>
      </c>
      <c r="F482" s="5" t="str">
        <f>IFERROR(__xludf.DUMMYFUNCTION("GOOGLETRANSLATE(A482, ""en"", ""hi"")"),"481")</f>
        <v>481</v>
      </c>
      <c r="G482" s="5" t="str">
        <f>IFERROR(__xludf.DUMMYFUNCTION("GOOGLETRANSLATE(B482, ""en"", ""hi"")"),"कौन सा मणिपुरी राजा राज्य की रक्षा के लिए थांग-ता को बढ़ावा देने के लिए जाना जाता है?")</f>
        <v>कौन सा मणिपुरी राजा राज्य की रक्षा के लिए थांग-ता को बढ़ावा देने के लिए जाना जाता है?</v>
      </c>
      <c r="H482" s="5" t="str">
        <f>IFERROR(__xludf.DUMMYFUNCTION("GOOGLETRANSLATE(C482,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482" s="5" t="str">
        <f>IFERROR(__xludf.DUMMYFUNCTION("GOOGLETRANSLATE(D482, ""en"", ""hi"")"),"बी) महाराजा गंभीर सिंह")</f>
        <v>बी) महाराजा गंभीर सिंह</v>
      </c>
    </row>
    <row r="483" ht="22.5" customHeight="1">
      <c r="A483" s="3">
        <v>482.0</v>
      </c>
      <c r="B483" s="4" t="s">
        <v>13171</v>
      </c>
      <c r="C483" s="4" t="s">
        <v>13172</v>
      </c>
      <c r="D483" s="4" t="s">
        <v>13050</v>
      </c>
      <c r="F483" s="5" t="str">
        <f>IFERROR(__xludf.DUMMYFUNCTION("GOOGLETRANSLATE(A483, ""en"", ""hi"")"),"482")</f>
        <v>482</v>
      </c>
      <c r="G483" s="5" t="str">
        <f>IFERROR(__xludf.DUMMYFUNCTION("GOOGLETRANSLATE(B483, ""en"", ""hi"")"),"औपनिवेशिक शासन के दौरान थांग-टा में गिरावट किस प्रकार के प्रतिरोध के साथ इसके संबंध के कारण थी?")</f>
        <v>औपनिवेशिक शासन के दौरान थांग-टा में गिरावट किस प्रकार के प्रतिरोध के साथ इसके संबंध के कारण थी?</v>
      </c>
      <c r="H483" s="5" t="str">
        <f>IFERROR(__xludf.DUMMYFUNCTION("GOOGLETRANSLATE(C483, ""en"", ""hi"")"),"A) राजनीतिक, B) सांस्कृतिक, C) आर्थिक, D) सैन्य")</f>
        <v>A) राजनीतिक, B) सांस्कृतिक, C) आर्थिक, D) सैन्य</v>
      </c>
      <c r="I483" s="5" t="str">
        <f>IFERROR(__xludf.DUMMYFUNCTION("GOOGLETRANSLATE(D483, ""en"", ""hi"")"),"डी) सैन्य")</f>
        <v>डी) सैन्य</v>
      </c>
    </row>
    <row r="484" ht="22.5" customHeight="1">
      <c r="A484" s="3">
        <v>483.0</v>
      </c>
      <c r="B484" s="4" t="s">
        <v>13173</v>
      </c>
      <c r="C484" s="4" t="s">
        <v>12981</v>
      </c>
      <c r="D484" s="4" t="s">
        <v>12855</v>
      </c>
      <c r="F484" s="5" t="str">
        <f>IFERROR(__xludf.DUMMYFUNCTION("GOOGLETRANSLATE(A484, ""en"", ""hi"")"),"483")</f>
        <v>483</v>
      </c>
      <c r="G484" s="5" t="str">
        <f>IFERROR(__xludf.DUMMYFUNCTION("GOOGLETRANSLATE(B484, ""en"", ""hi"")"),"थांग-ता के इतिहास और तकनीकों को समझने के लिए कौन सा दस्तावेज़ महत्वपूर्ण है?")</f>
        <v>थांग-ता के इतिहास और तकनीकों को समझने के लिए कौन सा दस्तावेज़ महत्वपूर्ण है?</v>
      </c>
      <c r="H484" s="5" t="str">
        <f>IFERROR(__xludf.DUMMYFUNCTION("GOOGLETRANSLATE(C484, ""en"", ""hi"")"),"ए) पुया, बी) निंगथौरोल लाम्बुबा, सी) चेइथारोल कुंबाबा, डी) कांगलेइरोल")</f>
        <v>ए) पुया, बी) निंगथौरोल लाम्बुबा, सी) चेइथारोल कुंबाबा, डी) कांगलेइरोल</v>
      </c>
      <c r="I484" s="5" t="str">
        <f>IFERROR(__xludf.DUMMYFUNCTION("GOOGLETRANSLATE(D484, ""en"", ""hi"")"),"A) पुया")</f>
        <v>A) पुया</v>
      </c>
    </row>
    <row r="485" ht="22.5" customHeight="1">
      <c r="A485" s="3">
        <v>484.0</v>
      </c>
      <c r="B485" s="4" t="s">
        <v>13174</v>
      </c>
      <c r="C485" s="4" t="s">
        <v>12389</v>
      </c>
      <c r="D485" s="4" t="s">
        <v>12086</v>
      </c>
      <c r="F485" s="5" t="str">
        <f>IFERROR(__xludf.DUMMYFUNCTION("GOOGLETRANSLATE(A485, ""en"", ""hi"")"),"484")</f>
        <v>484</v>
      </c>
      <c r="G485" s="5" t="str">
        <f>IFERROR(__xludf.DUMMYFUNCTION("GOOGLETRANSLATE(B485, ""en"", ""hi"")"),"थांग-ता प्रथा ऐतिहासिक रूप से किस मणिपुरी त्योहार से जुड़ी हुई थी?")</f>
        <v>थांग-ता प्रथा ऐतिहासिक रूप से किस मणिपुरी त्योहार से जुड़ी हुई थी?</v>
      </c>
      <c r="H485" s="5" t="str">
        <f>IFERROR(__xludf.DUMMYFUNCTION("GOOGLETRANSLATE(C485, ""en"", ""hi"")"),"ए) लाई हराओबा, बी) याओशांग, सी) निंगोल चाकोउबा, डी) चेइराओबा")</f>
        <v>ए) लाई हराओबा, बी) याओशांग, सी) निंगोल चाकोउबा, डी) चेइराओबा</v>
      </c>
      <c r="I485" s="5" t="str">
        <f>IFERROR(__xludf.DUMMYFUNCTION("GOOGLETRANSLATE(D485, ""en"", ""hi"")"),"A) लाई हरोबा")</f>
        <v>A) लाई हरोबा</v>
      </c>
    </row>
    <row r="486" ht="22.5" customHeight="1">
      <c r="A486" s="3">
        <v>485.0</v>
      </c>
      <c r="B486" s="4" t="s">
        <v>13175</v>
      </c>
      <c r="C486" s="4" t="s">
        <v>13176</v>
      </c>
      <c r="D486" s="4" t="s">
        <v>12988</v>
      </c>
      <c r="F486" s="5" t="str">
        <f>IFERROR(__xludf.DUMMYFUNCTION("GOOGLETRANSLATE(A486, ""en"", ""hi"")"),"485")</f>
        <v>485</v>
      </c>
      <c r="G486" s="5" t="str">
        <f>IFERROR(__xludf.DUMMYFUNCTION("GOOGLETRANSLATE(B486, ""en"", ""hi"")"),"किस ऐतिहासिक घटना का थांग-ता के अभ्यास और संरक्षण पर महत्वपूर्ण प्रभाव पड़ा?")</f>
        <v>किस ऐतिहासिक घटना का थांग-ता के अभ्यास और संरक्षण पर महत्वपूर्ण प्रभाव पड़ा?</v>
      </c>
      <c r="H486" s="5" t="str">
        <f>IFERROR(__xludf.DUMMYFUNCTION("GOOGLETRANSLATE(C486, ""en"", ""hi"")"),"A) ब्रिटिश विलय, B) बर्मी आक्रमण, C) प्रथम विश्व युद्ध, D) अफीम युद्ध")</f>
        <v>A) ब्रिटिश विलय, B) बर्मी आक्रमण, C) प्रथम विश्व युद्ध, D) अफीम युद्ध</v>
      </c>
      <c r="I486" s="5" t="str">
        <f>IFERROR(__xludf.DUMMYFUNCTION("GOOGLETRANSLATE(D486, ""en"", ""hi"")"),"A) ब्रिटिश विलय")</f>
        <v>A) ब्रिटिश विलय</v>
      </c>
    </row>
    <row r="487" ht="22.5" customHeight="1">
      <c r="A487" s="3">
        <v>486.0</v>
      </c>
      <c r="B487" s="4" t="s">
        <v>13177</v>
      </c>
      <c r="C487" s="4" t="s">
        <v>13038</v>
      </c>
      <c r="D487" s="4" t="s">
        <v>12153</v>
      </c>
      <c r="F487" s="5" t="str">
        <f>IFERROR(__xludf.DUMMYFUNCTION("GOOGLETRANSLATE(A487, ""en"", ""hi"")"),"486")</f>
        <v>486</v>
      </c>
      <c r="G487" s="5" t="str">
        <f>IFERROR(__xludf.DUMMYFUNCTION("GOOGLETRANSLATE(B487, ""en"", ""hi"")"),"औपनिवेशिक काल के दौरान थांग-ता को संरक्षित करने में किस मणिपुरी राजा ने महत्वपूर्ण भूमिका निभाई?")</f>
        <v>औपनिवेशिक काल के दौरान थांग-ता को संरक्षित करने में किस मणिपुरी राजा ने महत्वपूर्ण भूमिका निभाई?</v>
      </c>
      <c r="H487" s="5" t="str">
        <f>IFERROR(__xludf.DUMMYFUNCTION("GOOGLETRANSLATE(C487, ""en"", ""hi"")"),"ए) महाराजा भाग्यचंद्र, बी) महाराजा गंभीर सिंह, सी) महाराजा चंद्रकीर्ति, डी) महाराजा मरजीत सिंह")</f>
        <v>ए) महाराजा भाग्यचंद्र, बी) महाराजा गंभीर सिंह, सी) महाराजा चंद्रकीर्ति, डी) महाराजा मरजीत सिंह</v>
      </c>
      <c r="I487" s="5" t="str">
        <f>IFERROR(__xludf.DUMMYFUNCTION("GOOGLETRANSLATE(D487, ""en"", ""hi"")"),"बी) महाराजा गंभीर सिंह")</f>
        <v>बी) महाराजा गंभीर सिंह</v>
      </c>
    </row>
    <row r="488" ht="22.5" customHeight="1">
      <c r="A488" s="3">
        <v>487.0</v>
      </c>
      <c r="B488" s="4" t="s">
        <v>13178</v>
      </c>
      <c r="C488" s="4" t="s">
        <v>12976</v>
      </c>
      <c r="D488" s="4" t="s">
        <v>12831</v>
      </c>
      <c r="F488" s="5" t="str">
        <f>IFERROR(__xludf.DUMMYFUNCTION("GOOGLETRANSLATE(A488, ""en"", ""hi"")"),"487")</f>
        <v>487</v>
      </c>
      <c r="G488" s="5" t="str">
        <f>IFERROR(__xludf.DUMMYFUNCTION("GOOGLETRANSLATE(B488, ""en"", ""hi"")"),"आधुनिक समय में थांग-ता के पुनरुत्थान का श्रेय मुख्यतः किस ऐतिहासिक व्यक्ति को दिया जाता है?")</f>
        <v>आधुनिक समय में थांग-ता के पुनरुत्थान का श्रेय मुख्यतः किस ऐतिहासिक व्यक्ति को दिया जाता है?</v>
      </c>
      <c r="H488" s="5" t="str">
        <f>IFERROR(__xludf.DUMMYFUNCTION("GOOGLETRANSLATE(C488,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488" s="5" t="str">
        <f>IFERROR(__xludf.DUMMYFUNCTION("GOOGLETRANSLATE(D488, ""en"", ""hi"")"),"ए) गुरुमायुम गौरकिशोर शर्मा")</f>
        <v>ए) गुरुमायुम गौरकिशोर शर्मा</v>
      </c>
    </row>
    <row r="489" ht="22.5" customHeight="1">
      <c r="A489" s="3">
        <v>488.0</v>
      </c>
      <c r="B489" s="4" t="s">
        <v>13179</v>
      </c>
      <c r="C489" s="4" t="s">
        <v>12854</v>
      </c>
      <c r="D489" s="4" t="s">
        <v>12855</v>
      </c>
      <c r="F489" s="5" t="str">
        <f>IFERROR(__xludf.DUMMYFUNCTION("GOOGLETRANSLATE(A489, ""en"", ""hi"")"),"488")</f>
        <v>488</v>
      </c>
      <c r="G489" s="5" t="str">
        <f>IFERROR(__xludf.DUMMYFUNCTION("GOOGLETRANSLATE(B489, ""en"", ""hi"")"),"कौन सा मणिपुरी ग्रंथ थांग-ता के मार्शल आर्ट पहलुओं के बारे में जानकारी प्रदान करता है?")</f>
        <v>कौन सा मणिपुरी ग्रंथ थांग-ता के मार्शल आर्ट पहलुओं के बारे में जानकारी प्रदान करता है?</v>
      </c>
      <c r="H489" s="5" t="str">
        <f>IFERROR(__xludf.DUMMYFUNCTION("GOOGLETRANSLATE(C489, ""en"", ""hi"")"),"ए) पुया, बी) निंगथौरोल लाम्बुबा, सी) चेइथारोल कुंबाबा, डी) थिरुबोम्बा")</f>
        <v>ए) पुया, बी) निंगथौरोल लाम्बुबा, सी) चेइथारोल कुंबाबा, डी) थिरुबोम्बा</v>
      </c>
      <c r="I489" s="5" t="str">
        <f>IFERROR(__xludf.DUMMYFUNCTION("GOOGLETRANSLATE(D489, ""en"", ""hi"")"),"A) पुया")</f>
        <v>A) पुया</v>
      </c>
    </row>
    <row r="490" ht="22.5" customHeight="1">
      <c r="A490" s="3">
        <v>489.0</v>
      </c>
      <c r="B490" s="4" t="s">
        <v>13180</v>
      </c>
      <c r="C490" s="4" t="s">
        <v>13181</v>
      </c>
      <c r="D490" s="4" t="s">
        <v>13182</v>
      </c>
      <c r="F490" s="5" t="str">
        <f>IFERROR(__xludf.DUMMYFUNCTION("GOOGLETRANSLATE(A490, ""en"", ""hi"")"),"489")</f>
        <v>489</v>
      </c>
      <c r="G490" s="5" t="str">
        <f>IFERROR(__xludf.DUMMYFUNCTION("GOOGLETRANSLATE(B490, ""en"", ""hi"")"),"थांग-ता की पारंपरिक प्रथा को किस प्रकार के मणिपुरी आयोजनों में शामिल किया गया?")</f>
        <v>थांग-ता की पारंपरिक प्रथा को किस प्रकार के मणिपुरी आयोजनों में शामिल किया गया?</v>
      </c>
      <c r="H490" s="5" t="str">
        <f>IFERROR(__xludf.DUMMYFUNCTION("GOOGLETRANSLATE(C490, ""en"", ""hi"")"),"A) सांस्कृतिक उत्सव, B) शाही समारोह, C) धार्मिक अनुष्ठान, D) कृषि उत्सव")</f>
        <v>A) सांस्कृतिक उत्सव, B) शाही समारोह, C) धार्मिक अनुष्ठान, D) कृषि उत्सव</v>
      </c>
      <c r="I490" s="5" t="str">
        <f>IFERROR(__xludf.DUMMYFUNCTION("GOOGLETRANSLATE(D490, ""en"", ""hi"")"),"C) धार्मिक अनुष्ठान")</f>
        <v>C) धार्मिक अनुष्ठान</v>
      </c>
    </row>
    <row r="491" ht="22.5" customHeight="1">
      <c r="A491" s="3">
        <v>490.0</v>
      </c>
      <c r="B491" s="4" t="s">
        <v>13183</v>
      </c>
      <c r="C491" s="4" t="s">
        <v>12909</v>
      </c>
      <c r="D491" s="4" t="s">
        <v>12361</v>
      </c>
      <c r="F491" s="5" t="str">
        <f>IFERROR(__xludf.DUMMYFUNCTION("GOOGLETRANSLATE(A491, ""en"", ""hi"")"),"490")</f>
        <v>490</v>
      </c>
      <c r="G491" s="5" t="str">
        <f>IFERROR(__xludf.DUMMYFUNCTION("GOOGLETRANSLATE(B491, ""en"", ""hi"")"),"किस मणिपुरी राजा के शासनकाल में गिरावट के बाद थांग-ता का पुनरुत्थान हुआ?")</f>
        <v>किस मणिपुरी राजा के शासनकाल में गिरावट के बाद थांग-ता का पुनरुत्थान हुआ?</v>
      </c>
      <c r="H491" s="5" t="str">
        <f>IFERROR(__xludf.DUMMYFUNCTION("GOOGLETRANSLATE(C491,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91" s="5" t="str">
        <f>IFERROR(__xludf.DUMMYFUNCTION("GOOGLETRANSLATE(D491, ""en"", ""hi"")"),"A) महाराजा गंभीर सिंह")</f>
        <v>A) महाराजा गंभीर सिंह</v>
      </c>
    </row>
    <row r="492" ht="22.5" customHeight="1">
      <c r="A492" s="3">
        <v>491.0</v>
      </c>
      <c r="B492" s="4" t="s">
        <v>13184</v>
      </c>
      <c r="C492" s="4" t="s">
        <v>13085</v>
      </c>
      <c r="D492" s="4" t="s">
        <v>13086</v>
      </c>
      <c r="F492" s="5" t="str">
        <f>IFERROR(__xludf.DUMMYFUNCTION("GOOGLETRANSLATE(A492, ""en"", ""hi"")"),"491")</f>
        <v>491</v>
      </c>
      <c r="G492" s="5" t="str">
        <f>IFERROR(__xludf.DUMMYFUNCTION("GOOGLETRANSLATE(B492, ""en"", ""hi"")"),"थांग-ता पारंपरिक रूप से किस प्रकार की पारंपरिक मणिपुरी प्रथा से जुड़ा हुआ था?")</f>
        <v>थांग-ता पारंपरिक रूप से किस प्रकार की पारंपरिक मणिपुरी प्रथा से जुड़ा हुआ था?</v>
      </c>
      <c r="H492" s="5" t="str">
        <f>IFERROR(__xludf.DUMMYFUNCTION("GOOGLETRANSLATE(C492, ""en"", ""hi"")"),"A) मार्शल आर्ट, B) नृत्य, C) संगीत, D) मूर्तिकला")</f>
        <v>A) मार्शल आर्ट, B) नृत्य, C) संगीत, D) मूर्तिकला</v>
      </c>
      <c r="I492" s="5" t="str">
        <f>IFERROR(__xludf.DUMMYFUNCTION("GOOGLETRANSLATE(D492, ""en"", ""hi"")"),"ए) मार्शल आर्ट")</f>
        <v>ए) मार्शल आर्ट</v>
      </c>
    </row>
    <row r="493" ht="22.5" customHeight="1">
      <c r="A493" s="3">
        <v>492.0</v>
      </c>
      <c r="B493" s="4" t="s">
        <v>13185</v>
      </c>
      <c r="C493" s="4" t="s">
        <v>12909</v>
      </c>
      <c r="D493" s="4" t="s">
        <v>12361</v>
      </c>
      <c r="F493" s="5" t="str">
        <f>IFERROR(__xludf.DUMMYFUNCTION("GOOGLETRANSLATE(A493, ""en"", ""hi"")"),"492")</f>
        <v>492</v>
      </c>
      <c r="G493" s="5" t="str">
        <f>IFERROR(__xludf.DUMMYFUNCTION("GOOGLETRANSLATE(B493, ""en"", ""hi"")"),"औपनिवेशिक काल के दौरान थांग-ता को संरक्षित करने में किस मणिपुरी राजा के प्रयास महत्वपूर्ण थे?")</f>
        <v>औपनिवेशिक काल के दौरान थांग-ता को संरक्षित करने में किस मणिपुरी राजा के प्रयास महत्वपूर्ण थे?</v>
      </c>
      <c r="H493" s="5" t="str">
        <f>IFERROR(__xludf.DUMMYFUNCTION("GOOGLETRANSLATE(C493,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493" s="5" t="str">
        <f>IFERROR(__xludf.DUMMYFUNCTION("GOOGLETRANSLATE(D493, ""en"", ""hi"")"),"A) महाराजा गंभीर सिंह")</f>
        <v>A) महाराजा गंभीर सिंह</v>
      </c>
    </row>
    <row r="494" ht="22.5" customHeight="1">
      <c r="A494" s="3">
        <v>493.0</v>
      </c>
      <c r="B494" s="4" t="s">
        <v>13186</v>
      </c>
      <c r="C494" s="4" t="s">
        <v>13176</v>
      </c>
      <c r="D494" s="4" t="s">
        <v>12988</v>
      </c>
      <c r="F494" s="5" t="str">
        <f>IFERROR(__xludf.DUMMYFUNCTION("GOOGLETRANSLATE(A494, ""en"", ""hi"")"),"493")</f>
        <v>493</v>
      </c>
      <c r="G494" s="5" t="str">
        <f>IFERROR(__xludf.DUMMYFUNCTION("GOOGLETRANSLATE(B494, ""en"", ""hi"")"),"किस ऐतिहासिक घटना का थांग-ता की प्रथा पर गहरा प्रभाव पड़ा?")</f>
        <v>किस ऐतिहासिक घटना का थांग-ता की प्रथा पर गहरा प्रभाव पड़ा?</v>
      </c>
      <c r="H494" s="5" t="str">
        <f>IFERROR(__xludf.DUMMYFUNCTION("GOOGLETRANSLATE(C494, ""en"", ""hi"")"),"A) ब्रिटिश विलय, B) बर्मी आक्रमण, C) प्रथम विश्व युद्ध, D) अफीम युद्ध")</f>
        <v>A) ब्रिटिश विलय, B) बर्मी आक्रमण, C) प्रथम विश्व युद्ध, D) अफीम युद्ध</v>
      </c>
      <c r="I494" s="5" t="str">
        <f>IFERROR(__xludf.DUMMYFUNCTION("GOOGLETRANSLATE(D494, ""en"", ""hi"")"),"A) ब्रिटिश विलय")</f>
        <v>A) ब्रिटिश विलय</v>
      </c>
    </row>
    <row r="495" ht="22.5" customHeight="1">
      <c r="A495" s="3">
        <v>494.0</v>
      </c>
      <c r="B495" s="4" t="s">
        <v>13187</v>
      </c>
      <c r="C495" s="4" t="s">
        <v>13003</v>
      </c>
      <c r="D495" s="4" t="s">
        <v>12855</v>
      </c>
      <c r="F495" s="5" t="str">
        <f>IFERROR(__xludf.DUMMYFUNCTION("GOOGLETRANSLATE(A495, ""en"", ""hi"")"),"494")</f>
        <v>494</v>
      </c>
      <c r="G495" s="5" t="str">
        <f>IFERROR(__xludf.DUMMYFUNCTION("GOOGLETRANSLATE(B495, ""en"", ""hi"")"),"कौन सा मणिपुरी दस्तावेज़ थांग-ता के बारे में ऐतिहासिक और तकनीकी जानकारी प्रदान करता है?")</f>
        <v>कौन सा मणिपुरी दस्तावेज़ थांग-ता के बारे में ऐतिहासिक और तकनीकी जानकारी प्रदान करता है?</v>
      </c>
      <c r="H495" s="5" t="str">
        <f>IFERROR(__xludf.DUMMYFUNCTION("GOOGLETRANSLATE(C495, ""en"", ""hi"")"),"ए) पुया, बी) चेइथारोल कुंबाबा, सी) निंगथौरोल लाम्बुबा, डी) कांगलेइरोल")</f>
        <v>ए) पुया, बी) चेइथारोल कुंबाबा, सी) निंगथौरोल लाम्बुबा, डी) कांगलेइरोल</v>
      </c>
      <c r="I495" s="5" t="str">
        <f>IFERROR(__xludf.DUMMYFUNCTION("GOOGLETRANSLATE(D495, ""en"", ""hi"")"),"A) पुया")</f>
        <v>A) पुया</v>
      </c>
    </row>
    <row r="496" ht="22.5" customHeight="1">
      <c r="A496" s="3">
        <v>495.0</v>
      </c>
      <c r="B496" s="4" t="s">
        <v>13188</v>
      </c>
      <c r="C496" s="4" t="s">
        <v>13189</v>
      </c>
      <c r="D496" s="4" t="s">
        <v>13190</v>
      </c>
      <c r="F496" s="5" t="str">
        <f>IFERROR(__xludf.DUMMYFUNCTION("GOOGLETRANSLATE(A496, ""en"", ""hi"")"),"495")</f>
        <v>495</v>
      </c>
      <c r="G496" s="5" t="str">
        <f>IFERROR(__xludf.DUMMYFUNCTION("GOOGLETRANSLATE(B496, ""en"", ""hi"")"),"थांग-ता पारंपरिक रूप से किस प्रकार के मणिपुरी समारोहों से जुड़ा हुआ है?")</f>
        <v>थांग-ता पारंपरिक रूप से किस प्रकार के मणिपुरी समारोहों से जुड़ा हुआ है?</v>
      </c>
      <c r="H496" s="5" t="str">
        <f>IFERROR(__xludf.DUMMYFUNCTION("GOOGLETRANSLATE(C496, ""en"", ""hi"")"),"A) फसल, B) शाही, C) धार्मिक, D) सामाजिक")</f>
        <v>A) फसल, B) शाही, C) धार्मिक, D) सामाजिक</v>
      </c>
      <c r="I496" s="5" t="str">
        <f>IFERROR(__xludf.DUMMYFUNCTION("GOOGLETRANSLATE(D496, ""en"", ""hi"")"),"सी) धार्मिक")</f>
        <v>सी) धार्मिक</v>
      </c>
    </row>
    <row r="497" ht="22.5" customHeight="1">
      <c r="A497" s="3">
        <v>496.0</v>
      </c>
      <c r="B497" s="4" t="s">
        <v>13191</v>
      </c>
      <c r="C497" s="4" t="s">
        <v>13146</v>
      </c>
      <c r="D497" s="4" t="s">
        <v>13050</v>
      </c>
      <c r="F497" s="5" t="str">
        <f>IFERROR(__xludf.DUMMYFUNCTION("GOOGLETRANSLATE(A497, ""en"", ""hi"")"),"496")</f>
        <v>496</v>
      </c>
      <c r="G497" s="5" t="str">
        <f>IFERROR(__xludf.DUMMYFUNCTION("GOOGLETRANSLATE(B497, ""en"", ""hi"")"),"औपनिवेशिक काल के दौरान थांग-ता प्रथा में गिरावट किस प्रकार के प्रतिरोध से जुड़ी होने के कारण थी?")</f>
        <v>औपनिवेशिक काल के दौरान थांग-ता प्रथा में गिरावट किस प्रकार के प्रतिरोध से जुड़ी होने के कारण थी?</v>
      </c>
      <c r="H497" s="5" t="str">
        <f>IFERROR(__xludf.DUMMYFUNCTION("GOOGLETRANSLATE(C497, ""en"", ""hi"")"),"A) राजनीतिक, B) आर्थिक, C) सांस्कृतिक, D) सैन्य")</f>
        <v>A) राजनीतिक, B) आर्थिक, C) सांस्कृतिक, D) सैन्य</v>
      </c>
      <c r="I497" s="5" t="str">
        <f>IFERROR(__xludf.DUMMYFUNCTION("GOOGLETRANSLATE(D497, ""en"", ""hi"")"),"डी) सैन्य")</f>
        <v>डी) सैन्य</v>
      </c>
    </row>
    <row r="498" ht="22.5" customHeight="1">
      <c r="A498" s="3">
        <v>497.0</v>
      </c>
      <c r="B498" s="4" t="s">
        <v>13192</v>
      </c>
      <c r="C498" s="4" t="s">
        <v>13057</v>
      </c>
      <c r="D498" s="4" t="s">
        <v>12153</v>
      </c>
      <c r="F498" s="5" t="str">
        <f>IFERROR(__xludf.DUMMYFUNCTION("GOOGLETRANSLATE(A498, ""en"", ""hi"")"),"497")</f>
        <v>497</v>
      </c>
      <c r="G498" s="5" t="str">
        <f>IFERROR(__xludf.DUMMYFUNCTION("GOOGLETRANSLATE(B498, ""en"", ""hi"")"),"किस मणिपुरी राजा का शासनकाल थांग-ता प्रथा में महत्वपूर्ण योगदान के लिए जाना जाता है?")</f>
        <v>किस मणिपुरी राजा का शासनकाल थांग-ता प्रथा में महत्वपूर्ण योगदान के लिए जाना जाता है?</v>
      </c>
      <c r="H498" s="5" t="str">
        <f>IFERROR(__xludf.DUMMYFUNCTION("GOOGLETRANSLATE(C498,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498" s="5" t="str">
        <f>IFERROR(__xludf.DUMMYFUNCTION("GOOGLETRANSLATE(D498, ""en"", ""hi"")"),"बी) महाराजा गंभीर सिंह")</f>
        <v>बी) महाराजा गंभीर सिंह</v>
      </c>
    </row>
    <row r="499" ht="22.5" customHeight="1">
      <c r="A499" s="3">
        <v>498.0</v>
      </c>
      <c r="B499" s="4" t="s">
        <v>13193</v>
      </c>
      <c r="C499" s="4" t="s">
        <v>13124</v>
      </c>
      <c r="D499" s="4" t="s">
        <v>12831</v>
      </c>
      <c r="F499" s="5" t="str">
        <f>IFERROR(__xludf.DUMMYFUNCTION("GOOGLETRANSLATE(A499, ""en"", ""hi"")"),"498")</f>
        <v>498</v>
      </c>
      <c r="G499" s="5" t="str">
        <f>IFERROR(__xludf.DUMMYFUNCTION("GOOGLETRANSLATE(B499, ""en"", ""hi"")"),"20वीं सदी में थांग-टा के पुनरुत्थान का श्रेय मुख्यतः किस व्यक्ति को दिया जाता है?")</f>
        <v>20वीं सदी में थांग-टा के पुनरुत्थान का श्रेय मुख्यतः किस व्यक्ति को दिया जाता है?</v>
      </c>
      <c r="H499" s="5" t="str">
        <f>IFERROR(__xludf.DUMMYFUNCTION("GOOGLETRANSLATE(C499, ""en"", ""hi"")"),"ए) गुरुमायुम गौरकिशोर शर्मा, बी) महाराजा भाग्यचंद्र, सी) महाराजा गंभीर सिंह, डी) महाराजा चंद्रकीर्ति")</f>
        <v>ए) गुरुमायुम गौरकिशोर शर्मा, बी) महाराजा भाग्यचंद्र, सी) महाराजा गंभीर सिंह, डी) महाराजा चंद्रकीर्ति</v>
      </c>
      <c r="I499" s="5" t="str">
        <f>IFERROR(__xludf.DUMMYFUNCTION("GOOGLETRANSLATE(D499, ""en"", ""hi"")"),"ए) गुरुमायुम गौरकिशोर शर्मा")</f>
        <v>ए) गुरुमायुम गौरकिशोर शर्मा</v>
      </c>
    </row>
    <row r="500" ht="22.5" customHeight="1">
      <c r="A500" s="3">
        <v>499.0</v>
      </c>
      <c r="B500" s="4" t="s">
        <v>13194</v>
      </c>
      <c r="C500" s="4" t="s">
        <v>12389</v>
      </c>
      <c r="D500" s="4" t="s">
        <v>12086</v>
      </c>
      <c r="F500" s="5" t="str">
        <f>IFERROR(__xludf.DUMMYFUNCTION("GOOGLETRANSLATE(A500, ""en"", ""hi"")"),"499")</f>
        <v>499</v>
      </c>
      <c r="G500" s="5" t="str">
        <f>IFERROR(__xludf.DUMMYFUNCTION("GOOGLETRANSLATE(B500, ""en"", ""hi"")"),"किस मणिपुरी त्यौहार में थांग-ता का पारंपरिक प्रदर्शन शामिल होता है?")</f>
        <v>किस मणिपुरी त्यौहार में थांग-ता का पारंपरिक प्रदर्शन शामिल होता है?</v>
      </c>
      <c r="H500" s="5" t="str">
        <f>IFERROR(__xludf.DUMMYFUNCTION("GOOGLETRANSLATE(C500, ""en"", ""hi"")"),"ए) लाई हराओबा, बी) याओशांग, सी) निंगोल चाकोउबा, डी) चेइराओबा")</f>
        <v>ए) लाई हराओबा, बी) याओशांग, सी) निंगोल चाकोउबा, डी) चेइराओबा</v>
      </c>
      <c r="I500" s="5" t="str">
        <f>IFERROR(__xludf.DUMMYFUNCTION("GOOGLETRANSLATE(D500, ""en"", ""hi"")"),"A) लाई हरोबा")</f>
        <v>A) लाई हरोबा</v>
      </c>
    </row>
    <row r="501" ht="22.5" customHeight="1">
      <c r="A501" s="3">
        <v>500.0</v>
      </c>
      <c r="B501" s="4" t="s">
        <v>13195</v>
      </c>
      <c r="C501" s="4" t="s">
        <v>13196</v>
      </c>
      <c r="D501" s="4" t="s">
        <v>13197</v>
      </c>
      <c r="F501" s="5" t="str">
        <f>IFERROR(__xludf.DUMMYFUNCTION("GOOGLETRANSLATE(A501, ""en"", ""hi"")"),"500")</f>
        <v>500</v>
      </c>
      <c r="G501" s="5" t="str">
        <f>IFERROR(__xludf.DUMMYFUNCTION("GOOGLETRANSLATE(B501, ""en"", ""hi"")"),"किस ऐतिहासिक घटना के कारण थांग-ता को सांस्कृतिक परंपरा के रूप में संरक्षित किया गया?")</f>
        <v>किस ऐतिहासिक घटना के कारण थांग-ता को सांस्कृतिक परंपरा के रूप में संरक्षित किया गया?</v>
      </c>
      <c r="H501" s="5" t="str">
        <f>IFERROR(__xludf.DUMMYFUNCTION("GOOGLETRANSLATE(C501, ""en"", ""hi"")"),"A) स्वतंत्रता के बाद का पुनरुत्थान, B) औपनिवेशिक दमन, C) बर्मी आक्रमण, D) प्रथम विश्व युद्ध")</f>
        <v>A) स्वतंत्रता के बाद का पुनरुत्थान, B) औपनिवेशिक दमन, C) बर्मी आक्रमण, D) प्रथम विश्व युद्ध</v>
      </c>
      <c r="I501" s="5" t="str">
        <f>IFERROR(__xludf.DUMMYFUNCTION("GOOGLETRANSLATE(D501, ""en"", ""hi"")"),"A) स्वतंत्रता के बाद का पुनरुत्थान")</f>
        <v>A) स्वतंत्रता के बाद का पुनरुत्थान</v>
      </c>
    </row>
    <row r="502" ht="22.5" customHeight="1">
      <c r="A502" s="3">
        <v>501.0</v>
      </c>
      <c r="B502" s="4" t="s">
        <v>13198</v>
      </c>
      <c r="C502" s="4" t="s">
        <v>12981</v>
      </c>
      <c r="D502" s="4" t="s">
        <v>12855</v>
      </c>
      <c r="F502" s="5" t="str">
        <f>IFERROR(__xludf.DUMMYFUNCTION("GOOGLETRANSLATE(A502, ""en"", ""hi"")"),"501")</f>
        <v>501</v>
      </c>
      <c r="G502" s="5" t="str">
        <f>IFERROR(__xludf.DUMMYFUNCTION("GOOGLETRANSLATE(B502, ""en"", ""hi"")"),"कौन सा दस्तावेज़ थांग-ता तकनीकों के लिए ऐतिहासिक और दार्शनिक संदर्भ प्रदान करता है?")</f>
        <v>कौन सा दस्तावेज़ थांग-ता तकनीकों के लिए ऐतिहासिक और दार्शनिक संदर्भ प्रदान करता है?</v>
      </c>
      <c r="H502" s="5" t="str">
        <f>IFERROR(__xludf.DUMMYFUNCTION("GOOGLETRANSLATE(C502, ""en"", ""hi"")"),"ए) पुया, बी) निंगथौरोल लाम्बुबा, सी) चेइथारोल कुंबाबा, डी) कांगलेइरोल")</f>
        <v>ए) पुया, बी) निंगथौरोल लाम्बुबा, सी) चेइथारोल कुंबाबा, डी) कांगलेइरोल</v>
      </c>
      <c r="I502" s="5" t="str">
        <f>IFERROR(__xludf.DUMMYFUNCTION("GOOGLETRANSLATE(D502, ""en"", ""hi"")"),"A) पुया")</f>
        <v>A) पुया</v>
      </c>
    </row>
    <row r="503" ht="22.5" customHeight="1">
      <c r="A503" s="3">
        <v>502.0</v>
      </c>
      <c r="B503" s="4" t="s">
        <v>13199</v>
      </c>
      <c r="C503" s="4" t="s">
        <v>13200</v>
      </c>
      <c r="D503" s="4" t="s">
        <v>12969</v>
      </c>
      <c r="F503" s="5" t="str">
        <f>IFERROR(__xludf.DUMMYFUNCTION("GOOGLETRANSLATE(A503, ""en"", ""hi"")"),"502")</f>
        <v>502</v>
      </c>
      <c r="G503" s="5" t="str">
        <f>IFERROR(__xludf.DUMMYFUNCTION("GOOGLETRANSLATE(B503, ""en"", ""hi"")"),"थांग-ता पारंपरिक रूप से किस प्रकार के मणिपुरी समारोहों के दौरान किया जाता था?")</f>
        <v>थांग-ता पारंपरिक रूप से किस प्रकार के मणिपुरी समारोहों के दौरान किया जाता था?</v>
      </c>
      <c r="H503" s="5" t="str">
        <f>IFERROR(__xludf.DUMMYFUNCTION("GOOGLETRANSLATE(C503, ""en"", ""hi"")"),"A) फसल उत्सव, B) शाही समारोह, C) धार्मिक अनुष्ठान, D) सामाजिक समारोह")</f>
        <v>A) फसल उत्सव, B) शाही समारोह, C) धार्मिक अनुष्ठान, D) सामाजिक समारोह</v>
      </c>
      <c r="I503" s="5" t="str">
        <f>IFERROR(__xludf.DUMMYFUNCTION("GOOGLETRANSLATE(D503, ""en"", ""hi"")"),"C) धार्मिक अनुष्ठान")</f>
        <v>C) धार्मिक अनुष्ठान</v>
      </c>
    </row>
    <row r="504" ht="22.5" customHeight="1">
      <c r="A504" s="3">
        <v>503.0</v>
      </c>
      <c r="B504" s="4" t="s">
        <v>13201</v>
      </c>
      <c r="C504" s="4" t="s">
        <v>13057</v>
      </c>
      <c r="D504" s="4" t="s">
        <v>12153</v>
      </c>
      <c r="F504" s="5" t="str">
        <f>IFERROR(__xludf.DUMMYFUNCTION("GOOGLETRANSLATE(A504, ""en"", ""hi"")"),"503")</f>
        <v>503</v>
      </c>
      <c r="G504" s="5" t="str">
        <f>IFERROR(__xludf.DUMMYFUNCTION("GOOGLETRANSLATE(B504, ""en"", ""hi"")"),"कौन सा मणिपुरी राजा थांग-ता को शाही परंपरा के रूप में बढ़ावा देने में अपनी भूमिका के लिए जाना जाता है?")</f>
        <v>कौन सा मणिपुरी राजा थांग-ता को शाही परंपरा के रूप में बढ़ावा देने में अपनी भूमिका के लिए जाना जाता है?</v>
      </c>
      <c r="H504" s="5" t="str">
        <f>IFERROR(__xludf.DUMMYFUNCTION("GOOGLETRANSLATE(C504,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504" s="5" t="str">
        <f>IFERROR(__xludf.DUMMYFUNCTION("GOOGLETRANSLATE(D504, ""en"", ""hi"")"),"बी) महाराजा गंभीर सिंह")</f>
        <v>बी) महाराजा गंभीर सिंह</v>
      </c>
    </row>
    <row r="505" ht="22.5" customHeight="1">
      <c r="A505" s="3">
        <v>504.0</v>
      </c>
      <c r="B505" s="4" t="s">
        <v>13202</v>
      </c>
      <c r="C505" s="4" t="s">
        <v>13203</v>
      </c>
      <c r="D505" s="4" t="s">
        <v>13204</v>
      </c>
      <c r="F505" s="5" t="str">
        <f>IFERROR(__xludf.DUMMYFUNCTION("GOOGLETRANSLATE(A505, ""en"", ""hi"")"),"504")</f>
        <v>504</v>
      </c>
      <c r="G505" s="5" t="str">
        <f>IFERROR(__xludf.DUMMYFUNCTION("GOOGLETRANSLATE(B505, ""en"", ""hi"")"),"थांग-ता प्रथा में किस ऐतिहासिक काल के दौरान महत्वपूर्ण गिरावट देखी गई?")</f>
        <v>थांग-ता प्रथा में किस ऐतिहासिक काल के दौरान महत्वपूर्ण गिरावट देखी गई?</v>
      </c>
      <c r="H505" s="5" t="str">
        <f>IFERROR(__xludf.DUMMYFUNCTION("GOOGLETRANSLATE(C505, ""en"", ""hi"")"),"A) औपनिवेशिक, B) पूर्व-औपनिवेशिक, C) मध्यकालीन, D) आधुनिक")</f>
        <v>A) औपनिवेशिक, B) पूर्व-औपनिवेशिक, C) मध्यकालीन, D) आधुनिक</v>
      </c>
      <c r="I505" s="5" t="str">
        <f>IFERROR(__xludf.DUMMYFUNCTION("GOOGLETRANSLATE(D505, ""en"", ""hi"")"),"ए) औपनिवेशिक")</f>
        <v>ए) औपनिवेशिक</v>
      </c>
    </row>
    <row r="506" ht="22.5" customHeight="1">
      <c r="A506" s="3">
        <v>505.0</v>
      </c>
      <c r="B506" s="4" t="s">
        <v>13205</v>
      </c>
      <c r="C506" s="4" t="s">
        <v>12854</v>
      </c>
      <c r="D506" s="4" t="s">
        <v>12855</v>
      </c>
      <c r="F506" s="5" t="str">
        <f>IFERROR(__xludf.DUMMYFUNCTION("GOOGLETRANSLATE(A506, ""en"", ""hi"")"),"505")</f>
        <v>505</v>
      </c>
      <c r="G506" s="5" t="str">
        <f>IFERROR(__xludf.DUMMYFUNCTION("GOOGLETRANSLATE(B506, ""en"", ""hi"")"),"कौन सा मणिपुरी दस्तावेज़ थांग-ता का सबसे विस्तृत ऐतिहासिक विवरण प्रदान करता है?")</f>
        <v>कौन सा मणिपुरी दस्तावेज़ थांग-ता का सबसे विस्तृत ऐतिहासिक विवरण प्रदान करता है?</v>
      </c>
      <c r="H506" s="5" t="str">
        <f>IFERROR(__xludf.DUMMYFUNCTION("GOOGLETRANSLATE(C506, ""en"", ""hi"")"),"ए) पुया, बी) निंगथौरोल लाम्बुबा, सी) चेइथारोल कुंबाबा, डी) थिरुबोम्बा")</f>
        <v>ए) पुया, बी) निंगथौरोल लाम्बुबा, सी) चेइथारोल कुंबाबा, डी) थिरुबोम्बा</v>
      </c>
      <c r="I506" s="5" t="str">
        <f>IFERROR(__xludf.DUMMYFUNCTION("GOOGLETRANSLATE(D506, ""en"", ""hi"")"),"A) पुया")</f>
        <v>A) पुया</v>
      </c>
    </row>
    <row r="507" ht="22.5" customHeight="1">
      <c r="A507" s="3">
        <v>506.0</v>
      </c>
      <c r="B507" s="4" t="s">
        <v>13206</v>
      </c>
      <c r="C507" s="4" t="s">
        <v>13207</v>
      </c>
      <c r="D507" s="4" t="s">
        <v>13086</v>
      </c>
      <c r="F507" s="5" t="str">
        <f>IFERROR(__xludf.DUMMYFUNCTION("GOOGLETRANSLATE(A507, ""en"", ""hi"")"),"506")</f>
        <v>506</v>
      </c>
      <c r="G507" s="5" t="str">
        <f>IFERROR(__xludf.DUMMYFUNCTION("GOOGLETRANSLATE(B507, ""en"", ""hi"")"),"थांग-ता प्रथा ऐतिहासिक रूप से किस प्रकार की मणिपुरी कला से जुड़ी थी?")</f>
        <v>थांग-ता प्रथा ऐतिहासिक रूप से किस प्रकार की मणिपुरी कला से जुड़ी थी?</v>
      </c>
      <c r="H507" s="5" t="str">
        <f>IFERROR(__xludf.DUMMYFUNCTION("GOOGLETRANSLATE(C507, ""en"", ""hi"")"),"A) मार्शल आर्ट, B) संगीत, C) नृत्य, D) मूर्तिकला")</f>
        <v>A) मार्शल आर्ट, B) संगीत, C) नृत्य, D) मूर्तिकला</v>
      </c>
      <c r="I507" s="5" t="str">
        <f>IFERROR(__xludf.DUMMYFUNCTION("GOOGLETRANSLATE(D507, ""en"", ""hi"")"),"ए) मार्शल आर्ट")</f>
        <v>ए) मार्शल आर्ट</v>
      </c>
    </row>
    <row r="508" ht="22.5" customHeight="1">
      <c r="A508" s="3">
        <v>507.0</v>
      </c>
      <c r="B508" s="4" t="s">
        <v>13208</v>
      </c>
      <c r="C508" s="4" t="s">
        <v>12909</v>
      </c>
      <c r="D508" s="4" t="s">
        <v>12361</v>
      </c>
      <c r="F508" s="5" t="str">
        <f>IFERROR(__xludf.DUMMYFUNCTION("GOOGLETRANSLATE(A508, ""en"", ""hi"")"),"507")</f>
        <v>507</v>
      </c>
      <c r="G508" s="5" t="str">
        <f>IFERROR(__xludf.DUMMYFUNCTION("GOOGLETRANSLATE(B508, ""en"", ""hi"")"),"किस मणिपुरी राजा के शासनकाल में थांग-ता प्रथा में गिरावट के बाद पुनरुत्थान देखा गया?")</f>
        <v>किस मणिपुरी राजा के शासनकाल में थांग-ता प्रथा में गिरावट के बाद पुनरुत्थान देखा गया?</v>
      </c>
      <c r="H508" s="5" t="str">
        <f>IFERROR(__xludf.DUMMYFUNCTION("GOOGLETRANSLATE(C508,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508" s="5" t="str">
        <f>IFERROR(__xludf.DUMMYFUNCTION("GOOGLETRANSLATE(D508, ""en"", ""hi"")"),"A) महाराजा गंभीर सिंह")</f>
        <v>A) महाराजा गंभीर सिंह</v>
      </c>
    </row>
    <row r="509" ht="22.5" customHeight="1">
      <c r="A509" s="3">
        <v>508.0</v>
      </c>
      <c r="B509" s="4" t="s">
        <v>13209</v>
      </c>
      <c r="C509" s="4" t="s">
        <v>12976</v>
      </c>
      <c r="D509" s="4" t="s">
        <v>12831</v>
      </c>
      <c r="F509" s="5" t="str">
        <f>IFERROR(__xludf.DUMMYFUNCTION("GOOGLETRANSLATE(A509, ""en"", ""hi"")"),"508")</f>
        <v>508</v>
      </c>
      <c r="G509" s="5" t="str">
        <f>IFERROR(__xludf.DUMMYFUNCTION("GOOGLETRANSLATE(B509, ""en"", ""hi"")"),"थांग-टा के आधुनिक पुनरुत्थान का श्रेय मुख्यतः किस व्यक्ति के प्रयासों को दिया जाता है?")</f>
        <v>थांग-टा के आधुनिक पुनरुत्थान का श्रेय मुख्यतः किस व्यक्ति के प्रयासों को दिया जाता है?</v>
      </c>
      <c r="H509" s="5" t="str">
        <f>IFERROR(__xludf.DUMMYFUNCTION("GOOGLETRANSLATE(C509, ""en"", ""hi"")"),"ए) गुरुमायुम गौरकिशोर शर्मा, बी) महाराजा गंभीर सिंह, सी) महाराजा चंद्रकीर्ति, डी) महाराजा भाग्यचंद्र")</f>
        <v>ए) गुरुमायुम गौरकिशोर शर्मा, बी) महाराजा गंभीर सिंह, सी) महाराजा चंद्रकीर्ति, डी) महाराजा भाग्यचंद्र</v>
      </c>
      <c r="I509" s="5" t="str">
        <f>IFERROR(__xludf.DUMMYFUNCTION("GOOGLETRANSLATE(D509, ""en"", ""hi"")"),"ए) गुरुमायुम गौरकिशोर शर्मा")</f>
        <v>ए) गुरुमायुम गौरकिशोर शर्मा</v>
      </c>
    </row>
    <row r="510" ht="22.5" customHeight="1">
      <c r="A510" s="3">
        <v>509.0</v>
      </c>
      <c r="B510" s="4" t="s">
        <v>13210</v>
      </c>
      <c r="C510" s="4" t="s">
        <v>12389</v>
      </c>
      <c r="D510" s="4" t="s">
        <v>12086</v>
      </c>
      <c r="F510" s="5" t="str">
        <f>IFERROR(__xludf.DUMMYFUNCTION("GOOGLETRANSLATE(A510, ""en"", ""hi"")"),"509")</f>
        <v>509</v>
      </c>
      <c r="G510" s="5" t="str">
        <f>IFERROR(__xludf.DUMMYFUNCTION("GOOGLETRANSLATE(B510, ""en"", ""hi"")"),"कौन सा मणिपुरी त्योहार पारंपरिक थांग-ता प्रदर्शन के लिए जाना जाता है?")</f>
        <v>कौन सा मणिपुरी त्योहार पारंपरिक थांग-ता प्रदर्शन के लिए जाना जाता है?</v>
      </c>
      <c r="H510" s="5" t="str">
        <f>IFERROR(__xludf.DUMMYFUNCTION("GOOGLETRANSLATE(C510, ""en"", ""hi"")"),"ए) लाई हराओबा, बी) याओशांग, सी) निंगोल चाकोउबा, डी) चेइराओबा")</f>
        <v>ए) लाई हराओबा, बी) याओशांग, सी) निंगोल चाकोउबा, डी) चेइराओबा</v>
      </c>
      <c r="I510" s="5" t="str">
        <f>IFERROR(__xludf.DUMMYFUNCTION("GOOGLETRANSLATE(D510, ""en"", ""hi"")"),"A) लाई हरोबा")</f>
        <v>A) लाई हरोबा</v>
      </c>
    </row>
    <row r="511" ht="22.5" customHeight="1">
      <c r="A511" s="3">
        <v>510.0</v>
      </c>
      <c r="B511" s="4" t="s">
        <v>12964</v>
      </c>
      <c r="C511" s="4" t="s">
        <v>13176</v>
      </c>
      <c r="D511" s="4" t="s">
        <v>12988</v>
      </c>
      <c r="F511" s="5" t="str">
        <f>IFERROR(__xludf.DUMMYFUNCTION("GOOGLETRANSLATE(A511, ""en"", ""hi"")"),"510")</f>
        <v>510</v>
      </c>
      <c r="G511" s="5" t="str">
        <f>IFERROR(__xludf.DUMMYFUNCTION("GOOGLETRANSLATE(B511, ""en"", ""hi"")"),"किस ऐतिहासिक घटना ने मणिपुर में थांग-ता प्रथा को महत्वपूर्ण रूप से प्रभावित किया?")</f>
        <v>किस ऐतिहासिक घटना ने मणिपुर में थांग-ता प्रथा को महत्वपूर्ण रूप से प्रभावित किया?</v>
      </c>
      <c r="H511" s="5" t="str">
        <f>IFERROR(__xludf.DUMMYFUNCTION("GOOGLETRANSLATE(C511, ""en"", ""hi"")"),"A) ब्रिटिश विलय, B) बर्मी आक्रमण, C) प्रथम विश्व युद्ध, D) अफीम युद्ध")</f>
        <v>A) ब्रिटिश विलय, B) बर्मी आक्रमण, C) प्रथम विश्व युद्ध, D) अफीम युद्ध</v>
      </c>
      <c r="I511" s="5" t="str">
        <f>IFERROR(__xludf.DUMMYFUNCTION("GOOGLETRANSLATE(D511, ""en"", ""hi"")"),"A) ब्रिटिश विलय")</f>
        <v>A) ब्रिटिश विलय</v>
      </c>
    </row>
    <row r="512" ht="22.5" customHeight="1">
      <c r="A512" s="3">
        <v>511.0</v>
      </c>
      <c r="B512" s="4" t="s">
        <v>13141</v>
      </c>
      <c r="C512" s="4" t="s">
        <v>12854</v>
      </c>
      <c r="D512" s="4" t="s">
        <v>12855</v>
      </c>
      <c r="F512" s="5" t="str">
        <f>IFERROR(__xludf.DUMMYFUNCTION("GOOGLETRANSLATE(A512, ""en"", ""hi"")"),"511")</f>
        <v>511</v>
      </c>
      <c r="G512" s="5" t="str">
        <f>IFERROR(__xludf.DUMMYFUNCTION("GOOGLETRANSLATE(B512, ""en"", ""hi"")"),"कौन सा मणिपुरी पाठ थांग-ता तकनीकों के लिए ऐतिहासिक संदर्भ प्रदान करता है?")</f>
        <v>कौन सा मणिपुरी पाठ थांग-ता तकनीकों के लिए ऐतिहासिक संदर्भ प्रदान करता है?</v>
      </c>
      <c r="H512" s="5" t="str">
        <f>IFERROR(__xludf.DUMMYFUNCTION("GOOGLETRANSLATE(C512, ""en"", ""hi"")"),"ए) पुया, बी) निंगथौरोल लाम्बुबा, सी) चेइथारोल कुंबाबा, डी) थिरुबोम्बा")</f>
        <v>ए) पुया, बी) निंगथौरोल लाम्बुबा, सी) चेइथारोल कुंबाबा, डी) थिरुबोम्बा</v>
      </c>
      <c r="I512" s="5" t="str">
        <f>IFERROR(__xludf.DUMMYFUNCTION("GOOGLETRANSLATE(D512, ""en"", ""hi"")"),"A) पुया")</f>
        <v>A) पुया</v>
      </c>
    </row>
    <row r="513" ht="22.5" customHeight="1">
      <c r="A513" s="3">
        <v>512.0</v>
      </c>
      <c r="B513" s="4" t="s">
        <v>13211</v>
      </c>
      <c r="C513" s="4" t="s">
        <v>13212</v>
      </c>
      <c r="D513" s="4" t="s">
        <v>12969</v>
      </c>
      <c r="F513" s="5" t="str">
        <f>IFERROR(__xludf.DUMMYFUNCTION("GOOGLETRANSLATE(A513, ""en"", ""hi"")"),"512")</f>
        <v>512</v>
      </c>
      <c r="G513" s="5" t="str">
        <f>IFERROR(__xludf.DUMMYFUNCTION("GOOGLETRANSLATE(B513, ""en"", ""hi"")"),"थांग-ता पारंपरिक रूप से किस प्रकार के मणिपुरी समारोहों से जुड़ा हुआ है?")</f>
        <v>थांग-ता पारंपरिक रूप से किस प्रकार के मणिपुरी समारोहों से जुड़ा हुआ है?</v>
      </c>
      <c r="H513" s="5" t="str">
        <f>IFERROR(__xludf.DUMMYFUNCTION("GOOGLETRANSLATE(C513, ""en"", ""hi"")"),"A) फसल उत्सव, B) शाही समारोह, C) धार्मिक अनुष्ठान, D) सामाजिक कार्यक्रम")</f>
        <v>A) फसल उत्सव, B) शाही समारोह, C) धार्मिक अनुष्ठान, D) सामाजिक कार्यक्रम</v>
      </c>
      <c r="I513" s="5" t="str">
        <f>IFERROR(__xludf.DUMMYFUNCTION("GOOGLETRANSLATE(D513, ""en"", ""hi"")"),"C) धार्मिक अनुष्ठान")</f>
        <v>C) धार्मिक अनुष्ठान</v>
      </c>
    </row>
    <row r="514" ht="22.5" customHeight="1">
      <c r="A514" s="3">
        <v>513.0</v>
      </c>
      <c r="B514" s="4" t="s">
        <v>13213</v>
      </c>
      <c r="C514" s="4" t="s">
        <v>12909</v>
      </c>
      <c r="D514" s="4" t="s">
        <v>12361</v>
      </c>
      <c r="F514" s="5" t="str">
        <f>IFERROR(__xludf.DUMMYFUNCTION("GOOGLETRANSLATE(A514, ""en"", ""hi"")"),"513")</f>
        <v>513</v>
      </c>
      <c r="G514" s="5" t="str">
        <f>IFERROR(__xludf.DUMMYFUNCTION("GOOGLETRANSLATE(B514, ""en"", ""hi"")"),"औपनिवेशिक काल के दौरान थांग-टा को पुनर्जीवित करने का श्रेय किस मणिपुरी राजा को दिया जाता है?")</f>
        <v>औपनिवेशिक काल के दौरान थांग-टा को पुनर्जीवित करने का श्रेय किस मणिपुरी राजा को दिया जाता है?</v>
      </c>
      <c r="H514" s="5" t="str">
        <f>IFERROR(__xludf.DUMMYFUNCTION("GOOGLETRANSLATE(C514,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514" s="5" t="str">
        <f>IFERROR(__xludf.DUMMYFUNCTION("GOOGLETRANSLATE(D514, ""en"", ""hi"")"),"A) महाराजा गंभीर सिंह")</f>
        <v>A) महाराजा गंभीर सिंह</v>
      </c>
    </row>
    <row r="515" ht="22.5" customHeight="1">
      <c r="A515" s="3">
        <v>514.0</v>
      </c>
      <c r="B515" s="4" t="s">
        <v>13214</v>
      </c>
      <c r="C515" s="4" t="s">
        <v>13215</v>
      </c>
      <c r="D515" s="4" t="s">
        <v>13086</v>
      </c>
      <c r="F515" s="5" t="str">
        <f>IFERROR(__xludf.DUMMYFUNCTION("GOOGLETRANSLATE(A515, ""en"", ""hi"")"),"514")</f>
        <v>514</v>
      </c>
      <c r="G515" s="5" t="str">
        <f>IFERROR(__xludf.DUMMYFUNCTION("GOOGLETRANSLATE(B515, ""en"", ""hi"")"),"थांग-ता का इतिहास किस पारंपरिक मणिपुरी कला रूप से गहराई से जुड़ा हुआ है?")</f>
        <v>थांग-ता का इतिहास किस पारंपरिक मणिपुरी कला रूप से गहराई से जुड़ा हुआ है?</v>
      </c>
      <c r="H515" s="5" t="str">
        <f>IFERROR(__xludf.DUMMYFUNCTION("GOOGLETRANSLATE(C515, ""en"", ""hi"")"),"A) मार्शल आर्ट, B) नृत्य, C) संगीत, D) चित्रकला")</f>
        <v>A) मार्शल आर्ट, B) नृत्य, C) संगीत, D) चित्रकला</v>
      </c>
      <c r="I515" s="5" t="str">
        <f>IFERROR(__xludf.DUMMYFUNCTION("GOOGLETRANSLATE(D515, ""en"", ""hi"")"),"ए) मार्शल आर्ट")</f>
        <v>ए) मार्शल आर्ट</v>
      </c>
    </row>
    <row r="516" ht="22.5" customHeight="1">
      <c r="A516" s="3">
        <v>515.0</v>
      </c>
      <c r="B516" s="4" t="s">
        <v>13216</v>
      </c>
      <c r="C516" s="4" t="s">
        <v>13003</v>
      </c>
      <c r="D516" s="4" t="s">
        <v>12855</v>
      </c>
      <c r="F516" s="5" t="str">
        <f>IFERROR(__xludf.DUMMYFUNCTION("GOOGLETRANSLATE(A516, ""en"", ""hi"")"),"515")</f>
        <v>515</v>
      </c>
      <c r="G516" s="5" t="str">
        <f>IFERROR(__xludf.DUMMYFUNCTION("GOOGLETRANSLATE(B516, ""en"", ""hi"")"),"थांग-ता की तकनीक और इतिहास को समझने के लिए कौन सा मणिपुरी दस्तावेज़ आवश्यक है?")</f>
        <v>थांग-ता की तकनीक और इतिहास को समझने के लिए कौन सा मणिपुरी दस्तावेज़ आवश्यक है?</v>
      </c>
      <c r="H516" s="5" t="str">
        <f>IFERROR(__xludf.DUMMYFUNCTION("GOOGLETRANSLATE(C516, ""en"", ""hi"")"),"ए) पुया, बी) चेइथारोल कुंबाबा, सी) निंगथौरोल लाम्बुबा, डी) कांगलेइरोल")</f>
        <v>ए) पुया, बी) चेइथारोल कुंबाबा, सी) निंगथौरोल लाम्बुबा, डी) कांगलेइरोल</v>
      </c>
      <c r="I516" s="5" t="str">
        <f>IFERROR(__xludf.DUMMYFUNCTION("GOOGLETRANSLATE(D516, ""en"", ""hi"")"),"A) पुया")</f>
        <v>A) पुया</v>
      </c>
    </row>
    <row r="517" ht="22.5" customHeight="1">
      <c r="A517" s="3">
        <v>516.0</v>
      </c>
      <c r="B517" s="4" t="s">
        <v>13217</v>
      </c>
      <c r="C517" s="4" t="s">
        <v>13218</v>
      </c>
      <c r="D517" s="4" t="s">
        <v>12969</v>
      </c>
      <c r="F517" s="5" t="str">
        <f>IFERROR(__xludf.DUMMYFUNCTION("GOOGLETRANSLATE(A517, ""en"", ""hi"")"),"516")</f>
        <v>516</v>
      </c>
      <c r="G517" s="5" t="str">
        <f>IFERROR(__xludf.DUMMYFUNCTION("GOOGLETRANSLATE(B517, ""en"", ""hi"")"),"थांग-ता की प्रथा पारंपरिक रूप से किस प्रकार के मणिपुरी आयोजनों में शामिल थी?")</f>
        <v>थांग-ता की प्रथा पारंपरिक रूप से किस प्रकार के मणिपुरी आयोजनों में शामिल थी?</v>
      </c>
      <c r="H517" s="5" t="str">
        <f>IFERROR(__xludf.DUMMYFUNCTION("GOOGLETRANSLATE(C517, ""en"", ""hi"")"),"A) सांस्कृतिक उत्सव, B) शाही समारोह, C) धार्मिक अनुष्ठान, D) कृषि उत्सव")</f>
        <v>A) सांस्कृतिक उत्सव, B) शाही समारोह, C) धार्मिक अनुष्ठान, D) कृषि उत्सव</v>
      </c>
      <c r="I517" s="5" t="str">
        <f>IFERROR(__xludf.DUMMYFUNCTION("GOOGLETRANSLATE(D517, ""en"", ""hi"")"),"C) धार्मिक अनुष्ठान")</f>
        <v>C) धार्मिक अनुष्ठान</v>
      </c>
    </row>
    <row r="518" ht="22.5" customHeight="1">
      <c r="A518" s="3">
        <v>517.0</v>
      </c>
      <c r="B518" s="4" t="s">
        <v>13219</v>
      </c>
      <c r="C518" s="4" t="s">
        <v>13057</v>
      </c>
      <c r="D518" s="4" t="s">
        <v>12153</v>
      </c>
      <c r="F518" s="5" t="str">
        <f>IFERROR(__xludf.DUMMYFUNCTION("GOOGLETRANSLATE(A518, ""en"", ""hi"")"),"517")</f>
        <v>517</v>
      </c>
      <c r="G518" s="5" t="str">
        <f>IFERROR(__xludf.DUMMYFUNCTION("GOOGLETRANSLATE(B518, ""en"", ""hi"")"),"किस मणिपुरी राजा का शासनकाल थांग-ता के संरक्षण में महत्वपूर्ण योगदान के लिए जाना जाता है?")</f>
        <v>किस मणिपुरी राजा का शासनकाल थांग-ता के संरक्षण में महत्वपूर्ण योगदान के लिए जाना जाता है?</v>
      </c>
      <c r="H518" s="5" t="str">
        <f>IFERROR(__xludf.DUMMYFUNCTION("GOOGLETRANSLATE(C518,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518" s="5" t="str">
        <f>IFERROR(__xludf.DUMMYFUNCTION("GOOGLETRANSLATE(D518, ""en"", ""hi"")"),"बी) महाराजा गंभीर सिंह")</f>
        <v>बी) महाराजा गंभीर सिंह</v>
      </c>
    </row>
    <row r="519" ht="22.5" customHeight="1">
      <c r="A519" s="3">
        <v>518.0</v>
      </c>
      <c r="B519" s="4" t="s">
        <v>13220</v>
      </c>
      <c r="C519" s="4" t="s">
        <v>13146</v>
      </c>
      <c r="D519" s="4" t="s">
        <v>13050</v>
      </c>
      <c r="F519" s="5" t="str">
        <f>IFERROR(__xludf.DUMMYFUNCTION("GOOGLETRANSLATE(A519, ""en"", ""hi"")"),"518")</f>
        <v>518</v>
      </c>
      <c r="G519" s="5" t="str">
        <f>IFERROR(__xludf.DUMMYFUNCTION("GOOGLETRANSLATE(B519, ""en"", ""hi"")"),"औपनिवेशिक काल के दौरान थांग-टा का पतन किस प्रकार के प्रतिरोध से जुड़े होने के कारण हुआ था?")</f>
        <v>औपनिवेशिक काल के दौरान थांग-टा का पतन किस प्रकार के प्रतिरोध से जुड़े होने के कारण हुआ था?</v>
      </c>
      <c r="H519" s="5" t="str">
        <f>IFERROR(__xludf.DUMMYFUNCTION("GOOGLETRANSLATE(C519, ""en"", ""hi"")"),"A) राजनीतिक, B) आर्थिक, C) सांस्कृतिक, D) सैन्य")</f>
        <v>A) राजनीतिक, B) आर्थिक, C) सांस्कृतिक, D) सैन्य</v>
      </c>
      <c r="I519" s="5" t="str">
        <f>IFERROR(__xludf.DUMMYFUNCTION("GOOGLETRANSLATE(D519, ""en"", ""hi"")"),"डी) सैन्य")</f>
        <v>डी) सैन्य</v>
      </c>
    </row>
    <row r="520" ht="22.5" customHeight="1">
      <c r="A520" s="3">
        <v>519.0</v>
      </c>
      <c r="B520" s="4" t="s">
        <v>13221</v>
      </c>
      <c r="C520" s="4" t="s">
        <v>12981</v>
      </c>
      <c r="D520" s="4" t="s">
        <v>12855</v>
      </c>
      <c r="F520" s="5" t="str">
        <f>IFERROR(__xludf.DUMMYFUNCTION("GOOGLETRANSLATE(A520, ""en"", ""hi"")"),"519")</f>
        <v>519</v>
      </c>
      <c r="G520" s="5" t="str">
        <f>IFERROR(__xludf.DUMMYFUNCTION("GOOGLETRANSLATE(B520, ""en"", ""hi"")"),"कौन सा मणिपुरी ग्रंथ थांग-ता के बारे में विस्तृत ऐतिहासिक और तकनीकी जानकारी प्रदान करता है?")</f>
        <v>कौन सा मणिपुरी ग्रंथ थांग-ता के बारे में विस्तृत ऐतिहासिक और तकनीकी जानकारी प्रदान करता है?</v>
      </c>
      <c r="H520" s="5" t="str">
        <f>IFERROR(__xludf.DUMMYFUNCTION("GOOGLETRANSLATE(C520, ""en"", ""hi"")"),"ए) पुया, बी) निंगथौरोल लाम्बुबा, सी) चेइथारोल कुंबाबा, डी) कांगलेइरोल")</f>
        <v>ए) पुया, बी) निंगथौरोल लाम्बुबा, सी) चेइथारोल कुंबाबा, डी) कांगलेइरोल</v>
      </c>
      <c r="I520" s="5" t="str">
        <f>IFERROR(__xludf.DUMMYFUNCTION("GOOGLETRANSLATE(D520, ""en"", ""hi"")"),"A) पुया")</f>
        <v>A) पुया</v>
      </c>
    </row>
    <row r="521" ht="22.5" customHeight="1">
      <c r="A521" s="3">
        <v>520.0</v>
      </c>
      <c r="B521" s="4" t="s">
        <v>13222</v>
      </c>
      <c r="C521" s="4" t="s">
        <v>13223</v>
      </c>
      <c r="D521" s="4" t="s">
        <v>13086</v>
      </c>
      <c r="F521" s="5" t="str">
        <f>IFERROR(__xludf.DUMMYFUNCTION("GOOGLETRANSLATE(A521, ""en"", ""hi"")"),"520")</f>
        <v>520</v>
      </c>
      <c r="G521" s="5" t="str">
        <f>IFERROR(__xludf.DUMMYFUNCTION("GOOGLETRANSLATE(B521, ""en"", ""hi"")"),"थांग-ता का इतिहास किस पारंपरिक मणिपुरी प्रथा से निकटता से जुड़ा हुआ है?")</f>
        <v>थांग-ता का इतिहास किस पारंपरिक मणिपुरी प्रथा से निकटता से जुड़ा हुआ है?</v>
      </c>
      <c r="H521" s="5" t="str">
        <f>IFERROR(__xludf.DUMMYFUNCTION("GOOGLETRANSLATE(C521, ""en"", ""hi"")"),"A) मार्शल आर्ट, B) संगीत, C) नृत्य, D) चित्रकला")</f>
        <v>A) मार्शल आर्ट, B) संगीत, C) नृत्य, D) चित्रकला</v>
      </c>
      <c r="I521" s="5" t="str">
        <f>IFERROR(__xludf.DUMMYFUNCTION("GOOGLETRANSLATE(D521, ""en"", ""hi"")"),"ए) मार्शल आर्ट")</f>
        <v>ए) मार्शल आर्ट</v>
      </c>
    </row>
    <row r="522" ht="22.5" customHeight="1">
      <c r="A522" s="3">
        <v>521.0</v>
      </c>
      <c r="B522" s="4" t="s">
        <v>13224</v>
      </c>
      <c r="C522" s="4" t="s">
        <v>13057</v>
      </c>
      <c r="D522" s="4" t="s">
        <v>12153</v>
      </c>
      <c r="F522" s="5" t="str">
        <f>IFERROR(__xludf.DUMMYFUNCTION("GOOGLETRANSLATE(A522, ""en"", ""hi"")"),"521")</f>
        <v>521</v>
      </c>
      <c r="G522" s="5" t="str">
        <f>IFERROR(__xludf.DUMMYFUNCTION("GOOGLETRANSLATE(B522, ""en"", ""hi"")"),"किस मणिपुरी राजा को थांग-ता को शाही परंपरा के रूप में बढ़ावा देने में उनकी भूमिका के लिए जाना जाता है?")</f>
        <v>किस मणिपुरी राजा को थांग-ता को शाही परंपरा के रूप में बढ़ावा देने में उनकी भूमिका के लिए जाना जाता है?</v>
      </c>
      <c r="H522" s="5" t="str">
        <f>IFERROR(__xludf.DUMMYFUNCTION("GOOGLETRANSLATE(C522, ""en"", ""hi"")"),"ए) महाराजा खगेम्बा, बी) महाराजा गंभीर सिंह, सी) महाराजा चंद्रकीर्ति, डी) महाराजा भाग्यचंद्र")</f>
        <v>ए) महाराजा खगेम्बा, बी) महाराजा गंभीर सिंह, सी) महाराजा चंद्रकीर्ति, डी) महाराजा भाग्यचंद्र</v>
      </c>
      <c r="I522" s="5" t="str">
        <f>IFERROR(__xludf.DUMMYFUNCTION("GOOGLETRANSLATE(D522, ""en"", ""hi"")"),"बी) महाराजा गंभीर सिंह")</f>
        <v>बी) महाराजा गंभीर सिंह</v>
      </c>
    </row>
    <row r="523" ht="22.5" customHeight="1">
      <c r="A523" s="3">
        <v>522.0</v>
      </c>
      <c r="B523" s="4" t="s">
        <v>13225</v>
      </c>
      <c r="C523" s="4" t="s">
        <v>13146</v>
      </c>
      <c r="D523" s="4" t="s">
        <v>13050</v>
      </c>
      <c r="F523" s="5" t="str">
        <f>IFERROR(__xludf.DUMMYFUNCTION("GOOGLETRANSLATE(A523, ""en"", ""hi"")"),"522")</f>
        <v>522</v>
      </c>
      <c r="G523" s="5" t="str">
        <f>IFERROR(__xludf.DUMMYFUNCTION("GOOGLETRANSLATE(B523, ""en"", ""hi"")"),"औपनिवेशिक काल के दौरान थांग-टा का दमन किस प्रकार के प्रतिरोध से संबंधित था?")</f>
        <v>औपनिवेशिक काल के दौरान थांग-टा का दमन किस प्रकार के प्रतिरोध से संबंधित था?</v>
      </c>
      <c r="H523" s="5" t="str">
        <f>IFERROR(__xludf.DUMMYFUNCTION("GOOGLETRANSLATE(C523, ""en"", ""hi"")"),"A) राजनीतिक, B) आर्थिक, C) सांस्कृतिक, D) सैन्य")</f>
        <v>A) राजनीतिक, B) आर्थिक, C) सांस्कृतिक, D) सैन्य</v>
      </c>
      <c r="I523" s="5" t="str">
        <f>IFERROR(__xludf.DUMMYFUNCTION("GOOGLETRANSLATE(D523, ""en"", ""hi"")"),"डी) सैन्य")</f>
        <v>डी) सैन्य</v>
      </c>
    </row>
    <row r="524" ht="22.5" customHeight="1">
      <c r="A524" s="3">
        <v>523.0</v>
      </c>
      <c r="B524" s="4" t="s">
        <v>13226</v>
      </c>
      <c r="C524" s="4" t="s">
        <v>12854</v>
      </c>
      <c r="D524" s="4" t="s">
        <v>12855</v>
      </c>
      <c r="F524" s="5" t="str">
        <f>IFERROR(__xludf.DUMMYFUNCTION("GOOGLETRANSLATE(A524, ""en"", ""hi"")"),"523")</f>
        <v>523</v>
      </c>
      <c r="G524" s="5" t="str">
        <f>IFERROR(__xludf.DUMMYFUNCTION("GOOGLETRANSLATE(B524, ""en"", ""hi"")"),"कौन सा मणिपुरी दस्तावेज़ थांग-ता के लिए महत्वपूर्ण ऐतिहासिक संदर्भ प्रदान करता है?")</f>
        <v>कौन सा मणिपुरी दस्तावेज़ थांग-ता के लिए महत्वपूर्ण ऐतिहासिक संदर्भ प्रदान करता है?</v>
      </c>
      <c r="H524" s="5" t="str">
        <f>IFERROR(__xludf.DUMMYFUNCTION("GOOGLETRANSLATE(C524, ""en"", ""hi"")"),"ए) पुया, बी) निंगथौरोल लाम्बुबा, सी) चेइथारोल कुंबाबा, डी) थिरुबोम्बा")</f>
        <v>ए) पुया, बी) निंगथौरोल लाम्बुबा, सी) चेइथारोल कुंबाबा, डी) थिरुबोम्बा</v>
      </c>
      <c r="I524" s="5" t="str">
        <f>IFERROR(__xludf.DUMMYFUNCTION("GOOGLETRANSLATE(D524, ""en"", ""hi"")"),"A) पुया")</f>
        <v>A) पुया</v>
      </c>
    </row>
    <row r="525" ht="22.5" customHeight="1">
      <c r="A525" s="3">
        <v>524.0</v>
      </c>
      <c r="B525" s="4" t="s">
        <v>13227</v>
      </c>
      <c r="C525" s="4" t="s">
        <v>13207</v>
      </c>
      <c r="D525" s="4" t="s">
        <v>13086</v>
      </c>
      <c r="F525" s="5" t="str">
        <f>IFERROR(__xludf.DUMMYFUNCTION("GOOGLETRANSLATE(A525, ""en"", ""hi"")"),"524")</f>
        <v>524</v>
      </c>
      <c r="G525" s="5" t="str">
        <f>IFERROR(__xludf.DUMMYFUNCTION("GOOGLETRANSLATE(B525, ""en"", ""hi"")"),"थांग-ता प्रथा ऐतिहासिक रूप से किस प्रकार की पारंपरिक मणिपुरी कला से संबंधित थी?")</f>
        <v>थांग-ता प्रथा ऐतिहासिक रूप से किस प्रकार की पारंपरिक मणिपुरी कला से संबंधित थी?</v>
      </c>
      <c r="H525" s="5" t="str">
        <f>IFERROR(__xludf.DUMMYFUNCTION("GOOGLETRANSLATE(C525, ""en"", ""hi"")"),"A) मार्शल आर्ट, B) संगीत, C) नृत्य, D) मूर्तिकला")</f>
        <v>A) मार्शल आर्ट, B) संगीत, C) नृत्य, D) मूर्तिकला</v>
      </c>
      <c r="I525" s="5" t="str">
        <f>IFERROR(__xludf.DUMMYFUNCTION("GOOGLETRANSLATE(D525, ""en"", ""hi"")"),"ए) मार्शल आर्ट")</f>
        <v>ए) मार्शल आर्ट</v>
      </c>
    </row>
    <row r="526" ht="22.5" customHeight="1">
      <c r="A526" s="3">
        <v>525.0</v>
      </c>
      <c r="B526" s="4" t="s">
        <v>13228</v>
      </c>
      <c r="C526" s="4" t="s">
        <v>12909</v>
      </c>
      <c r="D526" s="4" t="s">
        <v>12361</v>
      </c>
      <c r="F526" s="5" t="str">
        <f>IFERROR(__xludf.DUMMYFUNCTION("GOOGLETRANSLATE(A526, ""en"", ""hi"")"),"525")</f>
        <v>525</v>
      </c>
      <c r="G526" s="5" t="str">
        <f>IFERROR(__xludf.DUMMYFUNCTION("GOOGLETRANSLATE(B526, ""en"", ""hi"")"),"किस मणिपुरी राजा के शासनकाल में थांग-ता प्रथा का पुनरुद्धार हुआ?")</f>
        <v>किस मणिपुरी राजा के शासनकाल में थांग-ता प्रथा का पुनरुद्धार हुआ?</v>
      </c>
      <c r="H526" s="5" t="str">
        <f>IFERROR(__xludf.DUMMYFUNCTION("GOOGLETRANSLATE(C526,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526" s="5" t="str">
        <f>IFERROR(__xludf.DUMMYFUNCTION("GOOGLETRANSLATE(D526, ""en"", ""hi"")"),"A) महाराजा गंभीर सिंह")</f>
        <v>A) महाराजा गंभीर सिंह</v>
      </c>
    </row>
    <row r="527" ht="22.5" customHeight="1">
      <c r="A527" s="3">
        <v>526.0</v>
      </c>
      <c r="B527" s="4" t="s">
        <v>13229</v>
      </c>
      <c r="C527" s="4" t="s">
        <v>13124</v>
      </c>
      <c r="D527" s="4" t="s">
        <v>12831</v>
      </c>
      <c r="F527" s="5" t="str">
        <f>IFERROR(__xludf.DUMMYFUNCTION("GOOGLETRANSLATE(A527, ""en"", ""hi"")"),"526")</f>
        <v>526</v>
      </c>
      <c r="G527" s="5" t="str">
        <f>IFERROR(__xludf.DUMMYFUNCTION("GOOGLETRANSLATE(B527, ""en"", ""hi"")"),"थांग-टा के आधुनिक पुनरुत्थान का श्रेय मुख्यतः किस व्यक्ति को दिया जाता है?")</f>
        <v>थांग-टा के आधुनिक पुनरुत्थान का श्रेय मुख्यतः किस व्यक्ति को दिया जाता है?</v>
      </c>
      <c r="H527" s="5" t="str">
        <f>IFERROR(__xludf.DUMMYFUNCTION("GOOGLETRANSLATE(C527, ""en"", ""hi"")"),"ए) गुरुमायुम गौरकिशोर शर्मा, बी) महाराजा भाग्यचंद्र, सी) महाराजा गंभीर सिंह, डी) महाराजा चंद्रकीर्ति")</f>
        <v>ए) गुरुमायुम गौरकिशोर शर्मा, बी) महाराजा भाग्यचंद्र, सी) महाराजा गंभीर सिंह, डी) महाराजा चंद्रकीर्ति</v>
      </c>
      <c r="I527" s="5" t="str">
        <f>IFERROR(__xludf.DUMMYFUNCTION("GOOGLETRANSLATE(D527, ""en"", ""hi"")"),"ए) गुरुमायुम गौरकिशोर शर्मा")</f>
        <v>ए) गुरुमायुम गौरकिशोर शर्मा</v>
      </c>
    </row>
    <row r="528" ht="22.5" customHeight="1">
      <c r="A528" s="3">
        <v>527.0</v>
      </c>
      <c r="B528" s="4" t="s">
        <v>13230</v>
      </c>
      <c r="C528" s="4" t="s">
        <v>12389</v>
      </c>
      <c r="D528" s="4" t="s">
        <v>12086</v>
      </c>
      <c r="F528" s="5" t="str">
        <f>IFERROR(__xludf.DUMMYFUNCTION("GOOGLETRANSLATE(A528, ""en"", ""hi"")"),"527")</f>
        <v>527</v>
      </c>
      <c r="G528" s="5" t="str">
        <f>IFERROR(__xludf.DUMMYFUNCTION("GOOGLETRANSLATE(B528, ""en"", ""hi"")"),"कौन सा मणिपुरी त्योहार पारंपरिक रूप से थांग-ता प्रदर्शन से जुड़ा हुआ है?")</f>
        <v>कौन सा मणिपुरी त्योहार पारंपरिक रूप से थांग-ता प्रदर्शन से जुड़ा हुआ है?</v>
      </c>
      <c r="H528" s="5" t="str">
        <f>IFERROR(__xludf.DUMMYFUNCTION("GOOGLETRANSLATE(C528, ""en"", ""hi"")"),"ए) लाई हराओबा, बी) याओशांग, सी) निंगोल चाकोउबा, डी) चेइराओबा")</f>
        <v>ए) लाई हराओबा, बी) याओशांग, सी) निंगोल चाकोउबा, डी) चेइराओबा</v>
      </c>
      <c r="I528" s="5" t="str">
        <f>IFERROR(__xludf.DUMMYFUNCTION("GOOGLETRANSLATE(D528, ""en"", ""hi"")"),"A) लाई हरोबा")</f>
        <v>A) लाई हरोबा</v>
      </c>
    </row>
    <row r="529" ht="22.5" customHeight="1">
      <c r="A529" s="3">
        <v>528.0</v>
      </c>
      <c r="B529" s="4" t="s">
        <v>13231</v>
      </c>
      <c r="C529" s="4" t="s">
        <v>13176</v>
      </c>
      <c r="D529" s="4" t="s">
        <v>12988</v>
      </c>
      <c r="F529" s="5" t="str">
        <f>IFERROR(__xludf.DUMMYFUNCTION("GOOGLETRANSLATE(A529, ""en"", ""hi"")"),"528")</f>
        <v>528</v>
      </c>
      <c r="G529" s="5" t="str">
        <f>IFERROR(__xludf.DUMMYFUNCTION("GOOGLETRANSLATE(B529, ""en"", ""hi"")"),"किस ऐतिहासिक घटना का मणिपुर में थांग-ता प्रथा पर महत्वपूर्ण प्रभाव पड़ा?")</f>
        <v>किस ऐतिहासिक घटना का मणिपुर में थांग-ता प्रथा पर महत्वपूर्ण प्रभाव पड़ा?</v>
      </c>
      <c r="H529" s="5" t="str">
        <f>IFERROR(__xludf.DUMMYFUNCTION("GOOGLETRANSLATE(C529, ""en"", ""hi"")"),"A) ब्रिटिश विलय, B) बर्मी आक्रमण, C) प्रथम विश्व युद्ध, D) अफीम युद्ध")</f>
        <v>A) ब्रिटिश विलय, B) बर्मी आक्रमण, C) प्रथम विश्व युद्ध, D) अफीम युद्ध</v>
      </c>
      <c r="I529" s="5" t="str">
        <f>IFERROR(__xludf.DUMMYFUNCTION("GOOGLETRANSLATE(D529, ""en"", ""hi"")"),"A) ब्रिटिश विलय")</f>
        <v>A) ब्रिटिश विलय</v>
      </c>
    </row>
    <row r="530" ht="22.5" customHeight="1">
      <c r="A530" s="3">
        <v>529.0</v>
      </c>
      <c r="B530" s="4" t="s">
        <v>13232</v>
      </c>
      <c r="C530" s="4" t="s">
        <v>12854</v>
      </c>
      <c r="D530" s="4" t="s">
        <v>12855</v>
      </c>
      <c r="F530" s="5" t="str">
        <f>IFERROR(__xludf.DUMMYFUNCTION("GOOGLETRANSLATE(A530, ""en"", ""hi"")"),"529")</f>
        <v>529</v>
      </c>
      <c r="G530" s="5" t="str">
        <f>IFERROR(__xludf.DUMMYFUNCTION("GOOGLETRANSLATE(B530, ""en"", ""hi"")"),"कौन सा मणिपुरी पाठ थांग-ता के बारे में आवश्यक ऐतिहासिक और तकनीकी जानकारी प्रदान करता है?")</f>
        <v>कौन सा मणिपुरी पाठ थांग-ता के बारे में आवश्यक ऐतिहासिक और तकनीकी जानकारी प्रदान करता है?</v>
      </c>
      <c r="H530" s="5" t="str">
        <f>IFERROR(__xludf.DUMMYFUNCTION("GOOGLETRANSLATE(C530, ""en"", ""hi"")"),"ए) पुया, बी) निंगथौरोल लाम्बुबा, सी) चेइथारोल कुंबाबा, डी) थिरुबोम्बा")</f>
        <v>ए) पुया, बी) निंगथौरोल लाम्बुबा, सी) चेइथारोल कुंबाबा, डी) थिरुबोम्बा</v>
      </c>
      <c r="I530" s="5" t="str">
        <f>IFERROR(__xludf.DUMMYFUNCTION("GOOGLETRANSLATE(D530, ""en"", ""hi"")"),"A) पुया")</f>
        <v>A) पुया</v>
      </c>
    </row>
    <row r="531" ht="22.5" customHeight="1">
      <c r="A531" s="3">
        <v>530.0</v>
      </c>
      <c r="B531" s="4" t="s">
        <v>13233</v>
      </c>
      <c r="C531" s="4" t="s">
        <v>13218</v>
      </c>
      <c r="D531" s="4" t="s">
        <v>12969</v>
      </c>
      <c r="F531" s="5" t="str">
        <f>IFERROR(__xludf.DUMMYFUNCTION("GOOGLETRANSLATE(A531, ""en"", ""hi"")"),"530")</f>
        <v>530</v>
      </c>
      <c r="G531" s="5" t="str">
        <f>IFERROR(__xludf.DUMMYFUNCTION("GOOGLETRANSLATE(B531, ""en"", ""hi"")"),"थांग-ता की प्रथा ऐतिहासिक रूप से किस प्रकार के मणिपुरी आयोजनों में एकीकृत थी?")</f>
        <v>थांग-ता की प्रथा ऐतिहासिक रूप से किस प्रकार के मणिपुरी आयोजनों में एकीकृत थी?</v>
      </c>
      <c r="H531" s="5" t="str">
        <f>IFERROR(__xludf.DUMMYFUNCTION("GOOGLETRANSLATE(C531, ""en"", ""hi"")"),"A) सांस्कृतिक उत्सव, B) शाही समारोह, C) धार्मिक अनुष्ठान, D) कृषि उत्सव")</f>
        <v>A) सांस्कृतिक उत्सव, B) शाही समारोह, C) धार्मिक अनुष्ठान, D) कृषि उत्सव</v>
      </c>
      <c r="I531" s="5" t="str">
        <f>IFERROR(__xludf.DUMMYFUNCTION("GOOGLETRANSLATE(D531, ""en"", ""hi"")"),"C) धार्मिक अनुष्ठान")</f>
        <v>C) धार्मिक अनुष्ठान</v>
      </c>
    </row>
    <row r="532" ht="22.5" customHeight="1">
      <c r="A532" s="3">
        <v>531.0</v>
      </c>
      <c r="B532" s="4" t="s">
        <v>13234</v>
      </c>
      <c r="C532" s="4" t="s">
        <v>12909</v>
      </c>
      <c r="D532" s="4" t="s">
        <v>12361</v>
      </c>
      <c r="F532" s="5" t="str">
        <f>IFERROR(__xludf.DUMMYFUNCTION("GOOGLETRANSLATE(A532, ""en"", ""hi"")"),"531")</f>
        <v>531</v>
      </c>
      <c r="G532" s="5" t="str">
        <f>IFERROR(__xludf.DUMMYFUNCTION("GOOGLETRANSLATE(B532, ""en"", ""hi"")"),"किस मणिपुरी राजा को औपनिवेशिक काल के दौरान थांग-ता को संरक्षित करने के प्रयासों के लिए जाना जाता है?")</f>
        <v>किस मणिपुरी राजा को औपनिवेशिक काल के दौरान थांग-ता को संरक्षित करने के प्रयासों के लिए जाना जाता है?</v>
      </c>
      <c r="H532" s="5" t="str">
        <f>IFERROR(__xludf.DUMMYFUNCTION("GOOGLETRANSLATE(C532, ""en"", ""hi"")"),"ए) महाराजा गंभीर सिंह, बी) महाराजा भाग्यचंद्र, सी) महाराजा चंद्रकीर्ति, डी) महाराजा मरजीत सिंह")</f>
        <v>ए) महाराजा गंभीर सिंह, बी) महाराजा भाग्यचंद्र, सी) महाराजा चंद्रकीर्ति, डी) महाराजा मरजीत सिंह</v>
      </c>
      <c r="I532" s="5" t="str">
        <f>IFERROR(__xludf.DUMMYFUNCTION("GOOGLETRANSLATE(D532, ""en"", ""hi"")"),"A) महाराजा गंभीर सिंह")</f>
        <v>A) महाराजा गंभीर सिंह</v>
      </c>
    </row>
    <row r="533" ht="22.5" customHeight="1">
      <c r="A533" s="3">
        <v>532.0</v>
      </c>
      <c r="B533" s="4" t="s">
        <v>13195</v>
      </c>
      <c r="C533" s="4" t="s">
        <v>13196</v>
      </c>
      <c r="D533" s="4" t="s">
        <v>13197</v>
      </c>
      <c r="F533" s="5" t="str">
        <f>IFERROR(__xludf.DUMMYFUNCTION("GOOGLETRANSLATE(A533, ""en"", ""hi"")"),"532")</f>
        <v>532</v>
      </c>
      <c r="G533" s="5" t="str">
        <f>IFERROR(__xludf.DUMMYFUNCTION("GOOGLETRANSLATE(B533, ""en"", ""hi"")"),"किस ऐतिहासिक घटना के कारण थांग-ता को सांस्कृतिक परंपरा के रूप में संरक्षित किया गया?")</f>
        <v>किस ऐतिहासिक घटना के कारण थांग-ता को सांस्कृतिक परंपरा के रूप में संरक्षित किया गया?</v>
      </c>
      <c r="H533" s="5" t="str">
        <f>IFERROR(__xludf.DUMMYFUNCTION("GOOGLETRANSLATE(C533, ""en"", ""hi"")"),"A) स्वतंत्रता के बाद का पुनरुत्थान, B) औपनिवेशिक दमन, C) बर्मी आक्रमण, D) प्रथम विश्व युद्ध")</f>
        <v>A) स्वतंत्रता के बाद का पुनरुत्थान, B) औपनिवेशिक दमन, C) बर्मी आक्रमण, D) प्रथम विश्व युद्ध</v>
      </c>
      <c r="I533" s="5" t="str">
        <f>IFERROR(__xludf.DUMMYFUNCTION("GOOGLETRANSLATE(D533, ""en"", ""hi"")"),"A) स्वतंत्रता के बाद का पुनरुत्थान")</f>
        <v>A) स्वतंत्रता के बाद का पुनरुत्थान</v>
      </c>
    </row>
  </sheetData>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8" width="37.63"/>
    <col customWidth="1" min="9" max="9" width="27.63"/>
  </cols>
  <sheetData>
    <row r="1" ht="22.5" customHeight="1">
      <c r="A1" s="1" t="s">
        <v>0</v>
      </c>
      <c r="B1" s="1" t="s">
        <v>1</v>
      </c>
      <c r="C1" s="1" t="s">
        <v>2</v>
      </c>
      <c r="D1" s="1" t="s">
        <v>3</v>
      </c>
      <c r="F1" s="2" t="s">
        <v>4</v>
      </c>
      <c r="G1" s="2" t="s">
        <v>5</v>
      </c>
      <c r="H1" s="2" t="s">
        <v>6</v>
      </c>
      <c r="I1" s="2" t="s">
        <v>7</v>
      </c>
    </row>
    <row r="2" ht="22.5" customHeight="1">
      <c r="A2" s="3">
        <v>1.0</v>
      </c>
      <c r="B2" s="4" t="s">
        <v>13235</v>
      </c>
      <c r="C2" s="4" t="s">
        <v>13236</v>
      </c>
      <c r="D2" s="4" t="s">
        <v>12367</v>
      </c>
      <c r="F2" s="5" t="str">
        <f>IFERROR(__xludf.DUMMYFUNCTION("GOOGLETRANSLATE(A2, ""en"", ""hi"")"),"1")</f>
        <v>1</v>
      </c>
      <c r="G2" s="5" t="str">
        <f>IFERROR(__xludf.DUMMYFUNCTION("GOOGLETRANSLATE(B2, ""en"", ""hi"")"),"मुकना, एक पारंपरिक खेल, मुख्य रूप से किस क्षेत्र से संबंधित है?")</f>
        <v>मुकना, एक पारंपरिक खेल, मुख्य रूप से किस क्षेत्र से संबंधित है?</v>
      </c>
      <c r="H2" s="5" t="str">
        <f>IFERROR(__xludf.DUMMYFUNCTION("GOOGLETRANSLATE(C2, ""en"", ""hi"")"),"ए) तमिलनाडु, बी) मणिपुर, सी) पंजाब, डी) गुजरात")</f>
        <v>ए) तमिलनाडु, बी) मणिपुर, सी) पंजाब, डी) गुजरात</v>
      </c>
      <c r="I2" s="5" t="str">
        <f>IFERROR(__xludf.DUMMYFUNCTION("GOOGLETRANSLATE(D2, ""en"", ""hi"")"),"बी) मणिपुर")</f>
        <v>बी) मणिपुर</v>
      </c>
    </row>
    <row r="3" ht="22.5" customHeight="1">
      <c r="A3" s="3">
        <v>2.0</v>
      </c>
      <c r="B3" s="4" t="s">
        <v>13237</v>
      </c>
      <c r="C3" s="4" t="s">
        <v>13238</v>
      </c>
      <c r="D3" s="4" t="s">
        <v>12153</v>
      </c>
      <c r="F3" s="5" t="str">
        <f>IFERROR(__xludf.DUMMYFUNCTION("GOOGLETRANSLATE(A3, ""en"", ""hi"")"),"2")</f>
        <v>2</v>
      </c>
      <c r="G3" s="5" t="str">
        <f>IFERROR(__xludf.DUMMYFUNCTION("GOOGLETRANSLATE(B3, ""en"", ""hi"")"),"मणिपुर में मुकना को लोकप्रिय बनाने का श्रेय किस ऐतिहासिक व्यक्ति को दिया जाता है?")</f>
        <v>मणिपुर में मुकना को लोकप्रिय बनाने का श्रेय किस ऐतिहासिक व्यक्ति को दिया जाता है?</v>
      </c>
      <c r="H3" s="5" t="str">
        <f>IFERROR(__xludf.DUMMYFUNCTION("GOOGLETRANSLATE(C3, ""en"", ""hi"")"),"ए) महाराजा चूड़ाचंद सिंह, बी) महाराजा गंभीर सिंह, सी) महाराजा बोधचंद्र सिंह, डी) महाराजा भाग्यचंद्र सिंह")</f>
        <v>ए) महाराजा चूड़ाचंद सिंह, बी) महाराजा गंभीर सिंह, सी) महाराजा बोधचंद्र सिंह, डी) महाराजा भाग्यचंद्र सिंह</v>
      </c>
      <c r="I3" s="5" t="str">
        <f>IFERROR(__xludf.DUMMYFUNCTION("GOOGLETRANSLATE(D3, ""en"", ""hi"")"),"बी) महाराजा गंभीर सिंह")</f>
        <v>बी) महाराजा गंभीर सिंह</v>
      </c>
    </row>
    <row r="4" ht="22.5" customHeight="1">
      <c r="A4" s="3">
        <v>3.0</v>
      </c>
      <c r="B4" s="4" t="s">
        <v>13239</v>
      </c>
      <c r="C4" s="4" t="s">
        <v>13240</v>
      </c>
      <c r="D4" s="4" t="s">
        <v>13241</v>
      </c>
      <c r="F4" s="5" t="str">
        <f>IFERROR(__xludf.DUMMYFUNCTION("GOOGLETRANSLATE(A4, ""en"", ""hi"")"),"3")</f>
        <v>3</v>
      </c>
      <c r="G4" s="5" t="str">
        <f>IFERROR(__xludf.DUMMYFUNCTION("GOOGLETRANSLATE(B4, ""en"", ""hi"")"),"मुकना को किस प्रकार की कुश्ती के पारंपरिक रूप के रूप में जाना जाता है?")</f>
        <v>मुकना को किस प्रकार की कुश्ती के पारंपरिक रूप के रूप में जाना जाता है?</v>
      </c>
      <c r="H4" s="5" t="str">
        <f>IFERROR(__xludf.DUMMYFUNCTION("GOOGLETRANSLATE(C4, ""en"", ""hi"")"),"A) ग्रीको-रोमन, B) फ्रीस्टाइल, C) लोक कुश्ती, D) सबमिशन कुश्ती")</f>
        <v>A) ग्रीको-रोमन, B) फ्रीस्टाइल, C) लोक कुश्ती, D) सबमिशन कुश्ती</v>
      </c>
      <c r="I4" s="5" t="str">
        <f>IFERROR(__xludf.DUMMYFUNCTION("GOOGLETRANSLATE(D4, ""en"", ""hi"")"),"C) लोक कुश्ती")</f>
        <v>C) लोक कुश्ती</v>
      </c>
    </row>
    <row r="5" ht="22.5" customHeight="1">
      <c r="A5" s="3">
        <v>4.0</v>
      </c>
      <c r="B5" s="4" t="s">
        <v>13242</v>
      </c>
      <c r="C5" s="4" t="s">
        <v>630</v>
      </c>
      <c r="D5" s="4" t="s">
        <v>13243</v>
      </c>
      <c r="F5" s="5" t="str">
        <f>IFERROR(__xludf.DUMMYFUNCTION("GOOGLETRANSLATE(A5, ""en"", ""hi"")"),"4")</f>
        <v>4</v>
      </c>
      <c r="G5" s="5" t="str">
        <f>IFERROR(__xludf.DUMMYFUNCTION("GOOGLETRANSLATE(B5, ""en"", ""hi"")"),"मुकना में एक मैच में आमतौर पर कितने राउंड खेले जाते हैं?")</f>
        <v>मुकना में एक मैच में आमतौर पर कितने राउंड खेले जाते हैं?</v>
      </c>
      <c r="H5" s="5" t="str">
        <f>IFERROR(__xludf.DUMMYFUNCTION("GOOGLETRANSLATE(C5, ""en"", ""hi"")"),"ए) 1, बी) 2, सी) 3, डी) 4")</f>
        <v>ए) 1, बी) 2, सी) 3, डी) 4</v>
      </c>
      <c r="I5" s="5" t="str">
        <f>IFERROR(__xludf.DUMMYFUNCTION("GOOGLETRANSLATE(D5, ""en"", ""hi"")"),"बी) 2")</f>
        <v>बी) 2</v>
      </c>
    </row>
    <row r="6" ht="22.5" customHeight="1">
      <c r="A6" s="3">
        <v>5.0</v>
      </c>
      <c r="B6" s="4" t="s">
        <v>13244</v>
      </c>
      <c r="C6" s="4" t="s">
        <v>13245</v>
      </c>
      <c r="D6" s="4" t="s">
        <v>13246</v>
      </c>
      <c r="F6" s="5" t="str">
        <f>IFERROR(__xludf.DUMMYFUNCTION("GOOGLETRANSLATE(A6, ""en"", ""hi"")"),"5")</f>
        <v>5</v>
      </c>
      <c r="G6" s="5" t="str">
        <f>IFERROR(__xludf.DUMMYFUNCTION("GOOGLETRANSLATE(B6, ""en"", ""hi"")"),"मुकना में कुश्ती मैट के लिए पारंपरिक रूप से किस सामग्री का उपयोग किया जाता है?")</f>
        <v>मुकना में कुश्ती मैट के लिए पारंपरिक रूप से किस सामग्री का उपयोग किया जाता है?</v>
      </c>
      <c r="H6" s="5" t="str">
        <f>IFERROR(__xludf.DUMMYFUNCTION("GOOGLETRANSLATE(C6, ""en"", ""hi"")"),"A) घास, B) रेत, C) मिट्टी, D) मुलायम लकड़ी")</f>
        <v>A) घास, B) रेत, C) मिट्टी, D) मुलायम लकड़ी</v>
      </c>
      <c r="I6" s="5" t="str">
        <f>IFERROR(__xludf.DUMMYFUNCTION("GOOGLETRANSLATE(D6, ""en"", ""hi"")"),"C) मिट्टी")</f>
        <v>C) मिट्टी</v>
      </c>
    </row>
    <row r="7" ht="22.5" customHeight="1">
      <c r="A7" s="3">
        <v>6.0</v>
      </c>
      <c r="B7" s="4" t="s">
        <v>13247</v>
      </c>
      <c r="C7" s="4" t="s">
        <v>13248</v>
      </c>
      <c r="D7" s="4" t="s">
        <v>13249</v>
      </c>
      <c r="F7" s="5" t="str">
        <f>IFERROR(__xludf.DUMMYFUNCTION("GOOGLETRANSLATE(A7, ""en"", ""hi"")"),"6")</f>
        <v>6</v>
      </c>
      <c r="G7" s="5" t="str">
        <f>IFERROR(__xludf.DUMMYFUNCTION("GOOGLETRANSLATE(B7, ""en"", ""hi"")"),"मुकना में भाग लेने वाले लोग कौन सी पारंपरिक पोशाक पहनते हैं?")</f>
        <v>मुकना में भाग लेने वाले लोग कौन सी पारंपरिक पोशाक पहनते हैं?</v>
      </c>
      <c r="H7" s="5" t="str">
        <f>IFERROR(__xludf.DUMMYFUNCTION("GOOGLETRANSLATE(C7, ""en"", ""hi"")"),"A) धोती और कुर्ता, B) लुंगी और शर्ट, C) फनेक और इन्नाफी, D) सारोंग और बनियान")</f>
        <v>A) धोती और कुर्ता, B) लुंगी और शर्ट, C) फनेक और इन्नाफी, D) सारोंग और बनियान</v>
      </c>
      <c r="I7" s="5" t="str">
        <f>IFERROR(__xludf.DUMMYFUNCTION("GOOGLETRANSLATE(D7, ""en"", ""hi"")"),"C) फानेक और इन्नाफी")</f>
        <v>C) फानेक और इन्नाफी</v>
      </c>
    </row>
    <row r="8" ht="22.5" customHeight="1">
      <c r="A8" s="3">
        <v>7.0</v>
      </c>
      <c r="B8" s="4" t="s">
        <v>13250</v>
      </c>
      <c r="C8" s="4" t="s">
        <v>13251</v>
      </c>
      <c r="D8" s="4" t="s">
        <v>13252</v>
      </c>
      <c r="F8" s="5" t="str">
        <f>IFERROR(__xludf.DUMMYFUNCTION("GOOGLETRANSLATE(A8, ""en"", ""hi"")"),"7")</f>
        <v>7</v>
      </c>
      <c r="G8" s="5" t="str">
        <f>IFERROR(__xludf.DUMMYFUNCTION("GOOGLETRANSLATE(B8, ""en"", ""hi"")"),"मुकना मैच का प्राथमिक उद्देश्य क्या है?")</f>
        <v>मुकना मैच का प्राथमिक उद्देश्य क्या है?</v>
      </c>
      <c r="H8" s="5" t="str">
        <f>IFERROR(__xludf.DUMMYFUNCTION("GOOGLETRANSLATE(C8, ""en"", ""hi"")"),"A) प्रतिद्वंद्वी के कंधों को ज़मीन पर दबाना, B) प्रतिद्वंद्वी को रिंग से बाहर फेंकना, C) तकनीकों के माध्यम से अधिक अंक प्राप्त करना, D) प्रतिद्वंद्वी को शारीरिक रूप से पराजित करना")</f>
        <v>A) प्रतिद्वंद्वी के कंधों को ज़मीन पर दबाना, B) प्रतिद्वंद्वी को रिंग से बाहर फेंकना, C) तकनीकों के माध्यम से अधिक अंक प्राप्त करना, D) प्रतिद्वंद्वी को शारीरिक रूप से पराजित करना</v>
      </c>
      <c r="I8" s="5" t="str">
        <f>IFERROR(__xludf.DUMMYFUNCTION("GOOGLETRANSLATE(D8, ""en"", ""hi"")"),"A) प्रतिद्वंद्वी के कंधों को ज़मीन पर दबाना")</f>
        <v>A) प्रतिद्वंद्वी के कंधों को ज़मीन पर दबाना</v>
      </c>
    </row>
    <row r="9" ht="22.5" customHeight="1">
      <c r="A9" s="3">
        <v>8.0</v>
      </c>
      <c r="B9" s="4" t="s">
        <v>13253</v>
      </c>
      <c r="C9" s="4" t="s">
        <v>13254</v>
      </c>
      <c r="D9" s="4" t="s">
        <v>11963</v>
      </c>
      <c r="F9" s="5" t="str">
        <f>IFERROR(__xludf.DUMMYFUNCTION("GOOGLETRANSLATE(A9, ""en"", ""hi"")"),"8")</f>
        <v>8</v>
      </c>
      <c r="G9" s="5" t="str">
        <f>IFERROR(__xludf.DUMMYFUNCTION("GOOGLETRANSLATE(B9, ""en"", ""hi"")"),"मणिपुर में मुकना पारंपरिक रूप से किस प्रकार के आयोजनों के दौरान किया जाता है?")</f>
        <v>मणिपुर में मुकना पारंपरिक रूप से किस प्रकार के आयोजनों के दौरान किया जाता है?</v>
      </c>
      <c r="H9" s="5" t="str">
        <f>IFERROR(__xludf.DUMMYFUNCTION("GOOGLETRANSLATE(C9, ""en"", ""hi"")"),"A) त्यौहार, B) विवाह, C) राजनीतिक सभाएँ, D) धार्मिक समारोह")</f>
        <v>A) त्यौहार, B) विवाह, C) राजनीतिक सभाएँ, D) धार्मिक समारोह</v>
      </c>
      <c r="I9" s="5" t="str">
        <f>IFERROR(__xludf.DUMMYFUNCTION("GOOGLETRANSLATE(D9, ""en"", ""hi"")"),"ए) त्यौहार")</f>
        <v>ए) त्यौहार</v>
      </c>
    </row>
    <row r="10" ht="22.5" customHeight="1">
      <c r="A10" s="3">
        <v>9.0</v>
      </c>
      <c r="B10" s="4" t="s">
        <v>13255</v>
      </c>
      <c r="C10" s="4" t="s">
        <v>13256</v>
      </c>
      <c r="D10" s="4" t="s">
        <v>13257</v>
      </c>
      <c r="F10" s="5" t="str">
        <f>IFERROR(__xludf.DUMMYFUNCTION("GOOGLETRANSLATE(A10, ""en"", ""hi"")"),"9")</f>
        <v>9</v>
      </c>
      <c r="G10" s="5" t="str">
        <f>IFERROR(__xludf.DUMMYFUNCTION("GOOGLETRANSLATE(B10, ""en"", ""hi"")"),"सांस्कृतिक उत्सवों में मुकना के साथ अक्सर कौन सा नृत्य प्रस्तुत किया जाता है?")</f>
        <v>सांस्कृतिक उत्सवों में मुकना के साथ अक्सर कौन सा नृत्य प्रस्तुत किया जाता है?</v>
      </c>
      <c r="H10" s="5" t="str">
        <f>IFERROR(__xludf.DUMMYFUNCTION("GOOGLETRANSLATE(C10, ""en"", ""hi"")"),"ए) मणिपुरी रास, बी) कथक, सी) भरतनाट्यम, डी) ओडिसी")</f>
        <v>ए) मणिपुरी रास, बी) कथक, सी) भरतनाट्यम, डी) ओडिसी</v>
      </c>
      <c r="I10" s="5" t="str">
        <f>IFERROR(__xludf.DUMMYFUNCTION("GOOGLETRANSLATE(D10, ""en"", ""hi"")"),"A) मणिपुरी रास")</f>
        <v>A) मणिपुरी रास</v>
      </c>
    </row>
    <row r="11" ht="22.5" customHeight="1">
      <c r="A11" s="3">
        <v>10.0</v>
      </c>
      <c r="B11" s="4" t="s">
        <v>13258</v>
      </c>
      <c r="C11" s="4" t="s">
        <v>13259</v>
      </c>
      <c r="D11" s="4" t="s">
        <v>13260</v>
      </c>
      <c r="F11" s="5" t="str">
        <f>IFERROR(__xludf.DUMMYFUNCTION("GOOGLETRANSLATE(A11, ""en"", ""hi"")"),"10")</f>
        <v>10</v>
      </c>
      <c r="G11" s="5" t="str">
        <f>IFERROR(__xludf.DUMMYFUNCTION("GOOGLETRANSLATE(B11, ""en"", ""hi"")"),"मुकना कुश्ती पारंपरिक रूप से किस प्रकार के स्थान पर होती है?")</f>
        <v>मुकना कुश्ती पारंपरिक रूप से किस प्रकार के स्थान पर होती है?</v>
      </c>
      <c r="H11" s="5" t="str">
        <f>IFERROR(__xludf.DUMMYFUNCTION("GOOGLETRANSLATE(C11, ""en"", ""hi"")"),"A) खुले मैदान, B) अखाड़ा, C) मिट्टी का गड्ढा, D) व्यायामशाला")</f>
        <v>A) खुले मैदान, B) अखाड़ा, C) मिट्टी का गड्ढा, D) व्यायामशाला</v>
      </c>
      <c r="I11" s="5" t="str">
        <f>IFERROR(__xludf.DUMMYFUNCTION("GOOGLETRANSLATE(D11, ""en"", ""hi"")"),"C) मिट्टी का गड्ढा")</f>
        <v>C) मिट्टी का गड्ढा</v>
      </c>
    </row>
    <row r="12" ht="22.5" customHeight="1">
      <c r="A12" s="3">
        <v>11.0</v>
      </c>
      <c r="B12" s="4" t="s">
        <v>13261</v>
      </c>
      <c r="C12" s="4" t="s">
        <v>13262</v>
      </c>
      <c r="D12" s="4" t="s">
        <v>13263</v>
      </c>
      <c r="F12" s="5" t="str">
        <f>IFERROR(__xludf.DUMMYFUNCTION("GOOGLETRANSLATE(A12, ""en"", ""hi"")"),"11")</f>
        <v>11</v>
      </c>
      <c r="G12" s="5" t="str">
        <f>IFERROR(__xludf.DUMMYFUNCTION("GOOGLETRANSLATE(B12, ""en"", ""hi"")"),"पारंपरिक मुकना मैचों में विजेता का निर्धारण आमतौर पर कैसे किया जाता है?")</f>
        <v>पारंपरिक मुकना मैचों में विजेता का निर्धारण आमतौर पर कैसे किया जाता है?</v>
      </c>
      <c r="H12" s="5" t="str">
        <f>IFERROR(__xludf.DUMMYFUNCTION("GOOGLETRANSLATE(C12, ""en"", ""hi"")"),"A) नॉकआउट द्वारा, B) अंकों द्वारा, C) सबमिशन द्वारा, D) पिनिंग द्वारा")</f>
        <v>A) नॉकआउट द्वारा, B) अंकों द्वारा, C) सबमिशन द्वारा, D) पिनिंग द्वारा</v>
      </c>
      <c r="I12" s="5" t="str">
        <f>IFERROR(__xludf.DUMMYFUNCTION("GOOGLETRANSLATE(D12, ""en"", ""hi"")"),"D) पिन करके")</f>
        <v>D) पिन करके</v>
      </c>
    </row>
    <row r="13" ht="22.5" customHeight="1">
      <c r="A13" s="3">
        <v>12.0</v>
      </c>
      <c r="B13" s="4" t="s">
        <v>13264</v>
      </c>
      <c r="C13" s="4" t="s">
        <v>13265</v>
      </c>
      <c r="D13" s="4" t="s">
        <v>10606</v>
      </c>
      <c r="F13" s="5" t="str">
        <f>IFERROR(__xludf.DUMMYFUNCTION("GOOGLETRANSLATE(A13, ""en"", ""hi"")"),"12")</f>
        <v>12</v>
      </c>
      <c r="G13" s="5" t="str">
        <f>IFERROR(__xludf.DUMMYFUNCTION("GOOGLETRANSLATE(B13, ""en"", ""hi"")"),"मुकना पहलवानों के लिए किस प्रकार का प्रशिक्षण महत्वपूर्ण है?")</f>
        <v>मुकना पहलवानों के लिए किस प्रकार का प्रशिक्षण महत्वपूर्ण है?</v>
      </c>
      <c r="H13" s="5" t="str">
        <f>IFERROR(__xludf.DUMMYFUNCTION("GOOGLETRANSLATE(C13, ""en"", ""hi"")"),"ए) कार्डियो प्रशिक्षण, बी) लचीलापन प्रशिक्षण, सी) शक्ति प्रशिक्षण, डी) तकनीक प्रशिक्षण")</f>
        <v>ए) कार्डियो प्रशिक्षण, बी) लचीलापन प्रशिक्षण, सी) शक्ति प्रशिक्षण, डी) तकनीक प्रशिक्षण</v>
      </c>
      <c r="I13" s="5" t="str">
        <f>IFERROR(__xludf.DUMMYFUNCTION("GOOGLETRANSLATE(D13, ""en"", ""hi"")"),"सी) शक्ति प्रशिक्षण")</f>
        <v>सी) शक्ति प्रशिक्षण</v>
      </c>
    </row>
    <row r="14" ht="22.5" customHeight="1">
      <c r="A14" s="3">
        <v>13.0</v>
      </c>
      <c r="B14" s="4" t="s">
        <v>13266</v>
      </c>
      <c r="C14" s="4" t="s">
        <v>13267</v>
      </c>
      <c r="D14" s="4" t="s">
        <v>13268</v>
      </c>
      <c r="F14" s="5" t="str">
        <f>IFERROR(__xludf.DUMMYFUNCTION("GOOGLETRANSLATE(A14, ""en"", ""hi"")"),"13")</f>
        <v>13</v>
      </c>
      <c r="G14" s="5" t="str">
        <f>IFERROR(__xludf.DUMMYFUNCTION("GOOGLETRANSLATE(B14, ""en"", ""hi"")"),"निम्नलिखित में से कौन सा मुकना में पारंपरिक चाल नहीं है?")</f>
        <v>निम्नलिखित में से कौन सा मुकना में पारंपरिक चाल नहीं है?</v>
      </c>
      <c r="H14" s="5" t="str">
        <f>IFERROR(__xludf.DUMMYFUNCTION("GOOGLETRANSLATE(C14, ""en"", ""hi"")"),"A) सुपलेक्स, B) बॉडी स्लैम, C) आर्म ड्रैग, D) क्रॉसफेस")</f>
        <v>A) सुपलेक्स, B) बॉडी स्लैम, C) आर्म ड्रैग, D) क्रॉसफेस</v>
      </c>
      <c r="I14" s="5" t="str">
        <f>IFERROR(__xludf.DUMMYFUNCTION("GOOGLETRANSLATE(D14, ""en"", ""hi"")"),"डी) क्रॉसफेस")</f>
        <v>डी) क्रॉसफेस</v>
      </c>
    </row>
    <row r="15" ht="22.5" customHeight="1">
      <c r="A15" s="3">
        <v>14.0</v>
      </c>
      <c r="B15" s="4" t="s">
        <v>13269</v>
      </c>
      <c r="C15" s="4" t="s">
        <v>13270</v>
      </c>
      <c r="D15" s="4" t="s">
        <v>13271</v>
      </c>
      <c r="F15" s="5" t="str">
        <f>IFERROR(__xludf.DUMMYFUNCTION("GOOGLETRANSLATE(A15, ""en"", ""hi"")"),"14")</f>
        <v>14</v>
      </c>
      <c r="G15" s="5" t="str">
        <f>IFERROR(__xludf.DUMMYFUNCTION("GOOGLETRANSLATE(B15, ""en"", ""hi"")"),"कौन सा ऐतिहासिक दस्तावेज या पाठ मुकना की प्राचीन उत्पत्ति का प्रमाण प्रदान करता है?")</f>
        <v>कौन सा ऐतिहासिक दस्तावेज या पाठ मुकना की प्राचीन उत्पत्ति का प्रमाण प्रदान करता है?</v>
      </c>
      <c r="H15" s="5" t="str">
        <f>IFERROR(__xludf.DUMMYFUNCTION("GOOGLETRANSLATE(C15, ""en"", ""hi"")"),"A) महाभारत, B) रामायण, C) मणिपुरी क्रॉनिकल, D) वेद")</f>
        <v>A) महाभारत, B) रामायण, C) मणिपुरी क्रॉनिकल, D) वेद</v>
      </c>
      <c r="I15" s="5" t="str">
        <f>IFERROR(__xludf.DUMMYFUNCTION("GOOGLETRANSLATE(D15, ""en"", ""hi"")"),"C) मणिपुरी क्रॉनिकल")</f>
        <v>C) मणिपुरी क्रॉनिकल</v>
      </c>
    </row>
    <row r="16" ht="22.5" customHeight="1">
      <c r="A16" s="3">
        <v>15.0</v>
      </c>
      <c r="B16" s="4" t="s">
        <v>13272</v>
      </c>
      <c r="C16" s="4" t="s">
        <v>13273</v>
      </c>
      <c r="D16" s="4" t="s">
        <v>13274</v>
      </c>
      <c r="F16" s="5" t="str">
        <f>IFERROR(__xludf.DUMMYFUNCTION("GOOGLETRANSLATE(A16, ""en"", ""hi"")"),"15")</f>
        <v>15</v>
      </c>
      <c r="G16" s="5" t="str">
        <f>IFERROR(__xludf.DUMMYFUNCTION("GOOGLETRANSLATE(B16, ""en"", ""hi"")"),"कौन सा त्यौहार विशेष रूप से मुकना मैचों की मेजबानी के लिए प्रसिद्ध है?")</f>
        <v>कौन सा त्यौहार विशेष रूप से मुकना मैचों की मेजबानी के लिए प्रसिद्ध है?</v>
      </c>
      <c r="H16" s="5" t="str">
        <f>IFERROR(__xludf.DUMMYFUNCTION("GOOGLETRANSLATE(C16, ""en"", ""hi"")"),"ए) याओशांग महोत्सव, बी) निंगोल चाकोउबा, सी) चेइराओबा, डी) लाई हराओबा")</f>
        <v>ए) याओशांग महोत्सव, बी) निंगोल चाकोउबा, सी) चेइराओबा, डी) लाई हराओबा</v>
      </c>
      <c r="I16" s="5" t="str">
        <f>IFERROR(__xludf.DUMMYFUNCTION("GOOGLETRANSLATE(D16, ""en"", ""hi"")"),"ए) योशांग महोत्सव")</f>
        <v>ए) योशांग महोत्सव</v>
      </c>
    </row>
    <row r="17" ht="22.5" customHeight="1">
      <c r="A17" s="3">
        <v>16.0</v>
      </c>
      <c r="B17" s="4" t="s">
        <v>13275</v>
      </c>
      <c r="C17" s="4" t="s">
        <v>13276</v>
      </c>
      <c r="D17" s="4" t="s">
        <v>13026</v>
      </c>
      <c r="F17" s="5" t="str">
        <f>IFERROR(__xludf.DUMMYFUNCTION("GOOGLETRANSLATE(A17, ""en"", ""hi"")"),"16")</f>
        <v>16</v>
      </c>
      <c r="G17" s="5" t="str">
        <f>IFERROR(__xludf.DUMMYFUNCTION("GOOGLETRANSLATE(B17, ""en"", ""hi"")"),"मुकना कुश्ती किस भारतीय राज्य की सांस्कृतिक विरासत का हिस्सा है?")</f>
        <v>मुकना कुश्ती किस भारतीय राज्य की सांस्कृतिक विरासत का हिस्सा है?</v>
      </c>
      <c r="H17" s="5" t="str">
        <f>IFERROR(__xludf.DUMMYFUNCTION("GOOGLETRANSLATE(C17, ""en"", ""hi"")"),"A) असम, B) नागालैंड, C) मणिपुर, D) मेघालय")</f>
        <v>A) असम, B) नागालैंड, C) मणिपुर, D) मेघालय</v>
      </c>
      <c r="I17" s="5" t="str">
        <f>IFERROR(__xludf.DUMMYFUNCTION("GOOGLETRANSLATE(D17, ""en"", ""hi"")"),"C) मणिपुर")</f>
        <v>C) मणिपुर</v>
      </c>
    </row>
    <row r="18" ht="22.5" customHeight="1">
      <c r="A18" s="3">
        <v>17.0</v>
      </c>
      <c r="B18" s="4" t="s">
        <v>13277</v>
      </c>
      <c r="C18" s="4" t="s">
        <v>13278</v>
      </c>
      <c r="D18" s="4" t="s">
        <v>13279</v>
      </c>
      <c r="F18" s="5" t="str">
        <f>IFERROR(__xludf.DUMMYFUNCTION("GOOGLETRANSLATE(A18, ""en"", ""hi"")"),"17")</f>
        <v>17</v>
      </c>
      <c r="G18" s="5" t="str">
        <f>IFERROR(__xludf.DUMMYFUNCTION("GOOGLETRANSLATE(B18, ""en"", ""hi"")"),"मुकना मैचों में प्रतिभागियों की सामान्य आयु सीमा क्या है?")</f>
        <v>मुकना मैचों में प्रतिभागियों की सामान्य आयु सीमा क्या है?</v>
      </c>
      <c r="H18" s="5" t="str">
        <f>IFERROR(__xludf.DUMMYFUNCTION("GOOGLETRANSLATE(C18, ""en"", ""hi"")"),"A) 10-15 वर्ष, B) 15-25 वर्ष, C) 20-30 वर्ष, D) 25-40 वर्ष")</f>
        <v>A) 10-15 वर्ष, B) 15-25 वर्ष, C) 20-30 वर्ष, D) 25-40 वर्ष</v>
      </c>
      <c r="I18" s="5" t="str">
        <f>IFERROR(__xludf.DUMMYFUNCTION("GOOGLETRANSLATE(D18, ""en"", ""hi"")"),"बी) 15-25 वर्ष")</f>
        <v>बी) 15-25 वर्ष</v>
      </c>
    </row>
    <row r="19" ht="22.5" customHeight="1">
      <c r="A19" s="3">
        <v>18.0</v>
      </c>
      <c r="B19" s="4" t="s">
        <v>13280</v>
      </c>
      <c r="C19" s="4" t="s">
        <v>13281</v>
      </c>
      <c r="D19" s="4" t="s">
        <v>13282</v>
      </c>
      <c r="F19" s="5" t="str">
        <f>IFERROR(__xludf.DUMMYFUNCTION("GOOGLETRANSLATE(A19, ""en"", ""hi"")"),"18")</f>
        <v>18</v>
      </c>
      <c r="G19" s="5" t="str">
        <f>IFERROR(__xludf.DUMMYFUNCTION("GOOGLETRANSLATE(B19, ""en"", ""hi"")"),"निम्नलिखित में से कौन सा मुक्ना की तकनीक का प्रमुख तत्व है?")</f>
        <v>निम्नलिखित में से कौन सा मुक्ना की तकनीक का प्रमुख तत्व है?</v>
      </c>
      <c r="H19" s="5" t="str">
        <f>IFERROR(__xludf.DUMMYFUNCTION("GOOGLETRANSLATE(C19, ""en"", ""hi"")"),"ए) उच्च गति से प्रहार, बी) त्वरित फुटवर्क, सी) ग्रैपलिंग और क्लिंचिंग, डी) हवाई युद्धाभ्यास")</f>
        <v>ए) उच्च गति से प्रहार, बी) त्वरित फुटवर्क, सी) ग्रैपलिंग और क्लिंचिंग, डी) हवाई युद्धाभ्यास</v>
      </c>
      <c r="I19" s="5" t="str">
        <f>IFERROR(__xludf.DUMMYFUNCTION("GOOGLETRANSLATE(D19, ""en"", ""hi"")"),"C) ग्रैपलिंग और क्लिंचिंग")</f>
        <v>C) ग्रैपलिंग और क्लिंचिंग</v>
      </c>
    </row>
    <row r="20" ht="22.5" customHeight="1">
      <c r="A20" s="3">
        <v>19.0</v>
      </c>
      <c r="B20" s="4" t="s">
        <v>13283</v>
      </c>
      <c r="C20" s="4" t="s">
        <v>13284</v>
      </c>
      <c r="D20" s="4" t="s">
        <v>13285</v>
      </c>
      <c r="F20" s="5" t="str">
        <f>IFERROR(__xludf.DUMMYFUNCTION("GOOGLETRANSLATE(A20, ""en"", ""hi"")"),"19")</f>
        <v>19</v>
      </c>
      <c r="G20" s="5" t="str">
        <f>IFERROR(__xludf.DUMMYFUNCTION("GOOGLETRANSLATE(B20, ""en"", ""hi"")"),"माना जाता है कि मुकना प्रथा किस शताब्दी से प्रचलित है?")</f>
        <v>माना जाता है कि मुकना प्रथा किस शताब्दी से प्रचलित है?</v>
      </c>
      <c r="H20" s="5" t="str">
        <f>IFERROR(__xludf.DUMMYFUNCTION("GOOGLETRANSLATE(C20, ""en"", ""hi"")"),"A) 8वीं शताब्दी, B) 10वीं शताब्दी, C) 12वीं शताब्दी, D) 14वीं शताब्दी")</f>
        <v>A) 8वीं शताब्दी, B) 10वीं शताब्दी, C) 12वीं शताब्दी, D) 14वीं शताब्दी</v>
      </c>
      <c r="I20" s="5" t="str">
        <f>IFERROR(__xludf.DUMMYFUNCTION("GOOGLETRANSLATE(D20, ""en"", ""hi"")"),"बी) 10वीं शताब्दी")</f>
        <v>बी) 10वीं शताब्दी</v>
      </c>
    </row>
    <row r="21" ht="22.5" customHeight="1">
      <c r="A21" s="3">
        <v>20.0</v>
      </c>
      <c r="B21" s="4" t="s">
        <v>13286</v>
      </c>
      <c r="C21" s="4" t="s">
        <v>13287</v>
      </c>
      <c r="D21" s="4" t="s">
        <v>13288</v>
      </c>
      <c r="F21" s="5" t="str">
        <f>IFERROR(__xludf.DUMMYFUNCTION("GOOGLETRANSLATE(A21, ""en"", ""hi"")"),"20")</f>
        <v>20</v>
      </c>
      <c r="G21" s="5" t="str">
        <f>IFERROR(__xludf.DUMMYFUNCTION("GOOGLETRANSLATE(B21, ""en"", ""hi"")"),"मणिपुर में कौन सा समुदाय विशेष रूप से मुकना में अपनी विशेषज्ञता के लिए जाना जाता है?")</f>
        <v>मणिपुर में कौन सा समुदाय विशेष रूप से मुकना में अपनी विशेषज्ञता के लिए जाना जाता है?</v>
      </c>
      <c r="H21" s="5" t="str">
        <f>IFERROR(__xludf.DUMMYFUNCTION("GOOGLETRANSLATE(C21, ""en"", ""hi"")"),"ए) मैतेई समुदाय, बी) नागा समुदाय, सी) कुकी समुदाय, डी) मिज़ो समुदाय")</f>
        <v>ए) मैतेई समुदाय, बी) नागा समुदाय, सी) कुकी समुदाय, डी) मिज़ो समुदाय</v>
      </c>
      <c r="I21" s="5" t="str">
        <f>IFERROR(__xludf.DUMMYFUNCTION("GOOGLETRANSLATE(D21, ""en"", ""hi"")"),"A) मेइतेई समुदाय")</f>
        <v>A) मेइतेई समुदाय</v>
      </c>
    </row>
    <row r="22" ht="22.5" customHeight="1">
      <c r="A22" s="3">
        <v>21.0</v>
      </c>
      <c r="B22" s="4" t="s">
        <v>13289</v>
      </c>
      <c r="C22" s="4" t="s">
        <v>13290</v>
      </c>
      <c r="D22" s="4" t="s">
        <v>13291</v>
      </c>
      <c r="F22" s="5" t="str">
        <f>IFERROR(__xludf.DUMMYFUNCTION("GOOGLETRANSLATE(A22, ""en"", ""hi"")"),"21")</f>
        <v>21</v>
      </c>
      <c r="G22" s="5" t="str">
        <f>IFERROR(__xludf.DUMMYFUNCTION("GOOGLETRANSLATE(B22, ""en"", ""hi"")"),"मुकना के किस पहलू को शक्ति और वीरता के प्रतीक के रूप में मनाया जाता है?")</f>
        <v>मुकना के किस पहलू को शक्ति और वीरता के प्रतीक के रूप में मनाया जाता है?</v>
      </c>
      <c r="H22" s="5" t="str">
        <f>IFERROR(__xludf.DUMMYFUNCTION("GOOGLETRANSLATE(C22, ""en"", ""hi"")"),"A) पोशाक, B) अखाड़ा, C) तकनीक, D) परंपराएँ")</f>
        <v>A) पोशाक, B) अखाड़ा, C) तकनीक, D) परंपराएँ</v>
      </c>
      <c r="I22" s="5" t="str">
        <f>IFERROR(__xludf.DUMMYFUNCTION("GOOGLETRANSLATE(D22, ""en"", ""hi"")"),"C) तकनीकें")</f>
        <v>C) तकनीकें</v>
      </c>
    </row>
    <row r="23" ht="22.5" customHeight="1">
      <c r="A23" s="3">
        <v>22.0</v>
      </c>
      <c r="B23" s="4" t="s">
        <v>13292</v>
      </c>
      <c r="C23" s="4" t="s">
        <v>13293</v>
      </c>
      <c r="D23" s="4" t="s">
        <v>13294</v>
      </c>
      <c r="F23" s="5" t="str">
        <f>IFERROR(__xludf.DUMMYFUNCTION("GOOGLETRANSLATE(A23, ""en"", ""hi"")"),"22")</f>
        <v>22</v>
      </c>
      <c r="G23" s="5" t="str">
        <f>IFERROR(__xludf.DUMMYFUNCTION("GOOGLETRANSLATE(B23, ""en"", ""hi"")"),"मुकना पहलवान पारंपरिक रूप से किससे प्रशिक्षण प्राप्त करते हैं?")</f>
        <v>मुकना पहलवान पारंपरिक रूप से किससे प्रशिक्षण प्राप्त करते हैं?</v>
      </c>
      <c r="H23" s="5" t="str">
        <f>IFERROR(__xludf.DUMMYFUNCTION("GOOGLETRANSLATE(C23, ""en"", ""hi"")"),"A) पेशेवर प्रशिक्षक, B) परिवार के बुजुर्ग, C) सैन्यकर्मी, D) ग्राम प्रधान")</f>
        <v>A) पेशेवर प्रशिक्षक, B) परिवार के बुजुर्ग, C) सैन्यकर्मी, D) ग्राम प्रधान</v>
      </c>
      <c r="I23" s="5" t="str">
        <f>IFERROR(__xludf.DUMMYFUNCTION("GOOGLETRANSLATE(D23, ""en"", ""hi"")"),"बी) परिवार के बुजुर्ग")</f>
        <v>बी) परिवार के बुजुर्ग</v>
      </c>
    </row>
    <row r="24" ht="22.5" customHeight="1">
      <c r="A24" s="3">
        <v>23.0</v>
      </c>
      <c r="B24" s="4" t="s">
        <v>13295</v>
      </c>
      <c r="C24" s="4" t="s">
        <v>13296</v>
      </c>
      <c r="D24" s="4" t="s">
        <v>13297</v>
      </c>
      <c r="F24" s="5" t="str">
        <f>IFERROR(__xludf.DUMMYFUNCTION("GOOGLETRANSLATE(A24, ""en"", ""hi"")"),"23")</f>
        <v>23</v>
      </c>
      <c r="G24" s="5" t="str">
        <f>IFERROR(__xludf.DUMMYFUNCTION("GOOGLETRANSLATE(B24, ""en"", ""hi"")"),"मुकना प्रशिक्षण में किस प्रकार की शारीरिक कंडीशनिंग पर जोर दिया जाता है?")</f>
        <v>मुकना प्रशिक्षण में किस प्रकार की शारीरिक कंडीशनिंग पर जोर दिया जाता है?</v>
      </c>
      <c r="H24" s="5" t="str">
        <f>IFERROR(__xludf.DUMMYFUNCTION("GOOGLETRANSLATE(C24, ""en"", ""hi"")"),"A) धीरज दौड़, B) लचीलापन व्यायाम, C) शक्ति निर्माण, D) संतुलन प्रशिक्षण")</f>
        <v>A) धीरज दौड़, B) लचीलापन व्यायाम, C) शक्ति निर्माण, D) संतुलन प्रशिक्षण</v>
      </c>
      <c r="I24" s="5" t="str">
        <f>IFERROR(__xludf.DUMMYFUNCTION("GOOGLETRANSLATE(D24, ""en"", ""hi"")"),"C) शक्ति निर्माण")</f>
        <v>C) शक्ति निर्माण</v>
      </c>
    </row>
    <row r="25" ht="22.5" customHeight="1">
      <c r="A25" s="3">
        <v>24.0</v>
      </c>
      <c r="B25" s="4" t="s">
        <v>13298</v>
      </c>
      <c r="C25" s="4" t="s">
        <v>13299</v>
      </c>
      <c r="D25" s="4" t="s">
        <v>13300</v>
      </c>
      <c r="F25" s="5" t="str">
        <f>IFERROR(__xludf.DUMMYFUNCTION("GOOGLETRANSLATE(A25, ""en"", ""hi"")"),"24")</f>
        <v>24</v>
      </c>
      <c r="G25" s="5" t="str">
        <f>IFERROR(__xludf.DUMMYFUNCTION("GOOGLETRANSLATE(B25, ""en"", ""hi"")"),"मुकना में कुश्ती क्षेत्र को चिह्नित करने के लिए किस पारंपरिक उपकरण का उपयोग किया जाता है?")</f>
        <v>मुकना में कुश्ती क्षेत्र को चिह्नित करने के लिए किस पारंपरिक उपकरण का उपयोग किया जाता है?</v>
      </c>
      <c r="H25" s="5" t="str">
        <f>IFERROR(__xludf.DUMMYFUNCTION("GOOGLETRANSLATE(C25, ""en"", ""hi"")"),"A) पत्थर, B) लकड़ी के तख्ते, C) रस्सियाँ, D) रेत")</f>
        <v>A) पत्थर, B) लकड़ी के तख्ते, C) रस्सियाँ, D) रेत</v>
      </c>
      <c r="I25" s="5" t="str">
        <f>IFERROR(__xludf.DUMMYFUNCTION("GOOGLETRANSLATE(D25, ""en"", ""hi"")"),"D) रेत")</f>
        <v>D) रेत</v>
      </c>
    </row>
    <row r="26" ht="22.5" customHeight="1">
      <c r="A26" s="3">
        <v>25.0</v>
      </c>
      <c r="B26" s="4" t="s">
        <v>13301</v>
      </c>
      <c r="C26" s="4" t="s">
        <v>13302</v>
      </c>
      <c r="D26" s="4" t="s">
        <v>13303</v>
      </c>
      <c r="F26" s="5" t="str">
        <f>IFERROR(__xludf.DUMMYFUNCTION("GOOGLETRANSLATE(A26, ""en"", ""hi"")"),"25")</f>
        <v>25</v>
      </c>
      <c r="G26" s="5" t="str">
        <f>IFERROR(__xludf.DUMMYFUNCTION("GOOGLETRANSLATE(B26, ""en"", ""hi"")"),"मुकना की तुलना अक्सर किस अन्य पारंपरिक कुश्ती से की जाती है?")</f>
        <v>मुकना की तुलना अक्सर किस अन्य पारंपरिक कुश्ती से की जाती है?</v>
      </c>
      <c r="H26" s="5" t="str">
        <f>IFERROR(__xludf.DUMMYFUNCTION("GOOGLETRANSLATE(C26, ""en"", ""hi"")"),"ए) कुश्ती, बी) सूमो, सी) जूडो, डी) तायक्वोंडो")</f>
        <v>ए) कुश्ती, बी) सूमो, सी) जूडो, डी) तायक्वोंडो</v>
      </c>
      <c r="I26" s="5" t="str">
        <f>IFERROR(__xludf.DUMMYFUNCTION("GOOGLETRANSLATE(D26, ""en"", ""hi"")"),"A) कुश्ती")</f>
        <v>A) कुश्ती</v>
      </c>
    </row>
    <row r="27" ht="22.5" customHeight="1">
      <c r="A27" s="3">
        <v>26.0</v>
      </c>
      <c r="B27" s="4" t="s">
        <v>13304</v>
      </c>
      <c r="C27" s="4" t="s">
        <v>13305</v>
      </c>
      <c r="D27" s="4" t="s">
        <v>13306</v>
      </c>
      <c r="F27" s="5" t="str">
        <f>IFERROR(__xludf.DUMMYFUNCTION("GOOGLETRANSLATE(A27, ""en"", ""hi"")"),"26")</f>
        <v>26</v>
      </c>
      <c r="G27" s="5" t="str">
        <f>IFERROR(__xludf.DUMMYFUNCTION("GOOGLETRANSLATE(B27, ""en"", ""hi"")"),"मुकना में सफल थ्रो या पिन के लिए क्या शब्द है?")</f>
        <v>मुकना में सफल थ्रो या पिन के लिए क्या शब्द है?</v>
      </c>
      <c r="H27" s="5" t="str">
        <f>IFERROR(__xludf.DUMMYFUNCTION("GOOGLETRANSLATE(C27, ""en"", ""hi"")"),"ए) पिनफॉल, बी) टेकडाउन, सी) थ्रोडाउन, डी) फॉल")</f>
        <v>ए) पिनफॉल, बी) टेकडाउन, सी) थ्रोडाउन, डी) फॉल</v>
      </c>
      <c r="I27" s="5" t="str">
        <f>IFERROR(__xludf.DUMMYFUNCTION("GOOGLETRANSLATE(D27, ""en"", ""hi"")"),"डी) गिरना")</f>
        <v>डी) गिरना</v>
      </c>
    </row>
    <row r="28" ht="22.5" customHeight="1">
      <c r="A28" s="3">
        <v>27.0</v>
      </c>
      <c r="B28" s="4" t="s">
        <v>13307</v>
      </c>
      <c r="C28" s="4" t="s">
        <v>13308</v>
      </c>
      <c r="D28" s="4" t="s">
        <v>13309</v>
      </c>
      <c r="F28" s="5" t="str">
        <f>IFERROR(__xludf.DUMMYFUNCTION("GOOGLETRANSLATE(A28, ""en"", ""hi"")"),"27")</f>
        <v>27</v>
      </c>
      <c r="G28" s="5" t="str">
        <f>IFERROR(__xludf.DUMMYFUNCTION("GOOGLETRANSLATE(B28, ""en"", ""hi"")"),"त्यौहारों के दौरान मुकना मैच देखने वाले दर्शक आमतौर पर किस प्रकार के होते हैं?")</f>
        <v>त्यौहारों के दौरान मुकना मैच देखने वाले दर्शक आमतौर पर किस प्रकार के होते हैं?</v>
      </c>
      <c r="H28" s="5" t="str">
        <f>IFERROR(__xludf.DUMMYFUNCTION("GOOGLETRANSLATE(C28, ""en"", ""hi"")"),"A) स्थानीय ग्रामीण, B) पर्यटक, C) सरकारी अधिकारी, D) स्कूली बच्चे")</f>
        <v>A) स्थानीय ग्रामीण, B) पर्यटक, C) सरकारी अधिकारी, D) स्कूली बच्चे</v>
      </c>
      <c r="I28" s="5" t="str">
        <f>IFERROR(__xludf.DUMMYFUNCTION("GOOGLETRANSLATE(D28, ""en"", ""hi"")"),"A) स्थानीय ग्रामीण")</f>
        <v>A) स्थानीय ग्रामीण</v>
      </c>
    </row>
    <row r="29" ht="22.5" customHeight="1">
      <c r="A29" s="3">
        <v>28.0</v>
      </c>
      <c r="B29" s="4" t="s">
        <v>13310</v>
      </c>
      <c r="C29" s="4" t="s">
        <v>13311</v>
      </c>
      <c r="D29" s="4" t="s">
        <v>13312</v>
      </c>
      <c r="F29" s="5" t="str">
        <f>IFERROR(__xludf.DUMMYFUNCTION("GOOGLETRANSLATE(A29, ""en"", ""hi"")"),"28")</f>
        <v>28</v>
      </c>
      <c r="G29" s="5" t="str">
        <f>IFERROR(__xludf.DUMMYFUNCTION("GOOGLETRANSLATE(B29, ""en"", ""hi"")"),"मणिपुर में मुकना का सांस्कृतिक महत्व क्या है?")</f>
        <v>मणिपुर में मुकना का सांस्कृतिक महत्व क्या है?</v>
      </c>
      <c r="H29" s="5" t="str">
        <f>IFERROR(__xludf.DUMMYFUNCTION("GOOGLETRANSLATE(C29, ""en"", ""hi"")"),"A) यह शक्ति का प्रतिनिधित्व करता है, B) यह सम्मान का प्रतीक है, C) यह एकता को दर्शाता है, D) यह शांति को बढ़ावा देता है")</f>
        <v>A) यह शक्ति का प्रतिनिधित्व करता है, B) यह सम्मान का प्रतीक है, C) यह एकता को दर्शाता है, D) यह शांति को बढ़ावा देता है</v>
      </c>
      <c r="I29" s="5" t="str">
        <f>IFERROR(__xludf.DUMMYFUNCTION("GOOGLETRANSLATE(D29, ""en"", ""hi"")"),"A) यह शक्ति का प्रतिनिधित्व करता है")</f>
        <v>A) यह शक्ति का प्रतिनिधित्व करता है</v>
      </c>
    </row>
    <row r="30" ht="22.5" customHeight="1">
      <c r="A30" s="3">
        <v>29.0</v>
      </c>
      <c r="B30" s="4" t="s">
        <v>13313</v>
      </c>
      <c r="C30" s="4" t="s">
        <v>13314</v>
      </c>
      <c r="D30" s="4" t="s">
        <v>13315</v>
      </c>
      <c r="F30" s="5" t="str">
        <f>IFERROR(__xludf.DUMMYFUNCTION("GOOGLETRANSLATE(A30, ""en"", ""hi"")"),"29")</f>
        <v>29</v>
      </c>
      <c r="G30" s="5" t="str">
        <f>IFERROR(__xludf.DUMMYFUNCTION("GOOGLETRANSLATE(B30, ""en"", ""hi"")"),"इनमें से कौन सी प्रतियोगिता मणिपुर में प्रमुख मुकना प्रतियोगिता है?")</f>
        <v>इनमें से कौन सी प्रतियोगिता मणिपुर में प्रमुख मुकना प्रतियोगिता है?</v>
      </c>
      <c r="H30" s="5" t="str">
        <f>IFERROR(__xludf.DUMMYFUNCTION("GOOGLETRANSLATE(C30, ""en"", ""hi"")"),"A) मणिपुरी कुश्ती चैम्पियनशिप, B) अखिल मणिपुर मुकना मीट, C) शक्ति का उत्सव, D) मणिपुर कुश्ती ओपन")</f>
        <v>A) मणिपुरी कुश्ती चैम्पियनशिप, B) अखिल मणिपुर मुकना मीट, C) शक्ति का उत्सव, D) मणिपुर कुश्ती ओपन</v>
      </c>
      <c r="I30" s="5" t="str">
        <f>IFERROR(__xludf.DUMMYFUNCTION("GOOGLETRANSLATE(D30, ""en"", ""hi"")"),"बी) अखिल मणिपुर मुकना मीट")</f>
        <v>बी) अखिल मणिपुर मुकना मीट</v>
      </c>
    </row>
    <row r="31" ht="22.5" customHeight="1">
      <c r="A31" s="3">
        <v>30.0</v>
      </c>
      <c r="B31" s="4" t="s">
        <v>13316</v>
      </c>
      <c r="C31" s="4" t="s">
        <v>13317</v>
      </c>
      <c r="D31" s="4" t="s">
        <v>4428</v>
      </c>
      <c r="F31" s="5" t="str">
        <f>IFERROR(__xludf.DUMMYFUNCTION("GOOGLETRANSLATE(A31, ""en"", ""hi"")"),"30")</f>
        <v>30</v>
      </c>
      <c r="G31" s="5" t="str">
        <f>IFERROR(__xludf.DUMMYFUNCTION("GOOGLETRANSLATE(B31, ""en"", ""hi"")"),"मुकना पहलवान पारंपरिक रूप से किस प्रकार के वातावरण में अभ्यास करते हैं?")</f>
        <v>मुकना पहलवान पारंपरिक रूप से किस प्रकार के वातावरण में अभ्यास करते हैं?</v>
      </c>
      <c r="H31" s="5" t="str">
        <f>IFERROR(__xludf.DUMMYFUNCTION("GOOGLETRANSLATE(C31, ""en"", ""hi"")"),"A) इनडोर जिम, B) खुले मैदान, C) सामुदायिक हॉल, D) एरेनास")</f>
        <v>A) इनडोर जिम, B) खुले मैदान, C) सामुदायिक हॉल, D) एरेनास</v>
      </c>
      <c r="I31" s="5" t="str">
        <f>IFERROR(__xludf.DUMMYFUNCTION("GOOGLETRANSLATE(D31, ""en"", ""hi"")"),"बी) खुले मैदान")</f>
        <v>बी) खुले मैदान</v>
      </c>
    </row>
    <row r="32" ht="22.5" customHeight="1">
      <c r="A32" s="3">
        <v>31.0</v>
      </c>
      <c r="B32" s="4" t="s">
        <v>13318</v>
      </c>
      <c r="C32" s="4" t="s">
        <v>13319</v>
      </c>
      <c r="D32" s="4" t="s">
        <v>13320</v>
      </c>
      <c r="F32" s="5" t="str">
        <f>IFERROR(__xludf.DUMMYFUNCTION("GOOGLETRANSLATE(A32, ""en"", ""hi"")"),"31")</f>
        <v>31</v>
      </c>
      <c r="G32" s="5" t="str">
        <f>IFERROR(__xludf.DUMMYFUNCTION("GOOGLETRANSLATE(B32, ""en"", ""hi"")"),"मुकना मैच से पहले अक्सर कौन सी पारंपरिक प्रथा निभाई जाती है?")</f>
        <v>मुकना मैच से पहले अक्सर कौन सी पारंपरिक प्रथा निभाई जाती है?</v>
      </c>
      <c r="H32" s="5" t="str">
        <f>IFERROR(__xludf.DUMMYFUNCTION("GOOGLETRANSLATE(C32, ""en"", ""hi"")"),"A) अनुष्ठान नृत्य, B) प्रार्थना, C) भोज, D) संगीत प्रदर्शन")</f>
        <v>A) अनुष्ठान नृत्य, B) प्रार्थना, C) भोज, D) संगीत प्रदर्शन</v>
      </c>
      <c r="I32" s="5" t="str">
        <f>IFERROR(__xludf.DUMMYFUNCTION("GOOGLETRANSLATE(D32, ""en"", ""hi"")"),"बी) प्रार्थना")</f>
        <v>बी) प्रार्थना</v>
      </c>
    </row>
    <row r="33" ht="22.5" customHeight="1">
      <c r="A33" s="3">
        <v>32.0</v>
      </c>
      <c r="B33" s="4" t="s">
        <v>13321</v>
      </c>
      <c r="C33" s="4" t="s">
        <v>13322</v>
      </c>
      <c r="D33" s="4" t="s">
        <v>9715</v>
      </c>
      <c r="F33" s="5" t="str">
        <f>IFERROR(__xludf.DUMMYFUNCTION("GOOGLETRANSLATE(A33, ""en"", ""hi"")"),"32")</f>
        <v>32</v>
      </c>
      <c r="G33" s="5" t="str">
        <f>IFERROR(__xludf.DUMMYFUNCTION("GOOGLETRANSLATE(B33, ""en"", ""hi"")"),"मुकना में प्रयुक्त कुश्ती मैट का पारंपरिक आकार क्या है?")</f>
        <v>मुकना में प्रयुक्त कुश्ती मैट का पारंपरिक आकार क्या है?</v>
      </c>
      <c r="H33" s="5" t="str">
        <f>IFERROR(__xludf.DUMMYFUNCTION("GOOGLETRANSLATE(C33, ""en"", ""hi"")"),"A) वृत्ताकार, B) वर्गाकार, C) आयताकार, D) अंडाकार")</f>
        <v>A) वृत्ताकार, B) वर्गाकार, C) आयताकार, D) अंडाकार</v>
      </c>
      <c r="I33" s="5" t="str">
        <f>IFERROR(__xludf.DUMMYFUNCTION("GOOGLETRANSLATE(D33, ""en"", ""hi"")"),"ए) वृत्ताकार")</f>
        <v>ए) वृत्ताकार</v>
      </c>
    </row>
    <row r="34" ht="22.5" customHeight="1">
      <c r="A34" s="3">
        <v>33.0</v>
      </c>
      <c r="B34" s="4" t="s">
        <v>13323</v>
      </c>
      <c r="C34" s="4" t="s">
        <v>13324</v>
      </c>
      <c r="D34" s="4" t="s">
        <v>13325</v>
      </c>
      <c r="F34" s="5" t="str">
        <f>IFERROR(__xludf.DUMMYFUNCTION("GOOGLETRANSLATE(A34, ""en"", ""hi"")"),"33")</f>
        <v>33</v>
      </c>
      <c r="G34" s="5" t="str">
        <f>IFERROR(__xludf.DUMMYFUNCTION("GOOGLETRANSLATE(B34, ""en"", ""hi"")"),"निम्नलिखित में से कौन सा मुकना कुश्ती में एक सामान्य चाल नहीं है?")</f>
        <v>निम्नलिखित में से कौन सा मुकना कुश्ती में एक सामान्य चाल नहीं है?</v>
      </c>
      <c r="H34" s="5" t="str">
        <f>IFERROR(__xludf.DUMMYFUNCTION("GOOGLETRANSLATE(C34, ""en"", ""hi"")"),"ए) हेडलॉक, बी) सुपलेक्स, सी) आर्मबार, डी) ड्रॉपकिक")</f>
        <v>ए) हेडलॉक, बी) सुपलेक्स, सी) आर्मबार, डी) ड्रॉपकिक</v>
      </c>
      <c r="I34" s="5" t="str">
        <f>IFERROR(__xludf.DUMMYFUNCTION("GOOGLETRANSLATE(D34, ""en"", ""hi"")"),"डी) ड्रॉपकिक")</f>
        <v>डी) ड्रॉपकिक</v>
      </c>
    </row>
    <row r="35" ht="22.5" customHeight="1">
      <c r="A35" s="3">
        <v>34.0</v>
      </c>
      <c r="B35" s="4" t="s">
        <v>13326</v>
      </c>
      <c r="C35" s="4" t="s">
        <v>13327</v>
      </c>
      <c r="D35" s="4" t="s">
        <v>13328</v>
      </c>
      <c r="F35" s="5" t="str">
        <f>IFERROR(__xludf.DUMMYFUNCTION("GOOGLETRANSLATE(A35, ""en"", ""hi"")"),"34")</f>
        <v>34</v>
      </c>
      <c r="G35" s="5" t="str">
        <f>IFERROR(__xludf.DUMMYFUNCTION("GOOGLETRANSLATE(B35, ""en"", ""hi"")"),"मुकना आधुनिक कुश्ती शैलियों से किस प्रकार भिन्न है?")</f>
        <v>मुकना आधुनिक कुश्ती शैलियों से किस प्रकार भिन्न है?</v>
      </c>
      <c r="H35" s="5" t="str">
        <f>IFERROR(__xludf.DUMMYFUNCTION("GOOGLETRANSLATE(C35, ""en"", ""hi"")"),"A) यह स्ट्राइक पर केंद्रित है, B) यह पारंपरिक तकनीकों पर जोर देता है, C) यह रिंग का उपयोग करता है, D) इसमें भार वर्ग होते हैं")</f>
        <v>A) यह स्ट्राइक पर केंद्रित है, B) यह पारंपरिक तकनीकों पर जोर देता है, C) यह रिंग का उपयोग करता है, D) इसमें भार वर्ग होते हैं</v>
      </c>
      <c r="I35" s="5" t="str">
        <f>IFERROR(__xludf.DUMMYFUNCTION("GOOGLETRANSLATE(D35, ""en"", ""hi"")"),"B) यह पारंपरिक तकनीकों पर जोर देता है")</f>
        <v>B) यह पारंपरिक तकनीकों पर जोर देता है</v>
      </c>
    </row>
    <row r="36" ht="22.5" customHeight="1">
      <c r="A36" s="3">
        <v>35.0</v>
      </c>
      <c r="B36" s="4" t="s">
        <v>13329</v>
      </c>
      <c r="C36" s="4" t="s">
        <v>13330</v>
      </c>
      <c r="D36" s="4" t="s">
        <v>13331</v>
      </c>
      <c r="F36" s="5" t="str">
        <f>IFERROR(__xludf.DUMMYFUNCTION("GOOGLETRANSLATE(A36, ""en"", ""hi"")"),"35")</f>
        <v>35</v>
      </c>
      <c r="G36" s="5" t="str">
        <f>IFERROR(__xludf.DUMMYFUNCTION("GOOGLETRANSLATE(B36, ""en"", ""hi"")"),"किस ऐतिहासिक व्यक्ति को मुकना कुश्ती का संरक्षक माना जाता है?")</f>
        <v>किस ऐतिहासिक व्यक्ति को मुकना कुश्ती का संरक्षक माना जाता है?</v>
      </c>
      <c r="H36" s="5" t="str">
        <f>IFERROR(__xludf.DUMMYFUNCTION("GOOGLETRANSLATE(C36, ""en"", ""hi"")"),"ए) महाराजा चूड़ाचंद सिंह, बी) महाराजा बोधचंद्र सिंह, सी) महाराजा भाग्यचंद्र सिंह, डी) महाराजा नारा सिंह")</f>
        <v>ए) महाराजा चूड़ाचंद सिंह, बी) महाराजा बोधचंद्र सिंह, सी) महाराजा भाग्यचंद्र सिंह, डी) महाराजा नारा सिंह</v>
      </c>
      <c r="I36" s="5" t="str">
        <f>IFERROR(__xludf.DUMMYFUNCTION("GOOGLETRANSLATE(D36, ""en"", ""hi"")"),"A) महाराजा चूड़ाचंद सिंह")</f>
        <v>A) महाराजा चूड़ाचंद सिंह</v>
      </c>
    </row>
    <row r="37" ht="22.5" customHeight="1">
      <c r="A37" s="3">
        <v>36.0</v>
      </c>
      <c r="B37" s="4" t="s">
        <v>13332</v>
      </c>
      <c r="C37" s="4" t="s">
        <v>13333</v>
      </c>
      <c r="D37" s="4" t="s">
        <v>13334</v>
      </c>
      <c r="F37" s="5" t="str">
        <f>IFERROR(__xludf.DUMMYFUNCTION("GOOGLETRANSLATE(A37, ""en"", ""hi"")"),"36")</f>
        <v>36</v>
      </c>
      <c r="G37" s="5" t="str">
        <f>IFERROR(__xludf.DUMMYFUNCTION("GOOGLETRANSLATE(B37, ""en"", ""hi"")"),"मुकना पहलवानों द्वारा मैच के दौरान किस प्रकार की पोशाक पहनी जाती है?")</f>
        <v>मुकना पहलवानों द्वारा मैच के दौरान किस प्रकार की पोशाक पहनी जाती है?</v>
      </c>
      <c r="H37" s="5" t="str">
        <f>IFERROR(__xludf.DUMMYFUNCTION("GOOGLETRANSLATE(C37, ""en"", ""hi"")"),"A) पारंपरिक कपड़ा, B) आधुनिक खेलकूद वस्त्र, C) कवच, D) हल्का कपड़ा")</f>
        <v>A) पारंपरिक कपड़ा, B) आधुनिक खेलकूद वस्त्र, C) कवच, D) हल्का कपड़ा</v>
      </c>
      <c r="I37" s="5" t="str">
        <f>IFERROR(__xludf.DUMMYFUNCTION("GOOGLETRANSLATE(D37, ""en"", ""hi"")"),"A) पारंपरिक कपड़ा")</f>
        <v>A) पारंपरिक कपड़ा</v>
      </c>
    </row>
    <row r="38" ht="22.5" customHeight="1">
      <c r="A38" s="3">
        <v>37.0</v>
      </c>
      <c r="B38" s="4" t="s">
        <v>13335</v>
      </c>
      <c r="C38" s="4" t="s">
        <v>13336</v>
      </c>
      <c r="D38" s="4" t="s">
        <v>13337</v>
      </c>
      <c r="F38" s="5" t="str">
        <f>IFERROR(__xludf.DUMMYFUNCTION("GOOGLETRANSLATE(A38, ""en"", ""hi"")"),"37")</f>
        <v>37</v>
      </c>
      <c r="G38" s="5" t="str">
        <f>IFERROR(__xludf.DUMMYFUNCTION("GOOGLETRANSLATE(B38, ""en"", ""hi"")"),"तकनीक की दृष्टि से मुकना किस प्रकार की कुश्ती के सबसे अधिक समान है?")</f>
        <v>तकनीक की दृष्टि से मुकना किस प्रकार की कुश्ती के सबसे अधिक समान है?</v>
      </c>
      <c r="H38" s="5" t="str">
        <f>IFERROR(__xludf.DUMMYFUNCTION("GOOGLETRANSLATE(C38, ""en"", ""hi"")"),"A) ग्रीको-रोमन, B) लोक कुश्ती, C) जूडो, D) सैम्बो")</f>
        <v>A) ग्रीको-रोमन, B) लोक कुश्ती, C) जूडो, D) सैम्बो</v>
      </c>
      <c r="I38" s="5" t="str">
        <f>IFERROR(__xludf.DUMMYFUNCTION("GOOGLETRANSLATE(D38, ""en"", ""hi"")"),"बी) लोक कुश्ती")</f>
        <v>बी) लोक कुश्ती</v>
      </c>
    </row>
    <row r="39" ht="22.5" customHeight="1">
      <c r="A39" s="3">
        <v>38.0</v>
      </c>
      <c r="B39" s="4" t="s">
        <v>13338</v>
      </c>
      <c r="C39" s="4" t="s">
        <v>13339</v>
      </c>
      <c r="D39" s="4" t="s">
        <v>13340</v>
      </c>
      <c r="F39" s="5" t="str">
        <f>IFERROR(__xludf.DUMMYFUNCTION("GOOGLETRANSLATE(A39, ""en"", ""hi"")"),"38")</f>
        <v>38</v>
      </c>
      <c r="G39" s="5" t="str">
        <f>IFERROR(__xludf.DUMMYFUNCTION("GOOGLETRANSLATE(B39, ""en"", ""hi"")"),"मणिपुर समाज में मुकना की ऐतिहासिक भूमिका क्या है?")</f>
        <v>मणिपुर समाज में मुकना की ऐतिहासिक भूमिका क्या है?</v>
      </c>
      <c r="H39" s="5" t="str">
        <f>IFERROR(__xludf.DUMMYFUNCTION("GOOGLETRANSLATE(C39, ""en"", ""hi"")"),"A) मनोरंजन, B) अनुष्ठानिक अभ्यास, C) मार्शल प्रशिक्षण, D) कलात्मक अभिव्यक्ति")</f>
        <v>A) मनोरंजन, B) अनुष्ठानिक अभ्यास, C) मार्शल प्रशिक्षण, D) कलात्मक अभिव्यक्ति</v>
      </c>
      <c r="I39" s="5" t="str">
        <f>IFERROR(__xludf.DUMMYFUNCTION("GOOGLETRANSLATE(D39, ""en"", ""hi"")"),"सी) मार्शल प्रशिक्षण")</f>
        <v>सी) मार्शल प्रशिक्षण</v>
      </c>
    </row>
    <row r="40" ht="22.5" customHeight="1">
      <c r="A40" s="3">
        <v>39.0</v>
      </c>
      <c r="B40" s="4" t="s">
        <v>13341</v>
      </c>
      <c r="C40" s="4" t="s">
        <v>13342</v>
      </c>
      <c r="D40" s="4" t="s">
        <v>13343</v>
      </c>
      <c r="F40" s="5" t="str">
        <f>IFERROR(__xludf.DUMMYFUNCTION("GOOGLETRANSLATE(A40, ""en"", ""hi"")"),"39")</f>
        <v>39</v>
      </c>
      <c r="G40" s="5" t="str">
        <f>IFERROR(__xludf.DUMMYFUNCTION("GOOGLETRANSLATE(B40, ""en"", ""hi"")"),"मुकना पारंपरिक रूप से किस मौसम में किया जाता है?")</f>
        <v>मुकना पारंपरिक रूप से किस मौसम में किया जाता है?</v>
      </c>
      <c r="H40" s="5" t="str">
        <f>IFERROR(__xludf.DUMMYFUNCTION("GOOGLETRANSLATE(C40, ""en"", ""hi"")"),"A) शीत ऋतु, B) ग्रीष्म ऋतु, C) मानसून, D) शरद ऋतु")</f>
        <v>A) शीत ऋतु, B) ग्रीष्म ऋतु, C) मानसून, D) शरद ऋतु</v>
      </c>
      <c r="I40" s="5" t="str">
        <f>IFERROR(__xludf.DUMMYFUNCTION("GOOGLETRANSLATE(D40, ""en"", ""hi"")"),"बी) ग्रीष्मकाल")</f>
        <v>बी) ग्रीष्मकाल</v>
      </c>
    </row>
    <row r="41" ht="22.5" customHeight="1">
      <c r="A41" s="3">
        <v>40.0</v>
      </c>
      <c r="B41" s="4" t="s">
        <v>13344</v>
      </c>
      <c r="C41" s="4" t="s">
        <v>13345</v>
      </c>
      <c r="D41" s="4" t="s">
        <v>13346</v>
      </c>
      <c r="F41" s="5" t="str">
        <f>IFERROR(__xludf.DUMMYFUNCTION("GOOGLETRANSLATE(A41, ""en"", ""hi"")"),"40")</f>
        <v>40</v>
      </c>
      <c r="G41" s="5" t="str">
        <f>IFERROR(__xludf.DUMMYFUNCTION("GOOGLETRANSLATE(B41, ""en"", ""hi"")"),"मुकना अभ्यास के लिए किस प्रकार का भूभाग आदर्श है?")</f>
        <v>मुकना अभ्यास के लिए किस प्रकार का भूभाग आदर्श है?</v>
      </c>
      <c r="H41" s="5" t="str">
        <f>IFERROR(__xludf.DUMMYFUNCTION("GOOGLETRANSLATE(C41, ""en"", ""hi"")"),"A) घास के मैदान, B) चट्टानी सतहें, C) नरम मिट्टी, D) कठोर फर्श")</f>
        <v>A) घास के मैदान, B) चट्टानी सतहें, C) नरम मिट्टी, D) कठोर फर्श</v>
      </c>
      <c r="I41" s="5" t="str">
        <f>IFERROR(__xludf.DUMMYFUNCTION("GOOGLETRANSLATE(D41, ""en"", ""hi"")"),"C) नरम मिट्टी")</f>
        <v>C) नरम मिट्टी</v>
      </c>
    </row>
    <row r="42" ht="22.5" customHeight="1">
      <c r="A42" s="3">
        <v>41.0</v>
      </c>
      <c r="B42" s="4" t="s">
        <v>13347</v>
      </c>
      <c r="C42" s="4" t="s">
        <v>13348</v>
      </c>
      <c r="D42" s="4" t="s">
        <v>13349</v>
      </c>
      <c r="F42" s="5" t="str">
        <f>IFERROR(__xludf.DUMMYFUNCTION("GOOGLETRANSLATE(A42, ""en"", ""hi"")"),"41")</f>
        <v>41</v>
      </c>
      <c r="G42" s="5" t="str">
        <f>IFERROR(__xludf.DUMMYFUNCTION("GOOGLETRANSLATE(B42, ""en"", ""hi"")"),"कौन सा ऐतिहासिक स्रोत मुकना को मणिपुर की सांस्कृतिक विरासत का हिस्सा बताता है?")</f>
        <v>कौन सा ऐतिहासिक स्रोत मुकना को मणिपुर की सांस्कृतिक विरासत का हिस्सा बताता है?</v>
      </c>
      <c r="H42" s="5" t="str">
        <f>IFERROR(__xludf.DUMMYFUNCTION("GOOGLETRANSLATE(C42, ""en"", ""hi"")"),"A) मणिपुर का इतिहास, B) वैदिक ग्रंथ, C) असम के ऐतिहासिक अभिलेख, D) ब्रिटिश खोजकर्ताओं के विवरण")</f>
        <v>A) मणिपुर का इतिहास, B) वैदिक ग्रंथ, C) असम के ऐतिहासिक अभिलेख, D) ब्रिटिश खोजकर्ताओं के विवरण</v>
      </c>
      <c r="I42" s="5" t="str">
        <f>IFERROR(__xludf.DUMMYFUNCTION("GOOGLETRANSLATE(D42, ""en"", ""hi"")"),"A) मणिपुर का इतिहास")</f>
        <v>A) मणिपुर का इतिहास</v>
      </c>
    </row>
    <row r="43" ht="22.5" customHeight="1">
      <c r="A43" s="3">
        <v>42.0</v>
      </c>
      <c r="B43" s="4" t="s">
        <v>13350</v>
      </c>
      <c r="C43" s="4" t="s">
        <v>13351</v>
      </c>
      <c r="D43" s="4" t="s">
        <v>13352</v>
      </c>
      <c r="F43" s="5" t="str">
        <f>IFERROR(__xludf.DUMMYFUNCTION("GOOGLETRANSLATE(A43, ""en"", ""hi"")"),"42")</f>
        <v>42</v>
      </c>
      <c r="G43" s="5" t="str">
        <f>IFERROR(__xludf.DUMMYFUNCTION("GOOGLETRANSLATE(B43, ""en"", ""hi"")"),"सामुदायिक त्यौहारों में मुकना का क्या महत्व है?")</f>
        <v>सामुदायिक त्यौहारों में मुकना का क्या महत्व है?</v>
      </c>
      <c r="H43" s="5" t="str">
        <f>IFERROR(__xludf.DUMMYFUNCTION("GOOGLETRANSLATE(C43, ""en"", ""hi"")"),"A) यह सामुदायिक शक्ति का प्रतिनिधित्व करता है, B) यह मनोरंजन का एक रूप है, C) यह व्यक्तिगत कौशल को प्रदर्शित करता है, D) यह ऐतिहासिक उपलब्धियों का प्रतीक है")</f>
        <v>A) यह सामुदायिक शक्ति का प्रतिनिधित्व करता है, B) यह मनोरंजन का एक रूप है, C) यह व्यक्तिगत कौशल को प्रदर्शित करता है, D) यह ऐतिहासिक उपलब्धियों का प्रतीक है</v>
      </c>
      <c r="I43" s="5" t="str">
        <f>IFERROR(__xludf.DUMMYFUNCTION("GOOGLETRANSLATE(D43, ""en"", ""hi"")"),"A) यह सामुदायिक शक्ति का प्रतिनिधित्व करता है")</f>
        <v>A) यह सामुदायिक शक्ति का प्रतिनिधित्व करता है</v>
      </c>
    </row>
    <row r="44" ht="22.5" customHeight="1">
      <c r="A44" s="3">
        <v>43.0</v>
      </c>
      <c r="B44" s="4" t="s">
        <v>13353</v>
      </c>
      <c r="C44" s="4" t="s">
        <v>13354</v>
      </c>
      <c r="D44" s="4" t="s">
        <v>13355</v>
      </c>
      <c r="F44" s="5" t="str">
        <f>IFERROR(__xludf.DUMMYFUNCTION("GOOGLETRANSLATE(A44, ""en"", ""hi"")"),"43")</f>
        <v>43</v>
      </c>
      <c r="G44" s="5" t="str">
        <f>IFERROR(__xludf.DUMMYFUNCTION("GOOGLETRANSLATE(B44, ""en"", ""hi"")"),"मुकना कुश्ती प्रतियोगिताओं से कौन सा पारंपरिक संगीत जुड़ा हुआ है?")</f>
        <v>मुकना कुश्ती प्रतियोगिताओं से कौन सा पारंपरिक संगीत जुड़ा हुआ है?</v>
      </c>
      <c r="H44" s="5" t="str">
        <f>IFERROR(__xludf.DUMMYFUNCTION("GOOGLETRANSLATE(C44, ""en"", ""hi"")"),"ए) ढोलक, बी) तबला, सी) ढोलक, डी) बैगपाइप")</f>
        <v>ए) ढोलक, बी) तबला, सी) ढोलक, डी) बैगपाइप</v>
      </c>
      <c r="I44" s="5" t="str">
        <f>IFERROR(__xludf.DUMMYFUNCTION("GOOGLETRANSLATE(D44, ""en"", ""hi"")"),"सी) ढोल की थाप")</f>
        <v>सी) ढोल की थाप</v>
      </c>
    </row>
    <row r="45" ht="22.5" customHeight="1">
      <c r="A45" s="3">
        <v>44.0</v>
      </c>
      <c r="B45" s="4" t="s">
        <v>13356</v>
      </c>
      <c r="C45" s="4" t="s">
        <v>13357</v>
      </c>
      <c r="D45" s="4" t="s">
        <v>13358</v>
      </c>
      <c r="F45" s="5" t="str">
        <f>IFERROR(__xludf.DUMMYFUNCTION("GOOGLETRANSLATE(A45, ""en"", ""hi"")"),"44")</f>
        <v>44</v>
      </c>
      <c r="G45" s="5" t="str">
        <f>IFERROR(__xludf.DUMMYFUNCTION("GOOGLETRANSLATE(B45, ""en"", ""hi"")"),"मुकना कुश्ती शैली की विशिष्ट विशेषता क्या है?")</f>
        <v>मुकना कुश्ती शैली की विशिष्ट विशेषता क्या है?</v>
      </c>
      <c r="H45" s="5" t="str">
        <f>IFERROR(__xludf.DUMMYFUNCTION("GOOGLETRANSLATE(C45, ""en"", ""hi"")"),"ए) उच्च प्रभाव वाले थ्रो, बी) तकनीकी पकड़, सी) हवाई युद्धाभ्यास, डी) तेज गति वाले हमले")</f>
        <v>ए) उच्च प्रभाव वाले थ्रो, बी) तकनीकी पकड़, सी) हवाई युद्धाभ्यास, डी) तेज गति वाले हमले</v>
      </c>
      <c r="I45" s="5" t="str">
        <f>IFERROR(__xludf.DUMMYFUNCTION("GOOGLETRANSLATE(D45, ""en"", ""hi"")"),"बी) तकनीकी जूझना")</f>
        <v>बी) तकनीकी जूझना</v>
      </c>
    </row>
    <row r="46" ht="22.5" customHeight="1">
      <c r="A46" s="3">
        <v>45.0</v>
      </c>
      <c r="B46" s="4" t="s">
        <v>13359</v>
      </c>
      <c r="C46" s="4" t="s">
        <v>13360</v>
      </c>
      <c r="D46" s="4" t="s">
        <v>13361</v>
      </c>
      <c r="F46" s="5" t="str">
        <f>IFERROR(__xludf.DUMMYFUNCTION("GOOGLETRANSLATE(A46, ""en"", ""hi"")"),"45")</f>
        <v>45</v>
      </c>
      <c r="G46" s="5" t="str">
        <f>IFERROR(__xludf.DUMMYFUNCTION("GOOGLETRANSLATE(B46, ""en"", ""hi"")"),"इनमें से कौन सा मुकना में मैच से पहले का आम रिवाज है?")</f>
        <v>इनमें से कौन सा मुकना में मैच से पहले का आम रिवाज है?</v>
      </c>
      <c r="H46" s="5" t="str">
        <f>IFERROR(__xludf.DUMMYFUNCTION("GOOGLETRANSLATE(C46, ""en"", ""hi"")"),"A) जप, B) ध्यान, C) शारीरिक कंडीशनिंग, D) संगीत प्रदर्शन")</f>
        <v>A) जप, B) ध्यान, C) शारीरिक कंडीशनिंग, D) संगीत प्रदर्शन</v>
      </c>
      <c r="I46" s="5" t="str">
        <f>IFERROR(__xludf.DUMMYFUNCTION("GOOGLETRANSLATE(D46, ""en"", ""hi"")"),"क) जप")</f>
        <v>क) जप</v>
      </c>
    </row>
    <row r="47" ht="22.5" customHeight="1">
      <c r="A47" s="3">
        <v>46.0</v>
      </c>
      <c r="B47" s="4" t="s">
        <v>13362</v>
      </c>
      <c r="C47" s="4" t="s">
        <v>13363</v>
      </c>
      <c r="D47" s="4" t="s">
        <v>13309</v>
      </c>
      <c r="F47" s="5" t="str">
        <f>IFERROR(__xludf.DUMMYFUNCTION("GOOGLETRANSLATE(A47, ""en"", ""hi"")"),"46")</f>
        <v>46</v>
      </c>
      <c r="G47" s="5" t="str">
        <f>IFERROR(__xludf.DUMMYFUNCTION("GOOGLETRANSLATE(B47, ""en"", ""hi"")"),"मुकना मैचों में आमतौर पर किस प्रकार के दर्शक आते हैं?")</f>
        <v>मुकना मैचों में आमतौर पर किस प्रकार के दर्शक आते हैं?</v>
      </c>
      <c r="H47" s="5" t="str">
        <f>IFERROR(__xludf.DUMMYFUNCTION("GOOGLETRANSLATE(C47, ""en"", ""hi"")"),"A) स्थानीय ग्रामीण, B) पर्यटक, C) अंतर्राष्ट्रीय दर्शक, D) खेल प्रेमी")</f>
        <v>A) स्थानीय ग्रामीण, B) पर्यटक, C) अंतर्राष्ट्रीय दर्शक, D) खेल प्रेमी</v>
      </c>
      <c r="I47" s="5" t="str">
        <f>IFERROR(__xludf.DUMMYFUNCTION("GOOGLETRANSLATE(D47, ""en"", ""hi"")"),"A) स्थानीय ग्रामीण")</f>
        <v>A) स्थानीय ग्रामीण</v>
      </c>
    </row>
    <row r="48" ht="22.5" customHeight="1">
      <c r="A48" s="3">
        <v>47.0</v>
      </c>
      <c r="B48" s="4" t="s">
        <v>13364</v>
      </c>
      <c r="C48" s="4" t="s">
        <v>13365</v>
      </c>
      <c r="D48" s="4" t="s">
        <v>13366</v>
      </c>
      <c r="F48" s="5" t="str">
        <f>IFERROR(__xludf.DUMMYFUNCTION("GOOGLETRANSLATE(A48, ""en"", ""hi"")"),"47")</f>
        <v>47</v>
      </c>
      <c r="G48" s="5" t="str">
        <f>IFERROR(__xludf.DUMMYFUNCTION("GOOGLETRANSLATE(B48, ""en"", ""hi"")"),"मुकना में रेफरी की भूमिका क्या है?")</f>
        <v>मुकना में रेफरी की भूमिका क्या है?</v>
      </c>
      <c r="H48" s="5" t="str">
        <f>IFERROR(__xludf.DUMMYFUNCTION("GOOGLETRANSLATE(C48, ""en"", ""hi"")"),"A) पहलवानों को प्रशिक्षित करना, B) अंक अर्जित करना, C) निष्पक्ष खेल सुनिश्चित करना, D) प्रतियोगिता को बढ़ावा देना")</f>
        <v>A) पहलवानों को प्रशिक्षित करना, B) अंक अर्जित करना, C) निष्पक्ष खेल सुनिश्चित करना, D) प्रतियोगिता को बढ़ावा देना</v>
      </c>
      <c r="I48" s="5" t="str">
        <f>IFERROR(__xludf.DUMMYFUNCTION("GOOGLETRANSLATE(D48, ""en"", ""hi"")"),"C) निष्पक्ष खेल सुनिश्चित करने के लिए")</f>
        <v>C) निष्पक्ष खेल सुनिश्चित करने के लिए</v>
      </c>
    </row>
    <row r="49" ht="22.5" customHeight="1">
      <c r="A49" s="3">
        <v>48.0</v>
      </c>
      <c r="B49" s="4" t="s">
        <v>13367</v>
      </c>
      <c r="C49" s="4" t="s">
        <v>12867</v>
      </c>
      <c r="D49" s="4" t="s">
        <v>13368</v>
      </c>
      <c r="F49" s="5" t="str">
        <f>IFERROR(__xludf.DUMMYFUNCTION("GOOGLETRANSLATE(A49, ""en"", ""hi"")"),"48")</f>
        <v>48</v>
      </c>
      <c r="G49" s="5" t="str">
        <f>IFERROR(__xludf.DUMMYFUNCTION("GOOGLETRANSLATE(B49, ""en"", ""hi"")"),"कौन से पारंपरिक त्यौहार में मुकना माचिस प्रमुखता से खेली जाती है?")</f>
        <v>कौन से पारंपरिक त्यौहार में मुकना माचिस प्रमुखता से खेली जाती है?</v>
      </c>
      <c r="H49" s="5" t="str">
        <f>IFERROR(__xludf.DUMMYFUNCTION("GOOGLETRANSLATE(C49, ""en"", ""hi"")"),"ए) लाई हराओबा, बी) निंगोल चाकोउबा, सी) याओशांग, डी) चेइराओबा")</f>
        <v>ए) लाई हराओबा, बी) निंगोल चाकोउबा, सी) याओशांग, डी) चेइराओबा</v>
      </c>
      <c r="I49" s="5" t="str">
        <f>IFERROR(__xludf.DUMMYFUNCTION("GOOGLETRANSLATE(D49, ""en"", ""hi"")"),"सी) योशांग")</f>
        <v>सी) योशांग</v>
      </c>
    </row>
    <row r="50" ht="22.5" customHeight="1">
      <c r="A50" s="3">
        <v>49.0</v>
      </c>
      <c r="B50" s="4" t="s">
        <v>13369</v>
      </c>
      <c r="C50" s="4" t="s">
        <v>13370</v>
      </c>
      <c r="D50" s="4" t="s">
        <v>13291</v>
      </c>
      <c r="F50" s="5" t="str">
        <f>IFERROR(__xludf.DUMMYFUNCTION("GOOGLETRANSLATE(A50, ""en"", ""hi"")"),"49")</f>
        <v>49</v>
      </c>
      <c r="G50" s="5" t="str">
        <f>IFERROR(__xludf.DUMMYFUNCTION("GOOGLETRANSLATE(B50, ""en"", ""hi"")"),"मुकना का कौन सा पहलू इसकी सांस्कृतिक विरासत का प्रमुख हिस्सा माना जाता है?")</f>
        <v>मुकना का कौन सा पहलू इसकी सांस्कृतिक विरासत का प्रमुख हिस्सा माना जाता है?</v>
      </c>
      <c r="H50" s="5" t="str">
        <f>IFERROR(__xludf.DUMMYFUNCTION("GOOGLETRANSLATE(C50, ""en"", ""hi"")"),"A) नियम, B) पोशाक, C) तकनीक, D) स्थल")</f>
        <v>A) नियम, B) पोशाक, C) तकनीक, D) स्थल</v>
      </c>
      <c r="I50" s="5" t="str">
        <f>IFERROR(__xludf.DUMMYFUNCTION("GOOGLETRANSLATE(D50, ""en"", ""hi"")"),"C) तकनीकें")</f>
        <v>C) तकनीकें</v>
      </c>
    </row>
    <row r="51" ht="22.5" customHeight="1">
      <c r="A51" s="3">
        <v>50.0</v>
      </c>
      <c r="B51" s="4" t="s">
        <v>13371</v>
      </c>
      <c r="C51" s="4" t="s">
        <v>13372</v>
      </c>
      <c r="D51" s="4" t="s">
        <v>13373</v>
      </c>
      <c r="F51" s="5" t="str">
        <f>IFERROR(__xludf.DUMMYFUNCTION("GOOGLETRANSLATE(A51, ""en"", ""hi"")"),"50")</f>
        <v>50</v>
      </c>
      <c r="G51" s="5" t="str">
        <f>IFERROR(__xludf.DUMMYFUNCTION("GOOGLETRANSLATE(B51, ""en"", ""hi"")"),"मुकना मणिपुर के पारंपरिक मूल्यों को किस प्रकार प्रतिबिम्बित करता है?")</f>
        <v>मुकना मणिपुर के पारंपरिक मूल्यों को किस प्रकार प्रतिबिम्बित करता है?</v>
      </c>
      <c r="H51" s="5" t="str">
        <f>IFERROR(__xludf.DUMMYFUNCTION("GOOGLETRANSLATE(C51, ""en"", ""hi"")"),"A) प्रतिस्पर्धी भावना के माध्यम से, B) सांस्कृतिक प्रतीकवाद के माध्यम से, C) मनोरंजन के माध्यम से, D) कलात्मक अभिव्यक्ति के माध्यम से")</f>
        <v>A) प्रतिस्पर्धी भावना के माध्यम से, B) सांस्कृतिक प्रतीकवाद के माध्यम से, C) मनोरंजन के माध्यम से, D) कलात्मक अभिव्यक्ति के माध्यम से</v>
      </c>
      <c r="I51" s="5" t="str">
        <f>IFERROR(__xludf.DUMMYFUNCTION("GOOGLETRANSLATE(D51, ""en"", ""hi"")"),"बी) सांस्कृतिक प्रतीकवाद के माध्यम से")</f>
        <v>बी) सांस्कृतिक प्रतीकवाद के माध्यम से</v>
      </c>
    </row>
    <row r="52" ht="22.5" customHeight="1">
      <c r="A52" s="3">
        <v>51.0</v>
      </c>
      <c r="B52" s="4" t="s">
        <v>13374</v>
      </c>
      <c r="C52" s="4" t="s">
        <v>13375</v>
      </c>
      <c r="D52" s="4" t="s">
        <v>13376</v>
      </c>
      <c r="F52" s="5" t="str">
        <f>IFERROR(__xludf.DUMMYFUNCTION("GOOGLETRANSLATE(A52, ""en"", ""hi"")"),"51")</f>
        <v>51</v>
      </c>
      <c r="G52" s="5" t="str">
        <f>IFERROR(__xludf.DUMMYFUNCTION("GOOGLETRANSLATE(B52, ""en"", ""hi"")"),"मुकना मैचों के दौरान पारंपरिक रूप से किस प्रकार के जूते पहने जाते हैं?")</f>
        <v>मुकना मैचों के दौरान पारंपरिक रूप से किस प्रकार के जूते पहने जाते हैं?</v>
      </c>
      <c r="H52" s="5" t="str">
        <f>IFERROR(__xludf.DUMMYFUNCTION("GOOGLETRANSLATE(C52, ""en"", ""hi"")"),"A) सैंडल, B) बूट, C) नंगे पांव, D) स्पोर्ट्स शूज़")</f>
        <v>A) सैंडल, B) बूट, C) नंगे पांव, D) स्पोर्ट्स शूज़</v>
      </c>
      <c r="I52" s="5" t="str">
        <f>IFERROR(__xludf.DUMMYFUNCTION("GOOGLETRANSLATE(D52, ""en"", ""hi"")"),"सी) नंगे पांव")</f>
        <v>सी) नंगे पांव</v>
      </c>
    </row>
    <row r="53" ht="22.5" customHeight="1">
      <c r="A53" s="3">
        <v>52.0</v>
      </c>
      <c r="B53" s="4" t="s">
        <v>13377</v>
      </c>
      <c r="C53" s="4" t="s">
        <v>13378</v>
      </c>
      <c r="D53" s="4" t="s">
        <v>13379</v>
      </c>
      <c r="F53" s="5" t="str">
        <f>IFERROR(__xludf.DUMMYFUNCTION("GOOGLETRANSLATE(A53, ""en"", ""hi"")"),"52")</f>
        <v>52</v>
      </c>
      <c r="G53" s="5" t="str">
        <f>IFERROR(__xludf.DUMMYFUNCTION("GOOGLETRANSLATE(B53, ""en"", ""hi"")"),"इनमें से कौन सी मुकना कुश्ती की विशेषता नहीं है?")</f>
        <v>इनमें से कौन सी मुकना कुश्ती की विशेषता नहीं है?</v>
      </c>
      <c r="H53" s="5" t="str">
        <f>IFERROR(__xludf.DUMMYFUNCTION("GOOGLETRANSLATE(C53, ""en"", ""hi"")"),"A) विशेष उपकरणों का उपयोग, B) पारंपरिक तकनीकें, C) सांस्कृतिक महत्व, D) शारीरिक शक्ति")</f>
        <v>A) विशेष उपकरणों का उपयोग, B) पारंपरिक तकनीकें, C) सांस्कृतिक महत्व, D) शारीरिक शक्ति</v>
      </c>
      <c r="I53" s="5" t="str">
        <f>IFERROR(__xludf.DUMMYFUNCTION("GOOGLETRANSLATE(D53, ""en"", ""hi"")"),"ए) विशेष उपकरणों का उपयोग")</f>
        <v>ए) विशेष उपकरणों का उपयोग</v>
      </c>
    </row>
    <row r="54" ht="22.5" customHeight="1">
      <c r="A54" s="3">
        <v>53.0</v>
      </c>
      <c r="B54" s="4" t="s">
        <v>13380</v>
      </c>
      <c r="C54" s="4" t="s">
        <v>13381</v>
      </c>
      <c r="D54" s="4" t="s">
        <v>13382</v>
      </c>
      <c r="F54" s="5" t="str">
        <f>IFERROR(__xludf.DUMMYFUNCTION("GOOGLETRANSLATE(A54, ""en"", ""hi"")"),"53")</f>
        <v>53</v>
      </c>
      <c r="G54" s="5" t="str">
        <f>IFERROR(__xludf.DUMMYFUNCTION("GOOGLETRANSLATE(B54, ""en"", ""hi"")"),"पारंपरिक मणिपुर समाज में मुकना कुश्ती का प्राथमिक उद्देश्य क्या है?")</f>
        <v>पारंपरिक मणिपुर समाज में मुकना कुश्ती का प्राथमिक उद्देश्य क्या है?</v>
      </c>
      <c r="H54" s="5" t="str">
        <f>IFERROR(__xludf.DUMMYFUNCTION("GOOGLETRANSLATE(C54, ""en"", ""hi"")"),"A) मनोरंजन, B) सैन्य प्रशिक्षण, C) सांस्कृतिक संरक्षण, D) आर्थिक लाभ")</f>
        <v>A) मनोरंजन, B) सैन्य प्रशिक्षण, C) सांस्कृतिक संरक्षण, D) आर्थिक लाभ</v>
      </c>
      <c r="I54" s="5" t="str">
        <f>IFERROR(__xludf.DUMMYFUNCTION("GOOGLETRANSLATE(D54, ""en"", ""hi"")"),"C) सांस्कृतिक संरक्षण")</f>
        <v>C) सांस्कृतिक संरक्षण</v>
      </c>
    </row>
    <row r="55" ht="22.5" customHeight="1">
      <c r="A55" s="3">
        <v>54.0</v>
      </c>
      <c r="B55" s="4" t="s">
        <v>13383</v>
      </c>
      <c r="C55" s="4" t="s">
        <v>13384</v>
      </c>
      <c r="D55" s="4" t="s">
        <v>13385</v>
      </c>
      <c r="F55" s="5" t="str">
        <f>IFERROR(__xludf.DUMMYFUNCTION("GOOGLETRANSLATE(A55, ""en"", ""hi"")"),"54")</f>
        <v>54</v>
      </c>
      <c r="G55" s="5" t="str">
        <f>IFERROR(__xludf.DUMMYFUNCTION("GOOGLETRANSLATE(B55, ""en"", ""hi"")"),"त्यौहारों के दौरान कौन सी पारंपरिक मणिपुरी प्रथा को अक्सर मुकना के साथ जोड़ा जाता है?")</f>
        <v>त्यौहारों के दौरान कौन सी पारंपरिक मणिपुरी प्रथा को अक्सर मुकना के साथ जोड़ा जाता है?</v>
      </c>
      <c r="H55" s="5" t="str">
        <f>IFERROR(__xludf.DUMMYFUNCTION("GOOGLETRANSLATE(C55, ""en"", ""hi"")"),"A) पारंपरिक नृत्य, B) गीत प्रदर्शन, C) पाककला कार्यक्रम, D) कला प्रदर्शनियाँ")</f>
        <v>A) पारंपरिक नृत्य, B) गीत प्रदर्शन, C) पाककला कार्यक्रम, D) कला प्रदर्शनियाँ</v>
      </c>
      <c r="I55" s="5" t="str">
        <f>IFERROR(__xludf.DUMMYFUNCTION("GOOGLETRANSLATE(D55, ""en"", ""hi"")"),"A) पारंपरिक नृत्य")</f>
        <v>A) पारंपरिक नृत्य</v>
      </c>
    </row>
    <row r="56" ht="22.5" customHeight="1">
      <c r="A56" s="3">
        <v>55.0</v>
      </c>
      <c r="B56" s="4" t="s">
        <v>13386</v>
      </c>
      <c r="C56" s="4" t="s">
        <v>13387</v>
      </c>
      <c r="D56" s="4" t="s">
        <v>13388</v>
      </c>
      <c r="F56" s="5" t="str">
        <f>IFERROR(__xludf.DUMMYFUNCTION("GOOGLETRANSLATE(A56, ""en"", ""hi"")"),"55")</f>
        <v>55</v>
      </c>
      <c r="G56" s="5" t="str">
        <f>IFERROR(__xludf.DUMMYFUNCTION("GOOGLETRANSLATE(B56, ""en"", ""hi"")"),"मुकना कुश्ती का वर्णन ऐतिहासिक साहित्य के किस रूप में किया गया है?")</f>
        <v>मुकना कुश्ती का वर्णन ऐतिहासिक साहित्य के किस रूप में किया गया है?</v>
      </c>
      <c r="H56" s="5" t="str">
        <f>IFERROR(__xludf.DUMMYFUNCTION("GOOGLETRANSLATE(C56, ""en"", ""hi"")"),"A) कविता, B) नाटक, C) ऐतिहासिक वृत्तांत, D) कथा साहित्य")</f>
        <v>A) कविता, B) नाटक, C) ऐतिहासिक वृत्तांत, D) कथा साहित्य</v>
      </c>
      <c r="I56" s="5" t="str">
        <f>IFERROR(__xludf.DUMMYFUNCTION("GOOGLETRANSLATE(D56, ""en"", ""hi"")"),"C) ऐतिहासिक इतिहास")</f>
        <v>C) ऐतिहासिक इतिहास</v>
      </c>
    </row>
    <row r="57" ht="22.5" customHeight="1">
      <c r="A57" s="3">
        <v>56.0</v>
      </c>
      <c r="B57" s="4" t="s">
        <v>13389</v>
      </c>
      <c r="C57" s="4" t="s">
        <v>13390</v>
      </c>
      <c r="D57" s="4" t="s">
        <v>13391</v>
      </c>
      <c r="F57" s="5" t="str">
        <f>IFERROR(__xludf.DUMMYFUNCTION("GOOGLETRANSLATE(A57, ""en"", ""hi"")"),"56")</f>
        <v>56</v>
      </c>
      <c r="G57" s="5" t="str">
        <f>IFERROR(__xludf.DUMMYFUNCTION("GOOGLETRANSLATE(B57, ""en"", ""hi"")"),"मुकना में कुश्ती के लिए शरीर का कौन सा अंग महत्वपूर्ण है?")</f>
        <v>मुकना में कुश्ती के लिए शरीर का कौन सा अंग महत्वपूर्ण है?</v>
      </c>
      <c r="H57" s="5" t="str">
        <f>IFERROR(__xludf.DUMMYFUNCTION("GOOGLETRANSLATE(C57, ""en"", ""hi"")"),"A) पैर, B) भुजाएँ, C) धड़, D) सिर")</f>
        <v>A) पैर, B) भुजाएँ, C) धड़, D) सिर</v>
      </c>
      <c r="I57" s="5" t="str">
        <f>IFERROR(__xludf.DUMMYFUNCTION("GOOGLETRANSLATE(D57, ""en"", ""hi"")"),"बी) हथियार")</f>
        <v>बी) हथियार</v>
      </c>
    </row>
    <row r="58" ht="22.5" customHeight="1">
      <c r="A58" s="3">
        <v>57.0</v>
      </c>
      <c r="B58" s="4" t="s">
        <v>13392</v>
      </c>
      <c r="C58" s="4" t="s">
        <v>13393</v>
      </c>
      <c r="D58" s="4" t="s">
        <v>3512</v>
      </c>
      <c r="F58" s="5" t="str">
        <f>IFERROR(__xludf.DUMMYFUNCTION("GOOGLETRANSLATE(A58, ""en"", ""hi"")"),"57")</f>
        <v>57</v>
      </c>
      <c r="G58" s="5" t="str">
        <f>IFERROR(__xludf.DUMMYFUNCTION("GOOGLETRANSLATE(B58, ""en"", ""hi"")"),"मुकना कुश्ती किस प्रकार के सामुदायिक आयोजनों की प्रमुख विशेषता है?")</f>
        <v>मुकना कुश्ती किस प्रकार के सामुदायिक आयोजनों की प्रमुख विशेषता है?</v>
      </c>
      <c r="H58" s="5" t="str">
        <f>IFERROR(__xludf.DUMMYFUNCTION("GOOGLETRANSLATE(C58, ""en"", ""hi"")"),"A) धार्मिक त्यौहार, B) कृषि मेले, C) खेल प्रतियोगिताएं, D) राजनीतिक रैलियां")</f>
        <v>A) धार्मिक त्यौहार, B) कृषि मेले, C) खेल प्रतियोगिताएं, D) राजनीतिक रैलियां</v>
      </c>
      <c r="I58" s="5" t="str">
        <f>IFERROR(__xludf.DUMMYFUNCTION("GOOGLETRANSLATE(D58, ""en"", ""hi"")"),"A) धार्मिक त्यौहार")</f>
        <v>A) धार्मिक त्यौहार</v>
      </c>
    </row>
    <row r="59" ht="22.5" customHeight="1">
      <c r="A59" s="3">
        <v>58.0</v>
      </c>
      <c r="B59" s="4" t="s">
        <v>13394</v>
      </c>
      <c r="C59" s="4" t="s">
        <v>13395</v>
      </c>
      <c r="D59" s="4" t="s">
        <v>13396</v>
      </c>
      <c r="F59" s="5" t="str">
        <f>IFERROR(__xludf.DUMMYFUNCTION("GOOGLETRANSLATE(A59, ""en"", ""hi"")"),"58")</f>
        <v>58</v>
      </c>
      <c r="G59" s="5" t="str">
        <f>IFERROR(__xludf.DUMMYFUNCTION("GOOGLETRANSLATE(B59, ""en"", ""hi"")"),"मुकना को किस प्रकार संरक्षित किया गया है और पीढ़ियों से आगे कैसे पहुंचाया गया है?")</f>
        <v>मुकना को किस प्रकार संरक्षित किया गया है और पीढ़ियों से आगे कैसे पहुंचाया गया है?</v>
      </c>
      <c r="H59" s="5" t="str">
        <f>IFERROR(__xludf.DUMMYFUNCTION("GOOGLETRANSLATE(C59, ""en"", ""hi"")"),"A) लिखित अभिलेखों के माध्यम से, B) मौखिक परंपरा के माध्यम से, C) औपचारिक शिक्षा के माध्यम से, D) प्रदर्शनियों के माध्यम से")</f>
        <v>A) लिखित अभिलेखों के माध्यम से, B) मौखिक परंपरा के माध्यम से, C) औपचारिक शिक्षा के माध्यम से, D) प्रदर्शनियों के माध्यम से</v>
      </c>
      <c r="I59" s="5" t="str">
        <f>IFERROR(__xludf.DUMMYFUNCTION("GOOGLETRANSLATE(D59, ""en"", ""hi"")"),"B) मौखिक परंपरा के माध्यम से")</f>
        <v>B) मौखिक परंपरा के माध्यम से</v>
      </c>
    </row>
    <row r="60" ht="22.5" customHeight="1">
      <c r="A60" s="3">
        <v>59.0</v>
      </c>
      <c r="B60" s="4" t="s">
        <v>13397</v>
      </c>
      <c r="C60" s="4" t="s">
        <v>13059</v>
      </c>
      <c r="D60" s="4" t="s">
        <v>12945</v>
      </c>
      <c r="F60" s="5" t="str">
        <f>IFERROR(__xludf.DUMMYFUNCTION("GOOGLETRANSLATE(A60, ""en"", ""hi"")"),"59")</f>
        <v>59</v>
      </c>
      <c r="G60" s="5" t="str">
        <f>IFERROR(__xludf.DUMMYFUNCTION("GOOGLETRANSLATE(B60, ""en"", ""hi"")"),"किस ऐतिहासिक काल में मणिपुर में मुकना का महत्वपूर्ण विकास हुआ?")</f>
        <v>किस ऐतिहासिक काल में मणिपुर में मुकना का महत्वपूर्ण विकास हुआ?</v>
      </c>
      <c r="H60" s="5" t="str">
        <f>IFERROR(__xludf.DUMMYFUNCTION("GOOGLETRANSLATE(C60, ""en"", ""hi"")"),"A) पूर्व-औपनिवेशिक, B) औपनिवेशिक, C) स्वतंत्रता-पश्चात, D) मध्यकालीन")</f>
        <v>A) पूर्व-औपनिवेशिक, B) औपनिवेशिक, C) स्वतंत्रता-पश्चात, D) मध्यकालीन</v>
      </c>
      <c r="I60" s="5" t="str">
        <f>IFERROR(__xludf.DUMMYFUNCTION("GOOGLETRANSLATE(D60, ""en"", ""hi"")"),"ए) पूर्व-औपनिवेशिक")</f>
        <v>ए) पूर्व-औपनिवेशिक</v>
      </c>
    </row>
    <row r="61" ht="22.5" customHeight="1">
      <c r="A61" s="3">
        <v>60.0</v>
      </c>
      <c r="B61" s="4" t="s">
        <v>13398</v>
      </c>
      <c r="C61" s="4" t="s">
        <v>13399</v>
      </c>
      <c r="D61" s="4" t="s">
        <v>13400</v>
      </c>
      <c r="F61" s="5" t="str">
        <f>IFERROR(__xludf.DUMMYFUNCTION("GOOGLETRANSLATE(A61, ""en"", ""hi"")"),"60")</f>
        <v>60</v>
      </c>
      <c r="G61" s="5" t="str">
        <f>IFERROR(__xludf.DUMMYFUNCTION("GOOGLETRANSLATE(B61, ""en"", ""hi"")"),"मुकना विशेष रूप से किस सांस्कृतिक पहलू के प्रतिनिधित्व के लिए मनाया जाता है?")</f>
        <v>मुकना विशेष रूप से किस सांस्कृतिक पहलू के प्रतिनिधित्व के लिए मनाया जाता है?</v>
      </c>
      <c r="H61" s="5" t="str">
        <f>IFERROR(__xludf.DUMMYFUNCTION("GOOGLETRANSLATE(C61, ""en"", ""hi"")"),"A) कलात्मक अभिव्यक्ति, B) शारीरिक कौशल, C) तकनीकी उन्नति, D) आर्थिक विकास")</f>
        <v>A) कलात्मक अभिव्यक्ति, B) शारीरिक कौशल, C) तकनीकी उन्नति, D) आर्थिक विकास</v>
      </c>
      <c r="I61" s="5" t="str">
        <f>IFERROR(__xludf.DUMMYFUNCTION("GOOGLETRANSLATE(D61, ""en"", ""hi"")"),"बी) शारीरिक कौशल")</f>
        <v>बी) शारीरिक कौशल</v>
      </c>
    </row>
    <row r="62" ht="22.5" customHeight="1">
      <c r="A62" s="3">
        <v>61.0</v>
      </c>
      <c r="B62" s="4" t="s">
        <v>13401</v>
      </c>
      <c r="C62" s="4" t="s">
        <v>13402</v>
      </c>
      <c r="D62" s="4" t="s">
        <v>13403</v>
      </c>
      <c r="F62" s="5" t="str">
        <f>IFERROR(__xludf.DUMMYFUNCTION("GOOGLETRANSLATE(A62, ""en"", ""hi"")"),"61")</f>
        <v>61</v>
      </c>
      <c r="G62" s="5" t="str">
        <f>IFERROR(__xludf.DUMMYFUNCTION("GOOGLETRANSLATE(B62, ""en"", ""hi"")"),"आधुनिक मणिपुरी समाज में मुकना की क्या भूमिका है?")</f>
        <v>आधुनिक मणिपुरी समाज में मुकना की क्या भूमिका है?</v>
      </c>
      <c r="H62" s="5" t="str">
        <f>IFERROR(__xludf.DUMMYFUNCTION("GOOGLETRANSLATE(C62, ""en"", ""hi"")"),"A) केवल मनोरंजन, B) सांस्कृतिक संरक्षण, C) व्यावसायिक खेल, D) राजनीतिक प्रतीकवाद")</f>
        <v>A) केवल मनोरंजन, B) सांस्कृतिक संरक्षण, C) व्यावसायिक खेल, D) राजनीतिक प्रतीकवाद</v>
      </c>
      <c r="I62" s="5" t="str">
        <f>IFERROR(__xludf.DUMMYFUNCTION("GOOGLETRANSLATE(D62, ""en"", ""hi"")"),"बी) सांस्कृतिक संरक्षण")</f>
        <v>बी) सांस्कृतिक संरक्षण</v>
      </c>
    </row>
    <row r="63" ht="22.5" customHeight="1">
      <c r="A63" s="3">
        <v>62.0</v>
      </c>
      <c r="B63" s="4" t="s">
        <v>13404</v>
      </c>
      <c r="C63" s="4" t="s">
        <v>13405</v>
      </c>
      <c r="D63" s="4" t="s">
        <v>13406</v>
      </c>
      <c r="F63" s="5" t="str">
        <f>IFERROR(__xludf.DUMMYFUNCTION("GOOGLETRANSLATE(A63, ""en"", ""hi"")"),"62")</f>
        <v>62</v>
      </c>
      <c r="G63" s="5" t="str">
        <f>IFERROR(__xludf.DUMMYFUNCTION("GOOGLETRANSLATE(B63, ""en"", ""hi"")"),"मुकना कुश्ती में किस पारंपरिक वस्तु का उपयोग नहीं किया जाता है?")</f>
        <v>मुकना कुश्ती में किस पारंपरिक वस्तु का उपयोग नहीं किया जाता है?</v>
      </c>
      <c r="H63" s="5" t="str">
        <f>IFERROR(__xludf.DUMMYFUNCTION("GOOGLETRANSLATE(C63, ""en"", ""hi"")"),"A) रेत की बोरियाँ, B) चटाईयाँ, C) रस्सियाँ, D) ढालें")</f>
        <v>A) रेत की बोरियाँ, B) चटाईयाँ, C) रस्सियाँ, D) ढालें</v>
      </c>
      <c r="I63" s="5" t="str">
        <f>IFERROR(__xludf.DUMMYFUNCTION("GOOGLETRANSLATE(D63, ""en"", ""hi"")"),"D) ढाल")</f>
        <v>D) ढाल</v>
      </c>
    </row>
    <row r="64" ht="22.5" customHeight="1">
      <c r="A64" s="3">
        <v>63.0</v>
      </c>
      <c r="B64" s="4" t="s">
        <v>13407</v>
      </c>
      <c r="C64" s="4" t="s">
        <v>13408</v>
      </c>
      <c r="D64" s="4" t="s">
        <v>13409</v>
      </c>
      <c r="F64" s="5" t="str">
        <f>IFERROR(__xludf.DUMMYFUNCTION("GOOGLETRANSLATE(A64, ""en"", ""hi"")"),"63")</f>
        <v>63</v>
      </c>
      <c r="G64" s="5" t="str">
        <f>IFERROR(__xludf.DUMMYFUNCTION("GOOGLETRANSLATE(B64, ""en"", ""hi"")"),"मुकना कुश्ती किस प्रकार के अखाड़े में खेली जाती है?")</f>
        <v>मुकना कुश्ती किस प्रकार के अखाड़े में खेली जाती है?</v>
      </c>
      <c r="H64" s="5" t="str">
        <f>IFERROR(__xludf.DUMMYFUNCTION("GOOGLETRANSLATE(C64, ""en"", ""hi"")"),"A) मिट्टी का गड्ढा, B) लकड़ी का मंच, C) कंक्रीट का फर्श, D) घास का मैदान")</f>
        <v>A) मिट्टी का गड्ढा, B) लकड़ी का मंच, C) कंक्रीट का फर्श, D) घास का मैदान</v>
      </c>
      <c r="I64" s="5" t="str">
        <f>IFERROR(__xludf.DUMMYFUNCTION("GOOGLETRANSLATE(D64, ""en"", ""hi"")"),"A) मिट्टी का गड्ढा")</f>
        <v>A) मिट्टी का गड्ढा</v>
      </c>
    </row>
    <row r="65" ht="22.5" customHeight="1">
      <c r="A65" s="3">
        <v>64.0</v>
      </c>
      <c r="B65" s="4" t="s">
        <v>13410</v>
      </c>
      <c r="C65" s="4" t="s">
        <v>13411</v>
      </c>
      <c r="D65" s="4" t="s">
        <v>13412</v>
      </c>
      <c r="F65" s="5" t="str">
        <f>IFERROR(__xludf.DUMMYFUNCTION("GOOGLETRANSLATE(A65, ""en"", ""hi"")"),"64")</f>
        <v>64</v>
      </c>
      <c r="G65" s="5" t="str">
        <f>IFERROR(__xludf.DUMMYFUNCTION("GOOGLETRANSLATE(B65, ""en"", ""hi"")"),"इनमें से कौन सा कौशल मुकना पहलवानों के लिए आवश्यक है?")</f>
        <v>इनमें से कौन सा कौशल मुकना पहलवानों के लिए आवश्यक है?</v>
      </c>
      <c r="H65" s="5" t="str">
        <f>IFERROR(__xludf.DUMMYFUNCTION("GOOGLETRANSLATE(C65, ""en"", ""hi"")"),"A) ऊंची कूद, B) तेज दौड़, C) तकनीकी पकड़, D) धीरज")</f>
        <v>A) ऊंची कूद, B) तेज दौड़, C) तकनीकी पकड़, D) धीरज</v>
      </c>
      <c r="I65" s="5" t="str">
        <f>IFERROR(__xludf.DUMMYFUNCTION("GOOGLETRANSLATE(D65, ""en"", ""hi"")"),"C) तकनीकी जूझना")</f>
        <v>C) तकनीकी जूझना</v>
      </c>
    </row>
    <row r="66" ht="22.5" customHeight="1">
      <c r="A66" s="3">
        <v>65.0</v>
      </c>
      <c r="B66" s="4" t="s">
        <v>13413</v>
      </c>
      <c r="C66" s="4" t="s">
        <v>13414</v>
      </c>
      <c r="D66" s="4" t="s">
        <v>13415</v>
      </c>
      <c r="F66" s="5" t="str">
        <f>IFERROR(__xludf.DUMMYFUNCTION("GOOGLETRANSLATE(A66, ""en"", ""hi"")"),"65")</f>
        <v>65</v>
      </c>
      <c r="G66" s="5" t="str">
        <f>IFERROR(__xludf.DUMMYFUNCTION("GOOGLETRANSLATE(B66, ""en"", ""hi"")"),"मुकना मैचों में जीत का जश्न पारंपरिक रूप से कैसे मनाया जाता है?")</f>
        <v>मुकना मैचों में जीत का जश्न पारंपरिक रूप से कैसे मनाया जाता है?</v>
      </c>
      <c r="H66" s="5" t="str">
        <f>IFERROR(__xludf.DUMMYFUNCTION("GOOGLETRANSLATE(C66, ""en"", ""hi"")"),"A) दावतों के साथ, B) पुरस्कारों के साथ, C) सार्वजनिक समारोहों के साथ, D) अनुष्ठानिक नृत्यों के साथ")</f>
        <v>A) दावतों के साथ, B) पुरस्कारों के साथ, C) सार्वजनिक समारोहों के साथ, D) अनुष्ठानिक नृत्यों के साथ</v>
      </c>
      <c r="I66" s="5" t="str">
        <f>IFERROR(__xludf.DUMMYFUNCTION("GOOGLETRANSLATE(D66, ""en"", ""hi"")"),"D) अनुष्ठानिक नृत्यों के साथ")</f>
        <v>D) अनुष्ठानिक नृत्यों के साथ</v>
      </c>
    </row>
    <row r="67" ht="22.5" customHeight="1">
      <c r="A67" s="3">
        <v>66.0</v>
      </c>
      <c r="B67" s="4" t="s">
        <v>13416</v>
      </c>
      <c r="C67" s="4" t="s">
        <v>13417</v>
      </c>
      <c r="D67" s="4" t="s">
        <v>13291</v>
      </c>
      <c r="F67" s="5" t="str">
        <f>IFERROR(__xludf.DUMMYFUNCTION("GOOGLETRANSLATE(A67, ""en"", ""hi"")"),"66")</f>
        <v>66</v>
      </c>
      <c r="G67" s="5" t="str">
        <f>IFERROR(__xludf.DUMMYFUNCTION("GOOGLETRANSLATE(B67, ""en"", ""hi"")"),"सांस्कृतिक उत्सवों के दौरान मुकना मैचों के किस पारंपरिक पहलू पर प्रकाश डाला जाता है?")</f>
        <v>सांस्कृतिक उत्सवों के दौरान मुकना मैचों के किस पारंपरिक पहलू पर प्रकाश डाला जाता है?</v>
      </c>
      <c r="H67" s="5" t="str">
        <f>IFERROR(__xludf.DUMMYFUNCTION("GOOGLETRANSLATE(C67, ""en"", ""hi"")"),"A) दर्शक, B) इतिहास, C) तकनीकें, D) नियम")</f>
        <v>A) दर्शक, B) इतिहास, C) तकनीकें, D) नियम</v>
      </c>
      <c r="I67" s="5" t="str">
        <f>IFERROR(__xludf.DUMMYFUNCTION("GOOGLETRANSLATE(D67, ""en"", ""hi"")"),"C) तकनीकें")</f>
        <v>C) तकनीकें</v>
      </c>
    </row>
    <row r="68" ht="22.5" customHeight="1">
      <c r="A68" s="3">
        <v>67.0</v>
      </c>
      <c r="B68" s="4" t="s">
        <v>13418</v>
      </c>
      <c r="C68" s="4" t="s">
        <v>13419</v>
      </c>
      <c r="D68" s="4" t="s">
        <v>13420</v>
      </c>
      <c r="F68" s="5" t="str">
        <f>IFERROR(__xludf.DUMMYFUNCTION("GOOGLETRANSLATE(A68, ""en"", ""hi"")"),"67")</f>
        <v>67</v>
      </c>
      <c r="G68" s="5" t="str">
        <f>IFERROR(__xludf.DUMMYFUNCTION("GOOGLETRANSLATE(B68, ""en"", ""hi"")"),"कौन सी पारंपरिक मणिपुरी प्रथा मुकना कुश्ती से जुड़ी है?")</f>
        <v>कौन सी पारंपरिक मणिपुरी प्रथा मुकना कुश्ती से जुड़ी है?</v>
      </c>
      <c r="H68" s="5" t="str">
        <f>IFERROR(__xludf.DUMMYFUNCTION("GOOGLETRANSLATE(C68, ""en"", ""hi"")"),"A) शक्ति के लिए अनुष्ठान, B) विवाह समारोह, C) फसल उत्सव, D) मौसमी परिवर्तन")</f>
        <v>A) शक्ति के लिए अनुष्ठान, B) विवाह समारोह, C) फसल उत्सव, D) मौसमी परिवर्तन</v>
      </c>
      <c r="I68" s="5" t="str">
        <f>IFERROR(__xludf.DUMMYFUNCTION("GOOGLETRANSLATE(D68, ""en"", ""hi"")"),"A) शक्ति के लिए अनुष्ठान")</f>
        <v>A) शक्ति के लिए अनुष्ठान</v>
      </c>
    </row>
    <row r="69" ht="22.5" customHeight="1">
      <c r="A69" s="3">
        <v>68.0</v>
      </c>
      <c r="B69" s="4" t="s">
        <v>13421</v>
      </c>
      <c r="C69" s="4" t="s">
        <v>13422</v>
      </c>
      <c r="D69" s="4" t="s">
        <v>13423</v>
      </c>
      <c r="F69" s="5" t="str">
        <f>IFERROR(__xludf.DUMMYFUNCTION("GOOGLETRANSLATE(A69, ""en"", ""hi"")"),"68")</f>
        <v>68</v>
      </c>
      <c r="G69" s="5" t="str">
        <f>IFERROR(__xludf.DUMMYFUNCTION("GOOGLETRANSLATE(B69, ""en"", ""hi"")"),"मुकना पहलवान निम्नलिखित में से किसमें अपनी विशेषज्ञता के लिए जाने जाते हैं?")</f>
        <v>मुकना पहलवान निम्नलिखित में से किसमें अपनी विशेषज्ञता के लिए जाने जाते हैं?</v>
      </c>
      <c r="H69" s="5" t="str">
        <f>IFERROR(__xludf.DUMMYFUNCTION("GOOGLETRANSLATE(C69, ""en"", ""hi"")"),"A) युद्ध खेल, B) पारंपरिक नृत्य, C) ललित कला, D) संगीत प्रदर्शन")</f>
        <v>A) युद्ध खेल, B) पारंपरिक नृत्य, C) ललित कला, D) संगीत प्रदर्शन</v>
      </c>
      <c r="I69" s="5" t="str">
        <f>IFERROR(__xludf.DUMMYFUNCTION("GOOGLETRANSLATE(D69, ""en"", ""hi"")"),"ए) लड़ाकू खेल")</f>
        <v>ए) लड़ाकू खेल</v>
      </c>
    </row>
    <row r="70" ht="22.5" customHeight="1">
      <c r="A70" s="3">
        <v>69.0</v>
      </c>
      <c r="B70" s="4" t="s">
        <v>13424</v>
      </c>
      <c r="C70" s="4" t="s">
        <v>13425</v>
      </c>
      <c r="D70" s="4" t="s">
        <v>13426</v>
      </c>
      <c r="F70" s="5" t="str">
        <f>IFERROR(__xludf.DUMMYFUNCTION("GOOGLETRANSLATE(A70, ""en"", ""hi"")"),"69")</f>
        <v>69</v>
      </c>
      <c r="G70" s="5" t="str">
        <f>IFERROR(__xludf.DUMMYFUNCTION("GOOGLETRANSLATE(B70, ""en"", ""hi"")"),"मुकना को कुश्ती के अन्य रूपों से क्या अलग बनाता है?")</f>
        <v>मुकना को कुश्ती के अन्य रूपों से क्या अलग बनाता है?</v>
      </c>
      <c r="H70" s="5" t="str">
        <f>IFERROR(__xludf.DUMMYFUNCTION("GOOGLETRANSLATE(C70, ""en"", ""hi"")"),"A) प्रौद्योगिकी का उपयोग, B) पारंपरिक तकनीकें, C) आधुनिक नियम, D) अंतर्राष्ट्रीय लोकप्रियता")</f>
        <v>A) प्रौद्योगिकी का उपयोग, B) पारंपरिक तकनीकें, C) आधुनिक नियम, D) अंतर्राष्ट्रीय लोकप्रियता</v>
      </c>
      <c r="I70" s="5" t="str">
        <f>IFERROR(__xludf.DUMMYFUNCTION("GOOGLETRANSLATE(D70, ""en"", ""hi"")"),"बी) पारंपरिक तकनीकें")</f>
        <v>बी) पारंपरिक तकनीकें</v>
      </c>
    </row>
    <row r="71" ht="22.5" customHeight="1">
      <c r="A71" s="3">
        <v>70.0</v>
      </c>
      <c r="B71" s="4" t="s">
        <v>13427</v>
      </c>
      <c r="C71" s="4" t="s">
        <v>13428</v>
      </c>
      <c r="D71" s="4" t="s">
        <v>13429</v>
      </c>
      <c r="F71" s="5" t="str">
        <f>IFERROR(__xludf.DUMMYFUNCTION("GOOGLETRANSLATE(A71, ""en"", ""hi"")"),"70")</f>
        <v>70</v>
      </c>
      <c r="G71" s="5" t="str">
        <f>IFERROR(__xludf.DUMMYFUNCTION("GOOGLETRANSLATE(B71, ""en"", ""hi"")"),"इनमें से कौन मुकना के बारे में जानकारी का ऐतिहासिक स्रोत है?")</f>
        <v>इनमें से कौन मुकना के बारे में जानकारी का ऐतिहासिक स्रोत है?</v>
      </c>
      <c r="H71" s="5" t="str">
        <f>IFERROR(__xludf.DUMMYFUNCTION("GOOGLETRANSLATE(C71, ""en"", ""hi"")"),"A) प्राचीन पांडुलिपियाँ, B) आधुनिक पत्रिकाएँ, C) समाचार पत्र लेख, D) मौखिक इतिहास")</f>
        <v>A) प्राचीन पांडुलिपियाँ, B) आधुनिक पत्रिकाएँ, C) समाचार पत्र लेख, D) मौखिक इतिहास</v>
      </c>
      <c r="I71" s="5" t="str">
        <f>IFERROR(__xludf.DUMMYFUNCTION("GOOGLETRANSLATE(D71, ""en"", ""hi"")"),"A) प्राचीन पांडुलिपियाँ")</f>
        <v>A) प्राचीन पांडुलिपियाँ</v>
      </c>
    </row>
    <row r="72" ht="22.5" customHeight="1">
      <c r="A72" s="3">
        <v>71.0</v>
      </c>
      <c r="B72" s="4" t="s">
        <v>13430</v>
      </c>
      <c r="C72" s="4" t="s">
        <v>13431</v>
      </c>
      <c r="D72" s="4" t="s">
        <v>13432</v>
      </c>
      <c r="F72" s="5" t="str">
        <f>IFERROR(__xludf.DUMMYFUNCTION("GOOGLETRANSLATE(A72, ""en"", ""hi"")"),"71")</f>
        <v>71</v>
      </c>
      <c r="G72" s="5" t="str">
        <f>IFERROR(__xludf.DUMMYFUNCTION("GOOGLETRANSLATE(B72, ""en"", ""hi"")"),"मुकना कुश्ती पोशाक की एक सामान्य विशेषता क्या है?")</f>
        <v>मुकना कुश्ती पोशाक की एक सामान्य विशेषता क्या है?</v>
      </c>
      <c r="H72" s="5" t="str">
        <f>IFERROR(__xludf.DUMMYFUNCTION("GOOGLETRANSLATE(C72, ""en"", ""hi"")"),"A) हल्का और लचीला, B) भारी और सुरक्षात्मक, C) आधुनिक खेल उपकरण, D) सजावटी तत्व")</f>
        <v>A) हल्का और लचीला, B) भारी और सुरक्षात्मक, C) आधुनिक खेल उपकरण, D) सजावटी तत्व</v>
      </c>
      <c r="I72" s="5" t="str">
        <f>IFERROR(__xludf.DUMMYFUNCTION("GOOGLETRANSLATE(D72, ""en"", ""hi"")"),"A) हल्का और लचीला")</f>
        <v>A) हल्का और लचीला</v>
      </c>
    </row>
    <row r="73" ht="22.5" customHeight="1">
      <c r="A73" s="3">
        <v>72.0</v>
      </c>
      <c r="B73" s="4" t="s">
        <v>13433</v>
      </c>
      <c r="C73" s="4" t="s">
        <v>13434</v>
      </c>
      <c r="D73" s="4" t="s">
        <v>3557</v>
      </c>
      <c r="F73" s="5" t="str">
        <f>IFERROR(__xludf.DUMMYFUNCTION("GOOGLETRANSLATE(A73, ""en"", ""hi"")"),"72")</f>
        <v>72</v>
      </c>
      <c r="G73" s="5" t="str">
        <f>IFERROR(__xludf.DUMMYFUNCTION("GOOGLETRANSLATE(B73, ""en"", ""hi"")"),"मुकना में युवा पहलवानों के प्रशिक्षण पर आमतौर पर क्या ध्यान दिया जाता है?")</f>
        <v>मुकना में युवा पहलवानों के प्रशिक्षण पर आमतौर पर क्या ध्यान दिया जाता है?</v>
      </c>
      <c r="H73" s="5" t="str">
        <f>IFERROR(__xludf.DUMMYFUNCTION("GOOGLETRANSLATE(C73, ""en"", ""hi"")"),"A) तकनीकी कौशल, B) शारीरिक शक्ति, C) रणनीतिक योजना, D) गति")</f>
        <v>A) तकनीकी कौशल, B) शारीरिक शक्ति, C) रणनीतिक योजना, D) गति</v>
      </c>
      <c r="I73" s="5" t="str">
        <f>IFERROR(__xludf.DUMMYFUNCTION("GOOGLETRANSLATE(D73, ""en"", ""hi"")"),"बी) शारीरिक शक्ति")</f>
        <v>बी) शारीरिक शक्ति</v>
      </c>
    </row>
    <row r="74" ht="22.5" customHeight="1">
      <c r="A74" s="3">
        <v>73.0</v>
      </c>
      <c r="B74" s="4" t="s">
        <v>13435</v>
      </c>
      <c r="C74" s="4" t="s">
        <v>13436</v>
      </c>
      <c r="D74" s="4" t="s">
        <v>13343</v>
      </c>
      <c r="F74" s="5" t="str">
        <f>IFERROR(__xludf.DUMMYFUNCTION("GOOGLETRANSLATE(A74, ""en"", ""hi"")"),"73")</f>
        <v>73</v>
      </c>
      <c r="G74" s="5" t="str">
        <f>IFERROR(__xludf.DUMMYFUNCTION("GOOGLETRANSLATE(B74, ""en"", ""hi"")"),"मुकना कुश्ती मैच अक्सर वर्ष के किस भाग में आयोजित किए जाते हैं?")</f>
        <v>मुकना कुश्ती मैच अक्सर वर्ष के किस भाग में आयोजित किए जाते हैं?</v>
      </c>
      <c r="H74" s="5" t="str">
        <f>IFERROR(__xludf.DUMMYFUNCTION("GOOGLETRANSLATE(C74, ""en"", ""hi"")"),"A) शीत ऋतु, B) ग्रीष्म ऋतु, C) मानसून, D) वसंत ऋतु")</f>
        <v>A) शीत ऋतु, B) ग्रीष्म ऋतु, C) मानसून, D) वसंत ऋतु</v>
      </c>
      <c r="I74" s="5" t="str">
        <f>IFERROR(__xludf.DUMMYFUNCTION("GOOGLETRANSLATE(D74, ""en"", ""hi"")"),"बी) ग्रीष्मकाल")</f>
        <v>बी) ग्रीष्मकाल</v>
      </c>
    </row>
    <row r="75" ht="22.5" customHeight="1">
      <c r="A75" s="3">
        <v>74.0</v>
      </c>
      <c r="B75" s="4" t="s">
        <v>13437</v>
      </c>
      <c r="C75" s="4" t="s">
        <v>13438</v>
      </c>
      <c r="D75" s="4" t="s">
        <v>13439</v>
      </c>
      <c r="F75" s="5" t="str">
        <f>IFERROR(__xludf.DUMMYFUNCTION("GOOGLETRANSLATE(A75, ""en"", ""hi"")"),"74")</f>
        <v>74</v>
      </c>
      <c r="G75" s="5" t="str">
        <f>IFERROR(__xludf.DUMMYFUNCTION("GOOGLETRANSLATE(B75, ""en"", ""hi"")"),"निम्नलिखित में से कौन सी मुकना कुश्ती की पारंपरिक तकनीक है?")</f>
        <v>निम्नलिखित में से कौन सी मुकना कुश्ती की पारंपरिक तकनीक है?</v>
      </c>
      <c r="H75" s="5" t="str">
        <f>IFERROR(__xludf.DUMMYFUNCTION("GOOGLETRANSLATE(C75, ""en"", ""hi"")"),"ए) लेग लॉक, बी) बॉडी स्लैम, सी) आर्म ड्रैग, डी) हेडबट")</f>
        <v>ए) लेग लॉक, बी) बॉडी स्लैम, सी) आर्म ड्रैग, डी) हेडबट</v>
      </c>
      <c r="I75" s="5" t="str">
        <f>IFERROR(__xludf.DUMMYFUNCTION("GOOGLETRANSLATE(D75, ""en"", ""hi"")"),"बी) बॉडी स्लैम")</f>
        <v>बी) बॉडी स्लैम</v>
      </c>
    </row>
    <row r="76" ht="22.5" customHeight="1">
      <c r="A76" s="3">
        <v>75.0</v>
      </c>
      <c r="B76" s="4" t="s">
        <v>13440</v>
      </c>
      <c r="C76" s="4" t="s">
        <v>13441</v>
      </c>
      <c r="D76" s="4" t="s">
        <v>13442</v>
      </c>
      <c r="F76" s="5" t="str">
        <f>IFERROR(__xludf.DUMMYFUNCTION("GOOGLETRANSLATE(A76, ""en"", ""hi"")"),"75")</f>
        <v>75</v>
      </c>
      <c r="G76" s="5" t="str">
        <f>IFERROR(__xludf.DUMMYFUNCTION("GOOGLETRANSLATE(B76, ""en"", ""hi"")"),"मुकना कुश्ती पारंपरिक रूप से किस प्रकार के सामुदायिक समारोह से जुड़ी है?")</f>
        <v>मुकना कुश्ती पारंपरिक रूप से किस प्रकार के सामुदायिक समारोह से जुड़ी है?</v>
      </c>
      <c r="H76" s="5" t="str">
        <f>IFERROR(__xludf.DUMMYFUNCTION("GOOGLETRANSLATE(C76, ""en"", ""hi"")"),"A) धार्मिक आयोजन, B) राजनीतिक बैठकें, C) सामाजिक समारोह, D) शैक्षिक कार्यशालाएँ")</f>
        <v>A) धार्मिक आयोजन, B) राजनीतिक बैठकें, C) सामाजिक समारोह, D) शैक्षिक कार्यशालाएँ</v>
      </c>
      <c r="I76" s="5" t="str">
        <f>IFERROR(__xludf.DUMMYFUNCTION("GOOGLETRANSLATE(D76, ""en"", ""hi"")"),"A) धार्मिक आयोजन")</f>
        <v>A) धार्मिक आयोजन</v>
      </c>
    </row>
    <row r="77" ht="22.5" customHeight="1">
      <c r="A77" s="3">
        <v>76.0</v>
      </c>
      <c r="B77" s="4" t="s">
        <v>13443</v>
      </c>
      <c r="C77" s="4" t="s">
        <v>13444</v>
      </c>
      <c r="D77" s="4" t="s">
        <v>11987</v>
      </c>
      <c r="F77" s="5" t="str">
        <f>IFERROR(__xludf.DUMMYFUNCTION("GOOGLETRANSLATE(A77, ""en"", ""hi"")"),"76")</f>
        <v>76</v>
      </c>
      <c r="G77" s="5" t="str">
        <f>IFERROR(__xludf.DUMMYFUNCTION("GOOGLETRANSLATE(B77, ""en"", ""hi"")"),"मणिपुर में किस त्यौहार में मुकना कुश्ती एक प्रमुख आकर्षण है?")</f>
        <v>मणिपुर में किस त्यौहार में मुकना कुश्ती एक प्रमुख आकर्षण है?</v>
      </c>
      <c r="H77" s="5" t="str">
        <f>IFERROR(__xludf.DUMMYFUNCTION("GOOGLETRANSLATE(C77, ""en"", ""hi"")"),"ए) याओशांग, बी) निंगोल चाकोउबा, सी) चेइराओबा, डी) लाई हराओबा")</f>
        <v>ए) याओशांग, बी) निंगोल चाकोउबा, सी) चेइराओबा, डी) लाई हराओबा</v>
      </c>
      <c r="I77" s="5" t="str">
        <f>IFERROR(__xludf.DUMMYFUNCTION("GOOGLETRANSLATE(D77, ""en"", ""hi"")"),"ए) योशांग")</f>
        <v>ए) योशांग</v>
      </c>
    </row>
    <row r="78" ht="22.5" customHeight="1">
      <c r="A78" s="3">
        <v>77.0</v>
      </c>
      <c r="B78" s="4" t="s">
        <v>13445</v>
      </c>
      <c r="C78" s="4" t="s">
        <v>4717</v>
      </c>
      <c r="D78" s="4" t="s">
        <v>13446</v>
      </c>
      <c r="F78" s="5" t="str">
        <f>IFERROR(__xludf.DUMMYFUNCTION("GOOGLETRANSLATE(A78, ""en"", ""hi"")"),"77")</f>
        <v>77</v>
      </c>
      <c r="G78" s="5" t="str">
        <f>IFERROR(__xludf.DUMMYFUNCTION("GOOGLETRANSLATE(B78, ""en"", ""hi"")"),"किस ऐतिहासिक युग में मणिपुर में मुकना का उदय एक महत्वपूर्ण सांस्कृतिक प्रथा के रूप में हुआ?")</f>
        <v>किस ऐतिहासिक युग में मणिपुर में मुकना का उदय एक महत्वपूर्ण सांस्कृतिक प्रथा के रूप में हुआ?</v>
      </c>
      <c r="H78" s="5" t="str">
        <f>IFERROR(__xludf.DUMMYFUNCTION("GOOGLETRANSLATE(C78, ""en"", ""hi"")"),"A) प्राचीन युग, B) मध्यकालीन युग, C) औपनिवेशिक युग, D) आधुनिक युग")</f>
        <v>A) प्राचीन युग, B) मध्यकालीन युग, C) औपनिवेशिक युग, D) आधुनिक युग</v>
      </c>
      <c r="I78" s="5" t="str">
        <f>IFERROR(__xludf.DUMMYFUNCTION("GOOGLETRANSLATE(D78, ""en"", ""hi"")"),"A) प्राचीन युग")</f>
        <v>A) प्राचीन युग</v>
      </c>
    </row>
    <row r="79" ht="22.5" customHeight="1">
      <c r="A79" s="3">
        <v>78.0</v>
      </c>
      <c r="B79" s="4" t="s">
        <v>13447</v>
      </c>
      <c r="C79" s="4" t="s">
        <v>13448</v>
      </c>
      <c r="D79" s="4" t="s">
        <v>11956</v>
      </c>
      <c r="F79" s="5" t="str">
        <f>IFERROR(__xludf.DUMMYFUNCTION("GOOGLETRANSLATE(A79, ""en"", ""hi"")"),"78")</f>
        <v>78</v>
      </c>
      <c r="G79" s="5" t="str">
        <f>IFERROR(__xludf.DUMMYFUNCTION("GOOGLETRANSLATE(B79, ""en"", ""hi"")"),"माना जाता है कि मुकना कुश्ती की उत्पत्ति किस प्राचीन साम्राज्य में हुई थी?")</f>
        <v>माना जाता है कि मुकना कुश्ती की उत्पत्ति किस प्राचीन साम्राज्य में हुई थी?</v>
      </c>
      <c r="H79" s="5" t="str">
        <f>IFERROR(__xludf.DUMMYFUNCTION("GOOGLETRANSLATE(C79, ""en"", ""hi"")"),"A) मणिपुर, B) असम, C) बंगाल, D) उड़ीसा")</f>
        <v>A) मणिपुर, B) असम, C) बंगाल, D) उड़ीसा</v>
      </c>
      <c r="I79" s="5" t="str">
        <f>IFERROR(__xludf.DUMMYFUNCTION("GOOGLETRANSLATE(D79, ""en"", ""hi"")"),"ए) मणिपुर")</f>
        <v>ए) मणिपुर</v>
      </c>
    </row>
    <row r="80" ht="22.5" customHeight="1">
      <c r="A80" s="3">
        <v>79.0</v>
      </c>
      <c r="B80" s="4" t="s">
        <v>13449</v>
      </c>
      <c r="C80" s="4" t="s">
        <v>13450</v>
      </c>
      <c r="D80" s="4" t="s">
        <v>13451</v>
      </c>
      <c r="F80" s="5" t="str">
        <f>IFERROR(__xludf.DUMMYFUNCTION("GOOGLETRANSLATE(A80, ""en"", ""hi"")"),"79")</f>
        <v>79</v>
      </c>
      <c r="G80" s="5" t="str">
        <f>IFERROR(__xludf.DUMMYFUNCTION("GOOGLETRANSLATE(B80, ""en"", ""hi"")"),"किस प्राचीन ग्रंथ में सर्वप्रथम मुकना कुश्ती का उल्लेख मिलता है?")</f>
        <v>किस प्राचीन ग्रंथ में सर्वप्रथम मुकना कुश्ती का उल्लेख मिलता है?</v>
      </c>
      <c r="H80" s="5" t="str">
        <f>IFERROR(__xludf.DUMMYFUNCTION("GOOGLETRANSLATE(C80, ""en"", ""hi"")"),"ए) राजमाला, बी) महाभारत, सी) रामायण, डी) वेद")</f>
        <v>ए) राजमाला, बी) महाभारत, सी) रामायण, डी) वेद</v>
      </c>
      <c r="I80" s="5" t="str">
        <f>IFERROR(__xludf.DUMMYFUNCTION("GOOGLETRANSLATE(D80, ""en"", ""hi"")"),"A) राजमाला")</f>
        <v>A) राजमाला</v>
      </c>
    </row>
    <row r="81" ht="22.5" customHeight="1">
      <c r="A81" s="3">
        <v>80.0</v>
      </c>
      <c r="B81" s="4" t="s">
        <v>13452</v>
      </c>
      <c r="C81" s="4" t="s">
        <v>13453</v>
      </c>
      <c r="D81" s="4" t="s">
        <v>12759</v>
      </c>
      <c r="F81" s="5" t="str">
        <f>IFERROR(__xludf.DUMMYFUNCTION("GOOGLETRANSLATE(A81, ""en"", ""hi"")"),"80")</f>
        <v>80</v>
      </c>
      <c r="G81" s="5" t="str">
        <f>IFERROR(__xludf.DUMMYFUNCTION("GOOGLETRANSLATE(B81, ""en"", ""hi"")"),"मुकना कुश्ती किस मणिपुरी राजपरिवार से जुड़ी हुई है?")</f>
        <v>मुकना कुश्ती किस मणिपुरी राजपरिवार से जुड़ी हुई है?</v>
      </c>
      <c r="H81" s="5" t="str">
        <f>IFERROR(__xludf.DUMMYFUNCTION("GOOGLETRANSLATE(C81, ""en"", ""hi"")"),"ए) मैतेई, बी) नागा, सी) कुकी, डी) मिज़ो")</f>
        <v>ए) मैतेई, बी) नागा, सी) कुकी, डी) मिज़ो</v>
      </c>
      <c r="I81" s="5" t="str">
        <f>IFERROR(__xludf.DUMMYFUNCTION("GOOGLETRANSLATE(D81, ""en"", ""hi"")"),"ए) मेइतेई")</f>
        <v>ए) मेइतेई</v>
      </c>
    </row>
    <row r="82" ht="22.5" customHeight="1">
      <c r="A82" s="3">
        <v>81.0</v>
      </c>
      <c r="B82" s="4" t="s">
        <v>13454</v>
      </c>
      <c r="C82" s="4" t="s">
        <v>13455</v>
      </c>
      <c r="D82" s="4" t="s">
        <v>13456</v>
      </c>
      <c r="F82" s="5" t="str">
        <f>IFERROR(__xludf.DUMMYFUNCTION("GOOGLETRANSLATE(A82, ""en"", ""hi"")"),"81")</f>
        <v>81</v>
      </c>
      <c r="G82" s="5" t="str">
        <f>IFERROR(__xludf.DUMMYFUNCTION("GOOGLETRANSLATE(B82, ""en"", ""hi"")"),"प्राचीन मणिपुर में मुकना कुश्ती का प्राथमिक उद्देश्य क्या था?")</f>
        <v>प्राचीन मणिपुर में मुकना कुश्ती का प्राथमिक उद्देश्य क्या था?</v>
      </c>
      <c r="H82" s="5" t="str">
        <f>IFERROR(__xludf.DUMMYFUNCTION("GOOGLETRANSLATE(C82, ""en"", ""hi"")"),"A) सैन्य प्रशिक्षण, B) अनुष्ठानिक अभ्यास, C) मनोरंजन, D) व्यापार")</f>
        <v>A) सैन्य प्रशिक्षण, B) अनुष्ठानिक अभ्यास, C) मनोरंजन, D) व्यापार</v>
      </c>
      <c r="I82" s="5" t="str">
        <f>IFERROR(__xludf.DUMMYFUNCTION("GOOGLETRANSLATE(D82, ""en"", ""hi"")"),"बी) अनुष्ठानिक अभ्यास")</f>
        <v>बी) अनुष्ठानिक अभ्यास</v>
      </c>
    </row>
    <row r="83" ht="22.5" customHeight="1">
      <c r="A83" s="3">
        <v>82.0</v>
      </c>
      <c r="B83" s="4" t="s">
        <v>13457</v>
      </c>
      <c r="C83" s="4" t="s">
        <v>13458</v>
      </c>
      <c r="D83" s="4" t="s">
        <v>13459</v>
      </c>
      <c r="F83" s="5" t="str">
        <f>IFERROR(__xludf.DUMMYFUNCTION("GOOGLETRANSLATE(A83, ""en"", ""hi"")"),"82")</f>
        <v>82</v>
      </c>
      <c r="G83" s="5" t="str">
        <f>IFERROR(__xludf.DUMMYFUNCTION("GOOGLETRANSLATE(B83, ""en"", ""hi"")"),"मुकना के नियमों को औपचारिक रूप देने का श्रेय किस मणिपुरी राजा को दिया जाता है?")</f>
        <v>मुकना के नियमों को औपचारिक रूप देने का श्रेय किस मणिपुरी राजा को दिया जाता है?</v>
      </c>
      <c r="H83" s="5" t="str">
        <f>IFERROR(__xludf.DUMMYFUNCTION("GOOGLETRANSLATE(C83, ""en"", ""hi"")"),"ए) महाराजा चूड़ाचंद सिंह, बी) महाराजा भाग्यचंद्र सिंह, सी) महाराजा गंभीर सिंह, डी) महाराजा बोधचंद्र सिंह")</f>
        <v>ए) महाराजा चूड़ाचंद सिंह, बी) महाराजा भाग्यचंद्र सिंह, सी) महाराजा गंभीर सिंह, डी) महाराजा बोधचंद्र सिंह</v>
      </c>
      <c r="I83" s="5" t="str">
        <f>IFERROR(__xludf.DUMMYFUNCTION("GOOGLETRANSLATE(D83, ""en"", ""hi"")"),"C) महाराजा गंभीर सिंह")</f>
        <v>C) महाराजा गंभीर सिंह</v>
      </c>
    </row>
    <row r="84" ht="22.5" customHeight="1">
      <c r="A84" s="3">
        <v>83.0</v>
      </c>
      <c r="B84" s="4" t="s">
        <v>13460</v>
      </c>
      <c r="C84" s="4" t="s">
        <v>13461</v>
      </c>
      <c r="D84" s="4" t="s">
        <v>13462</v>
      </c>
      <c r="F84" s="5" t="str">
        <f>IFERROR(__xludf.DUMMYFUNCTION("GOOGLETRANSLATE(A84, ""en"", ""hi"")"),"83")</f>
        <v>83</v>
      </c>
      <c r="G84" s="5" t="str">
        <f>IFERROR(__xludf.DUMMYFUNCTION("GOOGLETRANSLATE(B84, ""en"", ""hi"")"),"मुकना का सर्वाधिक महत्वपूर्ण विकास किस ऐतिहासिक काल में हुआ?")</f>
        <v>मुकना का सर्वाधिक महत्वपूर्ण विकास किस ऐतिहासिक काल में हुआ?</v>
      </c>
      <c r="H84" s="5" t="str">
        <f>IFERROR(__xludf.DUMMYFUNCTION("GOOGLETRANSLATE(C84, ""en"", ""hi"")"),"A) प्रारंभिक मध्यकालीन काल, B) उत्तर मध्यकालीन काल, C) औपनिवेशिक काल, D) स्वतंत्रता के बाद का काल")</f>
        <v>A) प्रारंभिक मध्यकालीन काल, B) उत्तर मध्यकालीन काल, C) औपनिवेशिक काल, D) स्वतंत्रता के बाद का काल</v>
      </c>
      <c r="I84" s="5" t="str">
        <f>IFERROR(__xludf.DUMMYFUNCTION("GOOGLETRANSLATE(D84, ""en"", ""hi"")"),"बी) उत्तर मध्यकालीन काल")</f>
        <v>बी) उत्तर मध्यकालीन काल</v>
      </c>
    </row>
    <row r="85" ht="22.5" customHeight="1">
      <c r="A85" s="3">
        <v>84.0</v>
      </c>
      <c r="B85" s="4" t="s">
        <v>13463</v>
      </c>
      <c r="C85" s="4" t="s">
        <v>13453</v>
      </c>
      <c r="D85" s="4" t="s">
        <v>12759</v>
      </c>
      <c r="F85" s="5" t="str">
        <f>IFERROR(__xludf.DUMMYFUNCTION("GOOGLETRANSLATE(A85, ""en"", ""hi"")"),"84")</f>
        <v>84</v>
      </c>
      <c r="G85" s="5" t="str">
        <f>IFERROR(__xludf.DUMMYFUNCTION("GOOGLETRANSLATE(B85, ""en"", ""hi"")"),"मुकना कुश्ती पारंपरिक रूप से मणिपुर में किस समुदाय द्वारा प्रचलित थी?")</f>
        <v>मुकना कुश्ती पारंपरिक रूप से मणिपुर में किस समुदाय द्वारा प्रचलित थी?</v>
      </c>
      <c r="H85" s="5" t="str">
        <f>IFERROR(__xludf.DUMMYFUNCTION("GOOGLETRANSLATE(C85, ""en"", ""hi"")"),"ए) मैतेई, बी) नागा, सी) कुकी, डी) मिज़ो")</f>
        <v>ए) मैतेई, बी) नागा, सी) कुकी, डी) मिज़ो</v>
      </c>
      <c r="I85" s="5" t="str">
        <f>IFERROR(__xludf.DUMMYFUNCTION("GOOGLETRANSLATE(D85, ""en"", ""hi"")"),"ए) मेइतेई")</f>
        <v>ए) मेइतेई</v>
      </c>
    </row>
    <row r="86" ht="22.5" customHeight="1">
      <c r="A86" s="3">
        <v>85.0</v>
      </c>
      <c r="B86" s="4" t="s">
        <v>13464</v>
      </c>
      <c r="C86" s="4" t="s">
        <v>12793</v>
      </c>
      <c r="D86" s="4" t="s">
        <v>12794</v>
      </c>
      <c r="F86" s="5" t="str">
        <f>IFERROR(__xludf.DUMMYFUNCTION("GOOGLETRANSLATE(A86, ""en"", ""hi"")"),"85")</f>
        <v>85</v>
      </c>
      <c r="G86" s="5" t="str">
        <f>IFERROR(__xludf.DUMMYFUNCTION("GOOGLETRANSLATE(B86, ""en"", ""hi"")"),"कौन सा मणिपुरी त्यौहार मुकना कुश्ती से सबसे अधिक जुड़ा हुआ है?")</f>
        <v>कौन सा मणिपुरी त्यौहार मुकना कुश्ती से सबसे अधिक जुड़ा हुआ है?</v>
      </c>
      <c r="H86" s="5" t="str">
        <f>IFERROR(__xludf.DUMMYFUNCTION("GOOGLETRANSLATE(C86, ""en"", ""hi"")"),"ए) याओशांग, बी) लाई हराओबा, सी) निंगोल चाकोउबा, डी) चेइराओबा")</f>
        <v>ए) याओशांग, बी) लाई हराओबा, सी) निंगोल चाकोउबा, डी) चेइराओबा</v>
      </c>
      <c r="I86" s="5" t="str">
        <f>IFERROR(__xludf.DUMMYFUNCTION("GOOGLETRANSLATE(D86, ""en"", ""hi"")"),"बी) लाई हरोबा")</f>
        <v>बी) लाई हरोबा</v>
      </c>
    </row>
    <row r="87" ht="22.5" customHeight="1">
      <c r="A87" s="3">
        <v>86.0</v>
      </c>
      <c r="B87" s="4" t="s">
        <v>13465</v>
      </c>
      <c r="C87" s="4" t="s">
        <v>13466</v>
      </c>
      <c r="D87" s="4" t="s">
        <v>644</v>
      </c>
      <c r="F87" s="5" t="str">
        <f>IFERROR(__xludf.DUMMYFUNCTION("GOOGLETRANSLATE(A87, ""en"", ""hi"")"),"86")</f>
        <v>86</v>
      </c>
      <c r="G87" s="5" t="str">
        <f>IFERROR(__xludf.DUMMYFUNCTION("GOOGLETRANSLATE(B87, ""en"", ""hi"")"),"पारंपरिक मणिपुरी युद्ध में मुकना कुश्ती की क्या भूमिका थी?")</f>
        <v>पारंपरिक मणिपुरी युद्ध में मुकना कुश्ती की क्या भूमिका थी?</v>
      </c>
      <c r="H87" s="5" t="str">
        <f>IFERROR(__xludf.DUMMYFUNCTION("GOOGLETRANSLATE(C87, ""en"", ""hi"")"),"A) रणनीतिक प्रशिक्षण, B) युद्ध सिमुलेशन, C) सामरिक अभ्यास, D) उपरोक्त सभी")</f>
        <v>A) रणनीतिक प्रशिक्षण, B) युद्ध सिमुलेशन, C) सामरिक अभ्यास, D) उपरोक्त सभी</v>
      </c>
      <c r="I87" s="5" t="str">
        <f>IFERROR(__xludf.DUMMYFUNCTION("GOOGLETRANSLATE(D87, ""en"", ""hi"")"),"D। उपरोक्त सभी")</f>
        <v>D। उपरोक्त सभी</v>
      </c>
    </row>
    <row r="88" ht="22.5" customHeight="1">
      <c r="A88" s="3">
        <v>87.0</v>
      </c>
      <c r="B88" s="4" t="s">
        <v>13467</v>
      </c>
      <c r="C88" s="4" t="s">
        <v>13468</v>
      </c>
      <c r="D88" s="4" t="s">
        <v>6659</v>
      </c>
      <c r="F88" s="5" t="str">
        <f>IFERROR(__xludf.DUMMYFUNCTION("GOOGLETRANSLATE(A88, ""en"", ""hi"")"),"87")</f>
        <v>87</v>
      </c>
      <c r="G88" s="5" t="str">
        <f>IFERROR(__xludf.DUMMYFUNCTION("GOOGLETRANSLATE(B88, ""en"", ""hi"")"),"किस महत्वपूर्ण ऐतिहासिक घटना का मुकना कुश्ती के अभ्यास पर प्रभाव पड़ा?")</f>
        <v>किस महत्वपूर्ण ऐतिहासिक घटना का मुकना कुश्ती के अभ्यास पर प्रभाव पड़ा?</v>
      </c>
      <c r="H88" s="5" t="str">
        <f>IFERROR(__xludf.DUMMYFUNCTION("GOOGLETRANSLATE(C88, ""en"", ""hi"")"),"A) ब्रिटिश उपनिवेशीकरण, B) 1857 का भारतीय विद्रोह, C) ब्रिटिश शासन से स्वतंत्रता, D) भारत का विभाजन")</f>
        <v>A) ब्रिटिश उपनिवेशीकरण, B) 1857 का भारतीय विद्रोह, C) ब्रिटिश शासन से स्वतंत्रता, D) भारत का विभाजन</v>
      </c>
      <c r="I88" s="5" t="str">
        <f>IFERROR(__xludf.DUMMYFUNCTION("GOOGLETRANSLATE(D88, ""en"", ""hi"")"),"ए) ब्रिटिश उपनिवेशीकरण")</f>
        <v>ए) ब्रिटिश उपनिवेशीकरण</v>
      </c>
    </row>
    <row r="89" ht="22.5" customHeight="1">
      <c r="A89" s="3">
        <v>88.0</v>
      </c>
      <c r="B89" s="4" t="s">
        <v>13469</v>
      </c>
      <c r="C89" s="4" t="s">
        <v>13470</v>
      </c>
      <c r="D89" s="4" t="s">
        <v>13471</v>
      </c>
      <c r="F89" s="5" t="str">
        <f>IFERROR(__xludf.DUMMYFUNCTION("GOOGLETRANSLATE(A89, ""en"", ""hi"")"),"88")</f>
        <v>88</v>
      </c>
      <c r="G89" s="5" t="str">
        <f>IFERROR(__xludf.DUMMYFUNCTION("GOOGLETRANSLATE(B89, ""en"", ""hi"")"),"मुकना कुश्ती को मणिपुरी कला के किस रूप में दर्शाया गया है?")</f>
        <v>मुकना कुश्ती को मणिपुरी कला के किस रूप में दर्शाया गया है?</v>
      </c>
      <c r="H89" s="5" t="str">
        <f>IFERROR(__xludf.DUMMYFUNCTION("GOOGLETRANSLATE(C89, ""en"", ""hi"")"),"A) चित्रकला, B) मूर्तिकला, C) नृत्य, D) संगीत")</f>
        <v>A) चित्रकला, B) मूर्तिकला, C) नृत्य, D) संगीत</v>
      </c>
      <c r="I89" s="5" t="str">
        <f>IFERROR(__xludf.DUMMYFUNCTION("GOOGLETRANSLATE(D89, ""en"", ""hi"")"),"बी) मूर्तिकला")</f>
        <v>बी) मूर्तिकला</v>
      </c>
    </row>
    <row r="90" ht="22.5" customHeight="1">
      <c r="A90" s="3">
        <v>89.0</v>
      </c>
      <c r="B90" s="4" t="s">
        <v>13472</v>
      </c>
      <c r="C90" s="4" t="s">
        <v>13473</v>
      </c>
      <c r="D90" s="4" t="s">
        <v>13474</v>
      </c>
      <c r="F90" s="5" t="str">
        <f>IFERROR(__xludf.DUMMYFUNCTION("GOOGLETRANSLATE(A90, ""en"", ""hi"")"),"89")</f>
        <v>89</v>
      </c>
      <c r="G90" s="5" t="str">
        <f>IFERROR(__xludf.DUMMYFUNCTION("GOOGLETRANSLATE(B90, ""en"", ""hi"")"),"कौन सा ऐतिहासिक ग्रंथ मुकना कुश्ती तकनीकों का विस्तृत विवरण प्रदान करता है?")</f>
        <v>कौन सा ऐतिहासिक ग्रंथ मुकना कुश्ती तकनीकों का विस्तृत विवरण प्रदान करता है?</v>
      </c>
      <c r="H90" s="5" t="str">
        <f>IFERROR(__xludf.DUMMYFUNCTION("GOOGLETRANSLATE(C90, ""en"", ""hi"")"),"ए) बुरांजी, बी) मनुस्मृति, सी) अर्थशास्त्र, डी) महाभारत")</f>
        <v>ए) बुरांजी, बी) मनुस्मृति, सी) अर्थशास्त्र, डी) महाभारत</v>
      </c>
      <c r="I90" s="5" t="str">
        <f>IFERROR(__xludf.DUMMYFUNCTION("GOOGLETRANSLATE(D90, ""en"", ""hi"")"),"ए) बुरांजी")</f>
        <v>ए) बुरांजी</v>
      </c>
    </row>
    <row r="91" ht="22.5" customHeight="1">
      <c r="A91" s="3">
        <v>90.0</v>
      </c>
      <c r="B91" s="4" t="s">
        <v>13475</v>
      </c>
      <c r="C91" s="4" t="s">
        <v>13476</v>
      </c>
      <c r="D91" s="4" t="s">
        <v>4428</v>
      </c>
      <c r="F91" s="5" t="str">
        <f>IFERROR(__xludf.DUMMYFUNCTION("GOOGLETRANSLATE(A91, ""en"", ""hi"")"),"90")</f>
        <v>90</v>
      </c>
      <c r="G91" s="5" t="str">
        <f>IFERROR(__xludf.DUMMYFUNCTION("GOOGLETRANSLATE(B91, ""en"", ""hi"")"),"प्राचीन मणिपुर में मुकना कुश्ती मैचों के लिए एक सामान्य स्थान क्या था?")</f>
        <v>प्राचीन मणिपुर में मुकना कुश्ती मैचों के लिए एक सामान्य स्थान क्या था?</v>
      </c>
      <c r="H91" s="5" t="str">
        <f>IFERROR(__xludf.DUMMYFUNCTION("GOOGLETRANSLATE(C91, ""en"", ""hi"")"),"A) शाही दरबार, B) खुले मैदान, C) मंदिर, D) बाज़ार")</f>
        <v>A) शाही दरबार, B) खुले मैदान, C) मंदिर, D) बाज़ार</v>
      </c>
      <c r="I91" s="5" t="str">
        <f>IFERROR(__xludf.DUMMYFUNCTION("GOOGLETRANSLATE(D91, ""en"", ""hi"")"),"बी) खुले मैदान")</f>
        <v>बी) खुले मैदान</v>
      </c>
    </row>
    <row r="92" ht="22.5" customHeight="1">
      <c r="A92" s="3">
        <v>91.0</v>
      </c>
      <c r="B92" s="4" t="s">
        <v>13477</v>
      </c>
      <c r="C92" s="4" t="s">
        <v>13478</v>
      </c>
      <c r="D92" s="4" t="s">
        <v>13479</v>
      </c>
      <c r="F92" s="5" t="str">
        <f>IFERROR(__xludf.DUMMYFUNCTION("GOOGLETRANSLATE(A92, ""en"", ""hi"")"),"91")</f>
        <v>91</v>
      </c>
      <c r="G92" s="5" t="str">
        <f>IFERROR(__xludf.DUMMYFUNCTION("GOOGLETRANSLATE(B92, ""en"", ""hi"")"),"कौन सा प्रसिद्ध मणिपुरी पहलवान 20वीं सदी में मुकना को लोकप्रिय बनाने के लिए जाना जाता है?")</f>
        <v>कौन सा प्रसिद्ध मणिपुरी पहलवान 20वीं सदी में मुकना को लोकप्रिय बनाने के लिए जाना जाता है?</v>
      </c>
      <c r="H92" s="5" t="str">
        <f>IFERROR(__xludf.DUMMYFUNCTION("GOOGLETRANSLATE(C92, ""en"", ""hi"")"),"ए) टोम्बा सिंह, बी) रंजीत सिंह, सी) कुंजुरानी देवी, डी) बीरेन सिंह")</f>
        <v>ए) टोम्बा सिंह, बी) रंजीत सिंह, सी) कुंजुरानी देवी, डी) बीरेन सिंह</v>
      </c>
      <c r="I92" s="5" t="str">
        <f>IFERROR(__xludf.DUMMYFUNCTION("GOOGLETRANSLATE(D92, ""en"", ""hi"")"),"A) तोम्बा सिंह")</f>
        <v>A) तोम्बा सिंह</v>
      </c>
    </row>
    <row r="93" ht="22.5" customHeight="1">
      <c r="A93" s="3">
        <v>92.0</v>
      </c>
      <c r="B93" s="4" t="s">
        <v>13480</v>
      </c>
      <c r="C93" s="4" t="s">
        <v>13481</v>
      </c>
      <c r="D93" s="4" t="s">
        <v>13482</v>
      </c>
      <c r="F93" s="5" t="str">
        <f>IFERROR(__xludf.DUMMYFUNCTION("GOOGLETRANSLATE(A93, ""en"", ""hi"")"),"92")</f>
        <v>92</v>
      </c>
      <c r="G93" s="5" t="str">
        <f>IFERROR(__xludf.DUMMYFUNCTION("GOOGLETRANSLATE(B93, ""en"", ""hi"")"),"औपनिवेशिक ब्रिटिश अधिकारी मुकना कुश्ती को किस प्रकार देखते थे?")</f>
        <v>औपनिवेशिक ब्रिटिश अधिकारी मुकना कुश्ती को किस प्रकार देखते थे?</v>
      </c>
      <c r="H93" s="5" t="str">
        <f>IFERROR(__xludf.DUMMYFUNCTION("GOOGLETRANSLATE(C93, ""en"", ""hi"")"),"A) एक सांस्कृतिक धरोहर के रूप में, B) मनोरंजन के एक रूप के रूप में, C) प्रतिबंधित किए जाने वाले अभ्यास के रूप में, D) विनियमित किए जाने वाले खेल के रूप में")</f>
        <v>A) एक सांस्कृतिक धरोहर के रूप में, B) मनोरंजन के एक रूप के रूप में, C) प्रतिबंधित किए जाने वाले अभ्यास के रूप में, D) विनियमित किए जाने वाले खेल के रूप में</v>
      </c>
      <c r="I93" s="5" t="str">
        <f>IFERROR(__xludf.DUMMYFUNCTION("GOOGLETRANSLATE(D93, ""en"", ""hi"")"),"C) प्रतिबंधित की जाने वाली प्रथा के रूप में")</f>
        <v>C) प्रतिबंधित की जाने वाली प्रथा के रूप में</v>
      </c>
    </row>
    <row r="94" ht="22.5" customHeight="1">
      <c r="A94" s="3">
        <v>93.0</v>
      </c>
      <c r="B94" s="4" t="s">
        <v>13483</v>
      </c>
      <c r="C94" s="4" t="s">
        <v>13484</v>
      </c>
      <c r="D94" s="4" t="s">
        <v>5645</v>
      </c>
      <c r="F94" s="5" t="str">
        <f>IFERROR(__xludf.DUMMYFUNCTION("GOOGLETRANSLATE(A94, ""en"", ""hi"")"),"93")</f>
        <v>93</v>
      </c>
      <c r="G94" s="5" t="str">
        <f>IFERROR(__xludf.DUMMYFUNCTION("GOOGLETRANSLATE(B94, ""en"", ""hi"")"),"ब्रिटिश औपनिवेशिक युग का मुकना कुश्ती पर क्या प्रभाव पड़ा?")</f>
        <v>ब्रिटिश औपनिवेशिक युग का मुकना कुश्ती पर क्या प्रभाव पड़ा?</v>
      </c>
      <c r="H94" s="5" t="str">
        <f>IFERROR(__xludf.DUMMYFUNCTION("GOOGLETRANSLATE(C94, ""en"", ""hi"")"),"A) इसके कारण इसका पतन हुआ, B) इसके कारण इसका आधुनिकीकरण हुआ, C) इसका कोई प्रभाव नहीं पड़ा, D) इसके कारण इसकी लोकप्रियता में वृद्धि हुई")</f>
        <v>A) इसके कारण इसका पतन हुआ, B) इसके कारण इसका आधुनिकीकरण हुआ, C) इसका कोई प्रभाव नहीं पड़ा, D) इसके कारण इसकी लोकप्रियता में वृद्धि हुई</v>
      </c>
      <c r="I94" s="5" t="str">
        <f>IFERROR(__xludf.DUMMYFUNCTION("GOOGLETRANSLATE(D94, ""en"", ""hi"")"),"A) इससे इसका पतन हुआ")</f>
        <v>A) इससे इसका पतन हुआ</v>
      </c>
    </row>
    <row r="95" ht="22.5" customHeight="1">
      <c r="A95" s="3">
        <v>94.0</v>
      </c>
      <c r="B95" s="4" t="s">
        <v>13485</v>
      </c>
      <c r="C95" s="4" t="s">
        <v>9774</v>
      </c>
      <c r="D95" s="4" t="s">
        <v>3500</v>
      </c>
      <c r="F95" s="5" t="str">
        <f>IFERROR(__xludf.DUMMYFUNCTION("GOOGLETRANSLATE(A95, ""en"", ""hi"")"),"94")</f>
        <v>94</v>
      </c>
      <c r="G95" s="5" t="str">
        <f>IFERROR(__xludf.DUMMYFUNCTION("GOOGLETRANSLATE(B95, ""en"", ""hi"")"),"किस शताब्दी में मुकना कुश्ती को औपचारिक रूप से सांस्कृतिक प्रथा के रूप में मान्यता मिली?")</f>
        <v>किस शताब्दी में मुकना कुश्ती को औपचारिक रूप से सांस्कृतिक प्रथा के रूप में मान्यता मिली?</v>
      </c>
      <c r="H95" s="5" t="str">
        <f>IFERROR(__xludf.DUMMYFUNCTION("GOOGLETRANSLATE(C95, ""en"", ""hi"")"),"A) 17वीं शताब्दी, B) 18वीं शताब्दी, C) 19वीं शताब्दी, D) 20वीं शताब्दी")</f>
        <v>A) 17वीं शताब्दी, B) 18वीं शताब्दी, C) 19वीं शताब्दी, D) 20वीं शताब्दी</v>
      </c>
      <c r="I95" s="5" t="str">
        <f>IFERROR(__xludf.DUMMYFUNCTION("GOOGLETRANSLATE(D95, ""en"", ""hi"")"),"बी) 18वीं शताब्दी")</f>
        <v>बी) 18वीं शताब्दी</v>
      </c>
    </row>
    <row r="96" ht="22.5" customHeight="1">
      <c r="A96" s="3">
        <v>95.0</v>
      </c>
      <c r="B96" s="4" t="s">
        <v>13486</v>
      </c>
      <c r="C96" s="4" t="s">
        <v>13487</v>
      </c>
      <c r="D96" s="4" t="s">
        <v>644</v>
      </c>
      <c r="F96" s="5" t="str">
        <f>IFERROR(__xludf.DUMMYFUNCTION("GOOGLETRANSLATE(A96, ""en"", ""hi"")"),"95")</f>
        <v>95</v>
      </c>
      <c r="G96" s="5" t="str">
        <f>IFERROR(__xludf.DUMMYFUNCTION("GOOGLETRANSLATE(B96, ""en"", ""hi"")"),"पारंपरिक मणिपुरी सैन्य प्रशिक्षण में मुकना कुश्ती की क्या भूमिका थी?")</f>
        <v>पारंपरिक मणिपुरी सैन्य प्रशिक्षण में मुकना कुश्ती की क्या भूमिका थी?</v>
      </c>
      <c r="H96" s="5" t="str">
        <f>IFERROR(__xludf.DUMMYFUNCTION("GOOGLETRANSLATE(C96, ""en"", ""hi"")"),"A) कौशल विकास, B) युद्ध तत्परता, C) शारीरिक फिटनेस, D) उपरोक्त सभी")</f>
        <v>A) कौशल विकास, B) युद्ध तत्परता, C) शारीरिक फिटनेस, D) उपरोक्त सभी</v>
      </c>
      <c r="I96" s="5" t="str">
        <f>IFERROR(__xludf.DUMMYFUNCTION("GOOGLETRANSLATE(D96, ""en"", ""hi"")"),"D। उपरोक्त सभी")</f>
        <v>D। उपरोक्त सभी</v>
      </c>
    </row>
    <row r="97" ht="22.5" customHeight="1">
      <c r="A97" s="3">
        <v>96.0</v>
      </c>
      <c r="B97" s="4" t="s">
        <v>13488</v>
      </c>
      <c r="C97" s="4" t="s">
        <v>13489</v>
      </c>
      <c r="D97" s="4" t="s">
        <v>13490</v>
      </c>
      <c r="F97" s="5" t="str">
        <f>IFERROR(__xludf.DUMMYFUNCTION("GOOGLETRANSLATE(A97, ""en"", ""hi"")"),"96")</f>
        <v>96</v>
      </c>
      <c r="G97" s="5" t="str">
        <f>IFERROR(__xludf.DUMMYFUNCTION("GOOGLETRANSLATE(B97, ""en"", ""hi"")"),"कौन सी पारंपरिक मणिपुरी नृत्य शैली में अक्सर मुकना कुश्ती के तत्व शामिल होते हैं?")</f>
        <v>कौन सी पारंपरिक मणिपुरी नृत्य शैली में अक्सर मुकना कुश्ती के तत्व शामिल होते हैं?</v>
      </c>
      <c r="H97" s="5" t="str">
        <f>IFERROR(__xludf.DUMMYFUNCTION("GOOGLETRANSLATE(C97, ""en"", ""hi"")"),"ए) रास लीला, बी) थांग ता, सी) लाई हराओबा, डी) पुंग चोलोम")</f>
        <v>ए) रास लीला, बी) थांग ता, सी) लाई हराओबा, डी) पुंग चोलोम</v>
      </c>
      <c r="I97" s="5" t="str">
        <f>IFERROR(__xludf.DUMMYFUNCTION("GOOGLETRANSLATE(D97, ""en"", ""hi"")"),"बी) थांग ता")</f>
        <v>बी) थांग ता</v>
      </c>
    </row>
    <row r="98" ht="22.5" customHeight="1">
      <c r="A98" s="3">
        <v>97.0</v>
      </c>
      <c r="B98" s="4" t="s">
        <v>13491</v>
      </c>
      <c r="C98" s="4" t="s">
        <v>13492</v>
      </c>
      <c r="D98" s="4" t="s">
        <v>13493</v>
      </c>
      <c r="F98" s="5" t="str">
        <f>IFERROR(__xludf.DUMMYFUNCTION("GOOGLETRANSLATE(A98, ""en"", ""hi"")"),"97")</f>
        <v>97</v>
      </c>
      <c r="G98" s="5" t="str">
        <f>IFERROR(__xludf.DUMMYFUNCTION("GOOGLETRANSLATE(B98, ""en"", ""hi"")"),"प्राचीन काल में मुकना पहलवानों का प्राथमिक प्रशिक्षण केंद्र क्या था?")</f>
        <v>प्राचीन काल में मुकना पहलवानों का प्राथमिक प्रशिक्षण केंद्र क्या था?</v>
      </c>
      <c r="H98" s="5" t="str">
        <f>IFERROR(__xludf.DUMMYFUNCTION("GOOGLETRANSLATE(C98, ""en"", ""hi"")"),"A) शक्ति और सहनशक्ति, B) लचीलापन और गति, C) रणनीति और तकनीक, D) संतुलन और चपलता")</f>
        <v>A) शक्ति और सहनशक्ति, B) लचीलापन और गति, C) रणनीति और तकनीक, D) संतुलन और चपलता</v>
      </c>
      <c r="I98" s="5" t="str">
        <f>IFERROR(__xludf.DUMMYFUNCTION("GOOGLETRANSLATE(D98, ""en"", ""hi"")"),"ए) शक्ति और सहनशक्ति")</f>
        <v>ए) शक्ति और सहनशक्ति</v>
      </c>
    </row>
    <row r="99" ht="22.5" customHeight="1">
      <c r="A99" s="3">
        <v>98.0</v>
      </c>
      <c r="B99" s="4" t="s">
        <v>13494</v>
      </c>
      <c r="C99" s="4" t="s">
        <v>13495</v>
      </c>
      <c r="D99" s="4" t="s">
        <v>12006</v>
      </c>
      <c r="F99" s="5" t="str">
        <f>IFERROR(__xludf.DUMMYFUNCTION("GOOGLETRANSLATE(A99, ""en"", ""hi"")"),"98")</f>
        <v>98</v>
      </c>
      <c r="G99" s="5" t="str">
        <f>IFERROR(__xludf.DUMMYFUNCTION("GOOGLETRANSLATE(B99, ""en"", ""hi"")"),"आम लोगों के बीच मुकना कुश्ती की प्रथा को बढ़ावा देने के लिए कौन सा ऐतिहासिक व्यक्ति जाना जाता था?")</f>
        <v>आम लोगों के बीच मुकना कुश्ती की प्रथा को बढ़ावा देने के लिए कौन सा ऐतिहासिक व्यक्ति जाना जाता था?</v>
      </c>
      <c r="H99" s="5" t="str">
        <f>IFERROR(__xludf.DUMMYFUNCTION("GOOGLETRANSLATE(C99, ""en"", ""hi"")"),"ए) महाराजा चूड़ाचंद सिंह, बी) महाराजा बोधचंद्र सिंह, सी) महाराजा भाग्यचंद्र सिंह, डी) महाराजा गंभीर सिंह")</f>
        <v>ए) महाराजा चूड़ाचंद सिंह, बी) महाराजा बोधचंद्र सिंह, सी) महाराजा भाग्यचंद्र सिंह, डी) महाराजा गंभीर सिंह</v>
      </c>
      <c r="I99" s="5" t="str">
        <f>IFERROR(__xludf.DUMMYFUNCTION("GOOGLETRANSLATE(D99, ""en"", ""hi"")"),"D) महाराजा गंभीर सिंह")</f>
        <v>D) महाराजा गंभीर सिंह</v>
      </c>
    </row>
    <row r="100" ht="22.5" customHeight="1">
      <c r="A100" s="3">
        <v>99.0</v>
      </c>
      <c r="B100" s="4" t="s">
        <v>13496</v>
      </c>
      <c r="C100" s="4" t="s">
        <v>13497</v>
      </c>
      <c r="D100" s="4" t="s">
        <v>2559</v>
      </c>
      <c r="F100" s="5" t="str">
        <f>IFERROR(__xludf.DUMMYFUNCTION("GOOGLETRANSLATE(A100, ""en"", ""hi"")"),"99")</f>
        <v>99</v>
      </c>
      <c r="G100" s="5" t="str">
        <f>IFERROR(__xludf.DUMMYFUNCTION("GOOGLETRANSLATE(B100, ""en"", ""hi"")"),"मुकना कुश्ती में पारंपरिक रूप से किस प्रकार के प्रशिक्षण उपकरण का उपयोग किया जाता था?")</f>
        <v>मुकना कुश्ती में पारंपरिक रूप से किस प्रकार के प्रशिक्षण उपकरण का उपयोग किया जाता था?</v>
      </c>
      <c r="H100" s="5" t="str">
        <f>IFERROR(__xludf.DUMMYFUNCTION("GOOGLETRANSLATE(C100, ""en"", ""hi"")"),"A) रेत के बोरे, B) लकड़ी के डमी, C) धातु के बाट, D) कोई नहीं")</f>
        <v>A) रेत के बोरे, B) लकड़ी के डमी, C) धातु के बाट, D) कोई नहीं</v>
      </c>
      <c r="I100" s="5" t="str">
        <f>IFERROR(__xludf.DUMMYFUNCTION("GOOGLETRANSLATE(D100, ""en"", ""hi"")"),"डी) कोई नहीं")</f>
        <v>डी) कोई नहीं</v>
      </c>
    </row>
    <row r="101" ht="22.5" customHeight="1">
      <c r="A101" s="3">
        <v>100.0</v>
      </c>
      <c r="B101" s="4" t="s">
        <v>13498</v>
      </c>
      <c r="C101" s="4" t="s">
        <v>13495</v>
      </c>
      <c r="D101" s="4" t="s">
        <v>12207</v>
      </c>
      <c r="F101" s="5" t="str">
        <f>IFERROR(__xludf.DUMMYFUNCTION("GOOGLETRANSLATE(A101, ""en"", ""hi"")"),"100")</f>
        <v>100</v>
      </c>
      <c r="G101" s="5" t="str">
        <f>IFERROR(__xludf.DUMMYFUNCTION("GOOGLETRANSLATE(B101, ""en"", ""hi"")"),"किस मणिपुरी शासक को पारंपरिक खेल के रूप में मुकना के संरक्षण का श्रेय दिया जाता है?")</f>
        <v>किस मणिपुरी शासक को पारंपरिक खेल के रूप में मुकना के संरक्षण का श्रेय दिया जाता है?</v>
      </c>
      <c r="H101" s="5" t="str">
        <f>IFERROR(__xludf.DUMMYFUNCTION("GOOGLETRANSLATE(C101, ""en"", ""hi"")"),"ए) महाराजा चूड़ाचंद सिंह, बी) महाराजा बोधचंद्र सिंह, सी) महाराजा भाग्यचंद्र सिंह, डी) महाराजा गंभीर सिंह")</f>
        <v>ए) महाराजा चूड़ाचंद सिंह, बी) महाराजा बोधचंद्र सिंह, सी) महाराजा भाग्यचंद्र सिंह, डी) महाराजा गंभीर सिंह</v>
      </c>
      <c r="I101" s="5" t="str">
        <f>IFERROR(__xludf.DUMMYFUNCTION("GOOGLETRANSLATE(D101, ""en"", ""hi"")"),"C) महाराजा भाग्यचंद्र सिंह")</f>
        <v>C) महाराजा भाग्यचंद्र सिंह</v>
      </c>
    </row>
    <row r="102" ht="22.5" customHeight="1">
      <c r="A102" s="3">
        <v>101.0</v>
      </c>
      <c r="B102" s="4" t="s">
        <v>13499</v>
      </c>
      <c r="C102" s="4" t="s">
        <v>13500</v>
      </c>
      <c r="D102" s="4" t="s">
        <v>12720</v>
      </c>
      <c r="F102" s="5" t="str">
        <f>IFERROR(__xludf.DUMMYFUNCTION("GOOGLETRANSLATE(A102, ""en"", ""hi"")"),"101")</f>
        <v>101</v>
      </c>
      <c r="G102" s="5" t="str">
        <f>IFERROR(__xludf.DUMMYFUNCTION("GOOGLETRANSLATE(B102, ""en"", ""hi"")"),"किस पारंपरिक मणिपुरी त्यौहार में मुकना कुश्ती मैच अक्सर होते हैं?")</f>
        <v>किस पारंपरिक मणिपुरी त्यौहार में मुकना कुश्ती मैच अक्सर होते हैं?</v>
      </c>
      <c r="H102" s="5" t="str">
        <f>IFERROR(__xludf.DUMMYFUNCTION("GOOGLETRANSLATE(C102, ""en"", ""hi"")"),"ए) चेइराओबा, बी) याओशांग, सी) निंगोल चाकोउबा, डी) लाई हराओबा")</f>
        <v>ए) चेइराओबा, बी) याओशांग, सी) निंगोल चाकोउबा, डी) लाई हराओबा</v>
      </c>
      <c r="I102" s="5" t="str">
        <f>IFERROR(__xludf.DUMMYFUNCTION("GOOGLETRANSLATE(D102, ""en"", ""hi"")"),"D) लाई हरोबा")</f>
        <v>D) लाई हरोबा</v>
      </c>
    </row>
    <row r="103" ht="22.5" customHeight="1">
      <c r="A103" s="3">
        <v>102.0</v>
      </c>
      <c r="B103" s="4" t="s">
        <v>13501</v>
      </c>
      <c r="C103" s="4" t="s">
        <v>13502</v>
      </c>
      <c r="D103" s="4" t="s">
        <v>13503</v>
      </c>
      <c r="F103" s="5" t="str">
        <f>IFERROR(__xludf.DUMMYFUNCTION("GOOGLETRANSLATE(A103, ""en"", ""hi"")"),"102")</f>
        <v>102</v>
      </c>
      <c r="G103" s="5" t="str">
        <f>IFERROR(__xludf.DUMMYFUNCTION("GOOGLETRANSLATE(B103, ""en"", ""hi"")"),"इनमें से कौन सा तत्व पारंपरिक रूप से मुकना कुश्ती का हिस्सा नहीं है?")</f>
        <v>इनमें से कौन सा तत्व पारंपरिक रूप से मुकना कुश्ती का हिस्सा नहीं है?</v>
      </c>
      <c r="H103" s="5" t="str">
        <f>IFERROR(__xludf.DUMMYFUNCTION("GOOGLETRANSLATE(C103, ""en"", ""hi"")"),"A) अनुष्ठानिक मंत्र, B) विशिष्ट कुश्ती पोशाक, C) हथियारों का उपयोग, D) सामुदायिक भागीदारी")</f>
        <v>A) अनुष्ठानिक मंत्र, B) विशिष्ट कुश्ती पोशाक, C) हथियारों का उपयोग, D) सामुदायिक भागीदारी</v>
      </c>
      <c r="I103" s="5" t="str">
        <f>IFERROR(__xludf.DUMMYFUNCTION("GOOGLETRANSLATE(D103, ""en"", ""hi"")"),"C) हथियारों का उपयोग")</f>
        <v>C) हथियारों का उपयोग</v>
      </c>
    </row>
    <row r="104" ht="22.5" customHeight="1">
      <c r="A104" s="3">
        <v>103.0</v>
      </c>
      <c r="B104" s="4" t="s">
        <v>13504</v>
      </c>
      <c r="C104" s="4" t="s">
        <v>13505</v>
      </c>
      <c r="D104" s="4" t="s">
        <v>13506</v>
      </c>
      <c r="F104" s="5" t="str">
        <f>IFERROR(__xludf.DUMMYFUNCTION("GOOGLETRANSLATE(A104, ""en"", ""hi"")"),"103")</f>
        <v>103</v>
      </c>
      <c r="G104" s="5" t="str">
        <f>IFERROR(__xludf.DUMMYFUNCTION("GOOGLETRANSLATE(B104, ""en"", ""hi"")"),"मणिपुर में मुकना कुश्ती का क्या सांस्कृतिक महत्व है?")</f>
        <v>मणिपुर में मुकना कुश्ती का क्या सांस्कृतिक महत्व है?</v>
      </c>
      <c r="H104" s="5" t="str">
        <f>IFERROR(__xludf.DUMMYFUNCTION("GOOGLETRANSLATE(C104, ""en"", ""hi"")"),"A) यह युद्ध कौशल का प्रतीक है, B) यह धार्मिक भक्ति का प्रतिनिधित्व करता है, C) यह कलात्मक विरासत को दर्शाता है, D) यह राजनीतिक शक्ति का प्रतीक है")</f>
        <v>A) यह युद्ध कौशल का प्रतीक है, B) यह धार्मिक भक्ति का प्रतिनिधित्व करता है, C) यह कलात्मक विरासत को दर्शाता है, D) यह राजनीतिक शक्ति का प्रतीक है</v>
      </c>
      <c r="I104" s="5" t="str">
        <f>IFERROR(__xludf.DUMMYFUNCTION("GOOGLETRANSLATE(D104, ""en"", ""hi"")"),"A) यह युद्ध कौशल का प्रतीक है")</f>
        <v>A) यह युद्ध कौशल का प्रतीक है</v>
      </c>
    </row>
    <row r="105" ht="22.5" customHeight="1">
      <c r="A105" s="3">
        <v>104.0</v>
      </c>
      <c r="B105" s="4" t="s">
        <v>13507</v>
      </c>
      <c r="C105" s="4" t="s">
        <v>13508</v>
      </c>
      <c r="D105" s="4" t="s">
        <v>13509</v>
      </c>
      <c r="F105" s="5" t="str">
        <f>IFERROR(__xludf.DUMMYFUNCTION("GOOGLETRANSLATE(A105, ""en"", ""hi"")"),"104")</f>
        <v>104</v>
      </c>
      <c r="G105" s="5" t="str">
        <f>IFERROR(__xludf.DUMMYFUNCTION("GOOGLETRANSLATE(B105, ""en"", ""hi"")"),"ऐतिहासिक समय में मुकना कुश्ती मैचों का निर्णय आम तौर पर कैसे किया जाता था?")</f>
        <v>ऐतिहासिक समय में मुकना कुश्ती मैचों का निर्णय आम तौर पर कैसे किया जाता था?</v>
      </c>
      <c r="H105" s="5" t="str">
        <f>IFERROR(__xludf.DUMMYFUNCTION("GOOGLETRANSLATE(C105, ""en"", ""hi"")"),"A) थ्रो की संख्या से, B) तकनीकों के प्रयोग से, C) दर्शकों की प्रतिक्रिया से, D) रेफरी के निर्णय से")</f>
        <v>A) थ्रो की संख्या से, B) तकनीकों के प्रयोग से, C) दर्शकों की प्रतिक्रिया से, D) रेफरी के निर्णय से</v>
      </c>
      <c r="I105" s="5" t="str">
        <f>IFERROR(__xludf.DUMMYFUNCTION("GOOGLETRANSLATE(D105, ""en"", ""hi"")"),"D) रेफरी के निर्णय से")</f>
        <v>D) रेफरी के निर्णय से</v>
      </c>
    </row>
    <row r="106" ht="22.5" customHeight="1">
      <c r="A106" s="3">
        <v>105.0</v>
      </c>
      <c r="B106" s="4" t="s">
        <v>13510</v>
      </c>
      <c r="C106" s="4" t="s">
        <v>13511</v>
      </c>
      <c r="D106" s="4" t="s">
        <v>13512</v>
      </c>
      <c r="F106" s="5" t="str">
        <f>IFERROR(__xludf.DUMMYFUNCTION("GOOGLETRANSLATE(A106, ""en"", ""hi"")"),"105")</f>
        <v>105</v>
      </c>
      <c r="G106" s="5" t="str">
        <f>IFERROR(__xludf.DUMMYFUNCTION("GOOGLETRANSLATE(B106, ""en"", ""hi"")"),"इनमें से कौन सा मुकना पहलवानों के लिए एक सामान्य प्रशिक्षण अभ्यास है?")</f>
        <v>इनमें से कौन सा मुकना पहलवानों के लिए एक सामान्य प्रशिक्षण अभ्यास है?</v>
      </c>
      <c r="H106" s="5" t="str">
        <f>IFERROR(__xludf.DUMMYFUNCTION("GOOGLETRANSLATE(C106, ""en"", ""hi"")"),"A) दौड़ना, B) तैराकी, C) योग, D) घुड़सवारी")</f>
        <v>A) दौड़ना, B) तैराकी, C) योग, D) घुड़सवारी</v>
      </c>
      <c r="I106" s="5" t="str">
        <f>IFERROR(__xludf.DUMMYFUNCTION("GOOGLETRANSLATE(D106, ""en"", ""hi"")"),"ए) दौड़ना")</f>
        <v>ए) दौड़ना</v>
      </c>
    </row>
    <row r="107" ht="22.5" customHeight="1">
      <c r="A107" s="3">
        <v>106.0</v>
      </c>
      <c r="B107" s="4" t="s">
        <v>13513</v>
      </c>
      <c r="C107" s="4" t="s">
        <v>13514</v>
      </c>
      <c r="D107" s="4" t="s">
        <v>13515</v>
      </c>
      <c r="F107" s="5" t="str">
        <f>IFERROR(__xludf.DUMMYFUNCTION("GOOGLETRANSLATE(A107, ""en"", ""hi"")"),"106")</f>
        <v>106</v>
      </c>
      <c r="G107" s="5" t="str">
        <f>IFERROR(__xludf.DUMMYFUNCTION("GOOGLETRANSLATE(B107, ""en"", ""hi"")"),"कौन सी मणिपुरी ऐतिहासिक घटना मुकना कुश्ती के विकास से जुड़ी है?")</f>
        <v>कौन सी मणिपुरी ऐतिहासिक घटना मुकना कुश्ती के विकास से जुड़ी है?</v>
      </c>
      <c r="H107" s="5" t="str">
        <f>IFERROR(__xludf.DUMMYFUNCTION("GOOGLETRANSLATE(C107, ""en"", ""hi"")"),"A) मणिपुर संधि पर हस्ताक्षर, B) अंग्रेजों द्वारा मणिपुर का विलय, C) कांगला का युद्ध, D) मैतेई साम्राज्य का गठन")</f>
        <v>A) मणिपुर संधि पर हस्ताक्षर, B) अंग्रेजों द्वारा मणिपुर का विलय, C) कांगला का युद्ध, D) मैतेई साम्राज्य का गठन</v>
      </c>
      <c r="I107" s="5" t="str">
        <f>IFERROR(__xludf.DUMMYFUNCTION("GOOGLETRANSLATE(D107, ""en"", ""hi"")"),"B) अंग्रेजों द्वारा मणिपुर पर कब्ज़ा")</f>
        <v>B) अंग्रेजों द्वारा मणिपुर पर कब्ज़ा</v>
      </c>
    </row>
    <row r="108" ht="22.5" customHeight="1">
      <c r="A108" s="3">
        <v>107.0</v>
      </c>
      <c r="B108" s="4" t="s">
        <v>13516</v>
      </c>
      <c r="C108" s="4" t="s">
        <v>13517</v>
      </c>
      <c r="D108" s="4" t="s">
        <v>13518</v>
      </c>
      <c r="F108" s="5" t="str">
        <f>IFERROR(__xludf.DUMMYFUNCTION("GOOGLETRANSLATE(A108, ""en"", ""hi"")"),"107")</f>
        <v>107</v>
      </c>
      <c r="G108" s="5" t="str">
        <f>IFERROR(__xludf.DUMMYFUNCTION("GOOGLETRANSLATE(B108, ""en"", ""hi"")"),"मुकना कुश्ती किस पारंपरिक मणिपुरी मार्शल आर्ट से सबसे अधिक संबंधित है?")</f>
        <v>मुकना कुश्ती किस पारंपरिक मणिपुरी मार्शल आर्ट से सबसे अधिक संबंधित है?</v>
      </c>
      <c r="H108" s="5" t="str">
        <f>IFERROR(__xludf.DUMMYFUNCTION("GOOGLETRANSLATE(C108, ""en"", ""hi"")"),"A) थांग ता, B) सरित सरक, C) नागा कुश्ती, D) कुकी कुश्ती")</f>
        <v>A) थांग ता, B) सरित सरक, C) नागा कुश्ती, D) कुकी कुश्ती</v>
      </c>
      <c r="I108" s="5" t="str">
        <f>IFERROR(__xludf.DUMMYFUNCTION("GOOGLETRANSLATE(D108, ""en"", ""hi"")"),"A) थांग ता")</f>
        <v>A) थांग ता</v>
      </c>
    </row>
    <row r="109" ht="22.5" customHeight="1">
      <c r="A109" s="3">
        <v>108.0</v>
      </c>
      <c r="B109" s="4" t="s">
        <v>13519</v>
      </c>
      <c r="C109" s="4" t="s">
        <v>13520</v>
      </c>
      <c r="D109" s="4" t="s">
        <v>13521</v>
      </c>
      <c r="F109" s="5" t="str">
        <f>IFERROR(__xludf.DUMMYFUNCTION("GOOGLETRANSLATE(A109, ""en"", ""hi"")"),"108")</f>
        <v>108</v>
      </c>
      <c r="G109" s="5" t="str">
        <f>IFERROR(__xludf.DUMMYFUNCTION("GOOGLETRANSLATE(B109, ""en"", ""hi"")"),"मुकना कुश्ती का कौन सा तत्व मौखिक परंपराओं के माध्यम से संरक्षित किया गया है?")</f>
        <v>मुकना कुश्ती का कौन सा तत्व मौखिक परंपराओं के माध्यम से संरक्षित किया गया है?</v>
      </c>
      <c r="H109" s="5" t="str">
        <f>IFERROR(__xludf.DUMMYFUNCTION("GOOGLETRANSLATE(C109, ""en"", ""hi"")"),"A) तकनीक, B) पोशाक, C) स्थल, D) नियम")</f>
        <v>A) तकनीक, B) पोशाक, C) स्थल, D) नियम</v>
      </c>
      <c r="I109" s="5" t="str">
        <f>IFERROR(__xludf.DUMMYFUNCTION("GOOGLETRANSLATE(D109, ""en"", ""hi"")"),"ए) तकनीक")</f>
        <v>ए) तकनीक</v>
      </c>
    </row>
    <row r="110" ht="22.5" customHeight="1">
      <c r="A110" s="3">
        <v>109.0</v>
      </c>
      <c r="B110" s="4" t="s">
        <v>13522</v>
      </c>
      <c r="C110" s="4" t="s">
        <v>13523</v>
      </c>
      <c r="D110" s="4" t="s">
        <v>13524</v>
      </c>
      <c r="F110" s="5" t="str">
        <f>IFERROR(__xludf.DUMMYFUNCTION("GOOGLETRANSLATE(A110, ""en"", ""hi"")"),"109")</f>
        <v>109</v>
      </c>
      <c r="G110" s="5" t="str">
        <f>IFERROR(__xludf.DUMMYFUNCTION("GOOGLETRANSLATE(B110, ""en"", ""hi"")"),"मणिपुरी समाज के संदर्भ में मुकना कुश्ती की क्या भूमिका थी?")</f>
        <v>मणिपुरी समाज के संदर्भ में मुकना कुश्ती की क्या भूमिका थी?</v>
      </c>
      <c r="H110" s="5" t="str">
        <f>IFERROR(__xludf.DUMMYFUNCTION("GOOGLETRANSLATE(C110, ""en"", ""hi"")"),"A) यह मनोरंजन का एक रूप था, B) यह संघर्ष समाधान का एक तरीका था, C) यह एक औपचारिक अभ्यास था, D) यह शिक्षा का एक रूप था")</f>
        <v>A) यह मनोरंजन का एक रूप था, B) यह संघर्ष समाधान का एक तरीका था, C) यह एक औपचारिक अभ्यास था, D) यह शिक्षा का एक रूप था</v>
      </c>
      <c r="I110" s="5" t="str">
        <f>IFERROR(__xludf.DUMMYFUNCTION("GOOGLETRANSLATE(D110, ""en"", ""hi"")"),"C) यह एक औपचारिक प्रथा थी")</f>
        <v>C) यह एक औपचारिक प्रथा थी</v>
      </c>
    </row>
    <row r="111" ht="22.5" customHeight="1">
      <c r="A111" s="3">
        <v>110.0</v>
      </c>
      <c r="B111" s="4" t="s">
        <v>13525</v>
      </c>
      <c r="C111" s="4" t="s">
        <v>13526</v>
      </c>
      <c r="D111" s="4" t="s">
        <v>13527</v>
      </c>
      <c r="F111" s="5" t="str">
        <f>IFERROR(__xludf.DUMMYFUNCTION("GOOGLETRANSLATE(A111, ""en"", ""hi"")"),"110")</f>
        <v>110</v>
      </c>
      <c r="G111" s="5" t="str">
        <f>IFERROR(__xludf.DUMMYFUNCTION("GOOGLETRANSLATE(B111, ""en"", ""hi"")"),"मुकना कुश्ती के बारे में निम्नलिखित में से कौन सा कथन सत्य है?")</f>
        <v>मुकना कुश्ती के बारे में निम्नलिखित में से कौन सा कथन सत्य है?</v>
      </c>
      <c r="H111" s="5" t="str">
        <f>IFERROR(__xludf.DUMMYFUNCTION("GOOGLETRANSLATE(C111, ""en"", ""hi"")"),"A) इसमें सुरक्षात्मक गियर का उपयोग शामिल है, B) यह अक्सर खुली हवा में किया जाता है, C) यह अंतर्राष्ट्रीय नियमों द्वारा शासित होता है, D) इसका कोई सांस्कृतिक महत्व नहीं है")</f>
        <v>A) इसमें सुरक्षात्मक गियर का उपयोग शामिल है, B) यह अक्सर खुली हवा में किया जाता है, C) यह अंतर्राष्ट्रीय नियमों द्वारा शासित होता है, D) इसका कोई सांस्कृतिक महत्व नहीं है</v>
      </c>
      <c r="I111" s="5" t="str">
        <f>IFERROR(__xludf.DUMMYFUNCTION("GOOGLETRANSLATE(D111, ""en"", ""hi"")"),"B) यह प्रायः खुली हवा में किया जाता है")</f>
        <v>B) यह प्रायः खुली हवा में किया जाता है</v>
      </c>
    </row>
    <row r="112" ht="22.5" customHeight="1">
      <c r="A112" s="3">
        <v>111.0</v>
      </c>
      <c r="B112" s="4" t="s">
        <v>13528</v>
      </c>
      <c r="C112" s="4" t="s">
        <v>13529</v>
      </c>
      <c r="D112" s="4" t="s">
        <v>13530</v>
      </c>
      <c r="F112" s="5" t="str">
        <f>IFERROR(__xludf.DUMMYFUNCTION("GOOGLETRANSLATE(A112, ""en"", ""hi"")"),"111")</f>
        <v>111</v>
      </c>
      <c r="G112" s="5" t="str">
        <f>IFERROR(__xludf.DUMMYFUNCTION("GOOGLETRANSLATE(B112, ""en"", ""hi"")"),"पारंपरिक प्रशिक्षण में मुकना कुश्ती के किस पहलू पर जोर दिया जाता था?")</f>
        <v>पारंपरिक प्रशिक्षण में मुकना कुश्ती के किस पहलू पर जोर दिया जाता था?</v>
      </c>
      <c r="H112" s="5" t="str">
        <f>IFERROR(__xludf.DUMMYFUNCTION("GOOGLETRANSLATE(C112, ""en"", ""hi"")"),"A) ताकत और सहनशक्ति, B) गति और चपलता, C) तकनीक और रणनीति, D) सटीकता और शुद्धता")</f>
        <v>A) ताकत और सहनशक्ति, B) गति और चपलता, C) तकनीक और रणनीति, D) सटीकता और शुद्धता</v>
      </c>
      <c r="I112" s="5" t="str">
        <f>IFERROR(__xludf.DUMMYFUNCTION("GOOGLETRANSLATE(D112, ""en"", ""hi"")"),"ए) शक्ति और सहनशक्ति")</f>
        <v>ए) शक्ति और सहनशक्ति</v>
      </c>
    </row>
    <row r="113" ht="22.5" customHeight="1">
      <c r="A113" s="3">
        <v>112.0</v>
      </c>
      <c r="B113" s="4" t="s">
        <v>13531</v>
      </c>
      <c r="C113" s="4" t="s">
        <v>13532</v>
      </c>
      <c r="D113" s="4" t="s">
        <v>4588</v>
      </c>
      <c r="F113" s="5" t="str">
        <f>IFERROR(__xludf.DUMMYFUNCTION("GOOGLETRANSLATE(A113, ""en"", ""hi"")"),"112")</f>
        <v>112</v>
      </c>
      <c r="G113" s="5" t="str">
        <f>IFERROR(__xludf.DUMMYFUNCTION("GOOGLETRANSLATE(B113, ""en"", ""hi"")"),"कौन सी ऐतिहासिक कलाकृति मुकना कुश्ती तकनीक के बारे में जानकारी प्रदान करती है?")</f>
        <v>कौन सी ऐतिहासिक कलाकृति मुकना कुश्ती तकनीक के बारे में जानकारी प्रदान करती है?</v>
      </c>
      <c r="H113" s="5" t="str">
        <f>IFERROR(__xludf.DUMMYFUNCTION("GOOGLETRANSLATE(C113, ""en"", ""hi"")"),"A) प्राचीन मूर्तियां, B) पांडुलिपियां, C) चित्रकारी, D) मिट्टी के बर्तन")</f>
        <v>A) प्राचीन मूर्तियां, B) पांडुलिपियां, C) चित्रकारी, D) मिट्टी के बर्तन</v>
      </c>
      <c r="I113" s="5" t="str">
        <f>IFERROR(__xludf.DUMMYFUNCTION("GOOGLETRANSLATE(D113, ""en"", ""hi"")"),"A) प्राचीन मूर्तियां")</f>
        <v>A) प्राचीन मूर्तियां</v>
      </c>
    </row>
    <row r="114" ht="22.5" customHeight="1">
      <c r="A114" s="3">
        <v>113.0</v>
      </c>
      <c r="B114" s="4" t="s">
        <v>13533</v>
      </c>
      <c r="C114" s="4" t="s">
        <v>13534</v>
      </c>
      <c r="D114" s="4" t="s">
        <v>11963</v>
      </c>
      <c r="F114" s="5" t="str">
        <f>IFERROR(__xludf.DUMMYFUNCTION("GOOGLETRANSLATE(A114, ""en"", ""hi"")"),"113")</f>
        <v>113</v>
      </c>
      <c r="G114" s="5" t="str">
        <f>IFERROR(__xludf.DUMMYFUNCTION("GOOGLETRANSLATE(B114, ""en"", ""hi"")"),"ऐतिहासिक रूप से किस प्रकार के सामुदायिक आयोजनों में मुकना कुश्ती शामिल होती थी?")</f>
        <v>ऐतिहासिक रूप से किस प्रकार के सामुदायिक आयोजनों में मुकना कुश्ती शामिल होती थी?</v>
      </c>
      <c r="H114" s="5" t="str">
        <f>IFERROR(__xludf.DUMMYFUNCTION("GOOGLETRANSLATE(C114, ""en"", ""hi"")"),"A) त्यौहार, B) बाजार मेले, C) राजनीतिक सभाएँ, D) धार्मिक समारोह")</f>
        <v>A) त्यौहार, B) बाजार मेले, C) राजनीतिक सभाएँ, D) धार्मिक समारोह</v>
      </c>
      <c r="I114" s="5" t="str">
        <f>IFERROR(__xludf.DUMMYFUNCTION("GOOGLETRANSLATE(D114, ""en"", ""hi"")"),"ए) त्यौहार")</f>
        <v>ए) त्यौहार</v>
      </c>
    </row>
    <row r="115" ht="22.5" customHeight="1">
      <c r="A115" s="3">
        <v>114.0</v>
      </c>
      <c r="B115" s="4" t="s">
        <v>13535</v>
      </c>
      <c r="C115" s="4" t="s">
        <v>13536</v>
      </c>
      <c r="D115" s="4" t="s">
        <v>13537</v>
      </c>
      <c r="F115" s="5" t="str">
        <f>IFERROR(__xludf.DUMMYFUNCTION("GOOGLETRANSLATE(A115, ""en"", ""hi"")"),"114")</f>
        <v>114</v>
      </c>
      <c r="G115" s="5" t="str">
        <f>IFERROR(__xludf.DUMMYFUNCTION("GOOGLETRANSLATE(B115, ""en"", ""hi"")"),"मुकना कुश्ती का दस्तावेजीकरण करने के लिए कौन सा ऐतिहासिक व्यक्ति जाना जाता है?")</f>
        <v>मुकना कुश्ती का दस्तावेजीकरण करने के लिए कौन सा ऐतिहासिक व्यक्ति जाना जाता है?</v>
      </c>
      <c r="H115" s="5" t="str">
        <f>IFERROR(__xludf.DUMMYFUNCTION("GOOGLETRANSLATE(C115, ""en"", ""hi"")"),"A) रॉबर्ट गॉर्डन, B) जी. ई. हार्वे, C) ए. बी. जॉर्ज, D) आर. एन. शर्मा")</f>
        <v>A) रॉबर्ट गॉर्डन, B) जी. ई. हार्वे, C) ए. बी. जॉर्ज, D) आर. एन. शर्मा</v>
      </c>
      <c r="I115" s="5" t="str">
        <f>IFERROR(__xludf.DUMMYFUNCTION("GOOGLETRANSLATE(D115, ""en"", ""hi"")"),"बी) जी. ई. हार्वे")</f>
        <v>बी) जी. ई. हार्वे</v>
      </c>
    </row>
    <row r="116" ht="22.5" customHeight="1">
      <c r="A116" s="3">
        <v>115.0</v>
      </c>
      <c r="B116" s="4" t="s">
        <v>13538</v>
      </c>
      <c r="C116" s="4" t="s">
        <v>13539</v>
      </c>
      <c r="D116" s="4" t="s">
        <v>2732</v>
      </c>
      <c r="F116" s="5" t="str">
        <f>IFERROR(__xludf.DUMMYFUNCTION("GOOGLETRANSLATE(A116, ""en"", ""hi"")"),"115")</f>
        <v>115</v>
      </c>
      <c r="G116" s="5" t="str">
        <f>IFERROR(__xludf.DUMMYFUNCTION("GOOGLETRANSLATE(B116, ""en"", ""hi"")"),"मुकना कुश्ती की जड़ें किस प्राचीन भारतीय मार्शल परंपरा में हैं?")</f>
        <v>मुकना कुश्ती की जड़ें किस प्राचीन भारतीय मार्शल परंपरा में हैं?</v>
      </c>
      <c r="H116" s="5" t="str">
        <f>IFERROR(__xludf.DUMMYFUNCTION("GOOGLETRANSLATE(C116, ""en"", ""hi"")"),"ए) कलारीपयट्टु, बी) सिलंबम, सी) गतका, डी) छाऊ")</f>
        <v>ए) कलारीपयट्टु, बी) सिलंबम, सी) गतका, डी) छाऊ</v>
      </c>
      <c r="I116" s="5" t="str">
        <f>IFERROR(__xludf.DUMMYFUNCTION("GOOGLETRANSLATE(D116, ""en"", ""hi"")"),"A) कलारीपयट्टू")</f>
        <v>A) कलारीपयट्टू</v>
      </c>
    </row>
    <row r="117" ht="22.5" customHeight="1">
      <c r="A117" s="3">
        <v>116.0</v>
      </c>
      <c r="B117" s="4" t="s">
        <v>13540</v>
      </c>
      <c r="C117" s="4" t="s">
        <v>13541</v>
      </c>
      <c r="D117" s="4" t="s">
        <v>13542</v>
      </c>
      <c r="F117" s="5" t="str">
        <f>IFERROR(__xludf.DUMMYFUNCTION("GOOGLETRANSLATE(A117, ""en"", ""hi"")"),"116")</f>
        <v>116</v>
      </c>
      <c r="G117" s="5" t="str">
        <f>IFERROR(__xludf.DUMMYFUNCTION("GOOGLETRANSLATE(B117, ""en"", ""hi"")"),"मुकना कुश्ती के पारंपरिक प्रशिक्षण में किस पहलू पर जोर दिया गया था?")</f>
        <v>मुकना कुश्ती के पारंपरिक प्रशिक्षण में किस पहलू पर जोर दिया गया था?</v>
      </c>
      <c r="H117" s="5" t="str">
        <f>IFERROR(__xludf.DUMMYFUNCTION("GOOGLETRANSLATE(C117, ""en"", ""hi"")"),"A) तकनीक, B) गति, C) लचीलापन, D) चपलता")</f>
        <v>A) तकनीक, B) गति, C) लचीलापन, D) चपलता</v>
      </c>
      <c r="I117" s="5" t="str">
        <f>IFERROR(__xludf.DUMMYFUNCTION("GOOGLETRANSLATE(D117, ""en"", ""hi"")"),"ए) तकनीक")</f>
        <v>ए) तकनीक</v>
      </c>
    </row>
    <row r="118" ht="22.5" customHeight="1">
      <c r="A118" s="3">
        <v>117.0</v>
      </c>
      <c r="B118" s="4" t="s">
        <v>13543</v>
      </c>
      <c r="C118" s="4" t="s">
        <v>13544</v>
      </c>
      <c r="D118" s="4" t="s">
        <v>13471</v>
      </c>
      <c r="F118" s="5" t="str">
        <f>IFERROR(__xludf.DUMMYFUNCTION("GOOGLETRANSLATE(A118, ""en"", ""hi"")"),"117")</f>
        <v>117</v>
      </c>
      <c r="G118" s="5" t="str">
        <f>IFERROR(__xludf.DUMMYFUNCTION("GOOGLETRANSLATE(B118, ""en"", ""hi"")"),"पारंपरिक मणिपुरी कला के किस रूप में मुकना कुश्ती को अक्सर दर्शाया जाता है?")</f>
        <v>पारंपरिक मणिपुरी कला के किस रूप में मुकना कुश्ती को अक्सर दर्शाया जाता है?</v>
      </c>
      <c r="H118" s="5" t="str">
        <f>IFERROR(__xludf.DUMMYFUNCTION("GOOGLETRANSLATE(C118, ""en"", ""hi"")"),"A) नृत्य, B) मूर्तिकला, C) चित्रकला, D) संगीत")</f>
        <v>A) नृत्य, B) मूर्तिकला, C) चित्रकला, D) संगीत</v>
      </c>
      <c r="I118" s="5" t="str">
        <f>IFERROR(__xludf.DUMMYFUNCTION("GOOGLETRANSLATE(D118, ""en"", ""hi"")"),"बी) मूर्तिकला")</f>
        <v>बी) मूर्तिकला</v>
      </c>
    </row>
    <row r="119" ht="22.5" customHeight="1">
      <c r="A119" s="3">
        <v>118.0</v>
      </c>
      <c r="B119" s="4" t="s">
        <v>13545</v>
      </c>
      <c r="C119" s="4" t="s">
        <v>13546</v>
      </c>
      <c r="D119" s="4" t="s">
        <v>5645</v>
      </c>
      <c r="F119" s="5" t="str">
        <f>IFERROR(__xludf.DUMMYFUNCTION("GOOGLETRANSLATE(A119, ""en"", ""hi"")"),"118")</f>
        <v>118</v>
      </c>
      <c r="G119" s="5" t="str">
        <f>IFERROR(__xludf.DUMMYFUNCTION("GOOGLETRANSLATE(B119, ""en"", ""hi"")"),"ब्रिटिश शासन के आगमन से मुकना कुश्ती पर क्या प्रभाव पड़ा?")</f>
        <v>ब्रिटिश शासन के आगमन से मुकना कुश्ती पर क्या प्रभाव पड़ा?</v>
      </c>
      <c r="H119" s="5" t="str">
        <f>IFERROR(__xludf.DUMMYFUNCTION("GOOGLETRANSLATE(C119, ""en"", ""hi"")"),"A) इससे उसका पतन हुआ, B) इससे उसका आधुनिकीकरण हुआ, C) इसका कोई प्रभाव नहीं पड़ा, D) इससे उसका विकास हुआ")</f>
        <v>A) इससे उसका पतन हुआ, B) इससे उसका आधुनिकीकरण हुआ, C) इसका कोई प्रभाव नहीं पड़ा, D) इससे उसका विकास हुआ</v>
      </c>
      <c r="I119" s="5" t="str">
        <f>IFERROR(__xludf.DUMMYFUNCTION("GOOGLETRANSLATE(D119, ""en"", ""hi"")"),"A) इससे इसका पतन हुआ")</f>
        <v>A) इससे इसका पतन हुआ</v>
      </c>
    </row>
    <row r="120" ht="22.5" customHeight="1">
      <c r="A120" s="3">
        <v>119.0</v>
      </c>
      <c r="B120" s="4" t="s">
        <v>13547</v>
      </c>
      <c r="C120" s="4" t="s">
        <v>13548</v>
      </c>
      <c r="D120" s="4" t="s">
        <v>4490</v>
      </c>
      <c r="F120" s="5" t="str">
        <f>IFERROR(__xludf.DUMMYFUNCTION("GOOGLETRANSLATE(A120, ""en"", ""hi"")"),"119")</f>
        <v>119</v>
      </c>
      <c r="G120" s="5" t="str">
        <f>IFERROR(__xludf.DUMMYFUNCTION("GOOGLETRANSLATE(B120, ""en"", ""hi"")"),"मुकना कुश्ती के नियम ऐतिहासिक रूप से किस पद्धति के माध्यम से पारित किए गए थे?")</f>
        <v>मुकना कुश्ती के नियम ऐतिहासिक रूप से किस पद्धति के माध्यम से पारित किए गए थे?</v>
      </c>
      <c r="H120" s="5" t="str">
        <f>IFERROR(__xludf.DUMMYFUNCTION("GOOGLETRANSLATE(C120, ""en"", ""hi"")"),"A) लिखित ग्रंथ, B) मौखिक परंपराएँ, C) सार्वजनिक प्रदर्शन, D) शैक्षणिक संस्थान")</f>
        <v>A) लिखित ग्रंथ, B) मौखिक परंपराएँ, C) सार्वजनिक प्रदर्शन, D) शैक्षणिक संस्थान</v>
      </c>
      <c r="I120" s="5" t="str">
        <f>IFERROR(__xludf.DUMMYFUNCTION("GOOGLETRANSLATE(D120, ""en"", ""hi"")"),"बी) मौखिक परंपराएँ")</f>
        <v>बी) मौखिक परंपराएँ</v>
      </c>
    </row>
    <row r="121" ht="22.5" customHeight="1">
      <c r="A121" s="3">
        <v>120.0</v>
      </c>
      <c r="B121" s="4" t="s">
        <v>13549</v>
      </c>
      <c r="C121" s="4" t="s">
        <v>12389</v>
      </c>
      <c r="D121" s="4" t="s">
        <v>12086</v>
      </c>
      <c r="F121" s="5" t="str">
        <f>IFERROR(__xludf.DUMMYFUNCTION("GOOGLETRANSLATE(A121, ""en"", ""hi"")"),"120")</f>
        <v>120</v>
      </c>
      <c r="G121" s="5" t="str">
        <f>IFERROR(__xludf.DUMMYFUNCTION("GOOGLETRANSLATE(B121, ""en"", ""hi"")"),"किस पारंपरिक मणिपुरी प्रतियोगिता को मुकना कुश्ती का अग्रदूत माना जाता है?")</f>
        <v>किस पारंपरिक मणिपुरी प्रतियोगिता को मुकना कुश्ती का अग्रदूत माना जाता है?</v>
      </c>
      <c r="H121" s="5" t="str">
        <f>IFERROR(__xludf.DUMMYFUNCTION("GOOGLETRANSLATE(C121, ""en"", ""hi"")"),"ए) लाई हराओबा, बी) याओशांग, सी) निंगोल चाकोउबा, डी) चेइराओबा")</f>
        <v>ए) लाई हराओबा, बी) याओशांग, सी) निंगोल चाकोउबा, डी) चेइराओबा</v>
      </c>
      <c r="I121" s="5" t="str">
        <f>IFERROR(__xludf.DUMMYFUNCTION("GOOGLETRANSLATE(D121, ""en"", ""hi"")"),"A) लाई हरोबा")</f>
        <v>A) लाई हरोबा</v>
      </c>
    </row>
    <row r="122" ht="22.5" customHeight="1">
      <c r="A122" s="3">
        <v>121.0</v>
      </c>
      <c r="B122" s="4" t="s">
        <v>13550</v>
      </c>
      <c r="C122" s="4" t="s">
        <v>13551</v>
      </c>
      <c r="D122" s="4" t="s">
        <v>13552</v>
      </c>
      <c r="F122" s="5" t="str">
        <f>IFERROR(__xludf.DUMMYFUNCTION("GOOGLETRANSLATE(A122, ""en"", ""hi"")"),"121")</f>
        <v>121</v>
      </c>
      <c r="G122" s="5" t="str">
        <f>IFERROR(__xludf.DUMMYFUNCTION("GOOGLETRANSLATE(B122, ""en"", ""hi"")"),"20वीं सदी के दौरान मुकना कुश्ती में क्या महत्वपूर्ण परिवर्तन आया?")</f>
        <v>20वीं सदी के दौरान मुकना कुश्ती में क्या महत्वपूर्ण परिवर्तन आया?</v>
      </c>
      <c r="H122" s="5" t="str">
        <f>IFERROR(__xludf.DUMMYFUNCTION("GOOGLETRANSLATE(C122, ""en"", ""hi"")"),"A) एक खेल के रूप में इसका औपचारिकरण, B) इसकी लोकप्रियता में गिरावट, C) अंतर्राष्ट्रीय नियमों के प्रति इसका अनुकूलन, D) वैश्विक दर्शकों के लिए इसका परिचय")</f>
        <v>A) एक खेल के रूप में इसका औपचारिकरण, B) इसकी लोकप्रियता में गिरावट, C) अंतर्राष्ट्रीय नियमों के प्रति इसका अनुकूलन, D) वैश्विक दर्शकों के लिए इसका परिचय</v>
      </c>
      <c r="I122" s="5" t="str">
        <f>IFERROR(__xludf.DUMMYFUNCTION("GOOGLETRANSLATE(D122, ""en"", ""hi"")"),"A) एक खेल के रूप में इसका औपचारिकीकरण")</f>
        <v>A) एक खेल के रूप में इसका औपचारिकीकरण</v>
      </c>
    </row>
    <row r="123" ht="22.5" customHeight="1">
      <c r="A123" s="3">
        <v>122.0</v>
      </c>
      <c r="B123" s="4" t="s">
        <v>13553</v>
      </c>
      <c r="C123" s="4" t="s">
        <v>13554</v>
      </c>
      <c r="D123" s="4" t="s">
        <v>13474</v>
      </c>
      <c r="F123" s="5" t="str">
        <f>IFERROR(__xludf.DUMMYFUNCTION("GOOGLETRANSLATE(A123, ""en"", ""hi"")"),"122")</f>
        <v>122</v>
      </c>
      <c r="G123" s="5" t="str">
        <f>IFERROR(__xludf.DUMMYFUNCTION("GOOGLETRANSLATE(B123, ""en"", ""hi"")"),"निम्नलिखित में से किस ऐतिहासिक ग्रंथ में मुकना कुश्ती का वर्णन मिलता है?")</f>
        <v>निम्नलिखित में से किस ऐतिहासिक ग्रंथ में मुकना कुश्ती का वर्णन मिलता है?</v>
      </c>
      <c r="H123" s="5" t="str">
        <f>IFERROR(__xludf.DUMMYFUNCTION("GOOGLETRANSLATE(C123, ""en"", ""hi"")"),"ए) बुरांजी, बी) महाभारत, सी) रामायण, डी) मनुस्मृति")</f>
        <v>ए) बुरांजी, बी) महाभारत, सी) रामायण, डी) मनुस्मृति</v>
      </c>
      <c r="I123" s="5" t="str">
        <f>IFERROR(__xludf.DUMMYFUNCTION("GOOGLETRANSLATE(D123, ""en"", ""hi"")"),"ए) बुरांजी")</f>
        <v>ए) बुरांजी</v>
      </c>
    </row>
    <row r="124" ht="22.5" customHeight="1">
      <c r="A124" s="3">
        <v>123.0</v>
      </c>
      <c r="B124" s="4" t="s">
        <v>13555</v>
      </c>
      <c r="C124" s="4" t="s">
        <v>13556</v>
      </c>
      <c r="D124" s="4" t="s">
        <v>12759</v>
      </c>
      <c r="F124" s="5" t="str">
        <f>IFERROR(__xludf.DUMMYFUNCTION("GOOGLETRANSLATE(A124, ""en"", ""hi"")"),"123")</f>
        <v>123</v>
      </c>
      <c r="G124" s="5" t="str">
        <f>IFERROR(__xludf.DUMMYFUNCTION("GOOGLETRANSLATE(B124, ""en"", ""hi"")"),"कौन सा पारंपरिक मणिपुरी समुदाय मुकना कुश्ती प्रथाओं के संरक्षण के लिए जाना जाता है?")</f>
        <v>कौन सा पारंपरिक मणिपुरी समुदाय मुकना कुश्ती प्रथाओं के संरक्षण के लिए जाना जाता है?</v>
      </c>
      <c r="H124" s="5" t="str">
        <f>IFERROR(__xludf.DUMMYFUNCTION("GOOGLETRANSLATE(C124, ""en"", ""hi"")"),"ए) मैतेई, बी) कुकी, सी) नागा, डी) मिज़ो")</f>
        <v>ए) मैतेई, बी) कुकी, सी) नागा, डी) मिज़ो</v>
      </c>
      <c r="I124" s="5" t="str">
        <f>IFERROR(__xludf.DUMMYFUNCTION("GOOGLETRANSLATE(D124, ""en"", ""hi"")"),"ए) मेइतेई")</f>
        <v>ए) मेइतेई</v>
      </c>
    </row>
    <row r="125" ht="22.5" customHeight="1">
      <c r="A125" s="3">
        <v>124.0</v>
      </c>
      <c r="B125" s="4" t="s">
        <v>13557</v>
      </c>
      <c r="C125" s="4" t="s">
        <v>13558</v>
      </c>
      <c r="D125" s="4" t="s">
        <v>13559</v>
      </c>
      <c r="F125" s="5" t="str">
        <f>IFERROR(__xludf.DUMMYFUNCTION("GOOGLETRANSLATE(A125, ""en"", ""hi"")"),"124")</f>
        <v>124</v>
      </c>
      <c r="G125" s="5" t="str">
        <f>IFERROR(__xludf.DUMMYFUNCTION("GOOGLETRANSLATE(B125, ""en"", ""hi"")"),"मुकना कुश्ती पारंपरिक रूप से किस प्रकार के मणिपुरी त्योहार से जुड़ी हुई है?")</f>
        <v>मुकना कुश्ती पारंपरिक रूप से किस प्रकार के मणिपुरी त्योहार से जुड़ी हुई है?</v>
      </c>
      <c r="H125" s="5" t="str">
        <f>IFERROR(__xludf.DUMMYFUNCTION("GOOGLETRANSLATE(C125, ""en"", ""hi"")"),"A) कृषि त्यौहार, B) धार्मिक त्यौहार, C) राजनीतिक त्यौहार, D) शैक्षिक त्यौहार")</f>
        <v>A) कृषि त्यौहार, B) धार्मिक त्यौहार, C) राजनीतिक त्यौहार, D) शैक्षिक त्यौहार</v>
      </c>
      <c r="I125" s="5" t="str">
        <f>IFERROR(__xludf.DUMMYFUNCTION("GOOGLETRANSLATE(D125, ""en"", ""hi"")"),"बी) धार्मिक त्योहार")</f>
        <v>बी) धार्मिक त्योहार</v>
      </c>
    </row>
    <row r="126" ht="22.5" customHeight="1">
      <c r="A126" s="3">
        <v>125.0</v>
      </c>
      <c r="B126" s="4" t="s">
        <v>13560</v>
      </c>
      <c r="C126" s="4" t="s">
        <v>13561</v>
      </c>
      <c r="D126" s="4" t="s">
        <v>9447</v>
      </c>
      <c r="F126" s="5" t="str">
        <f>IFERROR(__xludf.DUMMYFUNCTION("GOOGLETRANSLATE(A126, ""en"", ""hi"")"),"125")</f>
        <v>125</v>
      </c>
      <c r="G126" s="5" t="str">
        <f>IFERROR(__xludf.DUMMYFUNCTION("GOOGLETRANSLATE(B126, ""en"", ""hi"")"),"पारंपरिक प्रशिक्षण पुस्तिकाओं में मुकना कुश्ती के किस पहलू पर प्रकाश डाला गया था?")</f>
        <v>पारंपरिक प्रशिक्षण पुस्तिकाओं में मुकना कुश्ती के किस पहलू पर प्रकाश डाला गया था?</v>
      </c>
      <c r="H126" s="5" t="str">
        <f>IFERROR(__xludf.DUMMYFUNCTION("GOOGLETRANSLATE(C126, ""en"", ""hi"")"),"ए) युद्ध तकनीक, बी) प्रशिक्षण व्यवस्था, सी) ऐतिहासिक संदर्भ, डी) पोशाक विशिष्टताएँ")</f>
        <v>ए) युद्ध तकनीक, बी) प्रशिक्षण व्यवस्था, सी) ऐतिहासिक संदर्भ, डी) पोशाक विशिष्टताएँ</v>
      </c>
      <c r="I126" s="5" t="str">
        <f>IFERROR(__xludf.DUMMYFUNCTION("GOOGLETRANSLATE(D126, ""en"", ""hi"")"),"A) युद्ध तकनीकें")</f>
        <v>A) युद्ध तकनीकें</v>
      </c>
    </row>
    <row r="127" ht="22.5" customHeight="1">
      <c r="A127" s="3">
        <v>126.0</v>
      </c>
      <c r="B127" s="4" t="s">
        <v>13562</v>
      </c>
      <c r="C127" s="4" t="s">
        <v>13563</v>
      </c>
      <c r="D127" s="4" t="s">
        <v>13564</v>
      </c>
      <c r="F127" s="5" t="str">
        <f>IFERROR(__xludf.DUMMYFUNCTION("GOOGLETRANSLATE(A127, ""en"", ""hi"")"),"126")</f>
        <v>126</v>
      </c>
      <c r="G127" s="5" t="str">
        <f>IFERROR(__xludf.DUMMYFUNCTION("GOOGLETRANSLATE(B127, ""en"", ""hi"")"),"मुकना कुश्ती ऐतिहासिक रूप से किस प्रकार की मणिपुरी सामाजिक सभा से जुड़ी है?")</f>
        <v>मुकना कुश्ती ऐतिहासिक रूप से किस प्रकार की मणिपुरी सामाजिक सभा से जुड़ी है?</v>
      </c>
      <c r="H127" s="5" t="str">
        <f>IFERROR(__xludf.DUMMYFUNCTION("GOOGLETRANSLATE(C127, ""en"", ""hi"")"),"A) पारिवारिक समारोह, B) ग्राम उत्सव, C) राजनीतिक सभाएँ, D) धार्मिक समारोह")</f>
        <v>A) पारिवारिक समारोह, B) ग्राम उत्सव, C) राजनीतिक सभाएँ, D) धार्मिक समारोह</v>
      </c>
      <c r="I127" s="5" t="str">
        <f>IFERROR(__xludf.DUMMYFUNCTION("GOOGLETRANSLATE(D127, ""en"", ""hi"")"),"बी) गांव के त्यौहार")</f>
        <v>बी) गांव के त्यौहार</v>
      </c>
    </row>
    <row r="128" ht="22.5" customHeight="1">
      <c r="A128" s="3">
        <v>127.0</v>
      </c>
      <c r="B128" s="4" t="s">
        <v>13565</v>
      </c>
      <c r="C128" s="4" t="s">
        <v>13566</v>
      </c>
      <c r="D128" s="4" t="s">
        <v>13567</v>
      </c>
      <c r="F128" s="5" t="str">
        <f>IFERROR(__xludf.DUMMYFUNCTION("GOOGLETRANSLATE(A128, ""en"", ""hi"")"),"127")</f>
        <v>127</v>
      </c>
      <c r="G128" s="5" t="str">
        <f>IFERROR(__xludf.DUMMYFUNCTION("GOOGLETRANSLATE(B128, ""en"", ""hi"")"),"निम्नलिखित में से कौन सा मणिपुर में मुकना कुश्ती के ऐतिहासिक महत्व का सबसे अच्छा वर्णन करता है?")</f>
        <v>निम्नलिखित में से कौन सा मणिपुर में मुकना कुश्ती के ऐतिहासिक महत्व का सबसे अच्छा वर्णन करता है?</v>
      </c>
      <c r="H128" s="5" t="str">
        <f>IFERROR(__xludf.DUMMYFUNCTION("GOOGLETRANSLATE(C128, ""en"", ""hi"")"),"A) यह सैन्य प्रशिक्षण का एक रूप था, B) यह मनोरंजन का एक रूप था, C) यह अनुष्ठानिक अभ्यास का एक रूप था, D) यह आर्थिक विनिमय का एक रूप था")</f>
        <v>A) यह सैन्य प्रशिक्षण का एक रूप था, B) यह मनोरंजन का एक रूप था, C) यह अनुष्ठानिक अभ्यास का एक रूप था, D) यह आर्थिक विनिमय का एक रूप था</v>
      </c>
      <c r="I128" s="5" t="str">
        <f>IFERROR(__xludf.DUMMYFUNCTION("GOOGLETRANSLATE(D128, ""en"", ""hi"")"),"C) यह एक प्रकार की कर्मकाण्डीय प्रथा थी")</f>
        <v>C) यह एक प्रकार की कर्मकाण्डीय प्रथा थी</v>
      </c>
    </row>
    <row r="129" ht="22.5" customHeight="1">
      <c r="A129" s="3">
        <v>128.0</v>
      </c>
      <c r="B129" s="4" t="s">
        <v>13568</v>
      </c>
      <c r="C129" s="4" t="s">
        <v>13569</v>
      </c>
      <c r="D129" s="4" t="s">
        <v>12006</v>
      </c>
      <c r="F129" s="5" t="str">
        <f>IFERROR(__xludf.DUMMYFUNCTION("GOOGLETRANSLATE(A129, ""en"", ""hi"")"),"128")</f>
        <v>128</v>
      </c>
      <c r="G129" s="5" t="str">
        <f>IFERROR(__xludf.DUMMYFUNCTION("GOOGLETRANSLATE(B129, ""en"", ""hi"")"),"किस मणिपुरी राजा ने मुकना कुश्ती के संरक्षण में महत्वपूर्ण भूमिका निभाई?")</f>
        <v>किस मणिपुरी राजा ने मुकना कुश्ती के संरक्षण में महत्वपूर्ण भूमिका निभाई?</v>
      </c>
      <c r="H129" s="5" t="str">
        <f>IFERROR(__xludf.DUMMYFUNCTION("GOOGLETRANSLATE(C129, ""en"", ""hi"")"),"ए) महाराजा चूड़ाचंद सिंह, बी) महाराजा भाग्यचंद्र सिंह, सी) महाराजा बोधचंद्र सिंह, डी) महाराजा गंभीर सिंह")</f>
        <v>ए) महाराजा चूड़ाचंद सिंह, बी) महाराजा भाग्यचंद्र सिंह, सी) महाराजा बोधचंद्र सिंह, डी) महाराजा गंभीर सिंह</v>
      </c>
      <c r="I129" s="5" t="str">
        <f>IFERROR(__xludf.DUMMYFUNCTION("GOOGLETRANSLATE(D129, ""en"", ""hi"")"),"D) महाराजा गंभीर सिंह")</f>
        <v>D) महाराजा गंभीर सिंह</v>
      </c>
    </row>
    <row r="130" ht="22.5" customHeight="1">
      <c r="A130" s="3">
        <v>129.0</v>
      </c>
      <c r="B130" s="4" t="s">
        <v>13570</v>
      </c>
      <c r="C130" s="4" t="s">
        <v>13571</v>
      </c>
      <c r="D130" s="4" t="s">
        <v>13572</v>
      </c>
      <c r="F130" s="5" t="str">
        <f>IFERROR(__xludf.DUMMYFUNCTION("GOOGLETRANSLATE(A130, ""en"", ""hi"")"),"129")</f>
        <v>129</v>
      </c>
      <c r="G130" s="5" t="str">
        <f>IFERROR(__xludf.DUMMYFUNCTION("GOOGLETRANSLATE(B130, ""en"", ""hi"")"),"किस प्राचीन मणिपुरी ग्रंथ में मुकना कुश्ती तकनीक का वर्णन किया गया है?")</f>
        <v>किस प्राचीन मणिपुरी ग्रंथ में मुकना कुश्ती तकनीक का वर्णन किया गया है?</v>
      </c>
      <c r="H130" s="5" t="str">
        <f>IFERROR(__xludf.DUMMYFUNCTION("GOOGLETRANSLATE(C130, ""en"", ""hi"")"),"ए) राजमाला, बी) बुरांजी, सी) मनुस्मृति, डी) वेद")</f>
        <v>ए) राजमाला, बी) बुरांजी, सी) मनुस्मृति, डी) वेद</v>
      </c>
      <c r="I130" s="5" t="str">
        <f>IFERROR(__xludf.DUMMYFUNCTION("GOOGLETRANSLATE(D130, ""en"", ""hi"")"),"बी) बुरांजी")</f>
        <v>बी) बुरांजी</v>
      </c>
    </row>
    <row r="131" ht="22.5" customHeight="1">
      <c r="A131" s="3">
        <v>130.0</v>
      </c>
      <c r="B131" s="4" t="s">
        <v>13573</v>
      </c>
      <c r="C131" s="4" t="s">
        <v>13574</v>
      </c>
      <c r="D131" s="4" t="s">
        <v>7651</v>
      </c>
      <c r="F131" s="5" t="str">
        <f>IFERROR(__xludf.DUMMYFUNCTION("GOOGLETRANSLATE(A131, ""en"", ""hi"")"),"130")</f>
        <v>130</v>
      </c>
      <c r="G131" s="5" t="str">
        <f>IFERROR(__xludf.DUMMYFUNCTION("GOOGLETRANSLATE(B131, ""en"", ""hi"")"),"किस काल में बाहरी प्रभावों के कारण मुकना कुश्ती की प्रथा में गिरावट देखी गई?")</f>
        <v>किस काल में बाहरी प्रभावों के कारण मुकना कुश्ती की प्रथा में गिरावट देखी गई?</v>
      </c>
      <c r="H131" s="5" t="str">
        <f>IFERROR(__xludf.DUMMYFUNCTION("GOOGLETRANSLATE(C131, ""en"", ""hi"")"),"A) औपनिवेशिक काल, B) मध्यकाल, C) स्वतंत्रता के बाद का काल, D) प्राचीन काल")</f>
        <v>A) औपनिवेशिक काल, B) मध्यकाल, C) स्वतंत्रता के बाद का काल, D) प्राचीन काल</v>
      </c>
      <c r="I131" s="5" t="str">
        <f>IFERROR(__xludf.DUMMYFUNCTION("GOOGLETRANSLATE(D131, ""en"", ""hi"")"),"A) औपनिवेशिक काल")</f>
        <v>A) औपनिवेशिक काल</v>
      </c>
    </row>
    <row r="132" ht="22.5" customHeight="1">
      <c r="A132" s="3">
        <v>131.0</v>
      </c>
      <c r="B132" s="4" t="s">
        <v>13575</v>
      </c>
      <c r="C132" s="4" t="s">
        <v>13576</v>
      </c>
      <c r="D132" s="4" t="s">
        <v>13577</v>
      </c>
      <c r="F132" s="5" t="str">
        <f>IFERROR(__xludf.DUMMYFUNCTION("GOOGLETRANSLATE(A132, ""en"", ""hi"")"),"131")</f>
        <v>131</v>
      </c>
      <c r="G132" s="5" t="str">
        <f>IFERROR(__xludf.DUMMYFUNCTION("GOOGLETRANSLATE(B132, ""en"", ""hi"")"),"पारंपरिक मुकना कुश्ती पोशाक की मुख्य विशेषता क्या है?")</f>
        <v>पारंपरिक मुकना कुश्ती पोशाक की मुख्य विशेषता क्या है?</v>
      </c>
      <c r="H132" s="5" t="str">
        <f>IFERROR(__xludf.DUMMYFUNCTION("GOOGLETRANSLATE(C132, ""en"", ""hi"")"),"A) हल्के कपड़े, B) भारी कवच, C) आधुनिक खेलकूद के कपड़े, D) सजावटी अलंकरण")</f>
        <v>A) हल्के कपड़े, B) भारी कवच, C) आधुनिक खेलकूद के कपड़े, D) सजावटी अलंकरण</v>
      </c>
      <c r="I132" s="5" t="str">
        <f>IFERROR(__xludf.DUMMYFUNCTION("GOOGLETRANSLATE(D132, ""en"", ""hi"")"),"A) हल्के कपड़े")</f>
        <v>A) हल्के कपड़े</v>
      </c>
    </row>
    <row r="133" ht="22.5" customHeight="1">
      <c r="A133" s="3">
        <v>132.0</v>
      </c>
      <c r="B133" s="4" t="s">
        <v>13578</v>
      </c>
      <c r="C133" s="4" t="s">
        <v>13556</v>
      </c>
      <c r="D133" s="4" t="s">
        <v>12759</v>
      </c>
      <c r="F133" s="5" t="str">
        <f>IFERROR(__xludf.DUMMYFUNCTION("GOOGLETRANSLATE(A133, ""en"", ""hi"")"),"132")</f>
        <v>132</v>
      </c>
      <c r="G133" s="5" t="str">
        <f>IFERROR(__xludf.DUMMYFUNCTION("GOOGLETRANSLATE(B133, ""en"", ""hi"")"),"मणिपुर में कौन सा समुदाय मुकना कुश्ती में अपनी विशेषज्ञता के लिए सबसे प्रसिद्ध है?")</f>
        <v>मणिपुर में कौन सा समुदाय मुकना कुश्ती में अपनी विशेषज्ञता के लिए सबसे प्रसिद्ध है?</v>
      </c>
      <c r="H133" s="5" t="str">
        <f>IFERROR(__xludf.DUMMYFUNCTION("GOOGLETRANSLATE(C133, ""en"", ""hi"")"),"ए) मैतेई, बी) कुकी, सी) नागा, डी) मिज़ो")</f>
        <v>ए) मैतेई, बी) कुकी, सी) नागा, डी) मिज़ो</v>
      </c>
      <c r="I133" s="5" t="str">
        <f>IFERROR(__xludf.DUMMYFUNCTION("GOOGLETRANSLATE(D133, ""en"", ""hi"")"),"ए) मेइतेई")</f>
        <v>ए) मेइतेई</v>
      </c>
    </row>
    <row r="134" ht="22.5" customHeight="1">
      <c r="A134" s="3">
        <v>133.0</v>
      </c>
      <c r="B134" s="4" t="s">
        <v>13579</v>
      </c>
      <c r="C134" s="4" t="s">
        <v>13580</v>
      </c>
      <c r="D134" s="4" t="s">
        <v>13581</v>
      </c>
      <c r="F134" s="5" t="str">
        <f>IFERROR(__xludf.DUMMYFUNCTION("GOOGLETRANSLATE(A134, ""en"", ""hi"")"),"133")</f>
        <v>133</v>
      </c>
      <c r="G134" s="5" t="str">
        <f>IFERROR(__xludf.DUMMYFUNCTION("GOOGLETRANSLATE(B134, ""en"", ""hi"")"),"मुकना कुश्ती पारंपरिक रूप से किस प्रकार की गतिविधियों की तैयारी के रूप में प्रयोग की जाती थी?")</f>
        <v>मुकना कुश्ती पारंपरिक रूप से किस प्रकार की गतिविधियों की तैयारी के रूप में प्रयोग की जाती थी?</v>
      </c>
      <c r="H134" s="5" t="str">
        <f>IFERROR(__xludf.DUMMYFUNCTION("GOOGLETRANSLATE(C134, ""en"", ""hi"")"),"A) औपचारिक कार्यक्रम, B) सैन्य कार्यक्रम, C) राजनयिक मिशन, D) वाणिज्यिक लेनदेन")</f>
        <v>A) औपचारिक कार्यक्रम, B) सैन्य कार्यक्रम, C) राजनयिक मिशन, D) वाणिज्यिक लेनदेन</v>
      </c>
      <c r="I134" s="5" t="str">
        <f>IFERROR(__xludf.DUMMYFUNCTION("GOOGLETRANSLATE(D134, ""en"", ""hi"")"),"बी) सैन्य संलग्नता")</f>
        <v>बी) सैन्य संलग्नता</v>
      </c>
    </row>
    <row r="135" ht="22.5" customHeight="1">
      <c r="A135" s="3">
        <v>134.0</v>
      </c>
      <c r="B135" s="4" t="s">
        <v>13582</v>
      </c>
      <c r="C135" s="4" t="s">
        <v>12793</v>
      </c>
      <c r="D135" s="4" t="s">
        <v>12794</v>
      </c>
      <c r="F135" s="5" t="str">
        <f>IFERROR(__xludf.DUMMYFUNCTION("GOOGLETRANSLATE(A135, ""en"", ""hi"")"),"134")</f>
        <v>134</v>
      </c>
      <c r="G135" s="5" t="str">
        <f>IFERROR(__xludf.DUMMYFUNCTION("GOOGLETRANSLATE(B135, ""en"", ""hi"")"),"कौन सा त्यौहार अपने पारंपरिक मुकना कुश्ती मैचों के लिए जाना जाता है?")</f>
        <v>कौन सा त्यौहार अपने पारंपरिक मुकना कुश्ती मैचों के लिए जाना जाता है?</v>
      </c>
      <c r="H135" s="5" t="str">
        <f>IFERROR(__xludf.DUMMYFUNCTION("GOOGLETRANSLATE(C135, ""en"", ""hi"")"),"ए) याओशांग, बी) लाई हराओबा, सी) निंगोल चाकोउबा, डी) चेइराओबा")</f>
        <v>ए) याओशांग, बी) लाई हराओबा, सी) निंगोल चाकोउबा, डी) चेइराओबा</v>
      </c>
      <c r="I135" s="5" t="str">
        <f>IFERROR(__xludf.DUMMYFUNCTION("GOOGLETRANSLATE(D135, ""en"", ""hi"")"),"बी) लाई हरोबा")</f>
        <v>बी) लाई हरोबा</v>
      </c>
    </row>
    <row r="136" ht="22.5" customHeight="1">
      <c r="A136" s="3">
        <v>135.0</v>
      </c>
      <c r="B136" s="4" t="s">
        <v>13583</v>
      </c>
      <c r="C136" s="4" t="s">
        <v>13584</v>
      </c>
      <c r="D136" s="4" t="s">
        <v>13474</v>
      </c>
      <c r="F136" s="5" t="str">
        <f>IFERROR(__xludf.DUMMYFUNCTION("GOOGLETRANSLATE(A136, ""en"", ""hi"")"),"135")</f>
        <v>135</v>
      </c>
      <c r="G136" s="5" t="str">
        <f>IFERROR(__xludf.DUMMYFUNCTION("GOOGLETRANSLATE(B136, ""en"", ""hi"")"),"कौन सा ऐतिहासिक दस्तावेज मणिपुर में मुकना कुश्ती प्रथाओं के बारे में जानकारी प्रदान करता है?")</f>
        <v>कौन सा ऐतिहासिक दस्तावेज मणिपुर में मुकना कुश्ती प्रथाओं के बारे में जानकारी प्रदान करता है?</v>
      </c>
      <c r="H136" s="5" t="str">
        <f>IFERROR(__xludf.DUMMYFUNCTION("GOOGLETRANSLATE(C136, ""en"", ""hi"")"),"ए) बुरांजी, बी) मनुस्मृति, सी) अर्थशास्त्र, डी) वेद")</f>
        <v>ए) बुरांजी, बी) मनुस्मृति, सी) अर्थशास्त्र, डी) वेद</v>
      </c>
      <c r="I136" s="5" t="str">
        <f>IFERROR(__xludf.DUMMYFUNCTION("GOOGLETRANSLATE(D136, ""en"", ""hi"")"),"ए) बुरांजी")</f>
        <v>ए) बुरांजी</v>
      </c>
    </row>
    <row r="137" ht="22.5" customHeight="1">
      <c r="A137" s="3">
        <v>136.0</v>
      </c>
      <c r="B137" s="4" t="s">
        <v>13585</v>
      </c>
      <c r="C137" s="4" t="s">
        <v>13586</v>
      </c>
      <c r="D137" s="4" t="s">
        <v>13587</v>
      </c>
      <c r="F137" s="5" t="str">
        <f>IFERROR(__xludf.DUMMYFUNCTION("GOOGLETRANSLATE(A137, ""en"", ""hi"")"),"136")</f>
        <v>136</v>
      </c>
      <c r="G137" s="5" t="str">
        <f>IFERROR(__xludf.DUMMYFUNCTION("GOOGLETRANSLATE(B137, ""en"", ""hi"")"),"मुकना कुश्ती को किस पारंपरिक मणिपुरी कला रूप में चित्रित किया गया है?")</f>
        <v>मुकना कुश्ती को किस पारंपरिक मणिपुरी कला रूप में चित्रित किया गया है?</v>
      </c>
      <c r="H137" s="5" t="str">
        <f>IFERROR(__xludf.DUMMYFUNCTION("GOOGLETRANSLATE(C137, ""en"", ""hi"")"),"A) नृत्य, B) संगीत, C) मूर्तिकला, D) चित्रकला")</f>
        <v>A) नृत्य, B) संगीत, C) मूर्तिकला, D) चित्रकला</v>
      </c>
      <c r="I137" s="5" t="str">
        <f>IFERROR(__xludf.DUMMYFUNCTION("GOOGLETRANSLATE(D137, ""en"", ""hi"")"),"सी) मूर्तिकला")</f>
        <v>सी) मूर्तिकला</v>
      </c>
    </row>
    <row r="138" ht="22.5" customHeight="1">
      <c r="A138" s="3">
        <v>137.0</v>
      </c>
      <c r="B138" s="4" t="s">
        <v>13588</v>
      </c>
      <c r="C138" s="4" t="s">
        <v>13589</v>
      </c>
      <c r="D138" s="4" t="s">
        <v>13590</v>
      </c>
      <c r="F138" s="5" t="str">
        <f>IFERROR(__xludf.DUMMYFUNCTION("GOOGLETRANSLATE(A138, ""en"", ""hi"")"),"137")</f>
        <v>137</v>
      </c>
      <c r="G138" s="5" t="str">
        <f>IFERROR(__xludf.DUMMYFUNCTION("GOOGLETRANSLATE(B138, ""en"", ""hi"")"),"औपनिवेशिक काल में मुकना कुश्ती के सामने सबसे बड़ी चुनौती क्या थी?")</f>
        <v>औपनिवेशिक काल में मुकना कुश्ती के सामने सबसे बड़ी चुनौती क्या थी?</v>
      </c>
      <c r="H138" s="5" t="str">
        <f>IFERROR(__xludf.DUMMYFUNCTION("GOOGLETRANSLATE(C138, ""en"", ""hi"")"),"A) औपनिवेशिक अधिकारियों द्वारा दमन, B) पारंपरिक तकनीकों का ह्रास, C) सार्वजनिक रुचि में गिरावट, D) अन्य खेलों से बढ़ती प्रतिस्पर्धा")</f>
        <v>A) औपनिवेशिक अधिकारियों द्वारा दमन, B) पारंपरिक तकनीकों का ह्रास, C) सार्वजनिक रुचि में गिरावट, D) अन्य खेलों से बढ़ती प्रतिस्पर्धा</v>
      </c>
      <c r="I138" s="5" t="str">
        <f>IFERROR(__xludf.DUMMYFUNCTION("GOOGLETRANSLATE(D138, ""en"", ""hi"")"),"A) औपनिवेशिक अधिकारियों द्वारा दमन")</f>
        <v>A) औपनिवेशिक अधिकारियों द्वारा दमन</v>
      </c>
    </row>
    <row r="139" ht="22.5" customHeight="1">
      <c r="A139" s="3">
        <v>138.0</v>
      </c>
      <c r="B139" s="4" t="s">
        <v>13591</v>
      </c>
      <c r="C139" s="4" t="s">
        <v>13592</v>
      </c>
      <c r="D139" s="4" t="s">
        <v>3665</v>
      </c>
      <c r="F139" s="5" t="str">
        <f>IFERROR(__xludf.DUMMYFUNCTION("GOOGLETRANSLATE(A139, ""en"", ""hi"")"),"138")</f>
        <v>138</v>
      </c>
      <c r="G139" s="5" t="str">
        <f>IFERROR(__xludf.DUMMYFUNCTION("GOOGLETRANSLATE(B139, ""en"", ""hi"")"),"मुकना कुश्ती में पहलवानों के प्रशिक्षण का पारंपरिक रूप से केन्द्र बिन्दु क्या था?")</f>
        <v>मुकना कुश्ती में पहलवानों के प्रशिक्षण का पारंपरिक रूप से केन्द्र बिन्दु क्या था?</v>
      </c>
      <c r="H139" s="5" t="str">
        <f>IFERROR(__xludf.DUMMYFUNCTION("GOOGLETRANSLATE(C139, ""en"", ""hi"")"),"A) युद्ध कौशल, B) गति और चपलता, C) शक्ति और सहनशक्ति, D) रणनीति और रणकौशल")</f>
        <v>A) युद्ध कौशल, B) गति और चपलता, C) शक्ति और सहनशक्ति, D) रणनीति और रणकौशल</v>
      </c>
      <c r="I139" s="5" t="str">
        <f>IFERROR(__xludf.DUMMYFUNCTION("GOOGLETRANSLATE(D139, ""en"", ""hi"")"),"सी) शक्ति और सहनशक्ति")</f>
        <v>सी) शक्ति और सहनशक्ति</v>
      </c>
    </row>
    <row r="140" ht="22.5" customHeight="1">
      <c r="A140" s="3">
        <v>139.0</v>
      </c>
      <c r="B140" s="4" t="s">
        <v>13593</v>
      </c>
      <c r="C140" s="4" t="s">
        <v>13495</v>
      </c>
      <c r="D140" s="4" t="s">
        <v>12006</v>
      </c>
      <c r="F140" s="5" t="str">
        <f>IFERROR(__xludf.DUMMYFUNCTION("GOOGLETRANSLATE(A140, ""en"", ""hi"")"),"139")</f>
        <v>139</v>
      </c>
      <c r="G140" s="5" t="str">
        <f>IFERROR(__xludf.DUMMYFUNCTION("GOOGLETRANSLATE(B140, ""en"", ""hi"")"),"किस मणिपुरी ऐतिहासिक व्यक्ति को मुकना कुश्ती में उनके योगदान के लिए याद किया जाता है?")</f>
        <v>किस मणिपुरी ऐतिहासिक व्यक्ति को मुकना कुश्ती में उनके योगदान के लिए याद किया जाता है?</v>
      </c>
      <c r="H140" s="5" t="str">
        <f>IFERROR(__xludf.DUMMYFUNCTION("GOOGLETRANSLATE(C140, ""en"", ""hi"")"),"ए) महाराजा चूड़ाचंद सिंह, बी) महाराजा बोधचंद्र सिंह, सी) महाराजा भाग्यचंद्र सिंह, डी) महाराजा गंभीर सिंह")</f>
        <v>ए) महाराजा चूड़ाचंद सिंह, बी) महाराजा बोधचंद्र सिंह, सी) महाराजा भाग्यचंद्र सिंह, डी) महाराजा गंभीर सिंह</v>
      </c>
      <c r="I140" s="5" t="str">
        <f>IFERROR(__xludf.DUMMYFUNCTION("GOOGLETRANSLATE(D140, ""en"", ""hi"")"),"D) महाराजा गंभीर सिंह")</f>
        <v>D) महाराजा गंभीर सिंह</v>
      </c>
    </row>
    <row r="141" ht="22.5" customHeight="1">
      <c r="A141" s="3">
        <v>140.0</v>
      </c>
      <c r="B141" s="4" t="s">
        <v>13594</v>
      </c>
      <c r="C141" s="4" t="s">
        <v>13595</v>
      </c>
      <c r="D141" s="4" t="s">
        <v>13596</v>
      </c>
      <c r="F141" s="5" t="str">
        <f>IFERROR(__xludf.DUMMYFUNCTION("GOOGLETRANSLATE(A141, ""en"", ""hi"")"),"140")</f>
        <v>140</v>
      </c>
      <c r="G141" s="5" t="str">
        <f>IFERROR(__xludf.DUMMYFUNCTION("GOOGLETRANSLATE(B141, ""en"", ""hi"")"),"मुकना कुश्ती पारंपरिक रूप से किस प्रकार के मणिपुरी आयोजनों के दौरान की जाती थी?")</f>
        <v>मुकना कुश्ती पारंपरिक रूप से किस प्रकार के मणिपुरी आयोजनों के दौरान की जाती थी?</v>
      </c>
      <c r="H141" s="5" t="str">
        <f>IFERROR(__xludf.DUMMYFUNCTION("GOOGLETRANSLATE(C141, ""en"", ""hi"")"),"A) अनुष्ठानिक त्यौहार, B) राजनीतिक सभाएँ, C) व्यापार मेले, D) शैक्षिक सेमिनार")</f>
        <v>A) अनुष्ठानिक त्यौहार, B) राजनीतिक सभाएँ, C) व्यापार मेले, D) शैक्षिक सेमिनार</v>
      </c>
      <c r="I141" s="5" t="str">
        <f>IFERROR(__xludf.DUMMYFUNCTION("GOOGLETRANSLATE(D141, ""en"", ""hi"")"),"A) अनुष्ठानिक त्यौहार")</f>
        <v>A) अनुष्ठानिक त्यौहार</v>
      </c>
    </row>
    <row r="142" ht="22.5" customHeight="1">
      <c r="A142" s="3">
        <v>141.0</v>
      </c>
      <c r="B142" s="4" t="s">
        <v>13597</v>
      </c>
      <c r="C142" s="4" t="s">
        <v>13598</v>
      </c>
      <c r="D142" s="4" t="s">
        <v>13572</v>
      </c>
      <c r="F142" s="5" t="str">
        <f>IFERROR(__xludf.DUMMYFUNCTION("GOOGLETRANSLATE(A142, ""en"", ""hi"")"),"141")</f>
        <v>141</v>
      </c>
      <c r="G142" s="5" t="str">
        <f>IFERROR(__xludf.DUMMYFUNCTION("GOOGLETRANSLATE(B142, ""en"", ""hi"")"),"कौन सा ऐतिहासिक ग्रंथ मुकना कुश्ती तकनीक और प्रशिक्षण का व्यापक अवलोकन प्रदान करता है?")</f>
        <v>कौन सा ऐतिहासिक ग्रंथ मुकना कुश्ती तकनीक और प्रशिक्षण का व्यापक अवलोकन प्रदान करता है?</v>
      </c>
      <c r="H142" s="5" t="str">
        <f>IFERROR(__xludf.DUMMYFUNCTION("GOOGLETRANSLATE(C142, ""en"", ""hi"")"),"ए) राजमाला, बी) बुरांजी, सी) अर्थशास्त्र, डी) मनुस्मृति")</f>
        <v>ए) राजमाला, बी) बुरांजी, सी) अर्थशास्त्र, डी) मनुस्मृति</v>
      </c>
      <c r="I142" s="5" t="str">
        <f>IFERROR(__xludf.DUMMYFUNCTION("GOOGLETRANSLATE(D142, ""en"", ""hi"")"),"बी) बुरांजी")</f>
        <v>बी) बुरांजी</v>
      </c>
    </row>
    <row r="143" ht="22.5" customHeight="1">
      <c r="A143" s="3">
        <v>142.0</v>
      </c>
      <c r="B143" s="4" t="s">
        <v>13599</v>
      </c>
      <c r="C143" s="4" t="s">
        <v>13600</v>
      </c>
      <c r="D143" s="4" t="s">
        <v>13567</v>
      </c>
      <c r="F143" s="5" t="str">
        <f>IFERROR(__xludf.DUMMYFUNCTION("GOOGLETRANSLATE(A143, ""en"", ""hi"")"),"142")</f>
        <v>142</v>
      </c>
      <c r="G143" s="5" t="str">
        <f>IFERROR(__xludf.DUMMYFUNCTION("GOOGLETRANSLATE(B143, ""en"", ""hi"")"),"मणिपुरी संस्कृति के संदर्भ में मुकना कुश्ती की क्या भूमिका थी?")</f>
        <v>मणिपुरी संस्कृति के संदर्भ में मुकना कुश्ती की क्या भूमिका थी?</v>
      </c>
      <c r="H143" s="5" t="str">
        <f>IFERROR(__xludf.DUMMYFUNCTION("GOOGLETRANSLATE(C143, ""en"", ""hi"")"),"A) यह मनोरंजन का एक रूप था, B) यह सैन्य प्रशिक्षण का एक रूप था, C) यह अनुष्ठानिक अभ्यास का एक रूप था, D) यह व्यापार का एक रूप था")</f>
        <v>A) यह मनोरंजन का एक रूप था, B) यह सैन्य प्रशिक्षण का एक रूप था, C) यह अनुष्ठानिक अभ्यास का एक रूप था, D) यह व्यापार का एक रूप था</v>
      </c>
      <c r="I143" s="5" t="str">
        <f>IFERROR(__xludf.DUMMYFUNCTION("GOOGLETRANSLATE(D143, ""en"", ""hi"")"),"C) यह एक प्रकार की कर्मकाण्डीय प्रथा थी")</f>
        <v>C) यह एक प्रकार की कर्मकाण्डीय प्रथा थी</v>
      </c>
    </row>
    <row r="144" ht="22.5" customHeight="1">
      <c r="A144" s="3">
        <v>143.0</v>
      </c>
      <c r="B144" s="4" t="s">
        <v>13601</v>
      </c>
      <c r="C144" s="4" t="s">
        <v>13602</v>
      </c>
      <c r="D144" s="4" t="s">
        <v>13603</v>
      </c>
      <c r="F144" s="5" t="str">
        <f>IFERROR(__xludf.DUMMYFUNCTION("GOOGLETRANSLATE(A144, ""en"", ""hi"")"),"143")</f>
        <v>143</v>
      </c>
      <c r="G144" s="5" t="str">
        <f>IFERROR(__xludf.DUMMYFUNCTION("GOOGLETRANSLATE(B144, ""en"", ""hi"")"),"किस काल में मुकना कुश्ती को एक औपचारिक खेल के रूप में पुनर्जीवित किया गया?")</f>
        <v>किस काल में मुकना कुश्ती को एक औपचारिक खेल के रूप में पुनर्जीवित किया गया?</v>
      </c>
      <c r="H144" s="5" t="str">
        <f>IFERROR(__xludf.DUMMYFUNCTION("GOOGLETRANSLATE(C144, ""en"", ""hi"")"),"A) 20वीं सदी का प्रारंभ, B) 19वीं सदी का उत्तरार्ध, C) 20वीं सदी का मध्य, D) 21वीं सदी")</f>
        <v>A) 20वीं सदी का प्रारंभ, B) 19वीं सदी का उत्तरार्ध, C) 20वीं सदी का मध्य, D) 21वीं सदी</v>
      </c>
      <c r="I144" s="5" t="str">
        <f>IFERROR(__xludf.DUMMYFUNCTION("GOOGLETRANSLATE(D144, ""en"", ""hi"")"),"A) 20वीं सदी की शुरुआत")</f>
        <v>A) 20वीं सदी की शुरुआत</v>
      </c>
    </row>
    <row r="145" ht="22.5" customHeight="1">
      <c r="A145" s="3">
        <v>144.0</v>
      </c>
      <c r="B145" s="4" t="s">
        <v>13604</v>
      </c>
      <c r="C145" s="4" t="s">
        <v>13605</v>
      </c>
      <c r="D145" s="4" t="s">
        <v>13432</v>
      </c>
      <c r="F145" s="5" t="str">
        <f>IFERROR(__xludf.DUMMYFUNCTION("GOOGLETRANSLATE(A145, ""en"", ""hi"")"),"144")</f>
        <v>144</v>
      </c>
      <c r="G145" s="5" t="str">
        <f>IFERROR(__xludf.DUMMYFUNCTION("GOOGLETRANSLATE(B145, ""en"", ""hi"")"),"पारंपरिक मुकना कुश्ती पोशाक की प्रमुख विशेषताओं में से एक क्या है?")</f>
        <v>पारंपरिक मुकना कुश्ती पोशाक की प्रमुख विशेषताओं में से एक क्या है?</v>
      </c>
      <c r="H145" s="5" t="str">
        <f>IFERROR(__xludf.DUMMYFUNCTION("GOOGLETRANSLATE(C145,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145" s="5" t="str">
        <f>IFERROR(__xludf.DUMMYFUNCTION("GOOGLETRANSLATE(D145, ""en"", ""hi"")"),"A) हल्का और लचीला")</f>
        <v>A) हल्का और लचीला</v>
      </c>
    </row>
    <row r="146" ht="22.5" customHeight="1">
      <c r="A146" s="3">
        <v>145.0</v>
      </c>
      <c r="B146" s="4" t="s">
        <v>13606</v>
      </c>
      <c r="C146" s="4" t="s">
        <v>13607</v>
      </c>
      <c r="D146" s="4" t="s">
        <v>12086</v>
      </c>
      <c r="F146" s="5" t="str">
        <f>IFERROR(__xludf.DUMMYFUNCTION("GOOGLETRANSLATE(A146, ""en"", ""hi"")"),"145")</f>
        <v>145</v>
      </c>
      <c r="G146" s="5" t="str">
        <f>IFERROR(__xludf.DUMMYFUNCTION("GOOGLETRANSLATE(B146, ""en"", ""hi"")"),"मणिपुर का कौन सा त्यौहार पारंपरिक मुकना कुश्ती मैचों से जुड़ा हुआ है?")</f>
        <v>मणिपुर का कौन सा त्यौहार पारंपरिक मुकना कुश्ती मैचों से जुड़ा हुआ है?</v>
      </c>
      <c r="H146" s="5" t="str">
        <f>IFERROR(__xludf.DUMMYFUNCTION("GOOGLETRANSLATE(C146, ""en"", ""hi"")"),"ए) लाई हराओबा, बी) निंगोल चाकोउबा, सी) चेइराओबा, डी) याओशांग")</f>
        <v>ए) लाई हराओबा, बी) निंगोल चाकोउबा, सी) चेइराओबा, डी) याओशांग</v>
      </c>
      <c r="I146" s="5" t="str">
        <f>IFERROR(__xludf.DUMMYFUNCTION("GOOGLETRANSLATE(D146, ""en"", ""hi"")"),"A) लाई हरोबा")</f>
        <v>A) लाई हरोबा</v>
      </c>
    </row>
    <row r="147" ht="22.5" customHeight="1">
      <c r="A147" s="3">
        <v>146.0</v>
      </c>
      <c r="B147" s="4" t="s">
        <v>13608</v>
      </c>
      <c r="C147" s="4" t="s">
        <v>13556</v>
      </c>
      <c r="D147" s="4" t="s">
        <v>12759</v>
      </c>
      <c r="F147" s="5" t="str">
        <f>IFERROR(__xludf.DUMMYFUNCTION("GOOGLETRANSLATE(A147, ""en"", ""hi"")"),"146")</f>
        <v>146</v>
      </c>
      <c r="G147" s="5" t="str">
        <f>IFERROR(__xludf.DUMMYFUNCTION("GOOGLETRANSLATE(B147, ""en"", ""hi"")"),"मणिपुर में कौन सा समुदाय मुकना कुश्ती की ऐतिहासिक प्रथा के लिए जाना जाता है?")</f>
        <v>मणिपुर में कौन सा समुदाय मुकना कुश्ती की ऐतिहासिक प्रथा के लिए जाना जाता है?</v>
      </c>
      <c r="H147" s="5" t="str">
        <f>IFERROR(__xludf.DUMMYFUNCTION("GOOGLETRANSLATE(C147, ""en"", ""hi"")"),"ए) मैतेई, बी) कुकी, सी) नागा, डी) मिज़ो")</f>
        <v>ए) मैतेई, बी) कुकी, सी) नागा, डी) मिज़ो</v>
      </c>
      <c r="I147" s="5" t="str">
        <f>IFERROR(__xludf.DUMMYFUNCTION("GOOGLETRANSLATE(D147, ""en"", ""hi"")"),"ए) मेइतेई")</f>
        <v>ए) मेइतेई</v>
      </c>
    </row>
    <row r="148" ht="22.5" customHeight="1">
      <c r="A148" s="3">
        <v>147.0</v>
      </c>
      <c r="B148" s="4" t="s">
        <v>13609</v>
      </c>
      <c r="C148" s="4" t="s">
        <v>13610</v>
      </c>
      <c r="D148" s="4" t="s">
        <v>13611</v>
      </c>
      <c r="F148" s="5" t="str">
        <f>IFERROR(__xludf.DUMMYFUNCTION("GOOGLETRANSLATE(A148, ""en"", ""hi"")"),"147")</f>
        <v>147</v>
      </c>
      <c r="G148" s="5" t="str">
        <f>IFERROR(__xludf.DUMMYFUNCTION("GOOGLETRANSLATE(B148, ""en"", ""hi"")"),"मुकना कुश्ती प्रथाओं का दस्तावेजीकरण करने का श्रेय किस ऐतिहासिक व्यक्ति को दिया जाता है?")</f>
        <v>मुकना कुश्ती प्रथाओं का दस्तावेजीकरण करने का श्रेय किस ऐतिहासिक व्यक्ति को दिया जाता है?</v>
      </c>
      <c r="H148" s="5" t="str">
        <f>IFERROR(__xludf.DUMMYFUNCTION("GOOGLETRANSLATE(C148, ""en"", ""hi"")"),"A) जी. ई. हार्वे, B) रॉबर्ट गॉर्डन, C) आर. एन. शर्मा, D) ए. बी. जॉर्ज")</f>
        <v>A) जी. ई. हार्वे, B) रॉबर्ट गॉर्डन, C) आर. एन. शर्मा, D) ए. बी. जॉर्ज</v>
      </c>
      <c r="I148" s="5" t="str">
        <f>IFERROR(__xludf.DUMMYFUNCTION("GOOGLETRANSLATE(D148, ""en"", ""hi"")"),"A) जी. ई. हार्वे")</f>
        <v>A) जी. ई. हार्वे</v>
      </c>
    </row>
    <row r="149" ht="22.5" customHeight="1">
      <c r="A149" s="3">
        <v>148.0</v>
      </c>
      <c r="B149" s="4" t="s">
        <v>13612</v>
      </c>
      <c r="C149" s="4" t="s">
        <v>13613</v>
      </c>
      <c r="D149" s="4" t="s">
        <v>13614</v>
      </c>
      <c r="F149" s="5" t="str">
        <f>IFERROR(__xludf.DUMMYFUNCTION("GOOGLETRANSLATE(A149, ""en"", ""hi"")"),"148")</f>
        <v>148</v>
      </c>
      <c r="G149" s="5" t="str">
        <f>IFERROR(__xludf.DUMMYFUNCTION("GOOGLETRANSLATE(B149, ""en"", ""hi"")"),"मणिपुर में मुकना कुश्ती मैचों के लिए पारंपरिक वातावरण क्या था?")</f>
        <v>मणिपुर में मुकना कुश्ती मैचों के लिए पारंपरिक वातावरण क्या था?</v>
      </c>
      <c r="H149" s="5" t="str">
        <f>IFERROR(__xludf.DUMMYFUNCTION("GOOGLETRANSLATE(C149, ""en"", ""hi"")"),"A) खुले मैदान, B) इनडोर एरेना, C) शाही दरबार, D) बाज़ार")</f>
        <v>A) खुले मैदान, B) इनडोर एरेना, C) शाही दरबार, D) बाज़ार</v>
      </c>
      <c r="I149" s="5" t="str">
        <f>IFERROR(__xludf.DUMMYFUNCTION("GOOGLETRANSLATE(D149, ""en"", ""hi"")"),"ए) खुले मैदान")</f>
        <v>ए) खुले मैदान</v>
      </c>
    </row>
    <row r="150" ht="22.5" customHeight="1">
      <c r="A150" s="3">
        <v>149.0</v>
      </c>
      <c r="B150" s="4" t="s">
        <v>13615</v>
      </c>
      <c r="C150" s="4" t="s">
        <v>13616</v>
      </c>
      <c r="D150" s="4" t="s">
        <v>7765</v>
      </c>
      <c r="F150" s="5" t="str">
        <f>IFERROR(__xludf.DUMMYFUNCTION("GOOGLETRANSLATE(A150, ""en"", ""hi"")"),"149")</f>
        <v>149</v>
      </c>
      <c r="G150" s="5" t="str">
        <f>IFERROR(__xludf.DUMMYFUNCTION("GOOGLETRANSLATE(B150, ""en"", ""hi"")"),"किस ऐतिहासिक युग में पारंपरिक मुकना कुश्ती प्रथाओं का पतन देखा गया?")</f>
        <v>किस ऐतिहासिक युग में पारंपरिक मुकना कुश्ती प्रथाओं का पतन देखा गया?</v>
      </c>
      <c r="H150" s="5" t="str">
        <f>IFERROR(__xludf.DUMMYFUNCTION("GOOGLETRANSLATE(C150, ""en"", ""hi"")"),"A) औपनिवेशिक युग, B) मध्यकालीन युग, C) स्वतंत्रता के बाद का युग, D) प्राचीन युग")</f>
        <v>A) औपनिवेशिक युग, B) मध्यकालीन युग, C) स्वतंत्रता के बाद का युग, D) प्राचीन युग</v>
      </c>
      <c r="I150" s="5" t="str">
        <f>IFERROR(__xludf.DUMMYFUNCTION("GOOGLETRANSLATE(D150, ""en"", ""hi"")"),"A) औपनिवेशिक युग")</f>
        <v>A) औपनिवेशिक युग</v>
      </c>
    </row>
    <row r="151" ht="22.5" customHeight="1">
      <c r="A151" s="3">
        <v>150.0</v>
      </c>
      <c r="B151" s="4" t="s">
        <v>13617</v>
      </c>
      <c r="C151" s="4" t="s">
        <v>13484</v>
      </c>
      <c r="D151" s="4" t="s">
        <v>5645</v>
      </c>
      <c r="F151" s="5" t="str">
        <f>IFERROR(__xludf.DUMMYFUNCTION("GOOGLETRANSLATE(A151, ""en"", ""hi"")"),"150")</f>
        <v>150</v>
      </c>
      <c r="G151" s="5" t="str">
        <f>IFERROR(__xludf.DUMMYFUNCTION("GOOGLETRANSLATE(B151, ""en"", ""hi"")"),"मणिपुर में मुकना कुश्ती पर ब्रिटिश उपनिवेशवाद का क्या प्रभाव पड़ा?")</f>
        <v>मणिपुर में मुकना कुश्ती पर ब्रिटिश उपनिवेशवाद का क्या प्रभाव पड़ा?</v>
      </c>
      <c r="H151" s="5" t="str">
        <f>IFERROR(__xludf.DUMMYFUNCTION("GOOGLETRANSLATE(C151, ""en"", ""hi"")"),"A) इसके कारण इसका पतन हुआ, B) इसके कारण इसका आधुनिकीकरण हुआ, C) इसका कोई प्रभाव नहीं पड़ा, D) इसके कारण इसकी लोकप्रियता में वृद्धि हुई")</f>
        <v>A) इसके कारण इसका पतन हुआ, B) इसके कारण इसका आधुनिकीकरण हुआ, C) इसका कोई प्रभाव नहीं पड़ा, D) इसके कारण इसकी लोकप्रियता में वृद्धि हुई</v>
      </c>
      <c r="I151" s="5" t="str">
        <f>IFERROR(__xludf.DUMMYFUNCTION("GOOGLETRANSLATE(D151, ""en"", ""hi"")"),"A) इससे इसका पतन हुआ")</f>
        <v>A) इससे इसका पतन हुआ</v>
      </c>
    </row>
    <row r="152" ht="22.5" customHeight="1">
      <c r="A152" s="3">
        <v>151.0</v>
      </c>
      <c r="B152" s="4" t="s">
        <v>13618</v>
      </c>
      <c r="C152" s="4" t="s">
        <v>13619</v>
      </c>
      <c r="D152" s="4" t="s">
        <v>12153</v>
      </c>
      <c r="F152" s="5" t="str">
        <f>IFERROR(__xludf.DUMMYFUNCTION("GOOGLETRANSLATE(A152, ""en"", ""hi"")"),"151")</f>
        <v>151</v>
      </c>
      <c r="G152" s="5" t="str">
        <f>IFERROR(__xludf.DUMMYFUNCTION("GOOGLETRANSLATE(B152, ""en"", ""hi"")"),"कौन सा मणिपुरी राजा मुकना कुश्ती को संरक्षित करने के अपने प्रयासों के लिए जाना जाता है?")</f>
        <v>कौन सा मणिपुरी राजा मुकना कुश्ती को संरक्षित करने के अपने प्रयासों के लिए जाना जाता है?</v>
      </c>
      <c r="H152" s="5" t="str">
        <f>IFERROR(__xludf.DUMMYFUNCTION("GOOGLETRANSLATE(C152,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152" s="5" t="str">
        <f>IFERROR(__xludf.DUMMYFUNCTION("GOOGLETRANSLATE(D152, ""en"", ""hi"")"),"बी) महाराजा गंभीर सिंह")</f>
        <v>बी) महाराजा गंभीर सिंह</v>
      </c>
    </row>
    <row r="153" ht="22.5" customHeight="1">
      <c r="A153" s="3">
        <v>152.0</v>
      </c>
      <c r="B153" s="4" t="s">
        <v>13620</v>
      </c>
      <c r="C153" s="4" t="s">
        <v>13621</v>
      </c>
      <c r="D153" s="4" t="s">
        <v>12086</v>
      </c>
      <c r="F153" s="5" t="str">
        <f>IFERROR(__xludf.DUMMYFUNCTION("GOOGLETRANSLATE(A153, ""en"", ""hi"")"),"152")</f>
        <v>152</v>
      </c>
      <c r="G153" s="5" t="str">
        <f>IFERROR(__xludf.DUMMYFUNCTION("GOOGLETRANSLATE(B153, ""en"", ""hi"")"),"मुकना कुश्ती किस पारंपरिक मणिपुरी त्योहार से निकटता से जुड़ी हुई है?")</f>
        <v>मुकना कुश्ती किस पारंपरिक मणिपुरी त्योहार से निकटता से जुड़ी हुई है?</v>
      </c>
      <c r="H153" s="5" t="str">
        <f>IFERROR(__xludf.DUMMYFUNCTION("GOOGLETRANSLATE(C153, ""en"", ""hi"")"),"ए) लाई हराओबा, बी) चेइराओबा, सी) निंगोल चाकोउबा, डी) याओशांग")</f>
        <v>ए) लाई हराओबा, बी) चेइराओबा, सी) निंगोल चाकोउबा, डी) याओशांग</v>
      </c>
      <c r="I153" s="5" t="str">
        <f>IFERROR(__xludf.DUMMYFUNCTION("GOOGLETRANSLATE(D153, ""en"", ""hi"")"),"A) लाई हरोबा")</f>
        <v>A) लाई हरोबा</v>
      </c>
    </row>
    <row r="154" ht="22.5" customHeight="1">
      <c r="A154" s="3">
        <v>153.0</v>
      </c>
      <c r="B154" s="4" t="s">
        <v>13622</v>
      </c>
      <c r="C154" s="4" t="s">
        <v>13623</v>
      </c>
      <c r="D154" s="4" t="s">
        <v>3665</v>
      </c>
      <c r="F154" s="5" t="str">
        <f>IFERROR(__xludf.DUMMYFUNCTION("GOOGLETRANSLATE(A154, ""en"", ""hi"")"),"153")</f>
        <v>153</v>
      </c>
      <c r="G154" s="5" t="str">
        <f>IFERROR(__xludf.DUMMYFUNCTION("GOOGLETRANSLATE(B154, ""en"", ""hi"")"),"निम्नलिखित में से कौन सा ऐतिहासिक रूप से मुकना पहलवानों के प्रशिक्षण फोकस का सबसे अच्छा वर्णन करता है?")</f>
        <v>निम्नलिखित में से कौन सा ऐतिहासिक रूप से मुकना पहलवानों के प्रशिक्षण फोकस का सबसे अच्छा वर्णन करता है?</v>
      </c>
      <c r="H154" s="5" t="str">
        <f>IFERROR(__xludf.DUMMYFUNCTION("GOOGLETRANSLATE(C154, ""en"", ""hi"")"),"A) युद्ध कौशल, B) चपलता और लचीलापन, C) शक्ति और सहनशक्ति, D) गति और सजगता")</f>
        <v>A) युद्ध कौशल, B) चपलता और लचीलापन, C) शक्ति और सहनशक्ति, D) गति और सजगता</v>
      </c>
      <c r="I154" s="5" t="str">
        <f>IFERROR(__xludf.DUMMYFUNCTION("GOOGLETRANSLATE(D154, ""en"", ""hi"")"),"सी) शक्ति और सहनशक्ति")</f>
        <v>सी) शक्ति और सहनशक्ति</v>
      </c>
    </row>
    <row r="155" ht="22.5" customHeight="1">
      <c r="A155" s="3">
        <v>154.0</v>
      </c>
      <c r="B155" s="4" t="s">
        <v>13624</v>
      </c>
      <c r="C155" s="4" t="s">
        <v>13625</v>
      </c>
      <c r="D155" s="4" t="s">
        <v>13626</v>
      </c>
      <c r="F155" s="5" t="str">
        <f>IFERROR(__xludf.DUMMYFUNCTION("GOOGLETRANSLATE(A155, ""en"", ""hi"")"),"154")</f>
        <v>154</v>
      </c>
      <c r="G155" s="5" t="str">
        <f>IFERROR(__xludf.DUMMYFUNCTION("GOOGLETRANSLATE(B155, ""en"", ""hi"")"),"मुकना कुश्ती पारंपरिक रूप से किस प्रकार की सेटिंग में की जाती थी?")</f>
        <v>मुकना कुश्ती पारंपरिक रूप से किस प्रकार की सेटिंग में की जाती थी?</v>
      </c>
      <c r="H155" s="5" t="str">
        <f>IFERROR(__xludf.DUMMYFUNCTION("GOOGLETRANSLATE(C155, ""en"", ""hi"")"),"A) खुली हवा, B) इनडोर एरेना, C) शाही दरबार, D) निजी आवास")</f>
        <v>A) खुली हवा, B) इनडोर एरेना, C) शाही दरबार, D) निजी आवास</v>
      </c>
      <c r="I155" s="5" t="str">
        <f>IFERROR(__xludf.DUMMYFUNCTION("GOOGLETRANSLATE(D155, ""en"", ""hi"")"),"ए) खुली हवा")</f>
        <v>ए) खुली हवा</v>
      </c>
    </row>
    <row r="156" ht="22.5" customHeight="1">
      <c r="A156" s="3">
        <v>155.0</v>
      </c>
      <c r="B156" s="4" t="s">
        <v>13627</v>
      </c>
      <c r="C156" s="4" t="s">
        <v>13628</v>
      </c>
      <c r="D156" s="4" t="s">
        <v>13474</v>
      </c>
      <c r="F156" s="5" t="str">
        <f>IFERROR(__xludf.DUMMYFUNCTION("GOOGLETRANSLATE(A156, ""en"", ""hi"")"),"155")</f>
        <v>155</v>
      </c>
      <c r="G156" s="5" t="str">
        <f>IFERROR(__xludf.DUMMYFUNCTION("GOOGLETRANSLATE(B156, ""en"", ""hi"")"),"कौन सा ग्रंथ मुकना कुश्ती तकनीकों के विस्तृत विवरण के लिए जाना जाता है?")</f>
        <v>कौन सा ग्रंथ मुकना कुश्ती तकनीकों के विस्तृत विवरण के लिए जाना जाता है?</v>
      </c>
      <c r="H156" s="5" t="str">
        <f>IFERROR(__xludf.DUMMYFUNCTION("GOOGLETRANSLATE(C156, ""en"", ""hi"")"),"ए) बुरांजी, बी) राजमाला, सी) मनुस्मृति, डी) वेद")</f>
        <v>ए) बुरांजी, बी) राजमाला, सी) मनुस्मृति, डी) वेद</v>
      </c>
      <c r="I156" s="5" t="str">
        <f>IFERROR(__xludf.DUMMYFUNCTION("GOOGLETRANSLATE(D156, ""en"", ""hi"")"),"ए) बुरांजी")</f>
        <v>ए) बुरांजी</v>
      </c>
    </row>
    <row r="157" ht="22.5" customHeight="1">
      <c r="A157" s="3">
        <v>156.0</v>
      </c>
      <c r="B157" s="4" t="s">
        <v>13629</v>
      </c>
      <c r="C157" s="4" t="s">
        <v>13630</v>
      </c>
      <c r="D157" s="4" t="s">
        <v>13631</v>
      </c>
      <c r="F157" s="5" t="str">
        <f>IFERROR(__xludf.DUMMYFUNCTION("GOOGLETRANSLATE(A157, ""en"", ""hi"")"),"156")</f>
        <v>156</v>
      </c>
      <c r="G157" s="5" t="str">
        <f>IFERROR(__xludf.DUMMYFUNCTION("GOOGLETRANSLATE(B157, ""en"", ""hi"")"),"मणिपुरी समाज में मुकना कुश्ती का ऐतिहासिक महत्व क्या था?")</f>
        <v>मणिपुरी समाज में मुकना कुश्ती का ऐतिहासिक महत्व क्या था?</v>
      </c>
      <c r="H157" s="5" t="str">
        <f>IFERROR(__xludf.DUMMYFUNCTION("GOOGLETRANSLATE(C157, ""en"", ""hi"")"),"A) यह सैन्य प्रशिक्षण का एक रूप था, B) यह मनोरंजन का एक रूप था, C) यह एक अनुष्ठानिक अभ्यास था, D) यह संघर्ष समाधान का एक तरीका था")</f>
        <v>A) यह सैन्य प्रशिक्षण का एक रूप था, B) यह मनोरंजन का एक रूप था, C) यह एक अनुष्ठानिक अभ्यास था, D) यह संघर्ष समाधान का एक तरीका था</v>
      </c>
      <c r="I157" s="5" t="str">
        <f>IFERROR(__xludf.DUMMYFUNCTION("GOOGLETRANSLATE(D157, ""en"", ""hi"")"),"C) यह एक अनुष्ठानिक प्रथा थी")</f>
        <v>C) यह एक अनुष्ठानिक प्रथा थी</v>
      </c>
    </row>
    <row r="158" ht="22.5" customHeight="1">
      <c r="A158" s="3">
        <v>157.0</v>
      </c>
      <c r="B158" s="4" t="s">
        <v>13632</v>
      </c>
      <c r="C158" s="4" t="s">
        <v>13633</v>
      </c>
      <c r="D158" s="4" t="s">
        <v>13572</v>
      </c>
      <c r="F158" s="5" t="str">
        <f>IFERROR(__xludf.DUMMYFUNCTION("GOOGLETRANSLATE(A158, ""en"", ""hi"")"),"157")</f>
        <v>157</v>
      </c>
      <c r="G158" s="5" t="str">
        <f>IFERROR(__xludf.DUMMYFUNCTION("GOOGLETRANSLATE(B158, ""en"", ""hi"")"),"कौन सा ऐतिहासिक ग्रंथ मणिपुर में मुकना कुश्ती का प्रारंभिक संदर्भ प्रदान करता है?")</f>
        <v>कौन सा ऐतिहासिक ग्रंथ मणिपुर में मुकना कुश्ती का प्रारंभिक संदर्भ प्रदान करता है?</v>
      </c>
      <c r="H158" s="5" t="str">
        <f>IFERROR(__xludf.DUMMYFUNCTION("GOOGLETRANSLATE(C158, ""en"", ""hi"")"),"ए) राजमाला, बी) बुरांजी, सी) मणिपुरी वेद, डी) महाभारत")</f>
        <v>ए) राजमाला, बी) बुरांजी, सी) मणिपुरी वेद, डी) महाभारत</v>
      </c>
      <c r="I158" s="5" t="str">
        <f>IFERROR(__xludf.DUMMYFUNCTION("GOOGLETRANSLATE(D158, ""en"", ""hi"")"),"बी) बुरांजी")</f>
        <v>बी) बुरांजी</v>
      </c>
    </row>
    <row r="159" ht="22.5" customHeight="1">
      <c r="A159" s="3">
        <v>158.0</v>
      </c>
      <c r="B159" s="4" t="s">
        <v>13634</v>
      </c>
      <c r="C159" s="4" t="s">
        <v>7680</v>
      </c>
      <c r="D159" s="4" t="s">
        <v>10877</v>
      </c>
      <c r="F159" s="5" t="str">
        <f>IFERROR(__xludf.DUMMYFUNCTION("GOOGLETRANSLATE(A159, ""en"", ""hi"")"),"158")</f>
        <v>158</v>
      </c>
      <c r="G159" s="5" t="str">
        <f>IFERROR(__xludf.DUMMYFUNCTION("GOOGLETRANSLATE(B159, ""en"", ""hi"")"),"किस शताब्दी के दौरान मुकना कुश्ती को मणिपुरी संस्कृति में प्रमुखता मिली?")</f>
        <v>किस शताब्दी के दौरान मुकना कुश्ती को मणिपुरी संस्कृति में प्रमुखता मिली?</v>
      </c>
      <c r="H159" s="5" t="str">
        <f>IFERROR(__xludf.DUMMYFUNCTION("GOOGLETRANSLATE(C159, ""en"", ""hi"")"),"A) 16वीं शताब्दी, B) 17वीं शताब्दी, C) 18वीं शताब्दी, D) 19वीं शताब्दी")</f>
        <v>A) 16वीं शताब्दी, B) 17वीं शताब्दी, C) 18वीं शताब्दी, D) 19वीं शताब्दी</v>
      </c>
      <c r="I159" s="5" t="str">
        <f>IFERROR(__xludf.DUMMYFUNCTION("GOOGLETRANSLATE(D159, ""en"", ""hi"")"),"बी) 17वीं शताब्दी")</f>
        <v>बी) 17वीं शताब्दी</v>
      </c>
    </row>
    <row r="160" ht="22.5" customHeight="1">
      <c r="A160" s="3">
        <v>159.0</v>
      </c>
      <c r="B160" s="4" t="s">
        <v>13635</v>
      </c>
      <c r="C160" s="4" t="s">
        <v>13636</v>
      </c>
      <c r="D160" s="4" t="s">
        <v>13637</v>
      </c>
      <c r="F160" s="5" t="str">
        <f>IFERROR(__xludf.DUMMYFUNCTION("GOOGLETRANSLATE(A160, ""en"", ""hi"")"),"159")</f>
        <v>159</v>
      </c>
      <c r="G160" s="5" t="str">
        <f>IFERROR(__xludf.DUMMYFUNCTION("GOOGLETRANSLATE(B160, ""en"", ""hi"")"),"मुकना कुश्ती मैट के लिए किस पारंपरिक सामग्री का उपयोग किया गया था?")</f>
        <v>मुकना कुश्ती मैट के लिए किस पारंपरिक सामग्री का उपयोग किया गया था?</v>
      </c>
      <c r="H160" s="5" t="str">
        <f>IFERROR(__xludf.DUMMYFUNCTION("GOOGLETRANSLATE(C160, ""en"", ""hi"")"),"A) बांस, B) जूट, C) पुआल, D) कपास")</f>
        <v>A) बांस, B) जूट, C) पुआल, D) कपास</v>
      </c>
      <c r="I160" s="5" t="str">
        <f>IFERROR(__xludf.DUMMYFUNCTION("GOOGLETRANSLATE(D160, ""en"", ""hi"")"),"C) पुआल")</f>
        <v>C) पुआल</v>
      </c>
    </row>
    <row r="161" ht="22.5" customHeight="1">
      <c r="A161" s="3">
        <v>160.0</v>
      </c>
      <c r="B161" s="4" t="s">
        <v>13638</v>
      </c>
      <c r="C161" s="4" t="s">
        <v>13619</v>
      </c>
      <c r="D161" s="4" t="s">
        <v>12153</v>
      </c>
      <c r="F161" s="5" t="str">
        <f>IFERROR(__xludf.DUMMYFUNCTION("GOOGLETRANSLATE(A161, ""en"", ""hi"")"),"160")</f>
        <v>160</v>
      </c>
      <c r="G161" s="5" t="str">
        <f>IFERROR(__xludf.DUMMYFUNCTION("GOOGLETRANSLATE(B161, ""en"", ""hi"")"),"19वीं शताब्दी के दौरान मुकना कुश्ती का प्रमुख प्रवर्तक कौन था?")</f>
        <v>19वीं शताब्दी के दौरान मुकना कुश्ती का प्रमुख प्रवर्तक कौन था?</v>
      </c>
      <c r="H161" s="5" t="str">
        <f>IFERROR(__xludf.DUMMYFUNCTION("GOOGLETRANSLATE(C161,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161" s="5" t="str">
        <f>IFERROR(__xludf.DUMMYFUNCTION("GOOGLETRANSLATE(D161, ""en"", ""hi"")"),"बी) महाराजा गंभीर सिंह")</f>
        <v>बी) महाराजा गंभीर सिंह</v>
      </c>
    </row>
    <row r="162" ht="22.5" customHeight="1">
      <c r="A162" s="3">
        <v>161.0</v>
      </c>
      <c r="B162" s="4" t="s">
        <v>13639</v>
      </c>
      <c r="C162" s="4" t="s">
        <v>13640</v>
      </c>
      <c r="D162" s="4" t="s">
        <v>13559</v>
      </c>
      <c r="F162" s="5" t="str">
        <f>IFERROR(__xludf.DUMMYFUNCTION("GOOGLETRANSLATE(A162, ""en"", ""hi"")"),"161")</f>
        <v>161</v>
      </c>
      <c r="G162" s="5" t="str">
        <f>IFERROR(__xludf.DUMMYFUNCTION("GOOGLETRANSLATE(B162, ""en"", ""hi"")"),"मुकना कुश्ती पारंपरिक रूप से किस प्रकार के मणिपुरी आयोजन के दौरान की जाती थी?")</f>
        <v>मुकना कुश्ती पारंपरिक रूप से किस प्रकार के मणिपुरी आयोजन के दौरान की जाती थी?</v>
      </c>
      <c r="H162" s="5" t="str">
        <f>IFERROR(__xludf.DUMMYFUNCTION("GOOGLETRANSLATE(C162, ""en"", ""hi"")"),"A) कृषि फसल, B) धार्मिक त्यौहार, C) राजनीतिक बैठकें, D) बाजार मेले")</f>
        <v>A) कृषि फसल, B) धार्मिक त्यौहार, C) राजनीतिक बैठकें, D) बाजार मेले</v>
      </c>
      <c r="I162" s="5" t="str">
        <f>IFERROR(__xludf.DUMMYFUNCTION("GOOGLETRANSLATE(D162, ""en"", ""hi"")"),"बी) धार्मिक त्योहार")</f>
        <v>बी) धार्मिक त्योहार</v>
      </c>
    </row>
    <row r="163" ht="22.5" customHeight="1">
      <c r="A163" s="3">
        <v>162.0</v>
      </c>
      <c r="B163" s="4" t="s">
        <v>13641</v>
      </c>
      <c r="C163" s="4" t="s">
        <v>13619</v>
      </c>
      <c r="D163" s="4" t="s">
        <v>13331</v>
      </c>
      <c r="F163" s="5" t="str">
        <f>IFERROR(__xludf.DUMMYFUNCTION("GOOGLETRANSLATE(A163, ""en"", ""hi"")"),"162")</f>
        <v>162</v>
      </c>
      <c r="G163" s="5" t="str">
        <f>IFERROR(__xludf.DUMMYFUNCTION("GOOGLETRANSLATE(B163, ""en"", ""hi"")"),"20वीं सदी के आरंभ में कौन सा मणिपुरी राजा मुकना कुश्ती के समर्थन के लिए जाना जाता था?")</f>
        <v>20वीं सदी के आरंभ में कौन सा मणिपुरी राजा मुकना कुश्ती के समर्थन के लिए जाना जाता था?</v>
      </c>
      <c r="H163" s="5" t="str">
        <f>IFERROR(__xludf.DUMMYFUNCTION("GOOGLETRANSLATE(C163,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163" s="5" t="str">
        <f>IFERROR(__xludf.DUMMYFUNCTION("GOOGLETRANSLATE(D163, ""en"", ""hi"")"),"A) महाराजा चूड़ाचंद सिंह")</f>
        <v>A) महाराजा चूड़ाचंद सिंह</v>
      </c>
    </row>
    <row r="164" ht="22.5" customHeight="1">
      <c r="A164" s="3">
        <v>163.0</v>
      </c>
      <c r="B164" s="4" t="s">
        <v>13642</v>
      </c>
      <c r="C164" s="4" t="s">
        <v>13643</v>
      </c>
      <c r="D164" s="4" t="s">
        <v>13590</v>
      </c>
      <c r="F164" s="5" t="str">
        <f>IFERROR(__xludf.DUMMYFUNCTION("GOOGLETRANSLATE(A164, ""en"", ""hi"")"),"163")</f>
        <v>163</v>
      </c>
      <c r="G164" s="5" t="str">
        <f>IFERROR(__xludf.DUMMYFUNCTION("GOOGLETRANSLATE(B164, ""en"", ""hi"")"),"ब्रिटिश शासन के दौरान मुकना कुश्ती के पतन का एक महत्वपूर्ण कारण क्या था?")</f>
        <v>ब्रिटिश शासन के दौरान मुकना कुश्ती के पतन का एक महत्वपूर्ण कारण क्या था?</v>
      </c>
      <c r="H164" s="5" t="str">
        <f>IFERROR(__xludf.DUMMYFUNCTION("GOOGLETRANSLATE(C164, ""en"", ""hi"")"),"A) औपनिवेशिक अधिकारियों द्वारा दमन, B) स्थानीय लोगों की रुचि की कमी, C) नए खेलों की शुरूआत, D) आर्थिक कठिनाई")</f>
        <v>A) औपनिवेशिक अधिकारियों द्वारा दमन, B) स्थानीय लोगों की रुचि की कमी, C) नए खेलों की शुरूआत, D) आर्थिक कठिनाई</v>
      </c>
      <c r="I164" s="5" t="str">
        <f>IFERROR(__xludf.DUMMYFUNCTION("GOOGLETRANSLATE(D164, ""en"", ""hi"")"),"A) औपनिवेशिक अधिकारियों द्वारा दमन")</f>
        <v>A) औपनिवेशिक अधिकारियों द्वारा दमन</v>
      </c>
    </row>
    <row r="165" ht="22.5" customHeight="1">
      <c r="A165" s="3">
        <v>164.0</v>
      </c>
      <c r="B165" s="4" t="s">
        <v>13644</v>
      </c>
      <c r="C165" s="4" t="s">
        <v>13645</v>
      </c>
      <c r="D165" s="4" t="s">
        <v>13029</v>
      </c>
      <c r="F165" s="5" t="str">
        <f>IFERROR(__xludf.DUMMYFUNCTION("GOOGLETRANSLATE(A165, ""en"", ""hi"")"),"164")</f>
        <v>164</v>
      </c>
      <c r="G165" s="5" t="str">
        <f>IFERROR(__xludf.DUMMYFUNCTION("GOOGLETRANSLATE(B165, ""en"", ""hi"")"),"मुकना कुश्ती ऐतिहासिक रूप से किस मणिपुरी शाही समारोह से जुड़ी हुई थी?")</f>
        <v>मुकना कुश्ती ऐतिहासिक रूप से किस मणिपुरी शाही समारोह से जुड़ी हुई थी?</v>
      </c>
      <c r="H165" s="5" t="str">
        <f>IFERROR(__xludf.DUMMYFUNCTION("GOOGLETRANSLATE(C165, ""en"", ""hi"")"),"A) राज्याभिषेक समारोह, B) विवाह समारोह, C) फसल उत्सव, D) अंतिम संस्कार")</f>
        <v>A) राज्याभिषेक समारोह, B) विवाह समारोह, C) फसल उत्सव, D) अंतिम संस्कार</v>
      </c>
      <c r="I165" s="5" t="str">
        <f>IFERROR(__xludf.DUMMYFUNCTION("GOOGLETRANSLATE(D165, ""en"", ""hi"")"),"ए) राज्याभिषेक समारोह")</f>
        <v>ए) राज्याभिषेक समारोह</v>
      </c>
    </row>
    <row r="166" ht="22.5" customHeight="1">
      <c r="A166" s="3">
        <v>165.0</v>
      </c>
      <c r="B166" s="4" t="s">
        <v>13646</v>
      </c>
      <c r="C166" s="4" t="s">
        <v>13647</v>
      </c>
      <c r="D166" s="4" t="s">
        <v>13587</v>
      </c>
      <c r="F166" s="5" t="str">
        <f>IFERROR(__xludf.DUMMYFUNCTION("GOOGLETRANSLATE(A166, ""en"", ""hi"")"),"165")</f>
        <v>165</v>
      </c>
      <c r="G166" s="5" t="str">
        <f>IFERROR(__xludf.DUMMYFUNCTION("GOOGLETRANSLATE(B166, ""en"", ""hi"")"),"ऐतिहासिक रूप से मुकना कुश्ती को दर्शाने के लिए किस कला का प्रयोग किया गया था?")</f>
        <v>ऐतिहासिक रूप से मुकना कुश्ती को दर्शाने के लिए किस कला का प्रयोग किया गया था?</v>
      </c>
      <c r="H166" s="5" t="str">
        <f>IFERROR(__xludf.DUMMYFUNCTION("GOOGLETRANSLATE(C166, ""en"", ""hi"")"),"A) पारंपरिक नृत्य, B) चित्रकला, C) मूर्तिकला, D) संगीत")</f>
        <v>A) पारंपरिक नृत्य, B) चित्रकला, C) मूर्तिकला, D) संगीत</v>
      </c>
      <c r="I166" s="5" t="str">
        <f>IFERROR(__xludf.DUMMYFUNCTION("GOOGLETRANSLATE(D166, ""en"", ""hi"")"),"सी) मूर्तिकला")</f>
        <v>सी) मूर्तिकला</v>
      </c>
    </row>
    <row r="167" ht="22.5" customHeight="1">
      <c r="A167" s="3">
        <v>166.0</v>
      </c>
      <c r="B167" s="4" t="s">
        <v>13648</v>
      </c>
      <c r="C167" s="4" t="s">
        <v>13649</v>
      </c>
      <c r="D167" s="4" t="s">
        <v>13572</v>
      </c>
      <c r="F167" s="5" t="str">
        <f>IFERROR(__xludf.DUMMYFUNCTION("GOOGLETRANSLATE(A167, ""en"", ""hi"")"),"166")</f>
        <v>166</v>
      </c>
      <c r="G167" s="5" t="str">
        <f>IFERROR(__xludf.DUMMYFUNCTION("GOOGLETRANSLATE(B167, ""en"", ""hi"")"),"कौन सा मणिपुरी ग्रंथ मुकना कुश्ती तकनीकों का वर्णन प्रदान करता है?")</f>
        <v>कौन सा मणिपुरी ग्रंथ मुकना कुश्ती तकनीकों का वर्णन प्रदान करता है?</v>
      </c>
      <c r="H167" s="5" t="str">
        <f>IFERROR(__xludf.DUMMYFUNCTION("GOOGLETRANSLATE(C167, ""en"", ""hi"")"),"ए) राजमाला, बी) बुरांजी, सी) मणिपुरी वेद, डी) मनुस्मृति")</f>
        <v>ए) राजमाला, बी) बुरांजी, सी) मणिपुरी वेद, डी) मनुस्मृति</v>
      </c>
      <c r="I167" s="5" t="str">
        <f>IFERROR(__xludf.DUMMYFUNCTION("GOOGLETRANSLATE(D167, ""en"", ""hi"")"),"बी) बुरांजी")</f>
        <v>बी) बुरांजी</v>
      </c>
    </row>
    <row r="168" ht="22.5" customHeight="1">
      <c r="A168" s="3">
        <v>167.0</v>
      </c>
      <c r="B168" s="4" t="s">
        <v>13650</v>
      </c>
      <c r="C168" s="4" t="s">
        <v>13651</v>
      </c>
      <c r="D168" s="4" t="s">
        <v>13652</v>
      </c>
      <c r="F168" s="5" t="str">
        <f>IFERROR(__xludf.DUMMYFUNCTION("GOOGLETRANSLATE(A168, ""en"", ""hi"")"),"167")</f>
        <v>167</v>
      </c>
      <c r="G168" s="5" t="str">
        <f>IFERROR(__xludf.DUMMYFUNCTION("GOOGLETRANSLATE(B168, ""en"", ""hi"")"),"19वीं शताब्दी में मुकना कुश्ती के अभ्यास के लिए एक बड़ी चुनौती क्या थी?")</f>
        <v>19वीं शताब्दी में मुकना कुश्ती के अभ्यास के लिए एक बड़ी चुनौती क्या थी?</v>
      </c>
      <c r="H168" s="5" t="str">
        <f>IFERROR(__xludf.DUMMYFUNCTION("GOOGLETRANSLATE(C168, ""en"", ""hi"")"),"A) यूरोपीय प्रभाव, B) स्थानीय रुचि में गिरावट, C) विदेशी खेलों का आगमन, D) आर्थिक बाधाएँ")</f>
        <v>A) यूरोपीय प्रभाव, B) स्थानीय रुचि में गिरावट, C) विदेशी खेलों का आगमन, D) आर्थिक बाधाएँ</v>
      </c>
      <c r="I168" s="5" t="str">
        <f>IFERROR(__xludf.DUMMYFUNCTION("GOOGLETRANSLATE(D168, ""en"", ""hi"")"),"A) यूरोपीय प्रभाव")</f>
        <v>A) यूरोपीय प्रभाव</v>
      </c>
    </row>
    <row r="169" ht="22.5" customHeight="1">
      <c r="A169" s="3">
        <v>168.0</v>
      </c>
      <c r="B169" s="4" t="s">
        <v>13653</v>
      </c>
      <c r="C169" s="4" t="s">
        <v>13654</v>
      </c>
      <c r="D169" s="4" t="s">
        <v>13655</v>
      </c>
      <c r="F169" s="5" t="str">
        <f>IFERROR(__xludf.DUMMYFUNCTION("GOOGLETRANSLATE(A169, ""en"", ""hi"")"),"168")</f>
        <v>168</v>
      </c>
      <c r="G169" s="5" t="str">
        <f>IFERROR(__xludf.DUMMYFUNCTION("GOOGLETRANSLATE(B169, ""en"", ""hi"")"),"मणिपुरी इतिहास में किस घटना ने मुकना कुश्ती को एक औपचारिक खेल के रूप में पुनर्जीवित किया?")</f>
        <v>मणिपुरी इतिहास में किस घटना ने मुकना कुश्ती को एक औपचारिक खेल के रूप में पुनर्जीवित किया?</v>
      </c>
      <c r="H169" s="5" t="str">
        <f>IFERROR(__xludf.DUMMYFUNCTION("GOOGLETRANSLATE(C169, ""en"", ""hi"")"),"A) स्वतंत्रता आंदोलन, B) स्वतंत्रता के बाद का युग, C) द्वितीय विश्व युद्ध, D) 20वीं सदी के आरंभिक सुधार")</f>
        <v>A) स्वतंत्रता आंदोलन, B) स्वतंत्रता के बाद का युग, C) द्वितीय विश्व युद्ध, D) 20वीं सदी के आरंभिक सुधार</v>
      </c>
      <c r="I169" s="5" t="str">
        <f>IFERROR(__xludf.DUMMYFUNCTION("GOOGLETRANSLATE(D169, ""en"", ""hi"")"),"D) 20वीं सदी के शुरुआती सुधार")</f>
        <v>D) 20वीं सदी के शुरुआती सुधार</v>
      </c>
    </row>
    <row r="170" ht="22.5" customHeight="1">
      <c r="A170" s="3">
        <v>169.0</v>
      </c>
      <c r="B170" s="4" t="s">
        <v>13656</v>
      </c>
      <c r="C170" s="4" t="s">
        <v>13657</v>
      </c>
      <c r="D170" s="4" t="s">
        <v>13658</v>
      </c>
      <c r="F170" s="5" t="str">
        <f>IFERROR(__xludf.DUMMYFUNCTION("GOOGLETRANSLATE(A170, ""en"", ""hi"")"),"169")</f>
        <v>169</v>
      </c>
      <c r="G170" s="5" t="str">
        <f>IFERROR(__xludf.DUMMYFUNCTION("GOOGLETRANSLATE(B170, ""en"", ""hi"")"),"मुकना कुश्ती को औपचारिक खेल बनाने का श्रेय किस मणिपुरी राजा को दिया जाता है?")</f>
        <v>मुकना कुश्ती को औपचारिक खेल बनाने का श्रेय किस मणिपुरी राजा को दिया जाता है?</v>
      </c>
      <c r="H170" s="5" t="str">
        <f>IFERROR(__xludf.DUMMYFUNCTION("GOOGLETRANSLATE(C170,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170" s="5" t="str">
        <f>IFERROR(__xludf.DUMMYFUNCTION("GOOGLETRANSLATE(D170, ""en"", ""hi"")"),"C) महाराजा चूड़ाचंद सिंह")</f>
        <v>C) महाराजा चूड़ाचंद सिंह</v>
      </c>
    </row>
    <row r="171" ht="22.5" customHeight="1">
      <c r="A171" s="3">
        <v>170.0</v>
      </c>
      <c r="B171" s="4" t="s">
        <v>13659</v>
      </c>
      <c r="C171" s="4" t="s">
        <v>13660</v>
      </c>
      <c r="D171" s="4" t="s">
        <v>13661</v>
      </c>
      <c r="F171" s="5" t="str">
        <f>IFERROR(__xludf.DUMMYFUNCTION("GOOGLETRANSLATE(A171, ""en"", ""hi"")"),"170")</f>
        <v>170</v>
      </c>
      <c r="G171" s="5" t="str">
        <f>IFERROR(__xludf.DUMMYFUNCTION("GOOGLETRANSLATE(B171, ""en"", ""hi"")"),"पारंपरिक मुकना कुश्ती में प्रतिभागियों के चयन की सामान्य विधि क्या थी?")</f>
        <v>पारंपरिक मुकना कुश्ती में प्रतिभागियों के चयन की सामान्य विधि क्या थी?</v>
      </c>
      <c r="H171" s="5" t="str">
        <f>IFERROR(__xludf.DUMMYFUNCTION("GOOGLETRANSLATE(C171, ""en"", ""hi"")"),"A) लॉटरी द्वारा, B) कौशल प्रदर्शन द्वारा, C) सामाजिक स्थिति द्वारा, D) आयु वर्ग द्वारा")</f>
        <v>A) लॉटरी द्वारा, B) कौशल प्रदर्शन द्वारा, C) सामाजिक स्थिति द्वारा, D) आयु वर्ग द्वारा</v>
      </c>
      <c r="I171" s="5" t="str">
        <f>IFERROR(__xludf.DUMMYFUNCTION("GOOGLETRANSLATE(D171, ""en"", ""hi"")"),"बी) कौशल प्रदर्शन द्वारा")</f>
        <v>बी) कौशल प्रदर्शन द्वारा</v>
      </c>
    </row>
    <row r="172" ht="22.5" customHeight="1">
      <c r="A172" s="3">
        <v>171.0</v>
      </c>
      <c r="B172" s="4" t="s">
        <v>13662</v>
      </c>
      <c r="C172" s="4" t="s">
        <v>12867</v>
      </c>
      <c r="D172" s="4" t="s">
        <v>12086</v>
      </c>
      <c r="F172" s="5" t="str">
        <f>IFERROR(__xludf.DUMMYFUNCTION("GOOGLETRANSLATE(A172, ""en"", ""hi"")"),"171")</f>
        <v>171</v>
      </c>
      <c r="G172" s="5" t="str">
        <f>IFERROR(__xludf.DUMMYFUNCTION("GOOGLETRANSLATE(B172, ""en"", ""hi"")"),"मणिपुर में किस त्यौहार पर मुकना कुश्ती मैच प्रमुखता से आयोजित किये जाते हैं?")</f>
        <v>मणिपुर में किस त्यौहार पर मुकना कुश्ती मैच प्रमुखता से आयोजित किये जाते हैं?</v>
      </c>
      <c r="H172" s="5" t="str">
        <f>IFERROR(__xludf.DUMMYFUNCTION("GOOGLETRANSLATE(C172, ""en"", ""hi"")"),"ए) लाई हराओबा, बी) निंगोल चाकोउबा, सी) याओशांग, डी) चेइराओबा")</f>
        <v>ए) लाई हराओबा, बी) निंगोल चाकोउबा, सी) याओशांग, डी) चेइराओबा</v>
      </c>
      <c r="I172" s="5" t="str">
        <f>IFERROR(__xludf.DUMMYFUNCTION("GOOGLETRANSLATE(D172, ""en"", ""hi"")"),"A) लाई हरोबा")</f>
        <v>A) लाई हरोबा</v>
      </c>
    </row>
    <row r="173" ht="22.5" customHeight="1">
      <c r="A173" s="3">
        <v>172.0</v>
      </c>
      <c r="B173" s="4" t="s">
        <v>13663</v>
      </c>
      <c r="C173" s="4" t="s">
        <v>13664</v>
      </c>
      <c r="D173" s="4" t="s">
        <v>13665</v>
      </c>
      <c r="F173" s="5" t="str">
        <f>IFERROR(__xludf.DUMMYFUNCTION("GOOGLETRANSLATE(A173, ""en"", ""hi"")"),"172")</f>
        <v>172</v>
      </c>
      <c r="G173" s="5" t="str">
        <f>IFERROR(__xludf.DUMMYFUNCTION("GOOGLETRANSLATE(B173, ""en"", ""hi"")"),"किस पारंपरिक मणिपुरी प्रथा की तुलना अक्सर मुकना कुश्ती से की जाती है?")</f>
        <v>किस पारंपरिक मणिपुरी प्रथा की तुलना अक्सर मुकना कुश्ती से की जाती है?</v>
      </c>
      <c r="H173" s="5" t="str">
        <f>IFERROR(__xludf.DUMMYFUNCTION("GOOGLETRANSLATE(C173, ""en"", ""hi"")"),"A) कलारीपयट्टू, B) सिलंबम, C) जूडो, D) अन्य भारतीय राज्यों में कुश्ती")</f>
        <v>A) कलारीपयट्टू, B) सिलंबम, C) जूडो, D) अन्य भारतीय राज्यों में कुश्ती</v>
      </c>
      <c r="I173" s="5" t="str">
        <f>IFERROR(__xludf.DUMMYFUNCTION("GOOGLETRANSLATE(D173, ""en"", ""hi"")"),"D) अन्य भारतीय राज्यों में कुश्ती")</f>
        <v>D) अन्य भारतीय राज्यों में कुश्ती</v>
      </c>
    </row>
    <row r="174" ht="22.5" customHeight="1">
      <c r="A174" s="3">
        <v>173.0</v>
      </c>
      <c r="B174" s="4" t="s">
        <v>13666</v>
      </c>
      <c r="C174" s="4" t="s">
        <v>13667</v>
      </c>
      <c r="D174" s="4" t="s">
        <v>13668</v>
      </c>
      <c r="F174" s="5" t="str">
        <f>IFERROR(__xludf.DUMMYFUNCTION("GOOGLETRANSLATE(A174, ""en"", ""hi"")"),"173")</f>
        <v>173</v>
      </c>
      <c r="G174" s="5" t="str">
        <f>IFERROR(__xludf.DUMMYFUNCTION("GOOGLETRANSLATE(B174, ""en"", ""hi"")"),"मुकना कुश्ती के दौरान किस प्रकार का पारंपरिक मणिपुरी परिधान पहना जाता है?")</f>
        <v>मुकना कुश्ती के दौरान किस प्रकार का पारंपरिक मणिपुरी परिधान पहना जाता है?</v>
      </c>
      <c r="H174" s="5" t="str">
        <f>IFERROR(__xludf.DUMMYFUNCTION("GOOGLETRANSLATE(C174, ""en"", ""hi"")"),"A) हल्के सूती वस्त्र, B) भारी कवच, C) सजावटी पोशाक, D) आधुनिक खेल परिधान")</f>
        <v>A) हल्के सूती वस्त्र, B) भारी कवच, C) सजावटी पोशाक, D) आधुनिक खेल परिधान</v>
      </c>
      <c r="I174" s="5" t="str">
        <f>IFERROR(__xludf.DUMMYFUNCTION("GOOGLETRANSLATE(D174, ""en"", ""hi"")"),"A) हल्के सूती वस्त्र")</f>
        <v>A) हल्के सूती वस्त्र</v>
      </c>
    </row>
    <row r="175" ht="22.5" customHeight="1">
      <c r="A175" s="3">
        <v>174.0</v>
      </c>
      <c r="B175" s="4" t="s">
        <v>13669</v>
      </c>
      <c r="C175" s="4" t="s">
        <v>13670</v>
      </c>
      <c r="D175" s="4" t="s">
        <v>13671</v>
      </c>
      <c r="F175" s="5" t="str">
        <f>IFERROR(__xludf.DUMMYFUNCTION("GOOGLETRANSLATE(A175, ""en"", ""hi"")"),"174")</f>
        <v>174</v>
      </c>
      <c r="G175" s="5" t="str">
        <f>IFERROR(__xludf.DUMMYFUNCTION("GOOGLETRANSLATE(B175, ""en"", ""hi"")"),"ऐतिहासिक रूप से मुकना कुश्ती प्रशिक्षण का प्राथमिक फोकस क्या था?")</f>
        <v>ऐतिहासिक रूप से मुकना कुश्ती प्रशिक्षण का प्राथमिक फोकस क्या था?</v>
      </c>
      <c r="H175" s="5" t="str">
        <f>IFERROR(__xludf.DUMMYFUNCTION("GOOGLETRANSLATE(C175, ""en"", ""hi"")"),"A) शारीरिक शक्ति, B) सामरिक कौशल, C) गति, D) चपलता")</f>
        <v>A) शारीरिक शक्ति, B) सामरिक कौशल, C) गति, D) चपलता</v>
      </c>
      <c r="I175" s="5" t="str">
        <f>IFERROR(__xludf.DUMMYFUNCTION("GOOGLETRANSLATE(D175, ""en"", ""hi"")"),"A) शारीरिक शक्ति")</f>
        <v>A) शारीरिक शक्ति</v>
      </c>
    </row>
    <row r="176" ht="22.5" customHeight="1">
      <c r="A176" s="3">
        <v>175.0</v>
      </c>
      <c r="B176" s="4" t="s">
        <v>13672</v>
      </c>
      <c r="C176" s="4" t="s">
        <v>13673</v>
      </c>
      <c r="D176" s="4" t="s">
        <v>12086</v>
      </c>
      <c r="F176" s="5" t="str">
        <f>IFERROR(__xludf.DUMMYFUNCTION("GOOGLETRANSLATE(A176, ""en"", ""hi"")"),"175")</f>
        <v>175</v>
      </c>
      <c r="G176" s="5" t="str">
        <f>IFERROR(__xludf.DUMMYFUNCTION("GOOGLETRANSLATE(B176, ""en"", ""hi"")"),"कौन सा मणिपुरी त्यौहार सबसे बड़े मुकना कुश्ती आयोजनों से जुड़ा हुआ है?")</f>
        <v>कौन सा मणिपुरी त्यौहार सबसे बड़े मुकना कुश्ती आयोजनों से जुड़ा हुआ है?</v>
      </c>
      <c r="H176" s="5" t="str">
        <f>IFERROR(__xludf.DUMMYFUNCTION("GOOGLETRANSLATE(C176, ""en"", ""hi"")"),"ए) लाई हराओबा, बी) याओशांग, सी) चेइराओबा, डी) निंगोल चाकोउबा")</f>
        <v>ए) लाई हराओबा, बी) याओशांग, सी) चेइराओबा, डी) निंगोल चाकोउबा</v>
      </c>
      <c r="I176" s="5" t="str">
        <f>IFERROR(__xludf.DUMMYFUNCTION("GOOGLETRANSLATE(D176, ""en"", ""hi"")"),"A) लाई हरोबा")</f>
        <v>A) लाई हरोबा</v>
      </c>
    </row>
    <row r="177" ht="22.5" customHeight="1">
      <c r="A177" s="3">
        <v>176.0</v>
      </c>
      <c r="B177" s="4" t="s">
        <v>13674</v>
      </c>
      <c r="C177" s="4" t="s">
        <v>10989</v>
      </c>
      <c r="D177" s="4" t="s">
        <v>10990</v>
      </c>
      <c r="F177" s="5" t="str">
        <f>IFERROR(__xludf.DUMMYFUNCTION("GOOGLETRANSLATE(A177, ""en"", ""hi"")"),"176")</f>
        <v>176</v>
      </c>
      <c r="G177" s="5" t="str">
        <f>IFERROR(__xludf.DUMMYFUNCTION("GOOGLETRANSLATE(B177, ""en"", ""hi"")"),"किस युग के दौरान औपनिवेशिक प्रभाव के कारण मुकना कुश्ती में गिरावट देखी गई?")</f>
        <v>किस युग के दौरान औपनिवेशिक प्रभाव के कारण मुकना कुश्ती में गिरावट देखी गई?</v>
      </c>
      <c r="H177" s="5" t="str">
        <f>IFERROR(__xludf.DUMMYFUNCTION("GOOGLETRANSLATE(C177, ""en"", ""hi"")"),"A) 18वीं शताब्दी, B) 19वीं शताब्दी, C) 20वीं शताब्दी, D) 21वीं शताब्दी")</f>
        <v>A) 18वीं शताब्दी, B) 19वीं शताब्दी, C) 20वीं शताब्दी, D) 21वीं शताब्दी</v>
      </c>
      <c r="I177" s="5" t="str">
        <f>IFERROR(__xludf.DUMMYFUNCTION("GOOGLETRANSLATE(D177, ""en"", ""hi"")"),"बी) 19वीं शताब्दी")</f>
        <v>बी) 19वीं शताब्दी</v>
      </c>
    </row>
    <row r="178" ht="22.5" customHeight="1">
      <c r="A178" s="3">
        <v>177.0</v>
      </c>
      <c r="B178" s="4" t="s">
        <v>13675</v>
      </c>
      <c r="C178" s="4" t="s">
        <v>13458</v>
      </c>
      <c r="D178" s="4" t="s">
        <v>13459</v>
      </c>
      <c r="F178" s="5" t="str">
        <f>IFERROR(__xludf.DUMMYFUNCTION("GOOGLETRANSLATE(A178, ""en"", ""hi"")"),"177")</f>
        <v>177</v>
      </c>
      <c r="G178" s="5" t="str">
        <f>IFERROR(__xludf.DUMMYFUNCTION("GOOGLETRANSLATE(B178, ""en"", ""hi"")"),"औपनिवेशिक काल के दौरान मुकना कुश्ती के संरक्षण के प्रयासों के लिए कौन सा राजा जाना जाता है?")</f>
        <v>औपनिवेशिक काल के दौरान मुकना कुश्ती के संरक्षण के प्रयासों के लिए कौन सा राजा जाना जाता है?</v>
      </c>
      <c r="H178" s="5" t="str">
        <f>IFERROR(__xludf.DUMMYFUNCTION("GOOGLETRANSLATE(C178, ""en"", ""hi"")"),"ए) महाराजा चूड़ाचंद सिंह, बी) महाराजा भाग्यचंद्र सिंह, सी) महाराजा गंभीर सिंह, डी) महाराजा बोधचंद्र सिंह")</f>
        <v>ए) महाराजा चूड़ाचंद सिंह, बी) महाराजा भाग्यचंद्र सिंह, सी) महाराजा गंभीर सिंह, डी) महाराजा बोधचंद्र सिंह</v>
      </c>
      <c r="I178" s="5" t="str">
        <f>IFERROR(__xludf.DUMMYFUNCTION("GOOGLETRANSLATE(D178, ""en"", ""hi"")"),"C) महाराजा गंभीर सिंह")</f>
        <v>C) महाराजा गंभीर सिंह</v>
      </c>
    </row>
    <row r="179" ht="22.5" customHeight="1">
      <c r="A179" s="3">
        <v>178.0</v>
      </c>
      <c r="B179" s="4" t="s">
        <v>13676</v>
      </c>
      <c r="C179" s="4" t="s">
        <v>13677</v>
      </c>
      <c r="D179" s="4" t="s">
        <v>10097</v>
      </c>
      <c r="F179" s="5" t="str">
        <f>IFERROR(__xludf.DUMMYFUNCTION("GOOGLETRANSLATE(A179, ""en"", ""hi"")"),"178")</f>
        <v>178</v>
      </c>
      <c r="G179" s="5" t="str">
        <f>IFERROR(__xludf.DUMMYFUNCTION("GOOGLETRANSLATE(B179, ""en"", ""hi"")"),"मणिपुरी समाज में मुकना कुश्ती मैचों का पारंपरिक उद्देश्य क्या था?")</f>
        <v>मणिपुरी समाज में मुकना कुश्ती मैचों का पारंपरिक उद्देश्य क्या था?</v>
      </c>
      <c r="H179" s="5" t="str">
        <f>IFERROR(__xludf.DUMMYFUNCTION("GOOGLETRANSLATE(C179, ""en"", ""hi"")"),"A) धार्मिक अनुष्ठान, B) सैन्य प्रशिक्षण, C) सामाजिक समारोह, D) राजनीतिक चर्चाएँ")</f>
        <v>A) धार्मिक अनुष्ठान, B) सैन्य प्रशिक्षण, C) सामाजिक समारोह, D) राजनीतिक चर्चाएँ</v>
      </c>
      <c r="I179" s="5" t="str">
        <f>IFERROR(__xludf.DUMMYFUNCTION("GOOGLETRANSLATE(D179, ""en"", ""hi"")"),"A) धार्मिक अनुष्ठान")</f>
        <v>A) धार्मिक अनुष्ठान</v>
      </c>
    </row>
    <row r="180" ht="22.5" customHeight="1">
      <c r="A180" s="3">
        <v>179.0</v>
      </c>
      <c r="B180" s="4" t="s">
        <v>13678</v>
      </c>
      <c r="C180" s="4" t="s">
        <v>13602</v>
      </c>
      <c r="D180" s="4" t="s">
        <v>13603</v>
      </c>
      <c r="F180" s="5" t="str">
        <f>IFERROR(__xludf.DUMMYFUNCTION("GOOGLETRANSLATE(A180, ""en"", ""hi"")"),"179")</f>
        <v>179</v>
      </c>
      <c r="G180" s="5" t="str">
        <f>IFERROR(__xludf.DUMMYFUNCTION("GOOGLETRANSLATE(B180, ""en"", ""hi"")"),"किस ऐतिहासिक काल में मुकना कुश्ती को एक प्रतिस्पर्धी खेल के रूप में औपचारिक रूप दिया गया?")</f>
        <v>किस ऐतिहासिक काल में मुकना कुश्ती को एक प्रतिस्पर्धी खेल के रूप में औपचारिक रूप दिया गया?</v>
      </c>
      <c r="H180" s="5" t="str">
        <f>IFERROR(__xludf.DUMMYFUNCTION("GOOGLETRANSLATE(C180, ""en"", ""hi"")"),"A) 20वीं सदी का प्रारंभ, B) 19वीं सदी का उत्तरार्ध, C) 20वीं सदी का मध्य, D) 21वीं सदी")</f>
        <v>A) 20वीं सदी का प्रारंभ, B) 19वीं सदी का उत्तरार्ध, C) 20वीं सदी का मध्य, D) 21वीं सदी</v>
      </c>
      <c r="I180" s="5" t="str">
        <f>IFERROR(__xludf.DUMMYFUNCTION("GOOGLETRANSLATE(D180, ""en"", ""hi"")"),"A) 20वीं सदी की शुरुआत")</f>
        <v>A) 20वीं सदी की शुरुआत</v>
      </c>
    </row>
    <row r="181" ht="22.5" customHeight="1">
      <c r="A181" s="3">
        <v>180.0</v>
      </c>
      <c r="B181" s="4" t="s">
        <v>13679</v>
      </c>
      <c r="C181" s="4" t="s">
        <v>13680</v>
      </c>
      <c r="D181" s="4" t="s">
        <v>13432</v>
      </c>
      <c r="F181" s="5" t="str">
        <f>IFERROR(__xludf.DUMMYFUNCTION("GOOGLETRANSLATE(A181, ""en"", ""hi"")"),"180")</f>
        <v>180</v>
      </c>
      <c r="G181" s="5" t="str">
        <f>IFERROR(__xludf.DUMMYFUNCTION("GOOGLETRANSLATE(B181, ""en"", ""hi"")"),"मुकना कुश्ती पोशाक की एक महत्वपूर्ण विशेषता क्या है?")</f>
        <v>मुकना कुश्ती पोशाक की एक महत्वपूर्ण विशेषता क्या है?</v>
      </c>
      <c r="H181" s="5" t="str">
        <f>IFERROR(__xludf.DUMMYFUNCTION("GOOGLETRANSLATE(C181, ""en"", ""hi"")"),"A) हल्का और लचीला, B) भारी और गद्देदार, C) आधुनिक एथलेटिक गियर, D) अलंकृत और सजावटी")</f>
        <v>A) हल्का और लचीला, B) भारी और गद्देदार, C) आधुनिक एथलेटिक गियर, D) अलंकृत और सजावटी</v>
      </c>
      <c r="I181" s="5" t="str">
        <f>IFERROR(__xludf.DUMMYFUNCTION("GOOGLETRANSLATE(D181, ""en"", ""hi"")"),"A) हल्का और लचीला")</f>
        <v>A) हल्का और लचीला</v>
      </c>
    </row>
    <row r="182" ht="22.5" customHeight="1">
      <c r="A182" s="3">
        <v>181.0</v>
      </c>
      <c r="B182" s="4" t="s">
        <v>13681</v>
      </c>
      <c r="C182" s="4" t="s">
        <v>13628</v>
      </c>
      <c r="D182" s="4" t="s">
        <v>13474</v>
      </c>
      <c r="F182" s="5" t="str">
        <f>IFERROR(__xludf.DUMMYFUNCTION("GOOGLETRANSLATE(A182, ""en"", ""hi"")"),"181")</f>
        <v>181</v>
      </c>
      <c r="G182" s="5" t="str">
        <f>IFERROR(__xludf.DUMMYFUNCTION("GOOGLETRANSLATE(B182, ""en"", ""hi"")"),"कौन सा ऐतिहासिक ग्रंथ मुकना कुश्ती के सांस्कृतिक महत्व के बारे में जानकारी प्रदान करता है?")</f>
        <v>कौन सा ऐतिहासिक ग्रंथ मुकना कुश्ती के सांस्कृतिक महत्व के बारे में जानकारी प्रदान करता है?</v>
      </c>
      <c r="H182" s="5" t="str">
        <f>IFERROR(__xludf.DUMMYFUNCTION("GOOGLETRANSLATE(C182, ""en"", ""hi"")"),"ए) बुरांजी, बी) राजमाला, सी) मनुस्मृति, डी) वेद")</f>
        <v>ए) बुरांजी, बी) राजमाला, सी) मनुस्मृति, डी) वेद</v>
      </c>
      <c r="I182" s="5" t="str">
        <f>IFERROR(__xludf.DUMMYFUNCTION("GOOGLETRANSLATE(D182, ""en"", ""hi"")"),"ए) बुरांजी")</f>
        <v>ए) बुरांजी</v>
      </c>
    </row>
    <row r="183" ht="22.5" customHeight="1">
      <c r="A183" s="3">
        <v>182.0</v>
      </c>
      <c r="B183" s="4" t="s">
        <v>13682</v>
      </c>
      <c r="C183" s="4" t="s">
        <v>13683</v>
      </c>
      <c r="D183" s="4" t="s">
        <v>13684</v>
      </c>
      <c r="F183" s="5" t="str">
        <f>IFERROR(__xludf.DUMMYFUNCTION("GOOGLETRANSLATE(A183, ""en"", ""hi"")"),"182")</f>
        <v>182</v>
      </c>
      <c r="G183" s="5" t="str">
        <f>IFERROR(__xludf.DUMMYFUNCTION("GOOGLETRANSLATE(B183, ""en"", ""hi"")"),"किस मणिपुरी राजा ने मुकना कुश्ती तकनीकों का दस्तावेजीकरण करने में महत्वपूर्ण भूमिका निभाई थी?")</f>
        <v>किस मणिपुरी राजा ने मुकना कुश्ती तकनीकों का दस्तावेजीकरण करने में महत्वपूर्ण भूमिका निभाई थी?</v>
      </c>
      <c r="H183" s="5" t="str">
        <f>IFERROR(__xludf.DUMMYFUNCTION("GOOGLETRANSLATE(C183, ""en"", ""hi"")"),"ए) महाराजा भाग्यचंद्र सिंह, बी) महाराजा बोधचंद्र सिंह, सी) महाराजा गंभीर सिंह, डी) महाराजा चुराचंद सिंह")</f>
        <v>ए) महाराजा भाग्यचंद्र सिंह, बी) महाराजा बोधचंद्र सिंह, सी) महाराजा गंभीर सिंह, डी) महाराजा चुराचंद सिंह</v>
      </c>
      <c r="I183" s="5" t="str">
        <f>IFERROR(__xludf.DUMMYFUNCTION("GOOGLETRANSLATE(D183, ""en"", ""hi"")"),"D) महाराजा चूड़ाचंद सिंह")</f>
        <v>D) महाराजा चूड़ाचंद सिंह</v>
      </c>
    </row>
    <row r="184" ht="22.5" customHeight="1">
      <c r="A184" s="3">
        <v>183.0</v>
      </c>
      <c r="B184" s="4" t="s">
        <v>13612</v>
      </c>
      <c r="C184" s="4" t="s">
        <v>13685</v>
      </c>
      <c r="D184" s="4" t="s">
        <v>13614</v>
      </c>
      <c r="F184" s="5" t="str">
        <f>IFERROR(__xludf.DUMMYFUNCTION("GOOGLETRANSLATE(A184, ""en"", ""hi"")"),"183")</f>
        <v>183</v>
      </c>
      <c r="G184" s="5" t="str">
        <f>IFERROR(__xludf.DUMMYFUNCTION("GOOGLETRANSLATE(B184, ""en"", ""hi"")"),"मणिपुर में मुकना कुश्ती मैचों के लिए पारंपरिक वातावरण क्या था?")</f>
        <v>मणिपुर में मुकना कुश्ती मैचों के लिए पारंपरिक वातावरण क्या था?</v>
      </c>
      <c r="H184" s="5" t="str">
        <f>IFERROR(__xludf.DUMMYFUNCTION("GOOGLETRANSLATE(C184, ""en"", ""hi"")"),"A) खुले मैदान, B) इनडोर एरेना, C) महल, D) मंदिर")</f>
        <v>A) खुले मैदान, B) इनडोर एरेना, C) महल, D) मंदिर</v>
      </c>
      <c r="I184" s="5" t="str">
        <f>IFERROR(__xludf.DUMMYFUNCTION("GOOGLETRANSLATE(D184, ""en"", ""hi"")"),"ए) खुले मैदान")</f>
        <v>ए) खुले मैदान</v>
      </c>
    </row>
    <row r="185" ht="22.5" customHeight="1">
      <c r="A185" s="3">
        <v>184.0</v>
      </c>
      <c r="B185" s="4" t="s">
        <v>13686</v>
      </c>
      <c r="C185" s="4" t="s">
        <v>13687</v>
      </c>
      <c r="D185" s="4" t="s">
        <v>13688</v>
      </c>
      <c r="F185" s="5" t="str">
        <f>IFERROR(__xludf.DUMMYFUNCTION("GOOGLETRANSLATE(A185, ""en"", ""hi"")"),"184")</f>
        <v>184</v>
      </c>
      <c r="G185" s="5" t="str">
        <f>IFERROR(__xludf.DUMMYFUNCTION("GOOGLETRANSLATE(B185, ""en"", ""hi"")"),"औपनिवेशिक काल के दौरान मुकना कुश्ती को बढ़ावा देने में उनकी भूमिका के लिए कौन सा ऐतिहासिक व्यक्ति जाना जाता है?")</f>
        <v>औपनिवेशिक काल के दौरान मुकना कुश्ती को बढ़ावा देने में उनकी भूमिका के लिए कौन सा ऐतिहासिक व्यक्ति जाना जाता है?</v>
      </c>
      <c r="H185" s="5" t="str">
        <f>IFERROR(__xludf.DUMMYFUNCTION("GOOGLETRANSLATE(C185,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185" s="5" t="str">
        <f>IFERROR(__xludf.DUMMYFUNCTION("GOOGLETRANSLATE(D185, ""en"", ""hi"")"),"बी) महाराजा चूड़ाचंद सिंह")</f>
        <v>बी) महाराजा चूड़ाचंद सिंह</v>
      </c>
    </row>
    <row r="186" ht="22.5" customHeight="1">
      <c r="A186" s="3">
        <v>185.0</v>
      </c>
      <c r="B186" s="4" t="s">
        <v>13689</v>
      </c>
      <c r="C186" s="4" t="s">
        <v>13690</v>
      </c>
      <c r="D186" s="4" t="s">
        <v>13691</v>
      </c>
      <c r="F186" s="5" t="str">
        <f>IFERROR(__xludf.DUMMYFUNCTION("GOOGLETRANSLATE(A186, ""en"", ""hi"")"),"185")</f>
        <v>185</v>
      </c>
      <c r="G186" s="5" t="str">
        <f>IFERROR(__xludf.DUMMYFUNCTION("GOOGLETRANSLATE(B186, ""en"", ""hi"")"),"मुकना कुश्ती पारंपरिक रूप से किस प्रकार की मणिपुरी सेटिंग में की जाती थी?")</f>
        <v>मुकना कुश्ती पारंपरिक रूप से किस प्रकार की मणिपुरी सेटिंग में की जाती थी?</v>
      </c>
      <c r="H186" s="5" t="str">
        <f>IFERROR(__xludf.DUMMYFUNCTION("GOOGLETRANSLATE(C186, ""en"", ""hi"")"),"A) सामुदायिक उत्सव, B) शाही दरबार, C) शैक्षणिक संस्थान, D) राजनीतिक रैलियां")</f>
        <v>A) सामुदायिक उत्सव, B) शाही दरबार, C) शैक्षणिक संस्थान, D) राजनीतिक रैलियां</v>
      </c>
      <c r="I186" s="5" t="str">
        <f>IFERROR(__xludf.DUMMYFUNCTION("GOOGLETRANSLATE(D186, ""en"", ""hi"")"),"ए) सामुदायिक त्यौहार")</f>
        <v>ए) सामुदायिक त्यौहार</v>
      </c>
    </row>
    <row r="187" ht="22.5" customHeight="1">
      <c r="A187" s="3">
        <v>186.0</v>
      </c>
      <c r="B187" s="4" t="s">
        <v>13692</v>
      </c>
      <c r="C187" s="4" t="s">
        <v>13693</v>
      </c>
      <c r="D187" s="4" t="s">
        <v>13694</v>
      </c>
      <c r="F187" s="5" t="str">
        <f>IFERROR(__xludf.DUMMYFUNCTION("GOOGLETRANSLATE(A187, ""en"", ""hi"")"),"186")</f>
        <v>186</v>
      </c>
      <c r="G187" s="5" t="str">
        <f>IFERROR(__xludf.DUMMYFUNCTION("GOOGLETRANSLATE(B187, ""en"", ""hi"")"),"निम्नलिखित में से कौन सा मणिपुर में मुकना कुश्ती की सांस्कृतिक भूमिका का सबसे अच्छा वर्णन करता है?")</f>
        <v>निम्नलिखित में से कौन सा मणिपुर में मुकना कुश्ती की सांस्कृतिक भूमिका का सबसे अच्छा वर्णन करता है?</v>
      </c>
      <c r="H187" s="5" t="str">
        <f>IFERROR(__xludf.DUMMYFUNCTION("GOOGLETRANSLATE(C187, ""en"", ""hi"")"),"A) मनोरंजन, B) सैन्य प्रशिक्षण, C) धार्मिक अभ्यास, D) राजनीतिक गतिविधि")</f>
        <v>A) मनोरंजन, B) सैन्य प्रशिक्षण, C) धार्मिक अभ्यास, D) राजनीतिक गतिविधि</v>
      </c>
      <c r="I187" s="5" t="str">
        <f>IFERROR(__xludf.DUMMYFUNCTION("GOOGLETRANSLATE(D187, ""en"", ""hi"")"),"C) धार्मिक अभ्यास")</f>
        <v>C) धार्मिक अभ्यास</v>
      </c>
    </row>
    <row r="188" ht="22.5" customHeight="1">
      <c r="A188" s="3">
        <v>187.0</v>
      </c>
      <c r="B188" s="4" t="s">
        <v>13695</v>
      </c>
      <c r="C188" s="4" t="s">
        <v>13696</v>
      </c>
      <c r="D188" s="4" t="s">
        <v>13697</v>
      </c>
      <c r="F188" s="5" t="str">
        <f>IFERROR(__xludf.DUMMYFUNCTION("GOOGLETRANSLATE(A188, ""en"", ""hi"")"),"187")</f>
        <v>187</v>
      </c>
      <c r="G188" s="5" t="str">
        <f>IFERROR(__xludf.DUMMYFUNCTION("GOOGLETRANSLATE(B188, ""en"", ""hi"")"),"पारंपरिक मुकना कुश्ती प्रशिक्षण का मुख्य तत्व क्या था?")</f>
        <v>पारंपरिक मुकना कुश्ती प्रशिक्षण का मुख्य तत्व क्या था?</v>
      </c>
      <c r="H188" s="5" t="str">
        <f>IFERROR(__xludf.DUMMYFUNCTION("GOOGLETRANSLATE(C188, ""en"", ""hi"")"),"A) युद्ध कौशल, B) चपलता अभ्यास, C) शक्ति अभ्यास, D) सामरिक योजना")</f>
        <v>A) युद्ध कौशल, B) चपलता अभ्यास, C) शक्ति अभ्यास, D) सामरिक योजना</v>
      </c>
      <c r="I188" s="5" t="str">
        <f>IFERROR(__xludf.DUMMYFUNCTION("GOOGLETRANSLATE(D188, ""en"", ""hi"")"),"सी) शक्ति व्यायाम")</f>
        <v>सी) शक्ति व्यायाम</v>
      </c>
    </row>
    <row r="189" ht="22.5" customHeight="1">
      <c r="A189" s="3">
        <v>188.0</v>
      </c>
      <c r="B189" s="4" t="s">
        <v>13698</v>
      </c>
      <c r="C189" s="4" t="s">
        <v>13619</v>
      </c>
      <c r="D189" s="4" t="s">
        <v>13331</v>
      </c>
      <c r="F189" s="5" t="str">
        <f>IFERROR(__xludf.DUMMYFUNCTION("GOOGLETRANSLATE(A189, ""en"", ""hi"")"),"188")</f>
        <v>188</v>
      </c>
      <c r="G189" s="5" t="str">
        <f>IFERROR(__xludf.DUMMYFUNCTION("GOOGLETRANSLATE(B189, ""en"", ""hi"")"),"20वीं शताब्दी के आरंभ में मुकना कुश्ती को आधुनिक बनाने का श्रेय किस मणिपुरी राजा को दिया जाता है?")</f>
        <v>20वीं शताब्दी के आरंभ में मुकना कुश्ती को आधुनिक बनाने का श्रेय किस मणिपुरी राजा को दिया जाता है?</v>
      </c>
      <c r="H189" s="5" t="str">
        <f>IFERROR(__xludf.DUMMYFUNCTION("GOOGLETRANSLATE(C189,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189" s="5" t="str">
        <f>IFERROR(__xludf.DUMMYFUNCTION("GOOGLETRANSLATE(D189, ""en"", ""hi"")"),"A) महाराजा चूड़ाचंद सिंह")</f>
        <v>A) महाराजा चूड़ाचंद सिंह</v>
      </c>
    </row>
    <row r="190" ht="22.5" customHeight="1">
      <c r="A190" s="3">
        <v>189.0</v>
      </c>
      <c r="B190" s="4" t="s">
        <v>13699</v>
      </c>
      <c r="C190" s="4" t="s">
        <v>13700</v>
      </c>
      <c r="D190" s="4" t="s">
        <v>13701</v>
      </c>
      <c r="F190" s="5" t="str">
        <f>IFERROR(__xludf.DUMMYFUNCTION("GOOGLETRANSLATE(A190, ""en"", ""hi"")"),"189")</f>
        <v>189</v>
      </c>
      <c r="G190" s="5" t="str">
        <f>IFERROR(__xludf.DUMMYFUNCTION("GOOGLETRANSLATE(B190, ""en"", ""hi"")"),"मणिपुरी समाज में मुकना कुश्ती मैचों की पारंपरिक भूमिका क्या थी?")</f>
        <v>मणिपुरी समाज में मुकना कुश्ती मैचों की पारंपरिक भूमिका क्या थी?</v>
      </c>
      <c r="H190" s="5" t="str">
        <f>IFERROR(__xludf.DUMMYFUNCTION("GOOGLETRANSLATE(C190, ""en"", ""hi"")"),"A) धार्मिक समारोह, B) सामाजिक कार्यक्रम, C) शैक्षिक गतिविधियाँ, D) राजनीतिक कार्यक्रम")</f>
        <v>A) धार्मिक समारोह, B) सामाजिक कार्यक्रम, C) शैक्षिक गतिविधियाँ, D) राजनीतिक कार्यक्रम</v>
      </c>
      <c r="I190" s="5" t="str">
        <f>IFERROR(__xludf.DUMMYFUNCTION("GOOGLETRANSLATE(D190, ""en"", ""hi"")"),"A) धार्मिक समारोह")</f>
        <v>A) धार्मिक समारोह</v>
      </c>
    </row>
    <row r="191" ht="22.5" customHeight="1">
      <c r="A191" s="3">
        <v>190.0</v>
      </c>
      <c r="B191" s="4" t="s">
        <v>13702</v>
      </c>
      <c r="C191" s="4" t="s">
        <v>13687</v>
      </c>
      <c r="D191" s="4" t="s">
        <v>12361</v>
      </c>
      <c r="F191" s="5" t="str">
        <f>IFERROR(__xludf.DUMMYFUNCTION("GOOGLETRANSLATE(A191, ""en"", ""hi"")"),"190")</f>
        <v>190</v>
      </c>
      <c r="G191" s="5" t="str">
        <f>IFERROR(__xludf.DUMMYFUNCTION("GOOGLETRANSLATE(B191, ""en"", ""hi"")"),"कौन सा मणिपुरी राजा ब्रिटिश शासन के दौरान मुकना कुश्ती परंपराओं को संरक्षित करने के प्रयासों से जुड़ा हुआ है?")</f>
        <v>कौन सा मणिपुरी राजा ब्रिटिश शासन के दौरान मुकना कुश्ती परंपराओं को संरक्षित करने के प्रयासों से जुड़ा हुआ है?</v>
      </c>
      <c r="H191" s="5" t="str">
        <f>IFERROR(__xludf.DUMMYFUNCTION("GOOGLETRANSLATE(C191,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191" s="5" t="str">
        <f>IFERROR(__xludf.DUMMYFUNCTION("GOOGLETRANSLATE(D191, ""en"", ""hi"")"),"A) महाराजा गंभीर सिंह")</f>
        <v>A) महाराजा गंभीर सिंह</v>
      </c>
    </row>
    <row r="192" ht="22.5" customHeight="1">
      <c r="A192" s="3">
        <v>191.0</v>
      </c>
      <c r="B192" s="4" t="s">
        <v>13703</v>
      </c>
      <c r="C192" s="4" t="s">
        <v>13704</v>
      </c>
      <c r="D192" s="4" t="s">
        <v>13474</v>
      </c>
      <c r="F192" s="5" t="str">
        <f>IFERROR(__xludf.DUMMYFUNCTION("GOOGLETRANSLATE(A192, ""en"", ""hi"")"),"191")</f>
        <v>191</v>
      </c>
      <c r="G192" s="5" t="str">
        <f>IFERROR(__xludf.DUMMYFUNCTION("GOOGLETRANSLATE(B192, ""en"", ""hi"")"),"मुकना कुश्ती की तकनीक को समझने के लिए कौन सा ऐतिहासिक ग्रन्थ महत्वपूर्ण है?")</f>
        <v>मुकना कुश्ती की तकनीक को समझने के लिए कौन सा ऐतिहासिक ग्रन्थ महत्वपूर्ण है?</v>
      </c>
      <c r="H192" s="5" t="str">
        <f>IFERROR(__xludf.DUMMYFUNCTION("GOOGLETRANSLATE(C192, ""en"", ""hi"")"),"ए) बुरांजी, बी) राजमाला, सी) मणिपुरी वेद, डी) मनुस्मृति")</f>
        <v>ए) बुरांजी, बी) राजमाला, सी) मणिपुरी वेद, डी) मनुस्मृति</v>
      </c>
      <c r="I192" s="5" t="str">
        <f>IFERROR(__xludf.DUMMYFUNCTION("GOOGLETRANSLATE(D192, ""en"", ""hi"")"),"ए) बुरांजी")</f>
        <v>ए) बुरांजी</v>
      </c>
    </row>
    <row r="193" ht="22.5" customHeight="1">
      <c r="A193" s="3">
        <v>192.0</v>
      </c>
      <c r="B193" s="4" t="s">
        <v>13705</v>
      </c>
      <c r="C193" s="4" t="s">
        <v>12867</v>
      </c>
      <c r="D193" s="4" t="s">
        <v>12086</v>
      </c>
      <c r="F193" s="5" t="str">
        <f>IFERROR(__xludf.DUMMYFUNCTION("GOOGLETRANSLATE(A193, ""en"", ""hi"")"),"192")</f>
        <v>192</v>
      </c>
      <c r="G193" s="5" t="str">
        <f>IFERROR(__xludf.DUMMYFUNCTION("GOOGLETRANSLATE(B193, ""en"", ""hi"")"),"कौन सा त्यौहार पारंपरिक मुकना कुश्ती मैचों के प्रदर्शन के लिए जाना जाता है?")</f>
        <v>कौन सा त्यौहार पारंपरिक मुकना कुश्ती मैचों के प्रदर्शन के लिए जाना जाता है?</v>
      </c>
      <c r="H193" s="5" t="str">
        <f>IFERROR(__xludf.DUMMYFUNCTION("GOOGLETRANSLATE(C193, ""en"", ""hi"")"),"ए) लाई हराओबा, बी) निंगोल चाकोउबा, सी) याओशांग, डी) चेइराओबा")</f>
        <v>ए) लाई हराओबा, बी) निंगोल चाकोउबा, सी) याओशांग, डी) चेइराओबा</v>
      </c>
      <c r="I193" s="5" t="str">
        <f>IFERROR(__xludf.DUMMYFUNCTION("GOOGLETRANSLATE(D193, ""en"", ""hi"")"),"A) लाई हरोबा")</f>
        <v>A) लाई हरोबा</v>
      </c>
    </row>
    <row r="194" ht="22.5" customHeight="1">
      <c r="A194" s="3">
        <v>193.0</v>
      </c>
      <c r="B194" s="4" t="s">
        <v>13706</v>
      </c>
      <c r="C194" s="4" t="s">
        <v>13556</v>
      </c>
      <c r="D194" s="4" t="s">
        <v>12759</v>
      </c>
      <c r="F194" s="5" t="str">
        <f>IFERROR(__xludf.DUMMYFUNCTION("GOOGLETRANSLATE(A194, ""en"", ""hi"")"),"193")</f>
        <v>193</v>
      </c>
      <c r="G194" s="5" t="str">
        <f>IFERROR(__xludf.DUMMYFUNCTION("GOOGLETRANSLATE(B194, ""en"", ""hi"")"),"मणिपुर में मुकना कुश्ती के विकास में किस समुदाय ने महत्वपूर्ण भूमिका निभाई?")</f>
        <v>मणिपुर में मुकना कुश्ती के विकास में किस समुदाय ने महत्वपूर्ण भूमिका निभाई?</v>
      </c>
      <c r="H194" s="5" t="str">
        <f>IFERROR(__xludf.DUMMYFUNCTION("GOOGLETRANSLATE(C194, ""en"", ""hi"")"),"ए) मैतेई, बी) कुकी, सी) नागा, डी) मिज़ो")</f>
        <v>ए) मैतेई, बी) कुकी, सी) नागा, डी) मिज़ो</v>
      </c>
      <c r="I194" s="5" t="str">
        <f>IFERROR(__xludf.DUMMYFUNCTION("GOOGLETRANSLATE(D194, ""en"", ""hi"")"),"ए) मेइतेई")</f>
        <v>ए) मेइतेई</v>
      </c>
    </row>
    <row r="195" ht="22.5" customHeight="1">
      <c r="A195" s="3">
        <v>194.0</v>
      </c>
      <c r="B195" s="4" t="s">
        <v>13707</v>
      </c>
      <c r="C195" s="4" t="s">
        <v>13708</v>
      </c>
      <c r="D195" s="4" t="s">
        <v>13709</v>
      </c>
      <c r="F195" s="5" t="str">
        <f>IFERROR(__xludf.DUMMYFUNCTION("GOOGLETRANSLATE(A195, ""en"", ""hi"")"),"194")</f>
        <v>194</v>
      </c>
      <c r="G195" s="5" t="str">
        <f>IFERROR(__xludf.DUMMYFUNCTION("GOOGLETRANSLATE(B195, ""en"", ""hi"")"),"औपनिवेशिक काल के दौरान मुकना कुश्ती पर प्राथमिक प्रभाव क्या था?")</f>
        <v>औपनिवेशिक काल के दौरान मुकना कुश्ती पर प्राथमिक प्रभाव क्या था?</v>
      </c>
      <c r="H195" s="5" t="str">
        <f>IFERROR(__xludf.DUMMYFUNCTION("GOOGLETRANSLATE(C195, ""en"", ""hi"")"),"A) यूरोपीय खेल, B) स्थानीय परंपराएँ, C) आधुनिक खेल प्रथाएँ, D) आर्थिक परिवर्तन")</f>
        <v>A) यूरोपीय खेल, B) स्थानीय परंपराएँ, C) आधुनिक खेल प्रथाएँ, D) आर्थिक परिवर्तन</v>
      </c>
      <c r="I195" s="5" t="str">
        <f>IFERROR(__xludf.DUMMYFUNCTION("GOOGLETRANSLATE(D195, ""en"", ""hi"")"),"A) यूरोपीय खेल")</f>
        <v>A) यूरोपीय खेल</v>
      </c>
    </row>
    <row r="196" ht="22.5" customHeight="1">
      <c r="A196" s="3">
        <v>195.0</v>
      </c>
      <c r="B196" s="4" t="s">
        <v>13710</v>
      </c>
      <c r="C196" s="4" t="s">
        <v>13711</v>
      </c>
      <c r="D196" s="4" t="s">
        <v>13712</v>
      </c>
      <c r="F196" s="5" t="str">
        <f>IFERROR(__xludf.DUMMYFUNCTION("GOOGLETRANSLATE(A196, ""en"", ""hi"")"),"195")</f>
        <v>195</v>
      </c>
      <c r="G196" s="5" t="str">
        <f>IFERROR(__xludf.DUMMYFUNCTION("GOOGLETRANSLATE(B196, ""en"", ""hi"")"),"पारंपरिक मणिपुर में मुकना कुश्ती से जुड़ी एक महत्वपूर्ण सांस्कृतिक घटना क्या थी?")</f>
        <v>पारंपरिक मणिपुर में मुकना कुश्ती से जुड़ी एक महत्वपूर्ण सांस्कृतिक घटना क्या थी?</v>
      </c>
      <c r="H196" s="5" t="str">
        <f>IFERROR(__xludf.DUMMYFUNCTION("GOOGLETRANSLATE(C196, ""en"", ""hi"")"),"A) फसल उत्सव, B) शाही समारोह, C) विवाह समारोह, D) राजनीतिक सभाएँ")</f>
        <v>A) फसल उत्सव, B) शाही समारोह, C) विवाह समारोह, D) राजनीतिक सभाएँ</v>
      </c>
      <c r="I196" s="5" t="str">
        <f>IFERROR(__xludf.DUMMYFUNCTION("GOOGLETRANSLATE(D196, ""en"", ""hi"")"),"बी) शाही समारोह")</f>
        <v>बी) शाही समारोह</v>
      </c>
    </row>
    <row r="197" ht="22.5" customHeight="1">
      <c r="A197" s="3">
        <v>196.0</v>
      </c>
      <c r="B197" s="4" t="s">
        <v>13713</v>
      </c>
      <c r="C197" s="4" t="s">
        <v>13619</v>
      </c>
      <c r="D197" s="4" t="s">
        <v>13331</v>
      </c>
      <c r="F197" s="5" t="str">
        <f>IFERROR(__xludf.DUMMYFUNCTION("GOOGLETRANSLATE(A197, ""en"", ""hi"")"),"196")</f>
        <v>196</v>
      </c>
      <c r="G197" s="5" t="str">
        <f>IFERROR(__xludf.DUMMYFUNCTION("GOOGLETRANSLATE(B197, ""en"", ""hi"")"),"20वीं सदी में मुकना कुश्ती परंपराओं के संरक्षण में किसने महत्वपूर्ण भूमिका निभाई?")</f>
        <v>20वीं सदी में मुकना कुश्ती परंपराओं के संरक्षण में किसने महत्वपूर्ण भूमिका निभाई?</v>
      </c>
      <c r="H197" s="5" t="str">
        <f>IFERROR(__xludf.DUMMYFUNCTION("GOOGLETRANSLATE(C197,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197" s="5" t="str">
        <f>IFERROR(__xludf.DUMMYFUNCTION("GOOGLETRANSLATE(D197, ""en"", ""hi"")"),"A) महाराजा चूड़ाचंद सिंह")</f>
        <v>A) महाराजा चूड़ाचंद सिंह</v>
      </c>
    </row>
    <row r="198" ht="22.5" customHeight="1">
      <c r="A198" s="3">
        <v>197.0</v>
      </c>
      <c r="B198" s="4" t="s">
        <v>13714</v>
      </c>
      <c r="C198" s="4" t="s">
        <v>13715</v>
      </c>
      <c r="D198" s="4" t="s">
        <v>13716</v>
      </c>
      <c r="F198" s="5" t="str">
        <f>IFERROR(__xludf.DUMMYFUNCTION("GOOGLETRANSLATE(A198, ""en"", ""hi"")"),"197")</f>
        <v>197</v>
      </c>
      <c r="G198" s="5" t="str">
        <f>IFERROR(__xludf.DUMMYFUNCTION("GOOGLETRANSLATE(B198, ""en"", ""hi"")"),"ऐतिहासिक मणिपुरी ग्रंथों में मुकना कुश्ती के किस पहलू पर प्रकाश डाला गया है?")</f>
        <v>ऐतिहासिक मणिपुरी ग्रंथों में मुकना कुश्ती के किस पहलू पर प्रकाश डाला गया है?</v>
      </c>
      <c r="H198" s="5" t="str">
        <f>IFERROR(__xludf.DUMMYFUNCTION("GOOGLETRANSLATE(C198, ""en"", ""hi"")"),"A) अनुष्ठानिक महत्व, B) आर्थिक प्रभाव, C) राजनीतिक प्रभाव, D) शैक्षिक मूल्य")</f>
        <v>A) अनुष्ठानिक महत्व, B) आर्थिक प्रभाव, C) राजनीतिक प्रभाव, D) शैक्षिक मूल्य</v>
      </c>
      <c r="I198" s="5" t="str">
        <f>IFERROR(__xludf.DUMMYFUNCTION("GOOGLETRANSLATE(D198, ""en"", ""hi"")"),"A) अनुष्ठानिक महत्व")</f>
        <v>A) अनुष्ठानिक महत्व</v>
      </c>
    </row>
    <row r="199" ht="22.5" customHeight="1">
      <c r="A199" s="3">
        <v>198.0</v>
      </c>
      <c r="B199" s="4" t="s">
        <v>13717</v>
      </c>
      <c r="C199" s="4" t="s">
        <v>13718</v>
      </c>
      <c r="D199" s="4" t="s">
        <v>13719</v>
      </c>
      <c r="F199" s="5" t="str">
        <f>IFERROR(__xludf.DUMMYFUNCTION("GOOGLETRANSLATE(A199, ""en"", ""hi"")"),"198")</f>
        <v>198</v>
      </c>
      <c r="G199" s="5" t="str">
        <f>IFERROR(__xludf.DUMMYFUNCTION("GOOGLETRANSLATE(B199, ""en"", ""hi"")"),"ऐतिहासिक रूप से मुकना कुश्ती मैट बनाने के लिए प्राथमिक सामग्री क्या थी?")</f>
        <v>ऐतिहासिक रूप से मुकना कुश्ती मैट बनाने के लिए प्राथमिक सामग्री क्या थी?</v>
      </c>
      <c r="H199" s="5" t="str">
        <f>IFERROR(__xludf.DUMMYFUNCTION("GOOGLETRANSLATE(C199, ""en"", ""hi"")"),"A) बांस, B) जूट, C) कपास, D) पुआल")</f>
        <v>A) बांस, B) जूट, C) कपास, D) पुआल</v>
      </c>
      <c r="I199" s="5" t="str">
        <f>IFERROR(__xludf.DUMMYFUNCTION("GOOGLETRANSLATE(D199, ""en"", ""hi"")"),"D) पुआल")</f>
        <v>D) पुआल</v>
      </c>
    </row>
    <row r="200" ht="22.5" customHeight="1">
      <c r="A200" s="3">
        <v>199.0</v>
      </c>
      <c r="B200" s="4" t="s">
        <v>13720</v>
      </c>
      <c r="C200" s="4" t="s">
        <v>13721</v>
      </c>
      <c r="D200" s="4" t="s">
        <v>13722</v>
      </c>
      <c r="F200" s="5" t="str">
        <f>IFERROR(__xludf.DUMMYFUNCTION("GOOGLETRANSLATE(A200, ""en"", ""hi"")"),"199")</f>
        <v>199</v>
      </c>
      <c r="G200" s="5" t="str">
        <f>IFERROR(__xludf.DUMMYFUNCTION("GOOGLETRANSLATE(B200,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00" s="5" t="str">
        <f>IFERROR(__xludf.DUMMYFUNCTION("GOOGLETRANSLATE(C200, ""en"", ""hi"")"),"A) रॉबर्ट गॉर्डन, B) आर. एन. शर्मा, C) जी. ई. हार्वे, D) ए. बी. जॉर्ज")</f>
        <v>A) रॉबर्ट गॉर्डन, B) आर. एन. शर्मा, C) जी. ई. हार्वे, D) ए. बी. जॉर्ज</v>
      </c>
      <c r="I200" s="5" t="str">
        <f>IFERROR(__xludf.DUMMYFUNCTION("GOOGLETRANSLATE(D200, ""en"", ""hi"")"),"C) जी. ई. हार्वे")</f>
        <v>C) जी. ई. हार्वे</v>
      </c>
    </row>
    <row r="201" ht="22.5" customHeight="1">
      <c r="A201" s="3">
        <v>200.0</v>
      </c>
      <c r="B201" s="4" t="s">
        <v>13723</v>
      </c>
      <c r="C201" s="4" t="s">
        <v>13683</v>
      </c>
      <c r="D201" s="4" t="s">
        <v>13684</v>
      </c>
      <c r="F201" s="5" t="str">
        <f>IFERROR(__xludf.DUMMYFUNCTION("GOOGLETRANSLATE(A201, ""en"", ""hi"")"),"200")</f>
        <v>200</v>
      </c>
      <c r="G201" s="5" t="str">
        <f>IFERROR(__xludf.DUMMYFUNCTION("GOOGLETRANSLATE(B201, ""en"", ""hi"")"),"किस मणिपुरी राजा को मुकना कुश्ती तकनीकों के दस्तावेजीकरण में उनके प्रयासों के लिए जाना जाता है?")</f>
        <v>किस मणिपुरी राजा को मुकना कुश्ती तकनीकों के दस्तावेजीकरण में उनके प्रयासों के लिए जाना जाता है?</v>
      </c>
      <c r="H201" s="5" t="str">
        <f>IFERROR(__xludf.DUMMYFUNCTION("GOOGLETRANSLATE(C201, ""en"", ""hi"")"),"ए) महाराजा भाग्यचंद्र सिंह, बी) महाराजा बोधचंद्र सिंह, सी) महाराजा गंभीर सिंह, डी) महाराजा चुराचंद सिंह")</f>
        <v>ए) महाराजा भाग्यचंद्र सिंह, बी) महाराजा बोधचंद्र सिंह, सी) महाराजा गंभीर सिंह, डी) महाराजा चुराचंद सिंह</v>
      </c>
      <c r="I201" s="5" t="str">
        <f>IFERROR(__xludf.DUMMYFUNCTION("GOOGLETRANSLATE(D201, ""en"", ""hi"")"),"D) महाराजा चूड़ाचंद सिंह")</f>
        <v>D) महाराजा चूड़ाचंद सिंह</v>
      </c>
    </row>
    <row r="202" ht="22.5" customHeight="1">
      <c r="A202" s="3">
        <v>201.0</v>
      </c>
      <c r="B202" s="4" t="s">
        <v>13724</v>
      </c>
      <c r="C202" s="4" t="s">
        <v>13725</v>
      </c>
      <c r="D202" s="4" t="s">
        <v>13726</v>
      </c>
      <c r="F202" s="5" t="str">
        <f>IFERROR(__xludf.DUMMYFUNCTION("GOOGLETRANSLATE(A202, ""en"", ""hi"")"),"201")</f>
        <v>201</v>
      </c>
      <c r="G202" s="5" t="str">
        <f>IFERROR(__xludf.DUMMYFUNCTION("GOOGLETRANSLATE(B202, ""en"", ""hi"")"),"ब्रिटिश शासन के दौरान मुकना कुश्ती के पतन का एक मुख्य कारण क्या था?")</f>
        <v>ब्रिटिश शासन के दौरान मुकना कुश्ती के पतन का एक मुख्य कारण क्या था?</v>
      </c>
      <c r="H202" s="5" t="str">
        <f>IFERROR(__xludf.DUMMYFUNCTION("GOOGLETRANSLATE(C202, ""en"", ""hi"")"),"A) औपनिवेशिक दमन, B) रुचि की कमी, C) आर्थिक मंदी, D) विदेशी खेलों का आगमन")</f>
        <v>A) औपनिवेशिक दमन, B) रुचि की कमी, C) आर्थिक मंदी, D) विदेशी खेलों का आगमन</v>
      </c>
      <c r="I202" s="5" t="str">
        <f>IFERROR(__xludf.DUMMYFUNCTION("GOOGLETRANSLATE(D202, ""en"", ""hi"")"),"A) औपनिवेशिक दमन")</f>
        <v>A) औपनिवेशिक दमन</v>
      </c>
    </row>
    <row r="203" ht="22.5" customHeight="1">
      <c r="A203" s="3">
        <v>202.0</v>
      </c>
      <c r="B203" s="4" t="s">
        <v>13727</v>
      </c>
      <c r="C203" s="4" t="s">
        <v>13728</v>
      </c>
      <c r="D203" s="4" t="s">
        <v>13729</v>
      </c>
      <c r="F203" s="5" t="str">
        <f>IFERROR(__xludf.DUMMYFUNCTION("GOOGLETRANSLATE(A203, ""en"", ""hi"")"),"202")</f>
        <v>202</v>
      </c>
      <c r="G203" s="5" t="str">
        <f>IFERROR(__xludf.DUMMYFUNCTION("GOOGLETRANSLATE(B203, ""en"", ""hi"")"),"निम्नलिखित में से कौन सा ऐतिहासिक रूप से मुकना पहलवानों द्वारा पहने जाने वाले परिधान का सबसे अच्छा वर्णन करता है?")</f>
        <v>निम्नलिखित में से कौन सा ऐतिहासिक रूप से मुकना पहलवानों द्वारा पहने जाने वाले परिधान का सबसे अच्छा वर्णन करता है?</v>
      </c>
      <c r="H203" s="5" t="str">
        <f>IFERROR(__xludf.DUMMYFUNCTION("GOOGLETRANSLATE(C203, ""en"", ""hi"")"),"A) हल्का और लचीला, B) भारी और सुरक्षात्मक, C) आधुनिक खेल उपकरण, D) अलंकृत और सजावटी")</f>
        <v>A) हल्का और लचीला, B) भारी और सुरक्षात्मक, C) आधुनिक खेल उपकरण, D) अलंकृत और सजावटी</v>
      </c>
      <c r="I203" s="5" t="str">
        <f>IFERROR(__xludf.DUMMYFUNCTION("GOOGLETRANSLATE(D203, ""en"", ""hi"")"),"A) हल्का और लचीला")</f>
        <v>A) हल्का और लचीला</v>
      </c>
    </row>
    <row r="204" ht="22.5" customHeight="1">
      <c r="A204" s="3">
        <v>203.0</v>
      </c>
      <c r="B204" s="4" t="s">
        <v>13730</v>
      </c>
      <c r="C204" s="4" t="s">
        <v>12867</v>
      </c>
      <c r="D204" s="4" t="s">
        <v>12086</v>
      </c>
      <c r="F204" s="5" t="str">
        <f>IFERROR(__xludf.DUMMYFUNCTION("GOOGLETRANSLATE(A204, ""en"", ""hi"")"),"203")</f>
        <v>203</v>
      </c>
      <c r="G204" s="5" t="str">
        <f>IFERROR(__xludf.DUMMYFUNCTION("GOOGLETRANSLATE(B204, ""en"", ""hi"")"),"मणिपुर के किस पारंपरिक त्यौहार में मुकना कुश्ती एक प्रमुख आयोजन के रूप में शामिल है?")</f>
        <v>मणिपुर के किस पारंपरिक त्यौहार में मुकना कुश्ती एक प्रमुख आयोजन के रूप में शामिल है?</v>
      </c>
      <c r="H204" s="5" t="str">
        <f>IFERROR(__xludf.DUMMYFUNCTION("GOOGLETRANSLATE(C204, ""en"", ""hi"")"),"ए) लाई हराओबा, बी) निंगोल चाकोउबा, सी) याओशांग, डी) चेइराओबा")</f>
        <v>ए) लाई हराओबा, बी) निंगोल चाकोउबा, सी) याओशांग, डी) चेइराओबा</v>
      </c>
      <c r="I204" s="5" t="str">
        <f>IFERROR(__xludf.DUMMYFUNCTION("GOOGLETRANSLATE(D204, ""en"", ""hi"")"),"A) लाई हरोबा")</f>
        <v>A) लाई हरोबा</v>
      </c>
    </row>
    <row r="205" ht="22.5" customHeight="1">
      <c r="A205" s="3">
        <v>204.0</v>
      </c>
      <c r="B205" s="4" t="s">
        <v>13731</v>
      </c>
      <c r="C205" s="4" t="s">
        <v>13732</v>
      </c>
      <c r="D205" s="4" t="s">
        <v>13567</v>
      </c>
      <c r="F205" s="5" t="str">
        <f>IFERROR(__xludf.DUMMYFUNCTION("GOOGLETRANSLATE(A205, ""en"", ""hi"")"),"204")</f>
        <v>204</v>
      </c>
      <c r="G205" s="5" t="str">
        <f>IFERROR(__xludf.DUMMYFUNCTION("GOOGLETRANSLATE(B205, ""en"", ""hi"")"),"मणिपुरी शाही समारोहों के संदर्भ में मुकना कुश्ती की क्या भूमिका थी?")</f>
        <v>मणिपुरी शाही समारोहों के संदर्भ में मुकना कुश्ती की क्या भूमिका थी?</v>
      </c>
      <c r="H205" s="5" t="str">
        <f>IFERROR(__xludf.DUMMYFUNCTION("GOOGLETRANSLATE(C205, ""en"", ""hi"")"),"A) यह मनोरंजन का एक रूप था, B) यह सैन्य प्रशिक्षण का एक रूप था, C) यह अनुष्ठानिक अभ्यास का एक रूप था, D) यह कूटनीति का एक रूप था")</f>
        <v>A) यह मनोरंजन का एक रूप था, B) यह सैन्य प्रशिक्षण का एक रूप था, C) यह अनुष्ठानिक अभ्यास का एक रूप था, D) यह कूटनीति का एक रूप था</v>
      </c>
      <c r="I205" s="5" t="str">
        <f>IFERROR(__xludf.DUMMYFUNCTION("GOOGLETRANSLATE(D205, ""en"", ""hi"")"),"C) यह एक प्रकार की कर्मकाण्डीय प्रथा थी")</f>
        <v>C) यह एक प्रकार की कर्मकाण्डीय प्रथा थी</v>
      </c>
    </row>
    <row r="206" ht="22.5" customHeight="1">
      <c r="A206" s="3">
        <v>205.0</v>
      </c>
      <c r="B206" s="4" t="s">
        <v>13733</v>
      </c>
      <c r="C206" s="4" t="s">
        <v>13628</v>
      </c>
      <c r="D206" s="4" t="s">
        <v>13474</v>
      </c>
      <c r="F206" s="5" t="str">
        <f>IFERROR(__xludf.DUMMYFUNCTION("GOOGLETRANSLATE(A206, ""en"", ""hi"")"),"205")</f>
        <v>205</v>
      </c>
      <c r="G206" s="5" t="str">
        <f>IFERROR(__xludf.DUMMYFUNCTION("GOOGLETRANSLATE(B206, ""en"", ""hi"")"),"मणिपुर में मुकना कुश्ती के विकास को समझने के लिए कौन सा ऐतिहासिक दस्तावेज आवश्यक है?")</f>
        <v>मणिपुर में मुकना कुश्ती के विकास को समझने के लिए कौन सा ऐतिहासिक दस्तावेज आवश्यक है?</v>
      </c>
      <c r="H206" s="5" t="str">
        <f>IFERROR(__xludf.DUMMYFUNCTION("GOOGLETRANSLATE(C206, ""en"", ""hi"")"),"ए) बुरांजी, बी) राजमाला, सी) मनुस्मृति, डी) वेद")</f>
        <v>ए) बुरांजी, बी) राजमाला, सी) मनुस्मृति, डी) वेद</v>
      </c>
      <c r="I206" s="5" t="str">
        <f>IFERROR(__xludf.DUMMYFUNCTION("GOOGLETRANSLATE(D206, ""en"", ""hi"")"),"ए) बुरांजी")</f>
        <v>ए) बुरांजी</v>
      </c>
    </row>
    <row r="207" ht="22.5" customHeight="1">
      <c r="A207" s="3">
        <v>206.0</v>
      </c>
      <c r="B207" s="4" t="s">
        <v>13734</v>
      </c>
      <c r="C207" s="4" t="s">
        <v>13602</v>
      </c>
      <c r="D207" s="4" t="s">
        <v>13603</v>
      </c>
      <c r="F207" s="5" t="str">
        <f>IFERROR(__xludf.DUMMYFUNCTION("GOOGLETRANSLATE(A207, ""en"", ""hi"")"),"206")</f>
        <v>206</v>
      </c>
      <c r="G207" s="5" t="str">
        <f>IFERROR(__xludf.DUMMYFUNCTION("GOOGLETRANSLATE(B207, ""en"", ""hi"")"),"किस ऐतिहासिक काल में मुकना कुश्ती को एक औपचारिक खेल के रूप में पुनर्जीवित किया गया?")</f>
        <v>किस ऐतिहासिक काल में मुकना कुश्ती को एक औपचारिक खेल के रूप में पुनर्जीवित किया गया?</v>
      </c>
      <c r="H207" s="5" t="str">
        <f>IFERROR(__xludf.DUMMYFUNCTION("GOOGLETRANSLATE(C207, ""en"", ""hi"")"),"A) 20वीं सदी का प्रारंभ, B) 19वीं सदी का उत्तरार्ध, C) 20वीं सदी का मध्य, D) 21वीं सदी")</f>
        <v>A) 20वीं सदी का प्रारंभ, B) 19वीं सदी का उत्तरार्ध, C) 20वीं सदी का मध्य, D) 21वीं सदी</v>
      </c>
      <c r="I207" s="5" t="str">
        <f>IFERROR(__xludf.DUMMYFUNCTION("GOOGLETRANSLATE(D207, ""en"", ""hi"")"),"A) 20वीं सदी की शुरुआत")</f>
        <v>A) 20वीं सदी की शुरुआत</v>
      </c>
    </row>
    <row r="208" ht="22.5" customHeight="1">
      <c r="A208" s="3">
        <v>207.0</v>
      </c>
      <c r="B208" s="4" t="s">
        <v>13735</v>
      </c>
      <c r="C208" s="4" t="s">
        <v>13613</v>
      </c>
      <c r="D208" s="4" t="s">
        <v>13614</v>
      </c>
      <c r="F208" s="5" t="str">
        <f>IFERROR(__xludf.DUMMYFUNCTION("GOOGLETRANSLATE(A208, ""en"", ""hi"")"),"207")</f>
        <v>207</v>
      </c>
      <c r="G208" s="5" t="str">
        <f>IFERROR(__xludf.DUMMYFUNCTION("GOOGLETRANSLATE(B208, ""en"", ""hi"")"),"ऐतिहासिक मणिपुर में मुकना कुश्ती मैचों के लिए पारंपरिक स्थान क्या था?")</f>
        <v>ऐतिहासिक मणिपुर में मुकना कुश्ती मैचों के लिए पारंपरिक स्थान क्या था?</v>
      </c>
      <c r="H208" s="5" t="str">
        <f>IFERROR(__xludf.DUMMYFUNCTION("GOOGLETRANSLATE(C208, ""en"", ""hi"")"),"A) खुले मैदान, B) इनडोर एरेना, C) शाही दरबार, D) बाज़ार")</f>
        <v>A) खुले मैदान, B) इनडोर एरेना, C) शाही दरबार, D) बाज़ार</v>
      </c>
      <c r="I208" s="5" t="str">
        <f>IFERROR(__xludf.DUMMYFUNCTION("GOOGLETRANSLATE(D208, ""en"", ""hi"")"),"ए) खुले मैदान")</f>
        <v>ए) खुले मैदान</v>
      </c>
    </row>
    <row r="209" ht="22.5" customHeight="1">
      <c r="A209" s="3">
        <v>208.0</v>
      </c>
      <c r="B209" s="4" t="s">
        <v>13736</v>
      </c>
      <c r="C209" s="4" t="s">
        <v>13605</v>
      </c>
      <c r="D209" s="4" t="s">
        <v>13432</v>
      </c>
      <c r="F209" s="5" t="str">
        <f>IFERROR(__xludf.DUMMYFUNCTION("GOOGLETRANSLATE(A209, ""en"", ""hi"")"),"208")</f>
        <v>208</v>
      </c>
      <c r="G209" s="5" t="str">
        <f>IFERROR(__xludf.DUMMYFUNCTION("GOOGLETRANSLATE(B209, ""en"", ""hi"")"),"ऐतिहासिक रूप से पारंपरिक मुकना कुश्ती पोशाक की मुख्य विशेषता क्या थी?")</f>
        <v>ऐतिहासिक रूप से पारंपरिक मुकना कुश्ती पोशाक की मुख्य विशेषता क्या थी?</v>
      </c>
      <c r="H209" s="5" t="str">
        <f>IFERROR(__xludf.DUMMYFUNCTION("GOOGLETRANSLATE(C209,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209" s="5" t="str">
        <f>IFERROR(__xludf.DUMMYFUNCTION("GOOGLETRANSLATE(D209, ""en"", ""hi"")"),"A) हल्का और लचीला")</f>
        <v>A) हल्का और लचीला</v>
      </c>
    </row>
    <row r="210" ht="22.5" customHeight="1">
      <c r="A210" s="3">
        <v>209.0</v>
      </c>
      <c r="B210" s="4" t="s">
        <v>13737</v>
      </c>
      <c r="C210" s="4" t="s">
        <v>13619</v>
      </c>
      <c r="D210" s="4" t="s">
        <v>12153</v>
      </c>
      <c r="F210" s="5" t="str">
        <f>IFERROR(__xludf.DUMMYFUNCTION("GOOGLETRANSLATE(A210, ""en"", ""hi"")"),"209")</f>
        <v>209</v>
      </c>
      <c r="G210" s="5" t="str">
        <f>IFERROR(__xludf.DUMMYFUNCTION("GOOGLETRANSLATE(B210, ""en"", ""hi"")"),"औपनिवेशिक शासन के दौरान मुकना कुश्ती के संरक्षण का श्रेय किस मणिपुरी राजा को दिया जाता है?")</f>
        <v>औपनिवेशिक शासन के दौरान मुकना कुश्ती के संरक्षण का श्रेय किस मणिपुरी राजा को दिया जाता है?</v>
      </c>
      <c r="H210" s="5" t="str">
        <f>IFERROR(__xludf.DUMMYFUNCTION("GOOGLETRANSLATE(C210,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210" s="5" t="str">
        <f>IFERROR(__xludf.DUMMYFUNCTION("GOOGLETRANSLATE(D210, ""en"", ""hi"")"),"बी) महाराजा गंभीर सिंह")</f>
        <v>बी) महाराजा गंभीर सिंह</v>
      </c>
    </row>
    <row r="211" ht="22.5" customHeight="1">
      <c r="A211" s="3">
        <v>210.0</v>
      </c>
      <c r="B211" s="4" t="s">
        <v>13738</v>
      </c>
      <c r="C211" s="4" t="s">
        <v>13739</v>
      </c>
      <c r="D211" s="4" t="s">
        <v>10097</v>
      </c>
      <c r="F211" s="5" t="str">
        <f>IFERROR(__xludf.DUMMYFUNCTION("GOOGLETRANSLATE(A211, ""en"", ""hi"")"),"210")</f>
        <v>210</v>
      </c>
      <c r="G211" s="5" t="str">
        <f>IFERROR(__xludf.DUMMYFUNCTION("GOOGLETRANSLATE(B211, ""en"", ""hi"")"),"मुकना कुश्ती पारंपरिक रूप से किस प्रकार की मणिपुरी प्रतियोगिता से जुड़ी हुई थी?")</f>
        <v>मुकना कुश्ती पारंपरिक रूप से किस प्रकार की मणिपुरी प्रतियोगिता से जुड़ी हुई थी?</v>
      </c>
      <c r="H211" s="5" t="str">
        <f>IFERROR(__xludf.DUMMYFUNCTION("GOOGLETRANSLATE(C211, ""en"", ""hi"")"),"A) धार्मिक अनुष्ठान, B) सामाजिक समारोह, C) राजनीतिक कार्यक्रम, D) आर्थिक लेन-देन")</f>
        <v>A) धार्मिक अनुष्ठान, B) सामाजिक समारोह, C) राजनीतिक कार्यक्रम, D) आर्थिक लेन-देन</v>
      </c>
      <c r="I211" s="5" t="str">
        <f>IFERROR(__xludf.DUMMYFUNCTION("GOOGLETRANSLATE(D211, ""en"", ""hi"")"),"A) धार्मिक अनुष्ठान")</f>
        <v>A) धार्मिक अनुष्ठान</v>
      </c>
    </row>
    <row r="212" ht="22.5" customHeight="1">
      <c r="A212" s="3">
        <v>211.0</v>
      </c>
      <c r="B212" s="4" t="s">
        <v>13740</v>
      </c>
      <c r="C212" s="4" t="s">
        <v>13741</v>
      </c>
      <c r="D212" s="4" t="s">
        <v>13474</v>
      </c>
      <c r="F212" s="5" t="str">
        <f>IFERROR(__xludf.DUMMYFUNCTION("GOOGLETRANSLATE(A212, ""en"", ""hi"")"),"211")</f>
        <v>211</v>
      </c>
      <c r="G212" s="5" t="str">
        <f>IFERROR(__xludf.DUMMYFUNCTION("GOOGLETRANSLATE(B212, ""en"", ""hi"")"),"कौन सा पारंपरिक मणिपुरी पाठ मुकना कुश्ती तकनीकों की जानकारी प्रदान करता है?")</f>
        <v>कौन सा पारंपरिक मणिपुरी पाठ मुकना कुश्ती तकनीकों की जानकारी प्रदान करता है?</v>
      </c>
      <c r="H212" s="5" t="str">
        <f>IFERROR(__xludf.DUMMYFUNCTION("GOOGLETRANSLATE(C212, ""en"", ""hi"")"),"ए) बुरांजी, बी) राजमाला, सी) मनुस्मृति, डी) मणिपुरी वेद")</f>
        <v>ए) बुरांजी, बी) राजमाला, सी) मनुस्मृति, डी) मणिपुरी वेद</v>
      </c>
      <c r="I212" s="5" t="str">
        <f>IFERROR(__xludf.DUMMYFUNCTION("GOOGLETRANSLATE(D212, ""en"", ""hi"")"),"ए) बुरांजी")</f>
        <v>ए) बुरांजी</v>
      </c>
    </row>
    <row r="213" ht="22.5" customHeight="1">
      <c r="A213" s="3">
        <v>212.0</v>
      </c>
      <c r="B213" s="4" t="s">
        <v>13742</v>
      </c>
      <c r="C213" s="4" t="s">
        <v>13743</v>
      </c>
      <c r="D213" s="4" t="s">
        <v>13726</v>
      </c>
      <c r="F213" s="5" t="str">
        <f>IFERROR(__xludf.DUMMYFUNCTION("GOOGLETRANSLATE(A213, ""en"", ""hi"")"),"212")</f>
        <v>212</v>
      </c>
      <c r="G213" s="5" t="str">
        <f>IFERROR(__xludf.DUMMYFUNCTION("GOOGLETRANSLATE(B213, ""en"", ""hi"")"),"ब्रिटिश औपनिवेशिक काल के दौरान मुकना कुश्ती के पतन का एक महत्वपूर्ण कारक क्या था?")</f>
        <v>ब्रिटिश औपनिवेशिक काल के दौरान मुकना कुश्ती के पतन का एक महत्वपूर्ण कारक क्या था?</v>
      </c>
      <c r="H213" s="5" t="str">
        <f>IFERROR(__xludf.DUMMYFUNCTION("GOOGLETRANSLATE(C213, ""en"", ""hi"")"),"A) औपनिवेशिक दमन, B) आर्थिक कठिनाई, C) स्थानीय रुचि का अभाव, D) नए खेलों का आगमन")</f>
        <v>A) औपनिवेशिक दमन, B) आर्थिक कठिनाई, C) स्थानीय रुचि का अभाव, D) नए खेलों का आगमन</v>
      </c>
      <c r="I213" s="5" t="str">
        <f>IFERROR(__xludf.DUMMYFUNCTION("GOOGLETRANSLATE(D213, ""en"", ""hi"")"),"A) औपनिवेशिक दमन")</f>
        <v>A) औपनिवेशिक दमन</v>
      </c>
    </row>
    <row r="214" ht="22.5" customHeight="1">
      <c r="A214" s="3">
        <v>213.0</v>
      </c>
      <c r="B214" s="4" t="s">
        <v>13744</v>
      </c>
      <c r="C214" s="4" t="s">
        <v>13657</v>
      </c>
      <c r="D214" s="4" t="s">
        <v>13658</v>
      </c>
      <c r="F214" s="5" t="str">
        <f>IFERROR(__xludf.DUMMYFUNCTION("GOOGLETRANSLATE(A214, ""en"", ""hi"")"),"213")</f>
        <v>213</v>
      </c>
      <c r="G214" s="5" t="str">
        <f>IFERROR(__xludf.DUMMYFUNCTION("GOOGLETRANSLATE(B214, ""en"", ""hi"")"),"किस मणिपुरी राजा ने मुकना कुश्ती तकनीकों के दस्तावेजीकरण में महत्वपूर्ण भूमिका निभाई?")</f>
        <v>किस मणिपुरी राजा ने मुकना कुश्ती तकनीकों के दस्तावेजीकरण में महत्वपूर्ण भूमिका निभाई?</v>
      </c>
      <c r="H214" s="5" t="str">
        <f>IFERROR(__xludf.DUMMYFUNCTION("GOOGLETRANSLATE(C214,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214" s="5" t="str">
        <f>IFERROR(__xludf.DUMMYFUNCTION("GOOGLETRANSLATE(D214, ""en"", ""hi"")"),"C) महाराजा चूड़ाचंद सिंह")</f>
        <v>C) महाराजा चूड़ाचंद सिंह</v>
      </c>
    </row>
    <row r="215" ht="22.5" customHeight="1">
      <c r="A215" s="3">
        <v>214.0</v>
      </c>
      <c r="B215" s="4" t="s">
        <v>13639</v>
      </c>
      <c r="C215" s="4" t="s">
        <v>13745</v>
      </c>
      <c r="D215" s="4" t="s">
        <v>13691</v>
      </c>
      <c r="F215" s="5" t="str">
        <f>IFERROR(__xludf.DUMMYFUNCTION("GOOGLETRANSLATE(A215, ""en"", ""hi"")"),"214")</f>
        <v>214</v>
      </c>
      <c r="G215" s="5" t="str">
        <f>IFERROR(__xludf.DUMMYFUNCTION("GOOGLETRANSLATE(B215, ""en"", ""hi"")"),"मुकना कुश्ती पारंपरिक रूप से किस प्रकार के मणिपुरी आयोजन के दौरान की जाती थी?")</f>
        <v>मुकना कुश्ती पारंपरिक रूप से किस प्रकार के मणिपुरी आयोजन के दौरान की जाती थी?</v>
      </c>
      <c r="H215" s="5" t="str">
        <f>IFERROR(__xludf.DUMMYFUNCTION("GOOGLETRANSLATE(C215, ""en"", ""hi"")"),"A) सामुदायिक उत्सव, B) राजनीतिक सभाएँ, C) शैक्षिक कार्यक्रम, D) बाज़ार मेले")</f>
        <v>A) सामुदायिक उत्सव, B) राजनीतिक सभाएँ, C) शैक्षिक कार्यक्रम, D) बाज़ार मेले</v>
      </c>
      <c r="I215" s="5" t="str">
        <f>IFERROR(__xludf.DUMMYFUNCTION("GOOGLETRANSLATE(D215, ""en"", ""hi"")"),"ए) सामुदायिक त्यौहार")</f>
        <v>ए) सामुदायिक त्यौहार</v>
      </c>
    </row>
    <row r="216" ht="22.5" customHeight="1">
      <c r="A216" s="3">
        <v>215.0</v>
      </c>
      <c r="B216" s="4" t="s">
        <v>13746</v>
      </c>
      <c r="C216" s="4" t="s">
        <v>13715</v>
      </c>
      <c r="D216" s="4" t="s">
        <v>13716</v>
      </c>
      <c r="F216" s="5" t="str">
        <f>IFERROR(__xludf.DUMMYFUNCTION("GOOGLETRANSLATE(A216, ""en"", ""hi"")"),"215")</f>
        <v>215</v>
      </c>
      <c r="G216" s="5" t="str">
        <f>IFERROR(__xludf.DUMMYFUNCTION("GOOGLETRANSLATE(B216, ""en"", ""hi"")"),"पारंपरिक मणिपुरी ग्रंथों में मुकना कुश्ती के किस पहलू पर जोर दिया गया है?")</f>
        <v>पारंपरिक मणिपुरी ग्रंथों में मुकना कुश्ती के किस पहलू पर जोर दिया गया है?</v>
      </c>
      <c r="H216" s="5" t="str">
        <f>IFERROR(__xludf.DUMMYFUNCTION("GOOGLETRANSLATE(C216, ""en"", ""hi"")"),"A) अनुष्ठानिक महत्व, B) आर्थिक प्रभाव, C) राजनीतिक प्रभाव, D) शैक्षिक मूल्य")</f>
        <v>A) अनुष्ठानिक महत्व, B) आर्थिक प्रभाव, C) राजनीतिक प्रभाव, D) शैक्षिक मूल्य</v>
      </c>
      <c r="I216" s="5" t="str">
        <f>IFERROR(__xludf.DUMMYFUNCTION("GOOGLETRANSLATE(D216, ""en"", ""hi"")"),"A) अनुष्ठानिक महत्व")</f>
        <v>A) अनुष्ठानिक महत्व</v>
      </c>
    </row>
    <row r="217" ht="22.5" customHeight="1">
      <c r="A217" s="3">
        <v>216.0</v>
      </c>
      <c r="B217" s="4" t="s">
        <v>13747</v>
      </c>
      <c r="C217" s="4" t="s">
        <v>13610</v>
      </c>
      <c r="D217" s="4" t="s">
        <v>13611</v>
      </c>
      <c r="F217" s="5" t="str">
        <f>IFERROR(__xludf.DUMMYFUNCTION("GOOGLETRANSLATE(A217, ""en"", ""hi"")"),"216")</f>
        <v>216</v>
      </c>
      <c r="G217" s="5" t="str">
        <f>IFERROR(__xludf.DUMMYFUNCTION("GOOGLETRANSLATE(B217,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17" s="5" t="str">
        <f>IFERROR(__xludf.DUMMYFUNCTION("GOOGLETRANSLATE(C217, ""en"", ""hi"")"),"A) जी. ई. हार्वे, B) रॉबर्ट गॉर्डन, C) आर. एन. शर्मा, D) ए. बी. जॉर्ज")</f>
        <v>A) जी. ई. हार्वे, B) रॉबर्ट गॉर्डन, C) आर. एन. शर्मा, D) ए. बी. जॉर्ज</v>
      </c>
      <c r="I217" s="5" t="str">
        <f>IFERROR(__xludf.DUMMYFUNCTION("GOOGLETRANSLATE(D217, ""en"", ""hi"")"),"A) जी. ई. हार्वे")</f>
        <v>A) जी. ई. हार्वे</v>
      </c>
    </row>
    <row r="218" ht="22.5" customHeight="1">
      <c r="A218" s="3">
        <v>217.0</v>
      </c>
      <c r="B218" s="4" t="s">
        <v>13748</v>
      </c>
      <c r="C218" s="4" t="s">
        <v>13749</v>
      </c>
      <c r="D218" s="4" t="s">
        <v>13750</v>
      </c>
      <c r="F218" s="5" t="str">
        <f>IFERROR(__xludf.DUMMYFUNCTION("GOOGLETRANSLATE(A218, ""en"", ""hi"")"),"217")</f>
        <v>217</v>
      </c>
      <c r="G218" s="5" t="str">
        <f>IFERROR(__xludf.DUMMYFUNCTION("GOOGLETRANSLATE(B218, ""en"", ""hi"")"),"ऐतिहासिक मणिपुर में मुकना कुश्ती मैट के लिए प्रयुक्त प्राथमिक सामग्री क्या थी?")</f>
        <v>ऐतिहासिक मणिपुर में मुकना कुश्ती मैट के लिए प्रयुक्त प्राथमिक सामग्री क्या थी?</v>
      </c>
      <c r="H218" s="5" t="str">
        <f>IFERROR(__xludf.DUMMYFUNCTION("GOOGLETRANSLATE(C218, ""en"", ""hi"")"),"A) पुआल, B) बांस, C) जूट, D) कपास")</f>
        <v>A) पुआल, B) बांस, C) जूट, D) कपास</v>
      </c>
      <c r="I218" s="5" t="str">
        <f>IFERROR(__xludf.DUMMYFUNCTION("GOOGLETRANSLATE(D218, ""en"", ""hi"")"),"एक पुआल")</f>
        <v>एक पुआल</v>
      </c>
    </row>
    <row r="219" ht="22.5" customHeight="1">
      <c r="A219" s="3">
        <v>218.0</v>
      </c>
      <c r="B219" s="4" t="s">
        <v>13751</v>
      </c>
      <c r="C219" s="4" t="s">
        <v>13619</v>
      </c>
      <c r="D219" s="4" t="s">
        <v>13331</v>
      </c>
      <c r="F219" s="5" t="str">
        <f>IFERROR(__xludf.DUMMYFUNCTION("GOOGLETRANSLATE(A219, ""en"", ""hi"")"),"218")</f>
        <v>218</v>
      </c>
      <c r="G219" s="5" t="str">
        <f>IFERROR(__xludf.DUMMYFUNCTION("GOOGLETRANSLATE(B219, ""en"", ""hi"")"),"किस मणिपुरी राजा को मुकना कुश्ती के आधुनिकीकरण के प्रयासों के लिए जाना जाता है?")</f>
        <v>किस मणिपुरी राजा को मुकना कुश्ती के आधुनिकीकरण के प्रयासों के लिए जाना जाता है?</v>
      </c>
      <c r="H219" s="5" t="str">
        <f>IFERROR(__xludf.DUMMYFUNCTION("GOOGLETRANSLATE(C219,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219" s="5" t="str">
        <f>IFERROR(__xludf.DUMMYFUNCTION("GOOGLETRANSLATE(D219, ""en"", ""hi"")"),"A) महाराजा चूड़ाचंद सिंह")</f>
        <v>A) महाराजा चूड़ाचंद सिंह</v>
      </c>
    </row>
    <row r="220" ht="22.5" customHeight="1">
      <c r="A220" s="3">
        <v>219.0</v>
      </c>
      <c r="B220" s="4" t="s">
        <v>13752</v>
      </c>
      <c r="C220" s="4" t="s">
        <v>13753</v>
      </c>
      <c r="D220" s="4" t="s">
        <v>13754</v>
      </c>
      <c r="F220" s="5" t="str">
        <f>IFERROR(__xludf.DUMMYFUNCTION("GOOGLETRANSLATE(A220, ""en"", ""hi"")"),"219")</f>
        <v>219</v>
      </c>
      <c r="G220" s="5" t="str">
        <f>IFERROR(__xludf.DUMMYFUNCTION("GOOGLETRANSLATE(B220, ""en"", ""hi"")"),"मणिपुरी शाही समारोहों में मुकना कुश्ती की पारंपरिक रूप से क्या भूमिका थी?")</f>
        <v>मणिपुरी शाही समारोहों में मुकना कुश्ती की पारंपरिक रूप से क्या भूमिका थी?</v>
      </c>
      <c r="H220" s="5" t="str">
        <f>IFERROR(__xludf.DUMMYFUNCTION("GOOGLETRANSLATE(C220, ""en"", ""hi"")"),"A) अनुष्ठानिक अभ्यास, B) सैन्य प्रशिक्षण, C) सामाजिक मनोरंजन, D) राजनीतिक प्रवचन")</f>
        <v>A) अनुष्ठानिक अभ्यास, B) सैन्य प्रशिक्षण, C) सामाजिक मनोरंजन, D) राजनीतिक प्रवचन</v>
      </c>
      <c r="I220" s="5" t="str">
        <f>IFERROR(__xludf.DUMMYFUNCTION("GOOGLETRANSLATE(D220, ""en"", ""hi"")"),"A) अनुष्ठानिक अभ्यास")</f>
        <v>A) अनुष्ठानिक अभ्यास</v>
      </c>
    </row>
    <row r="221" ht="22.5" customHeight="1">
      <c r="A221" s="3">
        <v>220.0</v>
      </c>
      <c r="B221" s="4" t="s">
        <v>13755</v>
      </c>
      <c r="C221" s="4" t="s">
        <v>12867</v>
      </c>
      <c r="D221" s="4" t="s">
        <v>12086</v>
      </c>
      <c r="F221" s="5" t="str">
        <f>IFERROR(__xludf.DUMMYFUNCTION("GOOGLETRANSLATE(A221, ""en"", ""hi"")"),"220")</f>
        <v>220</v>
      </c>
      <c r="G221" s="5" t="str">
        <f>IFERROR(__xludf.DUMMYFUNCTION("GOOGLETRANSLATE(B221, ""en"", ""hi"")"),"कौन सा मणिपुरी त्यौहार मुकना कुश्ती प्रतियोगिताओं के लिए प्रसिद्ध है?")</f>
        <v>कौन सा मणिपुरी त्यौहार मुकना कुश्ती प्रतियोगिताओं के लिए प्रसिद्ध है?</v>
      </c>
      <c r="H221" s="5" t="str">
        <f>IFERROR(__xludf.DUMMYFUNCTION("GOOGLETRANSLATE(C221, ""en"", ""hi"")"),"ए) लाई हराओबा, बी) निंगोल चाकोउबा, सी) याओशांग, डी) चेइराओबा")</f>
        <v>ए) लाई हराओबा, बी) निंगोल चाकोउबा, सी) याओशांग, डी) चेइराओबा</v>
      </c>
      <c r="I221" s="5" t="str">
        <f>IFERROR(__xludf.DUMMYFUNCTION("GOOGLETRANSLATE(D221, ""en"", ""hi"")"),"A) लाई हरोबा")</f>
        <v>A) लाई हरोबा</v>
      </c>
    </row>
    <row r="222" ht="22.5" customHeight="1">
      <c r="A222" s="3">
        <v>221.0</v>
      </c>
      <c r="B222" s="4" t="s">
        <v>13756</v>
      </c>
      <c r="C222" s="4" t="s">
        <v>13628</v>
      </c>
      <c r="D222" s="4" t="s">
        <v>13474</v>
      </c>
      <c r="F222" s="5" t="str">
        <f>IFERROR(__xludf.DUMMYFUNCTION("GOOGLETRANSLATE(A222, ""en"", ""hi"")"),"221")</f>
        <v>221</v>
      </c>
      <c r="G222" s="5" t="str">
        <f>IFERROR(__xludf.DUMMYFUNCTION("GOOGLETRANSLATE(B222, ""en"", ""hi"")"),"मुकना कुश्ती तकनीक को समझने के लिए कौन सा ऐतिहासिक दस्तावेज महत्वपूर्ण है?")</f>
        <v>मुकना कुश्ती तकनीक को समझने के लिए कौन सा ऐतिहासिक दस्तावेज महत्वपूर्ण है?</v>
      </c>
      <c r="H222" s="5" t="str">
        <f>IFERROR(__xludf.DUMMYFUNCTION("GOOGLETRANSLATE(C222, ""en"", ""hi"")"),"ए) बुरांजी, बी) राजमाला, सी) मनुस्मृति, डी) वेद")</f>
        <v>ए) बुरांजी, बी) राजमाला, सी) मनुस्मृति, डी) वेद</v>
      </c>
      <c r="I222" s="5" t="str">
        <f>IFERROR(__xludf.DUMMYFUNCTION("GOOGLETRANSLATE(D222, ""en"", ""hi"")"),"ए) बुरांजी")</f>
        <v>ए) बुरांजी</v>
      </c>
    </row>
    <row r="223" ht="22.5" customHeight="1">
      <c r="A223" s="3">
        <v>222.0</v>
      </c>
      <c r="B223" s="4" t="s">
        <v>13757</v>
      </c>
      <c r="C223" s="4" t="s">
        <v>13602</v>
      </c>
      <c r="D223" s="4" t="s">
        <v>13603</v>
      </c>
      <c r="F223" s="5" t="str">
        <f>IFERROR(__xludf.DUMMYFUNCTION("GOOGLETRANSLATE(A223, ""en"", ""hi"")"),"222")</f>
        <v>222</v>
      </c>
      <c r="G223" s="5" t="str">
        <f>IFERROR(__xludf.DUMMYFUNCTION("GOOGLETRANSLATE(B223, ""en"", ""hi"")"),"किस अवधि के दौरान मुकना कुश्ती को एक खेल के रूप में महत्वपूर्ण पुनरुत्थान का अनुभव हुआ?")</f>
        <v>किस अवधि के दौरान मुकना कुश्ती को एक खेल के रूप में महत्वपूर्ण पुनरुत्थान का अनुभव हुआ?</v>
      </c>
      <c r="H223" s="5" t="str">
        <f>IFERROR(__xludf.DUMMYFUNCTION("GOOGLETRANSLATE(C223, ""en"", ""hi"")"),"A) 20वीं सदी का प्रारंभ, B) 19वीं सदी का उत्तरार्ध, C) 20वीं सदी का मध्य, D) 21वीं सदी")</f>
        <v>A) 20वीं सदी का प्रारंभ, B) 19वीं सदी का उत्तरार्ध, C) 20वीं सदी का मध्य, D) 21वीं सदी</v>
      </c>
      <c r="I223" s="5" t="str">
        <f>IFERROR(__xludf.DUMMYFUNCTION("GOOGLETRANSLATE(D223, ""en"", ""hi"")"),"A) 20वीं सदी की शुरुआत")</f>
        <v>A) 20वीं सदी की शुरुआत</v>
      </c>
    </row>
    <row r="224" ht="22.5" customHeight="1">
      <c r="A224" s="3">
        <v>223.0</v>
      </c>
      <c r="B224" s="4" t="s">
        <v>13758</v>
      </c>
      <c r="C224" s="4" t="s">
        <v>13613</v>
      </c>
      <c r="D224" s="4" t="s">
        <v>13614</v>
      </c>
      <c r="F224" s="5" t="str">
        <f>IFERROR(__xludf.DUMMYFUNCTION("GOOGLETRANSLATE(A224, ""en"", ""hi"")"),"223")</f>
        <v>223</v>
      </c>
      <c r="G224" s="5" t="str">
        <f>IFERROR(__xludf.DUMMYFUNCTION("GOOGLETRANSLATE(B224, ""en"", ""hi"")"),"ऐतिहासिक रूप से मुकना कुश्ती मैचों के लिए सामान्य परिवेश क्या था?")</f>
        <v>ऐतिहासिक रूप से मुकना कुश्ती मैचों के लिए सामान्य परिवेश क्या था?</v>
      </c>
      <c r="H224" s="5" t="str">
        <f>IFERROR(__xludf.DUMMYFUNCTION("GOOGLETRANSLATE(C224, ""en"", ""hi"")"),"A) खुले मैदान, B) इनडोर एरेना, C) शाही दरबार, D) बाज़ार")</f>
        <v>A) खुले मैदान, B) इनडोर एरेना, C) शाही दरबार, D) बाज़ार</v>
      </c>
      <c r="I224" s="5" t="str">
        <f>IFERROR(__xludf.DUMMYFUNCTION("GOOGLETRANSLATE(D224, ""en"", ""hi"")"),"ए) खुले मैदान")</f>
        <v>ए) खुले मैदान</v>
      </c>
    </row>
    <row r="225" ht="22.5" customHeight="1">
      <c r="A225" s="3">
        <v>224.0</v>
      </c>
      <c r="B225" s="4" t="s">
        <v>13759</v>
      </c>
      <c r="C225" s="4" t="s">
        <v>13605</v>
      </c>
      <c r="D225" s="4" t="s">
        <v>13432</v>
      </c>
      <c r="F225" s="5" t="str">
        <f>IFERROR(__xludf.DUMMYFUNCTION("GOOGLETRANSLATE(A225, ""en"", ""hi"")"),"224")</f>
        <v>224</v>
      </c>
      <c r="G225" s="5" t="str">
        <f>IFERROR(__xludf.DUMMYFUNCTION("GOOGLETRANSLATE(B225, ""en"", ""hi"")"),"मुकना पहलवानों द्वारा पारंपरिक रूप से किस प्रकार की पोशाक पहनी जाती थी?")</f>
        <v>मुकना पहलवानों द्वारा पारंपरिक रूप से किस प्रकार की पोशाक पहनी जाती थी?</v>
      </c>
      <c r="H225" s="5" t="str">
        <f>IFERROR(__xludf.DUMMYFUNCTION("GOOGLETRANSLATE(C225,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225" s="5" t="str">
        <f>IFERROR(__xludf.DUMMYFUNCTION("GOOGLETRANSLATE(D225, ""en"", ""hi"")"),"A) हल्का और लचीला")</f>
        <v>A) हल्का और लचीला</v>
      </c>
    </row>
    <row r="226" ht="22.5" customHeight="1">
      <c r="A226" s="3">
        <v>225.0</v>
      </c>
      <c r="B226" s="4" t="s">
        <v>13737</v>
      </c>
      <c r="C226" s="4" t="s">
        <v>13687</v>
      </c>
      <c r="D226" s="4" t="s">
        <v>12153</v>
      </c>
      <c r="F226" s="5" t="str">
        <f>IFERROR(__xludf.DUMMYFUNCTION("GOOGLETRANSLATE(A226, ""en"", ""hi"")"),"225")</f>
        <v>225</v>
      </c>
      <c r="G226" s="5" t="str">
        <f>IFERROR(__xludf.DUMMYFUNCTION("GOOGLETRANSLATE(B226, ""en"", ""hi"")"),"औपनिवेशिक शासन के दौरान मुकना कुश्ती के संरक्षण का श्रेय किस मणिपुरी राजा को दिया जाता है?")</f>
        <v>औपनिवेशिक शासन के दौरान मुकना कुश्ती के संरक्षण का श्रेय किस मणिपुरी राजा को दिया जाता है?</v>
      </c>
      <c r="H226" s="5" t="str">
        <f>IFERROR(__xludf.DUMMYFUNCTION("GOOGLETRANSLATE(C226,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226" s="5" t="str">
        <f>IFERROR(__xludf.DUMMYFUNCTION("GOOGLETRANSLATE(D226, ""en"", ""hi"")"),"बी) महाराजा गंभीर सिंह")</f>
        <v>बी) महाराजा गंभीर सिंह</v>
      </c>
    </row>
    <row r="227" ht="22.5" customHeight="1">
      <c r="A227" s="3">
        <v>226.0</v>
      </c>
      <c r="B227" s="4" t="s">
        <v>13738</v>
      </c>
      <c r="C227" s="4" t="s">
        <v>13739</v>
      </c>
      <c r="D227" s="4" t="s">
        <v>10097</v>
      </c>
      <c r="F227" s="5" t="str">
        <f>IFERROR(__xludf.DUMMYFUNCTION("GOOGLETRANSLATE(A227, ""en"", ""hi"")"),"226")</f>
        <v>226</v>
      </c>
      <c r="G227" s="5" t="str">
        <f>IFERROR(__xludf.DUMMYFUNCTION("GOOGLETRANSLATE(B227, ""en"", ""hi"")"),"मुकना कुश्ती पारंपरिक रूप से किस प्रकार की मणिपुरी प्रतियोगिता से जुड़ी हुई थी?")</f>
        <v>मुकना कुश्ती पारंपरिक रूप से किस प्रकार की मणिपुरी प्रतियोगिता से जुड़ी हुई थी?</v>
      </c>
      <c r="H227" s="5" t="str">
        <f>IFERROR(__xludf.DUMMYFUNCTION("GOOGLETRANSLATE(C227, ""en"", ""hi"")"),"A) धार्मिक अनुष्ठान, B) सामाजिक समारोह, C) राजनीतिक कार्यक्रम, D) आर्थिक लेन-देन")</f>
        <v>A) धार्मिक अनुष्ठान, B) सामाजिक समारोह, C) राजनीतिक कार्यक्रम, D) आर्थिक लेन-देन</v>
      </c>
      <c r="I227" s="5" t="str">
        <f>IFERROR(__xludf.DUMMYFUNCTION("GOOGLETRANSLATE(D227, ""en"", ""hi"")"),"A) धार्मिक अनुष्ठान")</f>
        <v>A) धार्मिक अनुष्ठान</v>
      </c>
    </row>
    <row r="228" ht="22.5" customHeight="1">
      <c r="A228" s="3">
        <v>227.0</v>
      </c>
      <c r="B228" s="4" t="s">
        <v>13740</v>
      </c>
      <c r="C228" s="4" t="s">
        <v>13741</v>
      </c>
      <c r="D228" s="4" t="s">
        <v>13474</v>
      </c>
      <c r="F228" s="5" t="str">
        <f>IFERROR(__xludf.DUMMYFUNCTION("GOOGLETRANSLATE(A228, ""en"", ""hi"")"),"227")</f>
        <v>227</v>
      </c>
      <c r="G228" s="5" t="str">
        <f>IFERROR(__xludf.DUMMYFUNCTION("GOOGLETRANSLATE(B228, ""en"", ""hi"")"),"कौन सा पारंपरिक मणिपुरी पाठ मुकना कुश्ती तकनीकों की जानकारी प्रदान करता है?")</f>
        <v>कौन सा पारंपरिक मणिपुरी पाठ मुकना कुश्ती तकनीकों की जानकारी प्रदान करता है?</v>
      </c>
      <c r="H228" s="5" t="str">
        <f>IFERROR(__xludf.DUMMYFUNCTION("GOOGLETRANSLATE(C228, ""en"", ""hi"")"),"ए) बुरांजी, बी) राजमाला, सी) मनुस्मृति, डी) मणिपुरी वेद")</f>
        <v>ए) बुरांजी, बी) राजमाला, सी) मनुस्मृति, डी) मणिपुरी वेद</v>
      </c>
      <c r="I228" s="5" t="str">
        <f>IFERROR(__xludf.DUMMYFUNCTION("GOOGLETRANSLATE(D228, ""en"", ""hi"")"),"ए) बुरांजी")</f>
        <v>ए) बुरांजी</v>
      </c>
    </row>
    <row r="229" ht="22.5" customHeight="1">
      <c r="A229" s="3">
        <v>228.0</v>
      </c>
      <c r="B229" s="4" t="s">
        <v>13742</v>
      </c>
      <c r="C229" s="4" t="s">
        <v>13743</v>
      </c>
      <c r="D229" s="4" t="s">
        <v>13726</v>
      </c>
      <c r="F229" s="5" t="str">
        <f>IFERROR(__xludf.DUMMYFUNCTION("GOOGLETRANSLATE(A229, ""en"", ""hi"")"),"228")</f>
        <v>228</v>
      </c>
      <c r="G229" s="5" t="str">
        <f>IFERROR(__xludf.DUMMYFUNCTION("GOOGLETRANSLATE(B229, ""en"", ""hi"")"),"ब्रिटिश औपनिवेशिक काल के दौरान मुकना कुश्ती के पतन का एक महत्वपूर्ण कारक क्या था?")</f>
        <v>ब्रिटिश औपनिवेशिक काल के दौरान मुकना कुश्ती के पतन का एक महत्वपूर्ण कारक क्या था?</v>
      </c>
      <c r="H229" s="5" t="str">
        <f>IFERROR(__xludf.DUMMYFUNCTION("GOOGLETRANSLATE(C229, ""en"", ""hi"")"),"A) औपनिवेशिक दमन, B) आर्थिक कठिनाई, C) स्थानीय रुचि का अभाव, D) नए खेलों का आगमन")</f>
        <v>A) औपनिवेशिक दमन, B) आर्थिक कठिनाई, C) स्थानीय रुचि का अभाव, D) नए खेलों का आगमन</v>
      </c>
      <c r="I229" s="5" t="str">
        <f>IFERROR(__xludf.DUMMYFUNCTION("GOOGLETRANSLATE(D229, ""en"", ""hi"")"),"A) औपनिवेशिक दमन")</f>
        <v>A) औपनिवेशिक दमन</v>
      </c>
    </row>
    <row r="230" ht="22.5" customHeight="1">
      <c r="A230" s="3">
        <v>229.0</v>
      </c>
      <c r="B230" s="4" t="s">
        <v>13744</v>
      </c>
      <c r="C230" s="4" t="s">
        <v>13657</v>
      </c>
      <c r="D230" s="4" t="s">
        <v>13658</v>
      </c>
      <c r="F230" s="5" t="str">
        <f>IFERROR(__xludf.DUMMYFUNCTION("GOOGLETRANSLATE(A230, ""en"", ""hi"")"),"229")</f>
        <v>229</v>
      </c>
      <c r="G230" s="5" t="str">
        <f>IFERROR(__xludf.DUMMYFUNCTION("GOOGLETRANSLATE(B230, ""en"", ""hi"")"),"किस मणिपुरी राजा ने मुकना कुश्ती तकनीकों के दस्तावेजीकरण में महत्वपूर्ण भूमिका निभाई?")</f>
        <v>किस मणिपुरी राजा ने मुकना कुश्ती तकनीकों के दस्तावेजीकरण में महत्वपूर्ण भूमिका निभाई?</v>
      </c>
      <c r="H230" s="5" t="str">
        <f>IFERROR(__xludf.DUMMYFUNCTION("GOOGLETRANSLATE(C230,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230" s="5" t="str">
        <f>IFERROR(__xludf.DUMMYFUNCTION("GOOGLETRANSLATE(D230, ""en"", ""hi"")"),"C) महाराजा चूड़ाचंद सिंह")</f>
        <v>C) महाराजा चूड़ाचंद सिंह</v>
      </c>
    </row>
    <row r="231" ht="22.5" customHeight="1">
      <c r="A231" s="3">
        <v>230.0</v>
      </c>
      <c r="B231" s="4" t="s">
        <v>13639</v>
      </c>
      <c r="C231" s="4" t="s">
        <v>13745</v>
      </c>
      <c r="D231" s="4" t="s">
        <v>13691</v>
      </c>
      <c r="F231" s="5" t="str">
        <f>IFERROR(__xludf.DUMMYFUNCTION("GOOGLETRANSLATE(A231, ""en"", ""hi"")"),"230")</f>
        <v>230</v>
      </c>
      <c r="G231" s="5" t="str">
        <f>IFERROR(__xludf.DUMMYFUNCTION("GOOGLETRANSLATE(B231, ""en"", ""hi"")"),"मुकना कुश्ती पारंपरिक रूप से किस प्रकार के मणिपुरी आयोजन के दौरान की जाती थी?")</f>
        <v>मुकना कुश्ती पारंपरिक रूप से किस प्रकार के मणिपुरी आयोजन के दौरान की जाती थी?</v>
      </c>
      <c r="H231" s="5" t="str">
        <f>IFERROR(__xludf.DUMMYFUNCTION("GOOGLETRANSLATE(C231, ""en"", ""hi"")"),"A) सामुदायिक उत्सव, B) राजनीतिक सभाएँ, C) शैक्षिक कार्यक्रम, D) बाज़ार मेले")</f>
        <v>A) सामुदायिक उत्सव, B) राजनीतिक सभाएँ, C) शैक्षिक कार्यक्रम, D) बाज़ार मेले</v>
      </c>
      <c r="I231" s="5" t="str">
        <f>IFERROR(__xludf.DUMMYFUNCTION("GOOGLETRANSLATE(D231, ""en"", ""hi"")"),"ए) सामुदायिक त्यौहार")</f>
        <v>ए) सामुदायिक त्यौहार</v>
      </c>
    </row>
    <row r="232" ht="22.5" customHeight="1">
      <c r="A232" s="3">
        <v>231.0</v>
      </c>
      <c r="B232" s="4" t="s">
        <v>13746</v>
      </c>
      <c r="C232" s="4" t="s">
        <v>13715</v>
      </c>
      <c r="D232" s="4" t="s">
        <v>13716</v>
      </c>
      <c r="F232" s="5" t="str">
        <f>IFERROR(__xludf.DUMMYFUNCTION("GOOGLETRANSLATE(A232, ""en"", ""hi"")"),"231")</f>
        <v>231</v>
      </c>
      <c r="G232" s="5" t="str">
        <f>IFERROR(__xludf.DUMMYFUNCTION("GOOGLETRANSLATE(B232, ""en"", ""hi"")"),"पारंपरिक मणिपुरी ग्रंथों में मुकना कुश्ती के किस पहलू पर जोर दिया गया है?")</f>
        <v>पारंपरिक मणिपुरी ग्रंथों में मुकना कुश्ती के किस पहलू पर जोर दिया गया है?</v>
      </c>
      <c r="H232" s="5" t="str">
        <f>IFERROR(__xludf.DUMMYFUNCTION("GOOGLETRANSLATE(C232, ""en"", ""hi"")"),"A) अनुष्ठानिक महत्व, B) आर्थिक प्रभाव, C) राजनीतिक प्रभाव, D) शैक्षिक मूल्य")</f>
        <v>A) अनुष्ठानिक महत्व, B) आर्थिक प्रभाव, C) राजनीतिक प्रभाव, D) शैक्षिक मूल्य</v>
      </c>
      <c r="I232" s="5" t="str">
        <f>IFERROR(__xludf.DUMMYFUNCTION("GOOGLETRANSLATE(D232, ""en"", ""hi"")"),"A) अनुष्ठानिक महत्व")</f>
        <v>A) अनुष्ठानिक महत्व</v>
      </c>
    </row>
    <row r="233" ht="22.5" customHeight="1">
      <c r="A233" s="3">
        <v>232.0</v>
      </c>
      <c r="B233" s="4" t="s">
        <v>13747</v>
      </c>
      <c r="C233" s="4" t="s">
        <v>13610</v>
      </c>
      <c r="D233" s="4" t="s">
        <v>13611</v>
      </c>
      <c r="F233" s="5" t="str">
        <f>IFERROR(__xludf.DUMMYFUNCTION("GOOGLETRANSLATE(A233, ""en"", ""hi"")"),"232")</f>
        <v>232</v>
      </c>
      <c r="G233" s="5" t="str">
        <f>IFERROR(__xludf.DUMMYFUNCTION("GOOGLETRANSLATE(B233,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33" s="5" t="str">
        <f>IFERROR(__xludf.DUMMYFUNCTION("GOOGLETRANSLATE(C233, ""en"", ""hi"")"),"A) जी. ई. हार्वे, B) रॉबर्ट गॉर्डन, C) आर. एन. शर्मा, D) ए. बी. जॉर्ज")</f>
        <v>A) जी. ई. हार्वे, B) रॉबर्ट गॉर्डन, C) आर. एन. शर्मा, D) ए. बी. जॉर्ज</v>
      </c>
      <c r="I233" s="5" t="str">
        <f>IFERROR(__xludf.DUMMYFUNCTION("GOOGLETRANSLATE(D233, ""en"", ""hi"")"),"A) जी. ई. हार्वे")</f>
        <v>A) जी. ई. हार्वे</v>
      </c>
    </row>
    <row r="234" ht="22.5" customHeight="1">
      <c r="A234" s="3">
        <v>233.0</v>
      </c>
      <c r="B234" s="4" t="s">
        <v>13748</v>
      </c>
      <c r="C234" s="4" t="s">
        <v>13749</v>
      </c>
      <c r="D234" s="4" t="s">
        <v>13750</v>
      </c>
      <c r="F234" s="5" t="str">
        <f>IFERROR(__xludf.DUMMYFUNCTION("GOOGLETRANSLATE(A234, ""en"", ""hi"")"),"233")</f>
        <v>233</v>
      </c>
      <c r="G234" s="5" t="str">
        <f>IFERROR(__xludf.DUMMYFUNCTION("GOOGLETRANSLATE(B234, ""en"", ""hi"")"),"ऐतिहासिक मणिपुर में मुकना कुश्ती मैट के लिए प्रयुक्त प्राथमिक सामग्री क्या थी?")</f>
        <v>ऐतिहासिक मणिपुर में मुकना कुश्ती मैट के लिए प्रयुक्त प्राथमिक सामग्री क्या थी?</v>
      </c>
      <c r="H234" s="5" t="str">
        <f>IFERROR(__xludf.DUMMYFUNCTION("GOOGLETRANSLATE(C234, ""en"", ""hi"")"),"A) पुआल, B) बांस, C) जूट, D) कपास")</f>
        <v>A) पुआल, B) बांस, C) जूट, D) कपास</v>
      </c>
      <c r="I234" s="5" t="str">
        <f>IFERROR(__xludf.DUMMYFUNCTION("GOOGLETRANSLATE(D234, ""en"", ""hi"")"),"एक पुआल")</f>
        <v>एक पुआल</v>
      </c>
    </row>
    <row r="235" ht="22.5" customHeight="1">
      <c r="A235" s="3">
        <v>234.0</v>
      </c>
      <c r="B235" s="4" t="s">
        <v>13751</v>
      </c>
      <c r="C235" s="4" t="s">
        <v>13619</v>
      </c>
      <c r="D235" s="4" t="s">
        <v>13331</v>
      </c>
      <c r="F235" s="5" t="str">
        <f>IFERROR(__xludf.DUMMYFUNCTION("GOOGLETRANSLATE(A235, ""en"", ""hi"")"),"234")</f>
        <v>234</v>
      </c>
      <c r="G235" s="5" t="str">
        <f>IFERROR(__xludf.DUMMYFUNCTION("GOOGLETRANSLATE(B235, ""en"", ""hi"")"),"किस मणिपुरी राजा को मुकना कुश्ती के आधुनिकीकरण के प्रयासों के लिए जाना जाता है?")</f>
        <v>किस मणिपुरी राजा को मुकना कुश्ती के आधुनिकीकरण के प्रयासों के लिए जाना जाता है?</v>
      </c>
      <c r="H235" s="5" t="str">
        <f>IFERROR(__xludf.DUMMYFUNCTION("GOOGLETRANSLATE(C235,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235" s="5" t="str">
        <f>IFERROR(__xludf.DUMMYFUNCTION("GOOGLETRANSLATE(D235, ""en"", ""hi"")"),"A) महाराजा चूड़ाचंद सिंह")</f>
        <v>A) महाराजा चूड़ाचंद सिंह</v>
      </c>
    </row>
    <row r="236" ht="22.5" customHeight="1">
      <c r="A236" s="3">
        <v>235.0</v>
      </c>
      <c r="B236" s="4" t="s">
        <v>13752</v>
      </c>
      <c r="C236" s="4" t="s">
        <v>13753</v>
      </c>
      <c r="D236" s="4" t="s">
        <v>13754</v>
      </c>
      <c r="F236" s="5" t="str">
        <f>IFERROR(__xludf.DUMMYFUNCTION("GOOGLETRANSLATE(A236, ""en"", ""hi"")"),"235")</f>
        <v>235</v>
      </c>
      <c r="G236" s="5" t="str">
        <f>IFERROR(__xludf.DUMMYFUNCTION("GOOGLETRANSLATE(B236, ""en"", ""hi"")"),"मणिपुरी शाही समारोहों में मुकना कुश्ती की पारंपरिक रूप से क्या भूमिका थी?")</f>
        <v>मणिपुरी शाही समारोहों में मुकना कुश्ती की पारंपरिक रूप से क्या भूमिका थी?</v>
      </c>
      <c r="H236" s="5" t="str">
        <f>IFERROR(__xludf.DUMMYFUNCTION("GOOGLETRANSLATE(C236, ""en"", ""hi"")"),"A) अनुष्ठानिक अभ्यास, B) सैन्य प्रशिक्षण, C) सामाजिक मनोरंजन, D) राजनीतिक प्रवचन")</f>
        <v>A) अनुष्ठानिक अभ्यास, B) सैन्य प्रशिक्षण, C) सामाजिक मनोरंजन, D) राजनीतिक प्रवचन</v>
      </c>
      <c r="I236" s="5" t="str">
        <f>IFERROR(__xludf.DUMMYFUNCTION("GOOGLETRANSLATE(D236, ""en"", ""hi"")"),"A) अनुष्ठानिक अभ्यास")</f>
        <v>A) अनुष्ठानिक अभ्यास</v>
      </c>
    </row>
    <row r="237" ht="22.5" customHeight="1">
      <c r="A237" s="3">
        <v>236.0</v>
      </c>
      <c r="B237" s="4" t="s">
        <v>13755</v>
      </c>
      <c r="C237" s="4" t="s">
        <v>12867</v>
      </c>
      <c r="D237" s="4" t="s">
        <v>12086</v>
      </c>
      <c r="F237" s="5" t="str">
        <f>IFERROR(__xludf.DUMMYFUNCTION("GOOGLETRANSLATE(A237, ""en"", ""hi"")"),"236")</f>
        <v>236</v>
      </c>
      <c r="G237" s="5" t="str">
        <f>IFERROR(__xludf.DUMMYFUNCTION("GOOGLETRANSLATE(B237, ""en"", ""hi"")"),"कौन सा मणिपुरी त्यौहार मुकना कुश्ती प्रतियोगिताओं के लिए प्रसिद्ध है?")</f>
        <v>कौन सा मणिपुरी त्यौहार मुकना कुश्ती प्रतियोगिताओं के लिए प्रसिद्ध है?</v>
      </c>
      <c r="H237" s="5" t="str">
        <f>IFERROR(__xludf.DUMMYFUNCTION("GOOGLETRANSLATE(C237, ""en"", ""hi"")"),"ए) लाई हराओबा, बी) निंगोल चाकोउबा, सी) याओशांग, डी) चेइराओबा")</f>
        <v>ए) लाई हराओबा, बी) निंगोल चाकोउबा, सी) याओशांग, डी) चेइराओबा</v>
      </c>
      <c r="I237" s="5" t="str">
        <f>IFERROR(__xludf.DUMMYFUNCTION("GOOGLETRANSLATE(D237, ""en"", ""hi"")"),"A) लाई हरोबा")</f>
        <v>A) लाई हरोबा</v>
      </c>
    </row>
    <row r="238" ht="22.5" customHeight="1">
      <c r="A238" s="3">
        <v>237.0</v>
      </c>
      <c r="B238" s="4" t="s">
        <v>13756</v>
      </c>
      <c r="C238" s="4" t="s">
        <v>13628</v>
      </c>
      <c r="D238" s="4" t="s">
        <v>13474</v>
      </c>
      <c r="F238" s="5" t="str">
        <f>IFERROR(__xludf.DUMMYFUNCTION("GOOGLETRANSLATE(A238, ""en"", ""hi"")"),"237")</f>
        <v>237</v>
      </c>
      <c r="G238" s="5" t="str">
        <f>IFERROR(__xludf.DUMMYFUNCTION("GOOGLETRANSLATE(B238, ""en"", ""hi"")"),"मुकना कुश्ती तकनीक को समझने के लिए कौन सा ऐतिहासिक दस्तावेज महत्वपूर्ण है?")</f>
        <v>मुकना कुश्ती तकनीक को समझने के लिए कौन सा ऐतिहासिक दस्तावेज महत्वपूर्ण है?</v>
      </c>
      <c r="H238" s="5" t="str">
        <f>IFERROR(__xludf.DUMMYFUNCTION("GOOGLETRANSLATE(C238, ""en"", ""hi"")"),"ए) बुरांजी, बी) राजमाला, सी) मनुस्मृति, डी) वेद")</f>
        <v>ए) बुरांजी, बी) राजमाला, सी) मनुस्मृति, डी) वेद</v>
      </c>
      <c r="I238" s="5" t="str">
        <f>IFERROR(__xludf.DUMMYFUNCTION("GOOGLETRANSLATE(D238, ""en"", ""hi"")"),"ए) बुरांजी")</f>
        <v>ए) बुरांजी</v>
      </c>
    </row>
    <row r="239" ht="22.5" customHeight="1">
      <c r="A239" s="3">
        <v>238.0</v>
      </c>
      <c r="B239" s="4" t="s">
        <v>13757</v>
      </c>
      <c r="C239" s="4" t="s">
        <v>13602</v>
      </c>
      <c r="D239" s="4" t="s">
        <v>13603</v>
      </c>
      <c r="F239" s="5" t="str">
        <f>IFERROR(__xludf.DUMMYFUNCTION("GOOGLETRANSLATE(A239, ""en"", ""hi"")"),"238")</f>
        <v>238</v>
      </c>
      <c r="G239" s="5" t="str">
        <f>IFERROR(__xludf.DUMMYFUNCTION("GOOGLETRANSLATE(B239, ""en"", ""hi"")"),"किस अवधि के दौरान मुकना कुश्ती को एक खेल के रूप में महत्वपूर्ण पुनरुत्थान का अनुभव हुआ?")</f>
        <v>किस अवधि के दौरान मुकना कुश्ती को एक खेल के रूप में महत्वपूर्ण पुनरुत्थान का अनुभव हुआ?</v>
      </c>
      <c r="H239" s="5" t="str">
        <f>IFERROR(__xludf.DUMMYFUNCTION("GOOGLETRANSLATE(C239, ""en"", ""hi"")"),"A) 20वीं सदी का प्रारंभ, B) 19वीं सदी का उत्तरार्ध, C) 20वीं सदी का मध्य, D) 21वीं सदी")</f>
        <v>A) 20वीं सदी का प्रारंभ, B) 19वीं सदी का उत्तरार्ध, C) 20वीं सदी का मध्य, D) 21वीं सदी</v>
      </c>
      <c r="I239" s="5" t="str">
        <f>IFERROR(__xludf.DUMMYFUNCTION("GOOGLETRANSLATE(D239, ""en"", ""hi"")"),"A) 20वीं सदी की शुरुआत")</f>
        <v>A) 20वीं सदी की शुरुआत</v>
      </c>
    </row>
    <row r="240" ht="22.5" customHeight="1">
      <c r="A240" s="3">
        <v>239.0</v>
      </c>
      <c r="B240" s="4" t="s">
        <v>13758</v>
      </c>
      <c r="C240" s="4" t="s">
        <v>13613</v>
      </c>
      <c r="D240" s="4" t="s">
        <v>13614</v>
      </c>
      <c r="F240" s="5" t="str">
        <f>IFERROR(__xludf.DUMMYFUNCTION("GOOGLETRANSLATE(A240, ""en"", ""hi"")"),"239")</f>
        <v>239</v>
      </c>
      <c r="G240" s="5" t="str">
        <f>IFERROR(__xludf.DUMMYFUNCTION("GOOGLETRANSLATE(B240, ""en"", ""hi"")"),"ऐतिहासिक रूप से मुकना कुश्ती मैचों के लिए सामान्य परिवेश क्या था?")</f>
        <v>ऐतिहासिक रूप से मुकना कुश्ती मैचों के लिए सामान्य परिवेश क्या था?</v>
      </c>
      <c r="H240" s="5" t="str">
        <f>IFERROR(__xludf.DUMMYFUNCTION("GOOGLETRANSLATE(C240, ""en"", ""hi"")"),"A) खुले मैदान, B) इनडोर एरेना, C) शाही दरबार, D) बाज़ार")</f>
        <v>A) खुले मैदान, B) इनडोर एरेना, C) शाही दरबार, D) बाज़ार</v>
      </c>
      <c r="I240" s="5" t="str">
        <f>IFERROR(__xludf.DUMMYFUNCTION("GOOGLETRANSLATE(D240, ""en"", ""hi"")"),"ए) खुले मैदान")</f>
        <v>ए) खुले मैदान</v>
      </c>
    </row>
    <row r="241" ht="22.5" customHeight="1">
      <c r="A241" s="3">
        <v>240.0</v>
      </c>
      <c r="B241" s="4" t="s">
        <v>13759</v>
      </c>
      <c r="C241" s="4" t="s">
        <v>13605</v>
      </c>
      <c r="D241" s="4" t="s">
        <v>13432</v>
      </c>
      <c r="F241" s="5" t="str">
        <f>IFERROR(__xludf.DUMMYFUNCTION("GOOGLETRANSLATE(A241, ""en"", ""hi"")"),"240")</f>
        <v>240</v>
      </c>
      <c r="G241" s="5" t="str">
        <f>IFERROR(__xludf.DUMMYFUNCTION("GOOGLETRANSLATE(B241, ""en"", ""hi"")"),"मुकना पहलवानों द्वारा पारंपरिक रूप से किस प्रकार की पोशाक पहनी जाती थी?")</f>
        <v>मुकना पहलवानों द्वारा पारंपरिक रूप से किस प्रकार की पोशाक पहनी जाती थी?</v>
      </c>
      <c r="H241" s="5" t="str">
        <f>IFERROR(__xludf.DUMMYFUNCTION("GOOGLETRANSLATE(C241,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241" s="5" t="str">
        <f>IFERROR(__xludf.DUMMYFUNCTION("GOOGLETRANSLATE(D241, ""en"", ""hi"")"),"A) हल्का और लचीला")</f>
        <v>A) हल्का और लचीला</v>
      </c>
    </row>
    <row r="242" ht="22.5" customHeight="1">
      <c r="A242" s="3">
        <v>241.0</v>
      </c>
      <c r="B242" s="4" t="s">
        <v>13737</v>
      </c>
      <c r="C242" s="4" t="s">
        <v>13687</v>
      </c>
      <c r="D242" s="4" t="s">
        <v>12153</v>
      </c>
      <c r="F242" s="5" t="str">
        <f>IFERROR(__xludf.DUMMYFUNCTION("GOOGLETRANSLATE(A242, ""en"", ""hi"")"),"241")</f>
        <v>241</v>
      </c>
      <c r="G242" s="5" t="str">
        <f>IFERROR(__xludf.DUMMYFUNCTION("GOOGLETRANSLATE(B242, ""en"", ""hi"")"),"औपनिवेशिक शासन के दौरान मुकना कुश्ती के संरक्षण का श्रेय किस मणिपुरी राजा को दिया जाता है?")</f>
        <v>औपनिवेशिक शासन के दौरान मुकना कुश्ती के संरक्षण का श्रेय किस मणिपुरी राजा को दिया जाता है?</v>
      </c>
      <c r="H242" s="5" t="str">
        <f>IFERROR(__xludf.DUMMYFUNCTION("GOOGLETRANSLATE(C242,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242" s="5" t="str">
        <f>IFERROR(__xludf.DUMMYFUNCTION("GOOGLETRANSLATE(D242, ""en"", ""hi"")"),"बी) महाराजा गंभीर सिंह")</f>
        <v>बी) महाराजा गंभीर सिंह</v>
      </c>
    </row>
    <row r="243" ht="22.5" customHeight="1">
      <c r="A243" s="3">
        <v>242.0</v>
      </c>
      <c r="B243" s="4" t="s">
        <v>13738</v>
      </c>
      <c r="C243" s="4" t="s">
        <v>13739</v>
      </c>
      <c r="D243" s="4" t="s">
        <v>10097</v>
      </c>
      <c r="F243" s="5" t="str">
        <f>IFERROR(__xludf.DUMMYFUNCTION("GOOGLETRANSLATE(A243, ""en"", ""hi"")"),"242")</f>
        <v>242</v>
      </c>
      <c r="G243" s="5" t="str">
        <f>IFERROR(__xludf.DUMMYFUNCTION("GOOGLETRANSLATE(B243, ""en"", ""hi"")"),"मुकना कुश्ती पारंपरिक रूप से किस प्रकार की मणिपुरी प्रतियोगिता से जुड़ी हुई थी?")</f>
        <v>मुकना कुश्ती पारंपरिक रूप से किस प्रकार की मणिपुरी प्रतियोगिता से जुड़ी हुई थी?</v>
      </c>
      <c r="H243" s="5" t="str">
        <f>IFERROR(__xludf.DUMMYFUNCTION("GOOGLETRANSLATE(C243, ""en"", ""hi"")"),"A) धार्मिक अनुष्ठान, B) सामाजिक समारोह, C) राजनीतिक कार्यक्रम, D) आर्थिक लेन-देन")</f>
        <v>A) धार्मिक अनुष्ठान, B) सामाजिक समारोह, C) राजनीतिक कार्यक्रम, D) आर्थिक लेन-देन</v>
      </c>
      <c r="I243" s="5" t="str">
        <f>IFERROR(__xludf.DUMMYFUNCTION("GOOGLETRANSLATE(D243, ""en"", ""hi"")"),"A) धार्मिक अनुष्ठान")</f>
        <v>A) धार्मिक अनुष्ठान</v>
      </c>
    </row>
    <row r="244" ht="22.5" customHeight="1">
      <c r="A244" s="3">
        <v>243.0</v>
      </c>
      <c r="B244" s="4" t="s">
        <v>13740</v>
      </c>
      <c r="C244" s="4" t="s">
        <v>13741</v>
      </c>
      <c r="D244" s="4" t="s">
        <v>13474</v>
      </c>
      <c r="F244" s="5" t="str">
        <f>IFERROR(__xludf.DUMMYFUNCTION("GOOGLETRANSLATE(A244, ""en"", ""hi"")"),"243")</f>
        <v>243</v>
      </c>
      <c r="G244" s="5" t="str">
        <f>IFERROR(__xludf.DUMMYFUNCTION("GOOGLETRANSLATE(B244, ""en"", ""hi"")"),"कौन सा पारंपरिक मणिपुरी पाठ मुकना कुश्ती तकनीकों की जानकारी प्रदान करता है?")</f>
        <v>कौन सा पारंपरिक मणिपुरी पाठ मुकना कुश्ती तकनीकों की जानकारी प्रदान करता है?</v>
      </c>
      <c r="H244" s="5" t="str">
        <f>IFERROR(__xludf.DUMMYFUNCTION("GOOGLETRANSLATE(C244, ""en"", ""hi"")"),"ए) बुरांजी, बी) राजमाला, सी) मनुस्मृति, डी) मणिपुरी वेद")</f>
        <v>ए) बुरांजी, बी) राजमाला, सी) मनुस्मृति, डी) मणिपुरी वेद</v>
      </c>
      <c r="I244" s="5" t="str">
        <f>IFERROR(__xludf.DUMMYFUNCTION("GOOGLETRANSLATE(D244, ""en"", ""hi"")"),"ए) बुरांजी")</f>
        <v>ए) बुरांजी</v>
      </c>
    </row>
    <row r="245" ht="22.5" customHeight="1">
      <c r="A245" s="3">
        <v>244.0</v>
      </c>
      <c r="B245" s="4" t="s">
        <v>13742</v>
      </c>
      <c r="C245" s="4" t="s">
        <v>13743</v>
      </c>
      <c r="D245" s="4" t="s">
        <v>13726</v>
      </c>
      <c r="F245" s="5" t="str">
        <f>IFERROR(__xludf.DUMMYFUNCTION("GOOGLETRANSLATE(A245, ""en"", ""hi"")"),"244")</f>
        <v>244</v>
      </c>
      <c r="G245" s="5" t="str">
        <f>IFERROR(__xludf.DUMMYFUNCTION("GOOGLETRANSLATE(B245, ""en"", ""hi"")"),"ब्रिटिश औपनिवेशिक काल के दौरान मुकना कुश्ती के पतन का एक महत्वपूर्ण कारक क्या था?")</f>
        <v>ब्रिटिश औपनिवेशिक काल के दौरान मुकना कुश्ती के पतन का एक महत्वपूर्ण कारक क्या था?</v>
      </c>
      <c r="H245" s="5" t="str">
        <f>IFERROR(__xludf.DUMMYFUNCTION("GOOGLETRANSLATE(C245, ""en"", ""hi"")"),"A) औपनिवेशिक दमन, B) आर्थिक कठिनाई, C) स्थानीय रुचि का अभाव, D) नए खेलों का आगमन")</f>
        <v>A) औपनिवेशिक दमन, B) आर्थिक कठिनाई, C) स्थानीय रुचि का अभाव, D) नए खेलों का आगमन</v>
      </c>
      <c r="I245" s="5" t="str">
        <f>IFERROR(__xludf.DUMMYFUNCTION("GOOGLETRANSLATE(D245, ""en"", ""hi"")"),"A) औपनिवेशिक दमन")</f>
        <v>A) औपनिवेशिक दमन</v>
      </c>
    </row>
    <row r="246" ht="22.5" customHeight="1">
      <c r="A246" s="3">
        <v>245.0</v>
      </c>
      <c r="B246" s="4" t="s">
        <v>13744</v>
      </c>
      <c r="C246" s="4" t="s">
        <v>13657</v>
      </c>
      <c r="D246" s="4" t="s">
        <v>13658</v>
      </c>
      <c r="F246" s="5" t="str">
        <f>IFERROR(__xludf.DUMMYFUNCTION("GOOGLETRANSLATE(A246, ""en"", ""hi"")"),"245")</f>
        <v>245</v>
      </c>
      <c r="G246" s="5" t="str">
        <f>IFERROR(__xludf.DUMMYFUNCTION("GOOGLETRANSLATE(B246, ""en"", ""hi"")"),"किस मणिपुरी राजा ने मुकना कुश्ती तकनीकों के दस्तावेजीकरण में महत्वपूर्ण भूमिका निभाई?")</f>
        <v>किस मणिपुरी राजा ने मुकना कुश्ती तकनीकों के दस्तावेजीकरण में महत्वपूर्ण भूमिका निभाई?</v>
      </c>
      <c r="H246" s="5" t="str">
        <f>IFERROR(__xludf.DUMMYFUNCTION("GOOGLETRANSLATE(C246,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246" s="5" t="str">
        <f>IFERROR(__xludf.DUMMYFUNCTION("GOOGLETRANSLATE(D246, ""en"", ""hi"")"),"C) महाराजा चूड़ाचंद सिंह")</f>
        <v>C) महाराजा चूड़ाचंद सिंह</v>
      </c>
    </row>
    <row r="247" ht="22.5" customHeight="1">
      <c r="A247" s="3">
        <v>246.0</v>
      </c>
      <c r="B247" s="4" t="s">
        <v>13639</v>
      </c>
      <c r="C247" s="4" t="s">
        <v>13745</v>
      </c>
      <c r="D247" s="4" t="s">
        <v>13691</v>
      </c>
      <c r="F247" s="5" t="str">
        <f>IFERROR(__xludf.DUMMYFUNCTION("GOOGLETRANSLATE(A247, ""en"", ""hi"")"),"246")</f>
        <v>246</v>
      </c>
      <c r="G247" s="5" t="str">
        <f>IFERROR(__xludf.DUMMYFUNCTION("GOOGLETRANSLATE(B247, ""en"", ""hi"")"),"मुकना कुश्ती पारंपरिक रूप से किस प्रकार के मणिपुरी आयोजन के दौरान की जाती थी?")</f>
        <v>मुकना कुश्ती पारंपरिक रूप से किस प्रकार के मणिपुरी आयोजन के दौरान की जाती थी?</v>
      </c>
      <c r="H247" s="5" t="str">
        <f>IFERROR(__xludf.DUMMYFUNCTION("GOOGLETRANSLATE(C247, ""en"", ""hi"")"),"A) सामुदायिक उत्सव, B) राजनीतिक सभाएँ, C) शैक्षिक कार्यक्रम, D) बाज़ार मेले")</f>
        <v>A) सामुदायिक उत्सव, B) राजनीतिक सभाएँ, C) शैक्षिक कार्यक्रम, D) बाज़ार मेले</v>
      </c>
      <c r="I247" s="5" t="str">
        <f>IFERROR(__xludf.DUMMYFUNCTION("GOOGLETRANSLATE(D247, ""en"", ""hi"")"),"ए) सामुदायिक त्यौहार")</f>
        <v>ए) सामुदायिक त्यौहार</v>
      </c>
    </row>
    <row r="248" ht="22.5" customHeight="1">
      <c r="A248" s="3">
        <v>247.0</v>
      </c>
      <c r="B248" s="4" t="s">
        <v>13746</v>
      </c>
      <c r="C248" s="4" t="s">
        <v>13715</v>
      </c>
      <c r="D248" s="4" t="s">
        <v>13716</v>
      </c>
      <c r="F248" s="5" t="str">
        <f>IFERROR(__xludf.DUMMYFUNCTION("GOOGLETRANSLATE(A248, ""en"", ""hi"")"),"247")</f>
        <v>247</v>
      </c>
      <c r="G248" s="5" t="str">
        <f>IFERROR(__xludf.DUMMYFUNCTION("GOOGLETRANSLATE(B248, ""en"", ""hi"")"),"पारंपरिक मणिपुरी ग्रंथों में मुकना कुश्ती के किस पहलू पर जोर दिया गया है?")</f>
        <v>पारंपरिक मणिपुरी ग्रंथों में मुकना कुश्ती के किस पहलू पर जोर दिया गया है?</v>
      </c>
      <c r="H248" s="5" t="str">
        <f>IFERROR(__xludf.DUMMYFUNCTION("GOOGLETRANSLATE(C248, ""en"", ""hi"")"),"A) अनुष्ठानिक महत्व, B) आर्थिक प्रभाव, C) राजनीतिक प्रभाव, D) शैक्षिक मूल्य")</f>
        <v>A) अनुष्ठानिक महत्व, B) आर्थिक प्रभाव, C) राजनीतिक प्रभाव, D) शैक्षिक मूल्य</v>
      </c>
      <c r="I248" s="5" t="str">
        <f>IFERROR(__xludf.DUMMYFUNCTION("GOOGLETRANSLATE(D248, ""en"", ""hi"")"),"A) अनुष्ठानिक महत्व")</f>
        <v>A) अनुष्ठानिक महत्व</v>
      </c>
    </row>
    <row r="249" ht="22.5" customHeight="1">
      <c r="A249" s="3">
        <v>248.0</v>
      </c>
      <c r="B249" s="4" t="s">
        <v>13747</v>
      </c>
      <c r="C249" s="4" t="s">
        <v>13610</v>
      </c>
      <c r="D249" s="4" t="s">
        <v>13611</v>
      </c>
      <c r="F249" s="5" t="str">
        <f>IFERROR(__xludf.DUMMYFUNCTION("GOOGLETRANSLATE(A249, ""en"", ""hi"")"),"248")</f>
        <v>248</v>
      </c>
      <c r="G249" s="5" t="str">
        <f>IFERROR(__xludf.DUMMYFUNCTION("GOOGLETRANSLATE(B249,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49" s="5" t="str">
        <f>IFERROR(__xludf.DUMMYFUNCTION("GOOGLETRANSLATE(C249, ""en"", ""hi"")"),"A) जी. ई. हार्वे, B) रॉबर्ट गॉर्डन, C) आर. एन. शर्मा, D) ए. बी. जॉर्ज")</f>
        <v>A) जी. ई. हार्वे, B) रॉबर्ट गॉर्डन, C) आर. एन. शर्मा, D) ए. बी. जॉर्ज</v>
      </c>
      <c r="I249" s="5" t="str">
        <f>IFERROR(__xludf.DUMMYFUNCTION("GOOGLETRANSLATE(D249, ""en"", ""hi"")"),"A) जी. ई. हार्वे")</f>
        <v>A) जी. ई. हार्वे</v>
      </c>
    </row>
    <row r="250" ht="22.5" customHeight="1">
      <c r="A250" s="3">
        <v>249.0</v>
      </c>
      <c r="B250" s="4" t="s">
        <v>13748</v>
      </c>
      <c r="C250" s="4" t="s">
        <v>13749</v>
      </c>
      <c r="D250" s="4" t="s">
        <v>13750</v>
      </c>
      <c r="F250" s="5" t="str">
        <f>IFERROR(__xludf.DUMMYFUNCTION("GOOGLETRANSLATE(A250, ""en"", ""hi"")"),"249")</f>
        <v>249</v>
      </c>
      <c r="G250" s="5" t="str">
        <f>IFERROR(__xludf.DUMMYFUNCTION("GOOGLETRANSLATE(B250, ""en"", ""hi"")"),"ऐतिहासिक मणिपुर में मुकना कुश्ती मैट के लिए प्रयुक्त प्राथमिक सामग्री क्या थी?")</f>
        <v>ऐतिहासिक मणिपुर में मुकना कुश्ती मैट के लिए प्रयुक्त प्राथमिक सामग्री क्या थी?</v>
      </c>
      <c r="H250" s="5" t="str">
        <f>IFERROR(__xludf.DUMMYFUNCTION("GOOGLETRANSLATE(C250, ""en"", ""hi"")"),"A) पुआल, B) बांस, C) जूट, D) कपास")</f>
        <v>A) पुआल, B) बांस, C) जूट, D) कपास</v>
      </c>
      <c r="I250" s="5" t="str">
        <f>IFERROR(__xludf.DUMMYFUNCTION("GOOGLETRANSLATE(D250, ""en"", ""hi"")"),"एक पुआल")</f>
        <v>एक पुआल</v>
      </c>
    </row>
    <row r="251" ht="22.5" customHeight="1">
      <c r="A251" s="3">
        <v>250.0</v>
      </c>
      <c r="B251" s="4" t="s">
        <v>13751</v>
      </c>
      <c r="C251" s="4" t="s">
        <v>13619</v>
      </c>
      <c r="D251" s="4" t="s">
        <v>13331</v>
      </c>
      <c r="F251" s="5" t="str">
        <f>IFERROR(__xludf.DUMMYFUNCTION("GOOGLETRANSLATE(A251, ""en"", ""hi"")"),"250")</f>
        <v>250</v>
      </c>
      <c r="G251" s="5" t="str">
        <f>IFERROR(__xludf.DUMMYFUNCTION("GOOGLETRANSLATE(B251, ""en"", ""hi"")"),"किस मणिपुरी राजा को मुकना कुश्ती के आधुनिकीकरण के प्रयासों के लिए जाना जाता है?")</f>
        <v>किस मणिपुरी राजा को मुकना कुश्ती के आधुनिकीकरण के प्रयासों के लिए जाना जाता है?</v>
      </c>
      <c r="H251" s="5" t="str">
        <f>IFERROR(__xludf.DUMMYFUNCTION("GOOGLETRANSLATE(C251,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251" s="5" t="str">
        <f>IFERROR(__xludf.DUMMYFUNCTION("GOOGLETRANSLATE(D251, ""en"", ""hi"")"),"A) महाराजा चूड़ाचंद सिंह")</f>
        <v>A) महाराजा चूड़ाचंद सिंह</v>
      </c>
    </row>
    <row r="252" ht="22.5" customHeight="1">
      <c r="A252" s="3">
        <v>251.0</v>
      </c>
      <c r="B252" s="4" t="s">
        <v>13752</v>
      </c>
      <c r="C252" s="4" t="s">
        <v>13753</v>
      </c>
      <c r="D252" s="4" t="s">
        <v>13754</v>
      </c>
      <c r="F252" s="5" t="str">
        <f>IFERROR(__xludf.DUMMYFUNCTION("GOOGLETRANSLATE(A252, ""en"", ""hi"")"),"251")</f>
        <v>251</v>
      </c>
      <c r="G252" s="5" t="str">
        <f>IFERROR(__xludf.DUMMYFUNCTION("GOOGLETRANSLATE(B252, ""en"", ""hi"")"),"मणिपुरी शाही समारोहों में मुकना कुश्ती की पारंपरिक रूप से क्या भूमिका थी?")</f>
        <v>मणिपुरी शाही समारोहों में मुकना कुश्ती की पारंपरिक रूप से क्या भूमिका थी?</v>
      </c>
      <c r="H252" s="5" t="str">
        <f>IFERROR(__xludf.DUMMYFUNCTION("GOOGLETRANSLATE(C252, ""en"", ""hi"")"),"A) अनुष्ठानिक अभ्यास, B) सैन्य प्रशिक्षण, C) सामाजिक मनोरंजन, D) राजनीतिक प्रवचन")</f>
        <v>A) अनुष्ठानिक अभ्यास, B) सैन्य प्रशिक्षण, C) सामाजिक मनोरंजन, D) राजनीतिक प्रवचन</v>
      </c>
      <c r="I252" s="5" t="str">
        <f>IFERROR(__xludf.DUMMYFUNCTION("GOOGLETRANSLATE(D252, ""en"", ""hi"")"),"A) अनुष्ठानिक अभ्यास")</f>
        <v>A) अनुष्ठानिक अभ्यास</v>
      </c>
    </row>
    <row r="253" ht="22.5" customHeight="1">
      <c r="A253" s="3">
        <v>252.0</v>
      </c>
      <c r="B253" s="4" t="s">
        <v>13755</v>
      </c>
      <c r="C253" s="4" t="s">
        <v>12867</v>
      </c>
      <c r="D253" s="4" t="s">
        <v>12086</v>
      </c>
      <c r="F253" s="5" t="str">
        <f>IFERROR(__xludf.DUMMYFUNCTION("GOOGLETRANSLATE(A253, ""en"", ""hi"")"),"252")</f>
        <v>252</v>
      </c>
      <c r="G253" s="5" t="str">
        <f>IFERROR(__xludf.DUMMYFUNCTION("GOOGLETRANSLATE(B253, ""en"", ""hi"")"),"कौन सा मणिपुरी त्यौहार मुकना कुश्ती प्रतियोगिताओं के लिए प्रसिद्ध है?")</f>
        <v>कौन सा मणिपुरी त्यौहार मुकना कुश्ती प्रतियोगिताओं के लिए प्रसिद्ध है?</v>
      </c>
      <c r="H253" s="5" t="str">
        <f>IFERROR(__xludf.DUMMYFUNCTION("GOOGLETRANSLATE(C253, ""en"", ""hi"")"),"ए) लाई हराओबा, बी) निंगोल चाकोउबा, सी) याओशांग, डी) चेइराओबा")</f>
        <v>ए) लाई हराओबा, बी) निंगोल चाकोउबा, सी) याओशांग, डी) चेइराओबा</v>
      </c>
      <c r="I253" s="5" t="str">
        <f>IFERROR(__xludf.DUMMYFUNCTION("GOOGLETRANSLATE(D253, ""en"", ""hi"")"),"A) लाई हरोबा")</f>
        <v>A) लाई हरोबा</v>
      </c>
    </row>
    <row r="254" ht="22.5" customHeight="1">
      <c r="A254" s="3">
        <v>253.0</v>
      </c>
      <c r="B254" s="4" t="s">
        <v>13756</v>
      </c>
      <c r="C254" s="4" t="s">
        <v>13628</v>
      </c>
      <c r="D254" s="4" t="s">
        <v>13474</v>
      </c>
      <c r="F254" s="5" t="str">
        <f>IFERROR(__xludf.DUMMYFUNCTION("GOOGLETRANSLATE(A254, ""en"", ""hi"")"),"253")</f>
        <v>253</v>
      </c>
      <c r="G254" s="5" t="str">
        <f>IFERROR(__xludf.DUMMYFUNCTION("GOOGLETRANSLATE(B254, ""en"", ""hi"")"),"मुकना कुश्ती तकनीक को समझने के लिए कौन सा ऐतिहासिक दस्तावेज महत्वपूर्ण है?")</f>
        <v>मुकना कुश्ती तकनीक को समझने के लिए कौन सा ऐतिहासिक दस्तावेज महत्वपूर्ण है?</v>
      </c>
      <c r="H254" s="5" t="str">
        <f>IFERROR(__xludf.DUMMYFUNCTION("GOOGLETRANSLATE(C254, ""en"", ""hi"")"),"ए) बुरांजी, बी) राजमाला, सी) मनुस्मृति, डी) वेद")</f>
        <v>ए) बुरांजी, बी) राजमाला, सी) मनुस्मृति, डी) वेद</v>
      </c>
      <c r="I254" s="5" t="str">
        <f>IFERROR(__xludf.DUMMYFUNCTION("GOOGLETRANSLATE(D254, ""en"", ""hi"")"),"ए) बुरांजी")</f>
        <v>ए) बुरांजी</v>
      </c>
    </row>
    <row r="255" ht="22.5" customHeight="1">
      <c r="A255" s="3">
        <v>254.0</v>
      </c>
      <c r="B255" s="4" t="s">
        <v>13757</v>
      </c>
      <c r="C255" s="4" t="s">
        <v>13602</v>
      </c>
      <c r="D255" s="4" t="s">
        <v>13603</v>
      </c>
      <c r="F255" s="5" t="str">
        <f>IFERROR(__xludf.DUMMYFUNCTION("GOOGLETRANSLATE(A255, ""en"", ""hi"")"),"254")</f>
        <v>254</v>
      </c>
      <c r="G255" s="5" t="str">
        <f>IFERROR(__xludf.DUMMYFUNCTION("GOOGLETRANSLATE(B255, ""en"", ""hi"")"),"किस अवधि के दौरान मुकना कुश्ती को एक खेल के रूप में महत्वपूर्ण पुनरुत्थान का अनुभव हुआ?")</f>
        <v>किस अवधि के दौरान मुकना कुश्ती को एक खेल के रूप में महत्वपूर्ण पुनरुत्थान का अनुभव हुआ?</v>
      </c>
      <c r="H255" s="5" t="str">
        <f>IFERROR(__xludf.DUMMYFUNCTION("GOOGLETRANSLATE(C255, ""en"", ""hi"")"),"A) 20वीं सदी का प्रारंभ, B) 19वीं सदी का उत्तरार्ध, C) 20वीं सदी का मध्य, D) 21वीं सदी")</f>
        <v>A) 20वीं सदी का प्रारंभ, B) 19वीं सदी का उत्तरार्ध, C) 20वीं सदी का मध्य, D) 21वीं सदी</v>
      </c>
      <c r="I255" s="5" t="str">
        <f>IFERROR(__xludf.DUMMYFUNCTION("GOOGLETRANSLATE(D255, ""en"", ""hi"")"),"A) 20वीं सदी की शुरुआत")</f>
        <v>A) 20वीं सदी की शुरुआत</v>
      </c>
    </row>
    <row r="256" ht="22.5" customHeight="1">
      <c r="A256" s="3">
        <v>255.0</v>
      </c>
      <c r="B256" s="4" t="s">
        <v>13758</v>
      </c>
      <c r="C256" s="4" t="s">
        <v>13613</v>
      </c>
      <c r="D256" s="4" t="s">
        <v>13614</v>
      </c>
      <c r="F256" s="5" t="str">
        <f>IFERROR(__xludf.DUMMYFUNCTION("GOOGLETRANSLATE(A256, ""en"", ""hi"")"),"255")</f>
        <v>255</v>
      </c>
      <c r="G256" s="5" t="str">
        <f>IFERROR(__xludf.DUMMYFUNCTION("GOOGLETRANSLATE(B256, ""en"", ""hi"")"),"ऐतिहासिक रूप से मुकना कुश्ती मैचों के लिए सामान्य परिवेश क्या था?")</f>
        <v>ऐतिहासिक रूप से मुकना कुश्ती मैचों के लिए सामान्य परिवेश क्या था?</v>
      </c>
      <c r="H256" s="5" t="str">
        <f>IFERROR(__xludf.DUMMYFUNCTION("GOOGLETRANSLATE(C256, ""en"", ""hi"")"),"A) खुले मैदान, B) इनडोर एरेना, C) शाही दरबार, D) बाज़ार")</f>
        <v>A) खुले मैदान, B) इनडोर एरेना, C) शाही दरबार, D) बाज़ार</v>
      </c>
      <c r="I256" s="5" t="str">
        <f>IFERROR(__xludf.DUMMYFUNCTION("GOOGLETRANSLATE(D256, ""en"", ""hi"")"),"ए) खुले मैदान")</f>
        <v>ए) खुले मैदान</v>
      </c>
    </row>
    <row r="257" ht="22.5" customHeight="1">
      <c r="A257" s="3">
        <v>256.0</v>
      </c>
      <c r="B257" s="4" t="s">
        <v>13759</v>
      </c>
      <c r="C257" s="4" t="s">
        <v>13605</v>
      </c>
      <c r="D257" s="4" t="s">
        <v>13432</v>
      </c>
      <c r="F257" s="5" t="str">
        <f>IFERROR(__xludf.DUMMYFUNCTION("GOOGLETRANSLATE(A257, ""en"", ""hi"")"),"256")</f>
        <v>256</v>
      </c>
      <c r="G257" s="5" t="str">
        <f>IFERROR(__xludf.DUMMYFUNCTION("GOOGLETRANSLATE(B257, ""en"", ""hi"")"),"मुकना पहलवानों द्वारा पारंपरिक रूप से किस प्रकार की पोशाक पहनी जाती थी?")</f>
        <v>मुकना पहलवानों द्वारा पारंपरिक रूप से किस प्रकार की पोशाक पहनी जाती थी?</v>
      </c>
      <c r="H257" s="5" t="str">
        <f>IFERROR(__xludf.DUMMYFUNCTION("GOOGLETRANSLATE(C257,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257" s="5" t="str">
        <f>IFERROR(__xludf.DUMMYFUNCTION("GOOGLETRANSLATE(D257, ""en"", ""hi"")"),"A) हल्का और लचीला")</f>
        <v>A) हल्का और लचीला</v>
      </c>
    </row>
    <row r="258" ht="22.5" customHeight="1">
      <c r="A258" s="3">
        <v>257.0</v>
      </c>
      <c r="B258" s="4" t="s">
        <v>13737</v>
      </c>
      <c r="C258" s="4" t="s">
        <v>13687</v>
      </c>
      <c r="D258" s="4" t="s">
        <v>12153</v>
      </c>
      <c r="F258" s="5" t="str">
        <f>IFERROR(__xludf.DUMMYFUNCTION("GOOGLETRANSLATE(A258, ""en"", ""hi"")"),"257")</f>
        <v>257</v>
      </c>
      <c r="G258" s="5" t="str">
        <f>IFERROR(__xludf.DUMMYFUNCTION("GOOGLETRANSLATE(B258, ""en"", ""hi"")"),"औपनिवेशिक शासन के दौरान मुकना कुश्ती के संरक्षण का श्रेय किस मणिपुरी राजा को दिया जाता है?")</f>
        <v>औपनिवेशिक शासन के दौरान मुकना कुश्ती के संरक्षण का श्रेय किस मणिपुरी राजा को दिया जाता है?</v>
      </c>
      <c r="H258" s="5" t="str">
        <f>IFERROR(__xludf.DUMMYFUNCTION("GOOGLETRANSLATE(C258,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258" s="5" t="str">
        <f>IFERROR(__xludf.DUMMYFUNCTION("GOOGLETRANSLATE(D258, ""en"", ""hi"")"),"बी) महाराजा गंभीर सिंह")</f>
        <v>बी) महाराजा गंभीर सिंह</v>
      </c>
    </row>
    <row r="259" ht="22.5" customHeight="1">
      <c r="A259" s="3">
        <v>258.0</v>
      </c>
      <c r="B259" s="4" t="s">
        <v>13738</v>
      </c>
      <c r="C259" s="4" t="s">
        <v>13739</v>
      </c>
      <c r="D259" s="4" t="s">
        <v>10097</v>
      </c>
      <c r="F259" s="5" t="str">
        <f>IFERROR(__xludf.DUMMYFUNCTION("GOOGLETRANSLATE(A259, ""en"", ""hi"")"),"258")</f>
        <v>258</v>
      </c>
      <c r="G259" s="5" t="str">
        <f>IFERROR(__xludf.DUMMYFUNCTION("GOOGLETRANSLATE(B259, ""en"", ""hi"")"),"मुकना कुश्ती पारंपरिक रूप से किस प्रकार की मणिपुरी प्रतियोगिता से जुड़ी हुई थी?")</f>
        <v>मुकना कुश्ती पारंपरिक रूप से किस प्रकार की मणिपुरी प्रतियोगिता से जुड़ी हुई थी?</v>
      </c>
      <c r="H259" s="5" t="str">
        <f>IFERROR(__xludf.DUMMYFUNCTION("GOOGLETRANSLATE(C259, ""en"", ""hi"")"),"A) धार्मिक अनुष्ठान, B) सामाजिक समारोह, C) राजनीतिक कार्यक्रम, D) आर्थिक लेन-देन")</f>
        <v>A) धार्मिक अनुष्ठान, B) सामाजिक समारोह, C) राजनीतिक कार्यक्रम, D) आर्थिक लेन-देन</v>
      </c>
      <c r="I259" s="5" t="str">
        <f>IFERROR(__xludf.DUMMYFUNCTION("GOOGLETRANSLATE(D259, ""en"", ""hi"")"),"A) धार्मिक अनुष्ठान")</f>
        <v>A) धार्मिक अनुष्ठान</v>
      </c>
    </row>
    <row r="260" ht="22.5" customHeight="1">
      <c r="A260" s="3">
        <v>259.0</v>
      </c>
      <c r="B260" s="4" t="s">
        <v>13740</v>
      </c>
      <c r="C260" s="4" t="s">
        <v>13741</v>
      </c>
      <c r="D260" s="4" t="s">
        <v>13474</v>
      </c>
      <c r="F260" s="5" t="str">
        <f>IFERROR(__xludf.DUMMYFUNCTION("GOOGLETRANSLATE(A260, ""en"", ""hi"")"),"259")</f>
        <v>259</v>
      </c>
      <c r="G260" s="5" t="str">
        <f>IFERROR(__xludf.DUMMYFUNCTION("GOOGLETRANSLATE(B260, ""en"", ""hi"")"),"कौन सा पारंपरिक मणिपुरी पाठ मुकना कुश्ती तकनीकों की जानकारी प्रदान करता है?")</f>
        <v>कौन सा पारंपरिक मणिपुरी पाठ मुकना कुश्ती तकनीकों की जानकारी प्रदान करता है?</v>
      </c>
      <c r="H260" s="5" t="str">
        <f>IFERROR(__xludf.DUMMYFUNCTION("GOOGLETRANSLATE(C260, ""en"", ""hi"")"),"ए) बुरांजी, बी) राजमाला, सी) मनुस्मृति, डी) मणिपुरी वेद")</f>
        <v>ए) बुरांजी, बी) राजमाला, सी) मनुस्मृति, डी) मणिपुरी वेद</v>
      </c>
      <c r="I260" s="5" t="str">
        <f>IFERROR(__xludf.DUMMYFUNCTION("GOOGLETRANSLATE(D260, ""en"", ""hi"")"),"ए) बुरांजी")</f>
        <v>ए) बुरांजी</v>
      </c>
    </row>
    <row r="261" ht="22.5" customHeight="1">
      <c r="A261" s="3">
        <v>260.0</v>
      </c>
      <c r="B261" s="4" t="s">
        <v>13742</v>
      </c>
      <c r="C261" s="4" t="s">
        <v>13743</v>
      </c>
      <c r="D261" s="4" t="s">
        <v>13726</v>
      </c>
      <c r="F261" s="5" t="str">
        <f>IFERROR(__xludf.DUMMYFUNCTION("GOOGLETRANSLATE(A261, ""en"", ""hi"")"),"260")</f>
        <v>260</v>
      </c>
      <c r="G261" s="5" t="str">
        <f>IFERROR(__xludf.DUMMYFUNCTION("GOOGLETRANSLATE(B261, ""en"", ""hi"")"),"ब्रिटिश औपनिवेशिक काल के दौरान मुकना कुश्ती के पतन का एक महत्वपूर्ण कारक क्या था?")</f>
        <v>ब्रिटिश औपनिवेशिक काल के दौरान मुकना कुश्ती के पतन का एक महत्वपूर्ण कारक क्या था?</v>
      </c>
      <c r="H261" s="5" t="str">
        <f>IFERROR(__xludf.DUMMYFUNCTION("GOOGLETRANSLATE(C261, ""en"", ""hi"")"),"A) औपनिवेशिक दमन, B) आर्थिक कठिनाई, C) स्थानीय रुचि का अभाव, D) नए खेलों का आगमन")</f>
        <v>A) औपनिवेशिक दमन, B) आर्थिक कठिनाई, C) स्थानीय रुचि का अभाव, D) नए खेलों का आगमन</v>
      </c>
      <c r="I261" s="5" t="str">
        <f>IFERROR(__xludf.DUMMYFUNCTION("GOOGLETRANSLATE(D261, ""en"", ""hi"")"),"A) औपनिवेशिक दमन")</f>
        <v>A) औपनिवेशिक दमन</v>
      </c>
    </row>
    <row r="262" ht="22.5" customHeight="1">
      <c r="A262" s="3">
        <v>261.0</v>
      </c>
      <c r="B262" s="4" t="s">
        <v>13744</v>
      </c>
      <c r="C262" s="4" t="s">
        <v>13657</v>
      </c>
      <c r="D262" s="4" t="s">
        <v>13658</v>
      </c>
      <c r="F262" s="5" t="str">
        <f>IFERROR(__xludf.DUMMYFUNCTION("GOOGLETRANSLATE(A262, ""en"", ""hi"")"),"261")</f>
        <v>261</v>
      </c>
      <c r="G262" s="5" t="str">
        <f>IFERROR(__xludf.DUMMYFUNCTION("GOOGLETRANSLATE(B262, ""en"", ""hi"")"),"किस मणिपुरी राजा ने मुकना कुश्ती तकनीकों के दस्तावेजीकरण में महत्वपूर्ण भूमिका निभाई?")</f>
        <v>किस मणिपुरी राजा ने मुकना कुश्ती तकनीकों के दस्तावेजीकरण में महत्वपूर्ण भूमिका निभाई?</v>
      </c>
      <c r="H262" s="5" t="str">
        <f>IFERROR(__xludf.DUMMYFUNCTION("GOOGLETRANSLATE(C262,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262" s="5" t="str">
        <f>IFERROR(__xludf.DUMMYFUNCTION("GOOGLETRANSLATE(D262, ""en"", ""hi"")"),"C) महाराजा चूड़ाचंद सिंह")</f>
        <v>C) महाराजा चूड़ाचंद सिंह</v>
      </c>
    </row>
    <row r="263" ht="22.5" customHeight="1">
      <c r="A263" s="3">
        <v>262.0</v>
      </c>
      <c r="B263" s="4" t="s">
        <v>13639</v>
      </c>
      <c r="C263" s="4" t="s">
        <v>13745</v>
      </c>
      <c r="D263" s="4" t="s">
        <v>13691</v>
      </c>
      <c r="F263" s="5" t="str">
        <f>IFERROR(__xludf.DUMMYFUNCTION("GOOGLETRANSLATE(A263, ""en"", ""hi"")"),"262")</f>
        <v>262</v>
      </c>
      <c r="G263" s="5" t="str">
        <f>IFERROR(__xludf.DUMMYFUNCTION("GOOGLETRANSLATE(B263, ""en"", ""hi"")"),"मुकना कुश्ती पारंपरिक रूप से किस प्रकार के मणिपुरी आयोजन के दौरान की जाती थी?")</f>
        <v>मुकना कुश्ती पारंपरिक रूप से किस प्रकार के मणिपुरी आयोजन के दौरान की जाती थी?</v>
      </c>
      <c r="H263" s="5" t="str">
        <f>IFERROR(__xludf.DUMMYFUNCTION("GOOGLETRANSLATE(C263, ""en"", ""hi"")"),"A) सामुदायिक उत्सव, B) राजनीतिक सभाएँ, C) शैक्षिक कार्यक्रम, D) बाज़ार मेले")</f>
        <v>A) सामुदायिक उत्सव, B) राजनीतिक सभाएँ, C) शैक्षिक कार्यक्रम, D) बाज़ार मेले</v>
      </c>
      <c r="I263" s="5" t="str">
        <f>IFERROR(__xludf.DUMMYFUNCTION("GOOGLETRANSLATE(D263, ""en"", ""hi"")"),"ए) सामुदायिक त्यौहार")</f>
        <v>ए) सामुदायिक त्यौहार</v>
      </c>
    </row>
    <row r="264" ht="22.5" customHeight="1">
      <c r="A264" s="3">
        <v>263.0</v>
      </c>
      <c r="B264" s="4" t="s">
        <v>13746</v>
      </c>
      <c r="C264" s="4" t="s">
        <v>13715</v>
      </c>
      <c r="D264" s="4" t="s">
        <v>13716</v>
      </c>
      <c r="F264" s="5" t="str">
        <f>IFERROR(__xludf.DUMMYFUNCTION("GOOGLETRANSLATE(A264, ""en"", ""hi"")"),"263")</f>
        <v>263</v>
      </c>
      <c r="G264" s="5" t="str">
        <f>IFERROR(__xludf.DUMMYFUNCTION("GOOGLETRANSLATE(B264, ""en"", ""hi"")"),"पारंपरिक मणिपुरी ग्रंथों में मुकना कुश्ती के किस पहलू पर जोर दिया गया है?")</f>
        <v>पारंपरिक मणिपुरी ग्रंथों में मुकना कुश्ती के किस पहलू पर जोर दिया गया है?</v>
      </c>
      <c r="H264" s="5" t="str">
        <f>IFERROR(__xludf.DUMMYFUNCTION("GOOGLETRANSLATE(C264, ""en"", ""hi"")"),"A) अनुष्ठानिक महत्व, B) आर्थिक प्रभाव, C) राजनीतिक प्रभाव, D) शैक्षिक मूल्य")</f>
        <v>A) अनुष्ठानिक महत्व, B) आर्थिक प्रभाव, C) राजनीतिक प्रभाव, D) शैक्षिक मूल्य</v>
      </c>
      <c r="I264" s="5" t="str">
        <f>IFERROR(__xludf.DUMMYFUNCTION("GOOGLETRANSLATE(D264, ""en"", ""hi"")"),"A) अनुष्ठानिक महत्व")</f>
        <v>A) अनुष्ठानिक महत्व</v>
      </c>
    </row>
    <row r="265" ht="22.5" customHeight="1">
      <c r="A265" s="3">
        <v>264.0</v>
      </c>
      <c r="B265" s="4" t="s">
        <v>13747</v>
      </c>
      <c r="C265" s="4" t="s">
        <v>13610</v>
      </c>
      <c r="D265" s="4" t="s">
        <v>13611</v>
      </c>
      <c r="F265" s="5" t="str">
        <f>IFERROR(__xludf.DUMMYFUNCTION("GOOGLETRANSLATE(A265, ""en"", ""hi"")"),"264")</f>
        <v>264</v>
      </c>
      <c r="G265" s="5" t="str">
        <f>IFERROR(__xludf.DUMMYFUNCTION("GOOGLETRANSLATE(B265,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65" s="5" t="str">
        <f>IFERROR(__xludf.DUMMYFUNCTION("GOOGLETRANSLATE(C265, ""en"", ""hi"")"),"A) जी. ई. हार्वे, B) रॉबर्ट गॉर्डन, C) आर. एन. शर्मा, D) ए. बी. जॉर्ज")</f>
        <v>A) जी. ई. हार्वे, B) रॉबर्ट गॉर्डन, C) आर. एन. शर्मा, D) ए. बी. जॉर्ज</v>
      </c>
      <c r="I265" s="5" t="str">
        <f>IFERROR(__xludf.DUMMYFUNCTION("GOOGLETRANSLATE(D265, ""en"", ""hi"")"),"A) जी. ई. हार्वे")</f>
        <v>A) जी. ई. हार्वे</v>
      </c>
    </row>
    <row r="266" ht="22.5" customHeight="1">
      <c r="A266" s="3">
        <v>265.0</v>
      </c>
      <c r="B266" s="4" t="s">
        <v>13748</v>
      </c>
      <c r="C266" s="4" t="s">
        <v>13749</v>
      </c>
      <c r="D266" s="4" t="s">
        <v>13750</v>
      </c>
      <c r="F266" s="5" t="str">
        <f>IFERROR(__xludf.DUMMYFUNCTION("GOOGLETRANSLATE(A266, ""en"", ""hi"")"),"265")</f>
        <v>265</v>
      </c>
      <c r="G266" s="5" t="str">
        <f>IFERROR(__xludf.DUMMYFUNCTION("GOOGLETRANSLATE(B266, ""en"", ""hi"")"),"ऐतिहासिक मणिपुर में मुकना कुश्ती मैट के लिए प्रयुक्त प्राथमिक सामग्री क्या थी?")</f>
        <v>ऐतिहासिक मणिपुर में मुकना कुश्ती मैट के लिए प्रयुक्त प्राथमिक सामग्री क्या थी?</v>
      </c>
      <c r="H266" s="5" t="str">
        <f>IFERROR(__xludf.DUMMYFUNCTION("GOOGLETRANSLATE(C266, ""en"", ""hi"")"),"A) पुआल, B) बांस, C) जूट, D) कपास")</f>
        <v>A) पुआल, B) बांस, C) जूट, D) कपास</v>
      </c>
      <c r="I266" s="5" t="str">
        <f>IFERROR(__xludf.DUMMYFUNCTION("GOOGLETRANSLATE(D266, ""en"", ""hi"")"),"एक पुआल")</f>
        <v>एक पुआल</v>
      </c>
    </row>
    <row r="267" ht="22.5" customHeight="1">
      <c r="A267" s="3">
        <v>266.0</v>
      </c>
      <c r="B267" s="4" t="s">
        <v>13751</v>
      </c>
      <c r="C267" s="4" t="s">
        <v>13619</v>
      </c>
      <c r="D267" s="4" t="s">
        <v>13331</v>
      </c>
      <c r="F267" s="5" t="str">
        <f>IFERROR(__xludf.DUMMYFUNCTION("GOOGLETRANSLATE(A267, ""en"", ""hi"")"),"266")</f>
        <v>266</v>
      </c>
      <c r="G267" s="5" t="str">
        <f>IFERROR(__xludf.DUMMYFUNCTION("GOOGLETRANSLATE(B267, ""en"", ""hi"")"),"किस मणिपुरी राजा को मुकना कुश्ती के आधुनिकीकरण के प्रयासों के लिए जाना जाता है?")</f>
        <v>किस मणिपुरी राजा को मुकना कुश्ती के आधुनिकीकरण के प्रयासों के लिए जाना जाता है?</v>
      </c>
      <c r="H267" s="5" t="str">
        <f>IFERROR(__xludf.DUMMYFUNCTION("GOOGLETRANSLATE(C267,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267" s="5" t="str">
        <f>IFERROR(__xludf.DUMMYFUNCTION("GOOGLETRANSLATE(D267, ""en"", ""hi"")"),"A) महाराजा चूड़ाचंद सिंह")</f>
        <v>A) महाराजा चूड़ाचंद सिंह</v>
      </c>
    </row>
    <row r="268" ht="22.5" customHeight="1">
      <c r="A268" s="3">
        <v>267.0</v>
      </c>
      <c r="B268" s="4" t="s">
        <v>13752</v>
      </c>
      <c r="C268" s="4" t="s">
        <v>13753</v>
      </c>
      <c r="D268" s="4" t="s">
        <v>13754</v>
      </c>
      <c r="F268" s="5" t="str">
        <f>IFERROR(__xludf.DUMMYFUNCTION("GOOGLETRANSLATE(A268, ""en"", ""hi"")"),"267")</f>
        <v>267</v>
      </c>
      <c r="G268" s="5" t="str">
        <f>IFERROR(__xludf.DUMMYFUNCTION("GOOGLETRANSLATE(B268, ""en"", ""hi"")"),"मणिपुरी शाही समारोहों में मुकना कुश्ती की पारंपरिक रूप से क्या भूमिका थी?")</f>
        <v>मणिपुरी शाही समारोहों में मुकना कुश्ती की पारंपरिक रूप से क्या भूमिका थी?</v>
      </c>
      <c r="H268" s="5" t="str">
        <f>IFERROR(__xludf.DUMMYFUNCTION("GOOGLETRANSLATE(C268, ""en"", ""hi"")"),"A) अनुष्ठानिक अभ्यास, B) सैन्य प्रशिक्षण, C) सामाजिक मनोरंजन, D) राजनीतिक प्रवचन")</f>
        <v>A) अनुष्ठानिक अभ्यास, B) सैन्य प्रशिक्षण, C) सामाजिक मनोरंजन, D) राजनीतिक प्रवचन</v>
      </c>
      <c r="I268" s="5" t="str">
        <f>IFERROR(__xludf.DUMMYFUNCTION("GOOGLETRANSLATE(D268, ""en"", ""hi"")"),"A) अनुष्ठानिक अभ्यास")</f>
        <v>A) अनुष्ठानिक अभ्यास</v>
      </c>
    </row>
    <row r="269" ht="22.5" customHeight="1">
      <c r="A269" s="3">
        <v>268.0</v>
      </c>
      <c r="B269" s="4" t="s">
        <v>13755</v>
      </c>
      <c r="C269" s="4" t="s">
        <v>12867</v>
      </c>
      <c r="D269" s="4" t="s">
        <v>12086</v>
      </c>
      <c r="F269" s="5" t="str">
        <f>IFERROR(__xludf.DUMMYFUNCTION("GOOGLETRANSLATE(A269, ""en"", ""hi"")"),"268")</f>
        <v>268</v>
      </c>
      <c r="G269" s="5" t="str">
        <f>IFERROR(__xludf.DUMMYFUNCTION("GOOGLETRANSLATE(B269, ""en"", ""hi"")"),"कौन सा मणिपुरी त्यौहार मुकना कुश्ती प्रतियोगिताओं के लिए प्रसिद्ध है?")</f>
        <v>कौन सा मणिपुरी त्यौहार मुकना कुश्ती प्रतियोगिताओं के लिए प्रसिद्ध है?</v>
      </c>
      <c r="H269" s="5" t="str">
        <f>IFERROR(__xludf.DUMMYFUNCTION("GOOGLETRANSLATE(C269, ""en"", ""hi"")"),"ए) लाई हराओबा, बी) निंगोल चाकोउबा, सी) याओशांग, डी) चेइराओबा")</f>
        <v>ए) लाई हराओबा, बी) निंगोल चाकोउबा, सी) याओशांग, डी) चेइराओबा</v>
      </c>
      <c r="I269" s="5" t="str">
        <f>IFERROR(__xludf.DUMMYFUNCTION("GOOGLETRANSLATE(D269, ""en"", ""hi"")"),"A) लाई हरोबा")</f>
        <v>A) लाई हरोबा</v>
      </c>
    </row>
    <row r="270" ht="22.5" customHeight="1">
      <c r="A270" s="3">
        <v>269.0</v>
      </c>
      <c r="B270" s="4" t="s">
        <v>13756</v>
      </c>
      <c r="C270" s="4" t="s">
        <v>13628</v>
      </c>
      <c r="D270" s="4" t="s">
        <v>13474</v>
      </c>
      <c r="F270" s="5" t="str">
        <f>IFERROR(__xludf.DUMMYFUNCTION("GOOGLETRANSLATE(A270, ""en"", ""hi"")"),"269")</f>
        <v>269</v>
      </c>
      <c r="G270" s="5" t="str">
        <f>IFERROR(__xludf.DUMMYFUNCTION("GOOGLETRANSLATE(B270, ""en"", ""hi"")"),"मुकना कुश्ती तकनीक को समझने के लिए कौन सा ऐतिहासिक दस्तावेज महत्वपूर्ण है?")</f>
        <v>मुकना कुश्ती तकनीक को समझने के लिए कौन सा ऐतिहासिक दस्तावेज महत्वपूर्ण है?</v>
      </c>
      <c r="H270" s="5" t="str">
        <f>IFERROR(__xludf.DUMMYFUNCTION("GOOGLETRANSLATE(C270, ""en"", ""hi"")"),"ए) बुरांजी, बी) राजमाला, सी) मनुस्मृति, डी) वेद")</f>
        <v>ए) बुरांजी, बी) राजमाला, सी) मनुस्मृति, डी) वेद</v>
      </c>
      <c r="I270" s="5" t="str">
        <f>IFERROR(__xludf.DUMMYFUNCTION("GOOGLETRANSLATE(D270, ""en"", ""hi"")"),"ए) बुरांजी")</f>
        <v>ए) बुरांजी</v>
      </c>
    </row>
    <row r="271" ht="22.5" customHeight="1">
      <c r="A271" s="3">
        <v>270.0</v>
      </c>
      <c r="B271" s="4" t="s">
        <v>13757</v>
      </c>
      <c r="C271" s="4" t="s">
        <v>13602</v>
      </c>
      <c r="D271" s="4" t="s">
        <v>13603</v>
      </c>
      <c r="F271" s="5" t="str">
        <f>IFERROR(__xludf.DUMMYFUNCTION("GOOGLETRANSLATE(A271, ""en"", ""hi"")"),"270")</f>
        <v>270</v>
      </c>
      <c r="G271" s="5" t="str">
        <f>IFERROR(__xludf.DUMMYFUNCTION("GOOGLETRANSLATE(B271, ""en"", ""hi"")"),"किस अवधि के दौरान मुकना कुश्ती को एक खेल के रूप में महत्वपूर्ण पुनरुत्थान का अनुभव हुआ?")</f>
        <v>किस अवधि के दौरान मुकना कुश्ती को एक खेल के रूप में महत्वपूर्ण पुनरुत्थान का अनुभव हुआ?</v>
      </c>
      <c r="H271" s="5" t="str">
        <f>IFERROR(__xludf.DUMMYFUNCTION("GOOGLETRANSLATE(C271, ""en"", ""hi"")"),"A) 20वीं सदी का प्रारंभ, B) 19वीं सदी का उत्तरार्ध, C) 20वीं सदी का मध्य, D) 21वीं सदी")</f>
        <v>A) 20वीं सदी का प्रारंभ, B) 19वीं सदी का उत्तरार्ध, C) 20वीं सदी का मध्य, D) 21वीं सदी</v>
      </c>
      <c r="I271" s="5" t="str">
        <f>IFERROR(__xludf.DUMMYFUNCTION("GOOGLETRANSLATE(D271, ""en"", ""hi"")"),"A) 20वीं सदी की शुरुआत")</f>
        <v>A) 20वीं सदी की शुरुआत</v>
      </c>
    </row>
    <row r="272" ht="22.5" customHeight="1">
      <c r="A272" s="3">
        <v>271.0</v>
      </c>
      <c r="B272" s="4" t="s">
        <v>13758</v>
      </c>
      <c r="C272" s="4" t="s">
        <v>13613</v>
      </c>
      <c r="D272" s="4" t="s">
        <v>13614</v>
      </c>
      <c r="F272" s="5" t="str">
        <f>IFERROR(__xludf.DUMMYFUNCTION("GOOGLETRANSLATE(A272, ""en"", ""hi"")"),"271")</f>
        <v>271</v>
      </c>
      <c r="G272" s="5" t="str">
        <f>IFERROR(__xludf.DUMMYFUNCTION("GOOGLETRANSLATE(B272, ""en"", ""hi"")"),"ऐतिहासिक रूप से मुकना कुश्ती मैचों के लिए सामान्य परिवेश क्या था?")</f>
        <v>ऐतिहासिक रूप से मुकना कुश्ती मैचों के लिए सामान्य परिवेश क्या था?</v>
      </c>
      <c r="H272" s="5" t="str">
        <f>IFERROR(__xludf.DUMMYFUNCTION("GOOGLETRANSLATE(C272, ""en"", ""hi"")"),"A) खुले मैदान, B) इनडोर एरेना, C) शाही दरबार, D) बाज़ार")</f>
        <v>A) खुले मैदान, B) इनडोर एरेना, C) शाही दरबार, D) बाज़ार</v>
      </c>
      <c r="I272" s="5" t="str">
        <f>IFERROR(__xludf.DUMMYFUNCTION("GOOGLETRANSLATE(D272, ""en"", ""hi"")"),"ए) खुले मैदान")</f>
        <v>ए) खुले मैदान</v>
      </c>
    </row>
    <row r="273" ht="22.5" customHeight="1">
      <c r="A273" s="3">
        <v>272.0</v>
      </c>
      <c r="B273" s="4" t="s">
        <v>13759</v>
      </c>
      <c r="C273" s="4" t="s">
        <v>13605</v>
      </c>
      <c r="D273" s="4" t="s">
        <v>13432</v>
      </c>
      <c r="F273" s="5" t="str">
        <f>IFERROR(__xludf.DUMMYFUNCTION("GOOGLETRANSLATE(A273, ""en"", ""hi"")"),"272")</f>
        <v>272</v>
      </c>
      <c r="G273" s="5" t="str">
        <f>IFERROR(__xludf.DUMMYFUNCTION("GOOGLETRANSLATE(B273, ""en"", ""hi"")"),"मुकना पहलवानों द्वारा पारंपरिक रूप से किस प्रकार की पोशाक पहनी जाती थी?")</f>
        <v>मुकना पहलवानों द्वारा पारंपरिक रूप से किस प्रकार की पोशाक पहनी जाती थी?</v>
      </c>
      <c r="H273" s="5" t="str">
        <f>IFERROR(__xludf.DUMMYFUNCTION("GOOGLETRANSLATE(C273, ""en"", ""hi"")"),"A) हल्का और लचीला, B) भारी और सुरक्षात्मक, C) सजावटी और औपचारिक, D) आधुनिक और स्पोर्टी")</f>
        <v>A) हल्का और लचीला, B) भारी और सुरक्षात्मक, C) सजावटी और औपचारिक, D) आधुनिक और स्पोर्टी</v>
      </c>
      <c r="I273" s="5" t="str">
        <f>IFERROR(__xludf.DUMMYFUNCTION("GOOGLETRANSLATE(D273, ""en"", ""hi"")"),"A) हल्का और लचीला")</f>
        <v>A) हल्का और लचीला</v>
      </c>
    </row>
    <row r="274" ht="22.5" customHeight="1">
      <c r="A274" s="3">
        <v>273.0</v>
      </c>
      <c r="B274" s="4" t="s">
        <v>13737</v>
      </c>
      <c r="C274" s="4" t="s">
        <v>13687</v>
      </c>
      <c r="D274" s="4" t="s">
        <v>12153</v>
      </c>
      <c r="F274" s="5" t="str">
        <f>IFERROR(__xludf.DUMMYFUNCTION("GOOGLETRANSLATE(A274, ""en"", ""hi"")"),"273")</f>
        <v>273</v>
      </c>
      <c r="G274" s="5" t="str">
        <f>IFERROR(__xludf.DUMMYFUNCTION("GOOGLETRANSLATE(B274, ""en"", ""hi"")"),"औपनिवेशिक शासन के दौरान मुकना कुश्ती के संरक्षण का श्रेय किस मणिपुरी राजा को दिया जाता है?")</f>
        <v>औपनिवेशिक शासन के दौरान मुकना कुश्ती के संरक्षण का श्रेय किस मणिपुरी राजा को दिया जाता है?</v>
      </c>
      <c r="H274" s="5" t="str">
        <f>IFERROR(__xludf.DUMMYFUNCTION("GOOGLETRANSLATE(C274,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274" s="5" t="str">
        <f>IFERROR(__xludf.DUMMYFUNCTION("GOOGLETRANSLATE(D274, ""en"", ""hi"")"),"बी) महाराजा गंभीर सिंह")</f>
        <v>बी) महाराजा गंभीर सिंह</v>
      </c>
    </row>
    <row r="275" ht="22.5" customHeight="1">
      <c r="A275" s="3">
        <v>274.0</v>
      </c>
      <c r="B275" s="4" t="s">
        <v>13738</v>
      </c>
      <c r="C275" s="4" t="s">
        <v>13739</v>
      </c>
      <c r="D275" s="4" t="s">
        <v>10097</v>
      </c>
      <c r="F275" s="5" t="str">
        <f>IFERROR(__xludf.DUMMYFUNCTION("GOOGLETRANSLATE(A275, ""en"", ""hi"")"),"274")</f>
        <v>274</v>
      </c>
      <c r="G275" s="5" t="str">
        <f>IFERROR(__xludf.DUMMYFUNCTION("GOOGLETRANSLATE(B275, ""en"", ""hi"")"),"मुकना कुश्ती पारंपरिक रूप से किस प्रकार की मणिपुरी प्रतियोगिता से जुड़ी हुई थी?")</f>
        <v>मुकना कुश्ती पारंपरिक रूप से किस प्रकार की मणिपुरी प्रतियोगिता से जुड़ी हुई थी?</v>
      </c>
      <c r="H275" s="5" t="str">
        <f>IFERROR(__xludf.DUMMYFUNCTION("GOOGLETRANSLATE(C275, ""en"", ""hi"")"),"A) धार्मिक अनुष्ठान, B) सामाजिक समारोह, C) राजनीतिक कार्यक्रम, D) आर्थिक लेन-देन")</f>
        <v>A) धार्मिक अनुष्ठान, B) सामाजिक समारोह, C) राजनीतिक कार्यक्रम, D) आर्थिक लेन-देन</v>
      </c>
      <c r="I275" s="5" t="str">
        <f>IFERROR(__xludf.DUMMYFUNCTION("GOOGLETRANSLATE(D275, ""en"", ""hi"")"),"A) धार्मिक अनुष्ठान")</f>
        <v>A) धार्मिक अनुष्ठान</v>
      </c>
    </row>
    <row r="276" ht="22.5" customHeight="1">
      <c r="A276" s="3">
        <v>275.0</v>
      </c>
      <c r="B276" s="4" t="s">
        <v>13740</v>
      </c>
      <c r="C276" s="4" t="s">
        <v>13741</v>
      </c>
      <c r="D276" s="4" t="s">
        <v>13474</v>
      </c>
      <c r="F276" s="5" t="str">
        <f>IFERROR(__xludf.DUMMYFUNCTION("GOOGLETRANSLATE(A276, ""en"", ""hi"")"),"275")</f>
        <v>275</v>
      </c>
      <c r="G276" s="5" t="str">
        <f>IFERROR(__xludf.DUMMYFUNCTION("GOOGLETRANSLATE(B276, ""en"", ""hi"")"),"कौन सा पारंपरिक मणिपुरी पाठ मुकना कुश्ती तकनीकों की जानकारी प्रदान करता है?")</f>
        <v>कौन सा पारंपरिक मणिपुरी पाठ मुकना कुश्ती तकनीकों की जानकारी प्रदान करता है?</v>
      </c>
      <c r="H276" s="5" t="str">
        <f>IFERROR(__xludf.DUMMYFUNCTION("GOOGLETRANSLATE(C276, ""en"", ""hi"")"),"ए) बुरांजी, बी) राजमाला, सी) मनुस्मृति, डी) मणिपुरी वेद")</f>
        <v>ए) बुरांजी, बी) राजमाला, सी) मनुस्मृति, डी) मणिपुरी वेद</v>
      </c>
      <c r="I276" s="5" t="str">
        <f>IFERROR(__xludf.DUMMYFUNCTION("GOOGLETRANSLATE(D276, ""en"", ""hi"")"),"ए) बुरांजी")</f>
        <v>ए) बुरांजी</v>
      </c>
    </row>
    <row r="277" ht="22.5" customHeight="1">
      <c r="A277" s="3">
        <v>276.0</v>
      </c>
      <c r="B277" s="4" t="s">
        <v>13742</v>
      </c>
      <c r="C277" s="4" t="s">
        <v>13743</v>
      </c>
      <c r="D277" s="4" t="s">
        <v>13726</v>
      </c>
      <c r="F277" s="5" t="str">
        <f>IFERROR(__xludf.DUMMYFUNCTION("GOOGLETRANSLATE(A277, ""en"", ""hi"")"),"276")</f>
        <v>276</v>
      </c>
      <c r="G277" s="5" t="str">
        <f>IFERROR(__xludf.DUMMYFUNCTION("GOOGLETRANSLATE(B277, ""en"", ""hi"")"),"ब्रिटिश औपनिवेशिक काल के दौरान मुकना कुश्ती के पतन का एक महत्वपूर्ण कारक क्या था?")</f>
        <v>ब्रिटिश औपनिवेशिक काल के दौरान मुकना कुश्ती के पतन का एक महत्वपूर्ण कारक क्या था?</v>
      </c>
      <c r="H277" s="5" t="str">
        <f>IFERROR(__xludf.DUMMYFUNCTION("GOOGLETRANSLATE(C277, ""en"", ""hi"")"),"A) औपनिवेशिक दमन, B) आर्थिक कठिनाई, C) स्थानीय रुचि का अभाव, D) नए खेलों का आगमन")</f>
        <v>A) औपनिवेशिक दमन, B) आर्थिक कठिनाई, C) स्थानीय रुचि का अभाव, D) नए खेलों का आगमन</v>
      </c>
      <c r="I277" s="5" t="str">
        <f>IFERROR(__xludf.DUMMYFUNCTION("GOOGLETRANSLATE(D277, ""en"", ""hi"")"),"A) औपनिवेशिक दमन")</f>
        <v>A) औपनिवेशिक दमन</v>
      </c>
    </row>
    <row r="278" ht="22.5" customHeight="1">
      <c r="A278" s="3">
        <v>277.0</v>
      </c>
      <c r="B278" s="4" t="s">
        <v>13744</v>
      </c>
      <c r="C278" s="4" t="s">
        <v>13657</v>
      </c>
      <c r="D278" s="4" t="s">
        <v>13658</v>
      </c>
      <c r="F278" s="5" t="str">
        <f>IFERROR(__xludf.DUMMYFUNCTION("GOOGLETRANSLATE(A278, ""en"", ""hi"")"),"277")</f>
        <v>277</v>
      </c>
      <c r="G278" s="5" t="str">
        <f>IFERROR(__xludf.DUMMYFUNCTION("GOOGLETRANSLATE(B278, ""en"", ""hi"")"),"किस मणिपुरी राजा ने मुकना कुश्ती तकनीकों के दस्तावेजीकरण में महत्वपूर्ण भूमिका निभाई?")</f>
        <v>किस मणिपुरी राजा ने मुकना कुश्ती तकनीकों के दस्तावेजीकरण में महत्वपूर्ण भूमिका निभाई?</v>
      </c>
      <c r="H278" s="5" t="str">
        <f>IFERROR(__xludf.DUMMYFUNCTION("GOOGLETRANSLATE(C278, ""en"", ""hi"")"),"ए) महाराजा भाग्यचंद्र सिंह, बी) महाराजा बोधचंद्र सिंह, सी) महाराजा चुराचंद सिंह, डी) महाराजा गंभीर सिंह")</f>
        <v>ए) महाराजा भाग्यचंद्र सिंह, बी) महाराजा बोधचंद्र सिंह, सी) महाराजा चुराचंद सिंह, डी) महाराजा गंभीर सिंह</v>
      </c>
      <c r="I278" s="5" t="str">
        <f>IFERROR(__xludf.DUMMYFUNCTION("GOOGLETRANSLATE(D278, ""en"", ""hi"")"),"C) महाराजा चूड़ाचंद सिंह")</f>
        <v>C) महाराजा चूड़ाचंद सिंह</v>
      </c>
    </row>
    <row r="279" ht="22.5" customHeight="1">
      <c r="A279" s="3">
        <v>278.0</v>
      </c>
      <c r="B279" s="4" t="s">
        <v>13639</v>
      </c>
      <c r="C279" s="4" t="s">
        <v>13745</v>
      </c>
      <c r="D279" s="4" t="s">
        <v>13691</v>
      </c>
      <c r="F279" s="5" t="str">
        <f>IFERROR(__xludf.DUMMYFUNCTION("GOOGLETRANSLATE(A279, ""en"", ""hi"")"),"278")</f>
        <v>278</v>
      </c>
      <c r="G279" s="5" t="str">
        <f>IFERROR(__xludf.DUMMYFUNCTION("GOOGLETRANSLATE(B279, ""en"", ""hi"")"),"मुकना कुश्ती पारंपरिक रूप से किस प्रकार के मणिपुरी आयोजन के दौरान की जाती थी?")</f>
        <v>मुकना कुश्ती पारंपरिक रूप से किस प्रकार के मणिपुरी आयोजन के दौरान की जाती थी?</v>
      </c>
      <c r="H279" s="5" t="str">
        <f>IFERROR(__xludf.DUMMYFUNCTION("GOOGLETRANSLATE(C279, ""en"", ""hi"")"),"A) सामुदायिक उत्सव, B) राजनीतिक सभाएँ, C) शैक्षिक कार्यक्रम, D) बाज़ार मेले")</f>
        <v>A) सामुदायिक उत्सव, B) राजनीतिक सभाएँ, C) शैक्षिक कार्यक्रम, D) बाज़ार मेले</v>
      </c>
      <c r="I279" s="5" t="str">
        <f>IFERROR(__xludf.DUMMYFUNCTION("GOOGLETRANSLATE(D279, ""en"", ""hi"")"),"ए) सामुदायिक त्यौहार")</f>
        <v>ए) सामुदायिक त्यौहार</v>
      </c>
    </row>
    <row r="280" ht="22.5" customHeight="1">
      <c r="A280" s="3">
        <v>279.0</v>
      </c>
      <c r="B280" s="4" t="s">
        <v>13746</v>
      </c>
      <c r="C280" s="4" t="s">
        <v>13715</v>
      </c>
      <c r="D280" s="4" t="s">
        <v>13716</v>
      </c>
      <c r="F280" s="5" t="str">
        <f>IFERROR(__xludf.DUMMYFUNCTION("GOOGLETRANSLATE(A280, ""en"", ""hi"")"),"279")</f>
        <v>279</v>
      </c>
      <c r="G280" s="5" t="str">
        <f>IFERROR(__xludf.DUMMYFUNCTION("GOOGLETRANSLATE(B280, ""en"", ""hi"")"),"पारंपरिक मणिपुरी ग्रंथों में मुकना कुश्ती के किस पहलू पर जोर दिया गया है?")</f>
        <v>पारंपरिक मणिपुरी ग्रंथों में मुकना कुश्ती के किस पहलू पर जोर दिया गया है?</v>
      </c>
      <c r="H280" s="5" t="str">
        <f>IFERROR(__xludf.DUMMYFUNCTION("GOOGLETRANSLATE(C280, ""en"", ""hi"")"),"A) अनुष्ठानिक महत्व, B) आर्थिक प्रभाव, C) राजनीतिक प्रभाव, D) शैक्षिक मूल्य")</f>
        <v>A) अनुष्ठानिक महत्व, B) आर्थिक प्रभाव, C) राजनीतिक प्रभाव, D) शैक्षिक मूल्य</v>
      </c>
      <c r="I280" s="5" t="str">
        <f>IFERROR(__xludf.DUMMYFUNCTION("GOOGLETRANSLATE(D280, ""en"", ""hi"")"),"A) अनुष्ठानिक महत्व")</f>
        <v>A) अनुष्ठानिक महत्व</v>
      </c>
    </row>
    <row r="281" ht="22.5" customHeight="1">
      <c r="A281" s="3">
        <v>280.0</v>
      </c>
      <c r="B281" s="4" t="s">
        <v>13747</v>
      </c>
      <c r="C281" s="4" t="s">
        <v>13610</v>
      </c>
      <c r="D281" s="4" t="s">
        <v>13611</v>
      </c>
      <c r="F281" s="5" t="str">
        <f>IFERROR(__xludf.DUMMYFUNCTION("GOOGLETRANSLATE(A281, ""en"", ""hi"")"),"280")</f>
        <v>280</v>
      </c>
      <c r="G281" s="5" t="str">
        <f>IFERROR(__xludf.DUMMYFUNCTION("GOOGLETRANSLATE(B281, ""en"", ""hi"")"),"कौन सा ऐतिहासिक व्यक्ति मुकना कुश्ती प्रथाओं के विस्तृत विवरण के लिए जाना जाता है?")</f>
        <v>कौन सा ऐतिहासिक व्यक्ति मुकना कुश्ती प्रथाओं के विस्तृत विवरण के लिए जाना जाता है?</v>
      </c>
      <c r="H281" s="5" t="str">
        <f>IFERROR(__xludf.DUMMYFUNCTION("GOOGLETRANSLATE(C281, ""en"", ""hi"")"),"A) जी. ई. हार्वे, B) रॉबर्ट गॉर्डन, C) आर. एन. शर्मा, D) ए. बी. जॉर्ज")</f>
        <v>A) जी. ई. हार्वे, B) रॉबर्ट गॉर्डन, C) आर. एन. शर्मा, D) ए. बी. जॉर्ज</v>
      </c>
      <c r="I281" s="5" t="str">
        <f>IFERROR(__xludf.DUMMYFUNCTION("GOOGLETRANSLATE(D281, ""en"", ""hi"")"),"A) जी. ई. हार्वे")</f>
        <v>A) जी. ई. हार्वे</v>
      </c>
    </row>
    <row r="282" ht="22.5" customHeight="1">
      <c r="A282" s="3">
        <v>281.0</v>
      </c>
      <c r="B282" s="4" t="s">
        <v>13748</v>
      </c>
      <c r="C282" s="4" t="s">
        <v>13749</v>
      </c>
      <c r="D282" s="4" t="s">
        <v>13750</v>
      </c>
      <c r="F282" s="5" t="str">
        <f>IFERROR(__xludf.DUMMYFUNCTION("GOOGLETRANSLATE(A282, ""en"", ""hi"")"),"281")</f>
        <v>281</v>
      </c>
      <c r="G282" s="5" t="str">
        <f>IFERROR(__xludf.DUMMYFUNCTION("GOOGLETRANSLATE(B282, ""en"", ""hi"")"),"ऐतिहासिक मणिपुर में मुकना कुश्ती मैट के लिए प्रयुक्त प्राथमिक सामग्री क्या थी?")</f>
        <v>ऐतिहासिक मणिपुर में मुकना कुश्ती मैट के लिए प्रयुक्त प्राथमिक सामग्री क्या थी?</v>
      </c>
      <c r="H282" s="5" t="str">
        <f>IFERROR(__xludf.DUMMYFUNCTION("GOOGLETRANSLATE(C282, ""en"", ""hi"")"),"A) पुआल, B) बांस, C) जूट, D) कपास")</f>
        <v>A) पुआल, B) बांस, C) जूट, D) कपास</v>
      </c>
      <c r="I282" s="5" t="str">
        <f>IFERROR(__xludf.DUMMYFUNCTION("GOOGLETRANSLATE(D282, ""en"", ""hi"")"),"एक पुआल")</f>
        <v>एक पुआल</v>
      </c>
    </row>
    <row r="283" ht="22.5" customHeight="1">
      <c r="A283" s="3">
        <v>282.0</v>
      </c>
      <c r="B283" s="4" t="s">
        <v>13760</v>
      </c>
      <c r="C283" s="4" t="s">
        <v>13458</v>
      </c>
      <c r="D283" s="4" t="s">
        <v>13459</v>
      </c>
      <c r="F283" s="5" t="str">
        <f>IFERROR(__xludf.DUMMYFUNCTION("GOOGLETRANSLATE(A283, ""en"", ""hi"")"),"282")</f>
        <v>282</v>
      </c>
      <c r="G283" s="5" t="str">
        <f>IFERROR(__xludf.DUMMYFUNCTION("GOOGLETRANSLATE(B283, ""en"", ""hi"")"),"19वीं शताब्दी में कौन सा मणिपुरी शासक मुकना कुश्ती के संरक्षण के लिए जाना जाता है?")</f>
        <v>19वीं शताब्दी में कौन सा मणिपुरी शासक मुकना कुश्ती के संरक्षण के लिए जाना जाता है?</v>
      </c>
      <c r="H283" s="5" t="str">
        <f>IFERROR(__xludf.DUMMYFUNCTION("GOOGLETRANSLATE(C283, ""en"", ""hi"")"),"ए) महाराजा चूड़ाचंद सिंह, बी) महाराजा भाग्यचंद्र सिंह, सी) महाराजा गंभीर सिंह, डी) महाराजा बोधचंद्र सिंह")</f>
        <v>ए) महाराजा चूड़ाचंद सिंह, बी) महाराजा भाग्यचंद्र सिंह, सी) महाराजा गंभीर सिंह, डी) महाराजा बोधचंद्र सिंह</v>
      </c>
      <c r="I283" s="5" t="str">
        <f>IFERROR(__xludf.DUMMYFUNCTION("GOOGLETRANSLATE(D283, ""en"", ""hi"")"),"C) महाराजा गंभीर सिंह")</f>
        <v>C) महाराजा गंभीर सिंह</v>
      </c>
    </row>
    <row r="284" ht="22.5" customHeight="1">
      <c r="A284" s="3">
        <v>283.0</v>
      </c>
      <c r="B284" s="4" t="s">
        <v>13761</v>
      </c>
      <c r="C284" s="4" t="s">
        <v>13762</v>
      </c>
      <c r="D284" s="4" t="s">
        <v>13763</v>
      </c>
      <c r="F284" s="5" t="str">
        <f>IFERROR(__xludf.DUMMYFUNCTION("GOOGLETRANSLATE(A284, ""en"", ""hi"")"),"283")</f>
        <v>283</v>
      </c>
      <c r="G284" s="5" t="str">
        <f>IFERROR(__xludf.DUMMYFUNCTION("GOOGLETRANSLATE(B284, ""en"", ""hi"")"),"मणिपुरी युद्ध में मुकना कुश्ती का पारंपरिक महत्व क्या था?")</f>
        <v>मणिपुरी युद्ध में मुकना कुश्ती का पारंपरिक महत्व क्या था?</v>
      </c>
      <c r="H284" s="5" t="str">
        <f>IFERROR(__xludf.DUMMYFUNCTION("GOOGLETRANSLATE(C284, ""en"", ""hi"")"),"A) युद्ध के लिए प्रशिक्षण, B) प्रतीकात्मक विजय, C) शक्ति प्रदर्शन, D) कूटनीतिक इशारा")</f>
        <v>A) युद्ध के लिए प्रशिक्षण, B) प्रतीकात्मक विजय, C) शक्ति प्रदर्शन, D) कूटनीतिक इशारा</v>
      </c>
      <c r="I284" s="5" t="str">
        <f>IFERROR(__xludf.DUMMYFUNCTION("GOOGLETRANSLATE(D284, ""en"", ""hi"")"),"A) युद्ध के लिए प्रशिक्षण")</f>
        <v>A) युद्ध के लिए प्रशिक्षण</v>
      </c>
    </row>
    <row r="285" ht="22.5" customHeight="1">
      <c r="A285" s="3">
        <v>284.0</v>
      </c>
      <c r="B285" s="4" t="s">
        <v>13764</v>
      </c>
      <c r="C285" s="4" t="s">
        <v>13704</v>
      </c>
      <c r="D285" s="4" t="s">
        <v>13765</v>
      </c>
      <c r="F285" s="5" t="str">
        <f>IFERROR(__xludf.DUMMYFUNCTION("GOOGLETRANSLATE(A285, ""en"", ""hi"")"),"284")</f>
        <v>284</v>
      </c>
      <c r="G285" s="5" t="str">
        <f>IFERROR(__xludf.DUMMYFUNCTION("GOOGLETRANSLATE(B285, ""en"", ""hi"")"),"किस प्राचीन मणिपुरी ग्रंथ में मुकना कुश्ती की उत्पत्ति और तकनीक का वर्णन है?")</f>
        <v>किस प्राचीन मणिपुरी ग्रंथ में मुकना कुश्ती की उत्पत्ति और तकनीक का वर्णन है?</v>
      </c>
      <c r="H285" s="5" t="str">
        <f>IFERROR(__xludf.DUMMYFUNCTION("GOOGLETRANSLATE(C285, ""en"", ""hi"")"),"ए) बुरांजी, बी) राजमाला, सी) मणिपुरी वेद, डी) मनुस्मृति")</f>
        <v>ए) बुरांजी, बी) राजमाला, सी) मणिपुरी वेद, डी) मनुस्मृति</v>
      </c>
      <c r="I285" s="5" t="str">
        <f>IFERROR(__xludf.DUMMYFUNCTION("GOOGLETRANSLATE(D285, ""en"", ""hi"")"),"बी) राजमाला")</f>
        <v>बी) राजमाला</v>
      </c>
    </row>
    <row r="286" ht="22.5" customHeight="1">
      <c r="A286" s="3">
        <v>285.0</v>
      </c>
      <c r="B286" s="4" t="s">
        <v>13766</v>
      </c>
      <c r="C286" s="4" t="s">
        <v>12793</v>
      </c>
      <c r="D286" s="4" t="s">
        <v>12794</v>
      </c>
      <c r="F286" s="5" t="str">
        <f>IFERROR(__xludf.DUMMYFUNCTION("GOOGLETRANSLATE(A286, ""en"", ""hi"")"),"285")</f>
        <v>285</v>
      </c>
      <c r="G286" s="5" t="str">
        <f>IFERROR(__xludf.DUMMYFUNCTION("GOOGLETRANSLATE(B286, ""en"", ""hi"")"),"किस मणिपुरी त्यौहार के उत्सव के हिस्से के रूप में मुकना कुश्ती पारंपरिक रूप से प्रदर्शित की जाती है?")</f>
        <v>किस मणिपुरी त्यौहार के उत्सव के हिस्से के रूप में मुकना कुश्ती पारंपरिक रूप से प्रदर्शित की जाती है?</v>
      </c>
      <c r="H286" s="5" t="str">
        <f>IFERROR(__xludf.DUMMYFUNCTION("GOOGLETRANSLATE(C286, ""en"", ""hi"")"),"ए) याओशांग, बी) लाई हराओबा, सी) निंगोल चाकोउबा, डी) चेइराओबा")</f>
        <v>ए) याओशांग, बी) लाई हराओबा, सी) निंगोल चाकोउबा, डी) चेइराओबा</v>
      </c>
      <c r="I286" s="5" t="str">
        <f>IFERROR(__xludf.DUMMYFUNCTION("GOOGLETRANSLATE(D286, ""en"", ""hi"")"),"बी) लाई हरोबा")</f>
        <v>बी) लाई हरोबा</v>
      </c>
    </row>
    <row r="287" ht="22.5" customHeight="1">
      <c r="A287" s="3">
        <v>286.0</v>
      </c>
      <c r="B287" s="4" t="s">
        <v>13767</v>
      </c>
      <c r="C287" s="4" t="s">
        <v>13768</v>
      </c>
      <c r="D287" s="4" t="s">
        <v>13769</v>
      </c>
      <c r="F287" s="5" t="str">
        <f>IFERROR(__xludf.DUMMYFUNCTION("GOOGLETRANSLATE(A287, ""en"", ""hi"")"),"286")</f>
        <v>286</v>
      </c>
      <c r="G287" s="5" t="str">
        <f>IFERROR(__xludf.DUMMYFUNCTION("GOOGLETRANSLATE(B287, ""en"", ""hi"")"),"ऐतिहासिक मणिपुर में मुकना कुश्ती का प्राथमिक स्थल निम्नलिखित में से कौन सा था?")</f>
        <v>ऐतिहासिक मणिपुर में मुकना कुश्ती का प्राथमिक स्थल निम्नलिखित में से कौन सा था?</v>
      </c>
      <c r="H287" s="5" t="str">
        <f>IFERROR(__xludf.DUMMYFUNCTION("GOOGLETRANSLATE(C287, ""en"", ""hi"")"),"A) शाही महल, B) गाँव के चौराहे, C) मंदिर प्रांगण, D) बाज़ार")</f>
        <v>A) शाही महल, B) गाँव के चौराहे, C) मंदिर प्रांगण, D) बाज़ार</v>
      </c>
      <c r="I287" s="5" t="str">
        <f>IFERROR(__xludf.DUMMYFUNCTION("GOOGLETRANSLATE(D287, ""en"", ""hi"")"),"बी) गाँव के चौराहे")</f>
        <v>बी) गाँव के चौराहे</v>
      </c>
    </row>
    <row r="288" ht="22.5" customHeight="1">
      <c r="A288" s="3">
        <v>287.0</v>
      </c>
      <c r="B288" s="4" t="s">
        <v>13770</v>
      </c>
      <c r="C288" s="4" t="s">
        <v>13771</v>
      </c>
      <c r="D288" s="4" t="s">
        <v>13772</v>
      </c>
      <c r="F288" s="5" t="str">
        <f>IFERROR(__xludf.DUMMYFUNCTION("GOOGLETRANSLATE(A288, ""en"", ""hi"")"),"287")</f>
        <v>287</v>
      </c>
      <c r="G288" s="5" t="str">
        <f>IFERROR(__xludf.DUMMYFUNCTION("GOOGLETRANSLATE(B288, ""en"", ""hi"")"),"निष्पक्ष प्रतिस्पर्धा सुनिश्चित करने के लिए पारंपरिक मुकना कुश्ती प्रथा क्या थी?")</f>
        <v>निष्पक्ष प्रतिस्पर्धा सुनिश्चित करने के लिए पारंपरिक मुकना कुश्ती प्रथा क्या थी?</v>
      </c>
      <c r="H288" s="5" t="str">
        <f>IFERROR(__xludf.DUMMYFUNCTION("GOOGLETRANSLATE(C288, ""en"", ""hi"")"),"ए) विशिष्ट कुश्ती मैट का उपयोग, बी) अनुष्ठान शुद्धि, सी) अनिवार्य प्रशिक्षण अवधि, डी) अनुसूचित प्रतियोगिताएं")</f>
        <v>ए) विशिष्ट कुश्ती मैट का उपयोग, बी) अनुष्ठान शुद्धि, सी) अनिवार्य प्रशिक्षण अवधि, डी) अनुसूचित प्रतियोगिताएं</v>
      </c>
      <c r="I288" s="5" t="str">
        <f>IFERROR(__xludf.DUMMYFUNCTION("GOOGLETRANSLATE(D288, ""en"", ""hi"")"),"बी) अनुष्ठान शुद्धि")</f>
        <v>बी) अनुष्ठान शुद्धि</v>
      </c>
    </row>
    <row r="289" ht="22.5" customHeight="1">
      <c r="A289" s="3">
        <v>288.0</v>
      </c>
      <c r="B289" s="4" t="s">
        <v>13773</v>
      </c>
      <c r="C289" s="4" t="s">
        <v>13458</v>
      </c>
      <c r="D289" s="4" t="s">
        <v>13331</v>
      </c>
      <c r="F289" s="5" t="str">
        <f>IFERROR(__xludf.DUMMYFUNCTION("GOOGLETRANSLATE(A289, ""en"", ""hi"")"),"288")</f>
        <v>288</v>
      </c>
      <c r="G289" s="5" t="str">
        <f>IFERROR(__xludf.DUMMYFUNCTION("GOOGLETRANSLATE(B289, ""en"", ""hi"")"),"कौन सा मणिपुरी राजा मुकना कुश्ती को सांस्कृतिक विरासत के रूप में बढ़ावा देने से जुड़ा है?")</f>
        <v>कौन सा मणिपुरी राजा मुकना कुश्ती को सांस्कृतिक विरासत के रूप में बढ़ावा देने से जुड़ा है?</v>
      </c>
      <c r="H289" s="5" t="str">
        <f>IFERROR(__xludf.DUMMYFUNCTION("GOOGLETRANSLATE(C289, ""en"", ""hi"")"),"ए) महाराजा चूड़ाचंद सिंह, बी) महाराजा भाग्यचंद्र सिंह, सी) महाराजा गंभीर सिंह, डी) महाराजा बोधचंद्र सिंह")</f>
        <v>ए) महाराजा चूड़ाचंद सिंह, बी) महाराजा भाग्यचंद्र सिंह, सी) महाराजा गंभीर सिंह, डी) महाराजा बोधचंद्र सिंह</v>
      </c>
      <c r="I289" s="5" t="str">
        <f>IFERROR(__xludf.DUMMYFUNCTION("GOOGLETRANSLATE(D289, ""en"", ""hi"")"),"A) महाराजा चूड़ाचंद सिंह")</f>
        <v>A) महाराजा चूड़ाचंद सिंह</v>
      </c>
    </row>
    <row r="290" ht="22.5" customHeight="1">
      <c r="A290" s="3">
        <v>289.0</v>
      </c>
      <c r="B290" s="4" t="s">
        <v>13774</v>
      </c>
      <c r="C290" s="4" t="s">
        <v>13775</v>
      </c>
      <c r="D290" s="4" t="s">
        <v>13776</v>
      </c>
      <c r="F290" s="5" t="str">
        <f>IFERROR(__xludf.DUMMYFUNCTION("GOOGLETRANSLATE(A290, ""en"", ""hi"")"),"289")</f>
        <v>289</v>
      </c>
      <c r="G290" s="5" t="str">
        <f>IFERROR(__xludf.DUMMYFUNCTION("GOOGLETRANSLATE(B290, ""en"", ""hi"")"),"मुकना कुश्ती पोशाक बनाने के लिए पारंपरिक रूप से किस सामग्री का उपयोग किया जाता था?")</f>
        <v>मुकना कुश्ती पोशाक बनाने के लिए पारंपरिक रूप से किस सामग्री का उपयोग किया जाता था?</v>
      </c>
      <c r="H290" s="5" t="str">
        <f>IFERROR(__xludf.DUMMYFUNCTION("GOOGLETRANSLATE(C290, ""en"", ""hi"")"),"A) रेशम, B) कपास, C) जूट, D) ऊन")</f>
        <v>A) रेशम, B) कपास, C) जूट, D) ऊन</v>
      </c>
      <c r="I290" s="5" t="str">
        <f>IFERROR(__xludf.DUMMYFUNCTION("GOOGLETRANSLATE(D290, ""en"", ""hi"")"),"बी) कपास")</f>
        <v>बी) कपास</v>
      </c>
    </row>
    <row r="291" ht="22.5" customHeight="1">
      <c r="A291" s="3">
        <v>290.0</v>
      </c>
      <c r="B291" s="4" t="s">
        <v>13777</v>
      </c>
      <c r="C291" s="4" t="s">
        <v>13778</v>
      </c>
      <c r="D291" s="4" t="s">
        <v>13779</v>
      </c>
      <c r="F291" s="5" t="str">
        <f>IFERROR(__xludf.DUMMYFUNCTION("GOOGLETRANSLATE(A291, ""en"", ""hi"")"),"290")</f>
        <v>290</v>
      </c>
      <c r="G291" s="5" t="str">
        <f>IFERROR(__xludf.DUMMYFUNCTION("GOOGLETRANSLATE(B291, ""en"", ""hi"")"),"किस ऐतिहासिक घटना के कारण मुकना कुश्ती प्रथाओं में महत्वपूर्ण गिरावट आई?")</f>
        <v>किस ऐतिहासिक घटना के कारण मुकना कुश्ती प्रथाओं में महत्वपूर्ण गिरावट आई?</v>
      </c>
      <c r="H291" s="5" t="str">
        <f>IFERROR(__xludf.DUMMYFUNCTION("GOOGLETRANSLATE(C291, ""en"", ""hi"")"),"A) एंग्लो-मणिपुरी युद्ध, B) ब्रिटिश औपनिवेशिक शासन, C) जापानी आक्रमण, D) भारतीय स्वतंत्रता")</f>
        <v>A) एंग्लो-मणिपुरी युद्ध, B) ब्रिटिश औपनिवेशिक शासन, C) जापानी आक्रमण, D) भारतीय स्वतंत्रता</v>
      </c>
      <c r="I291" s="5" t="str">
        <f>IFERROR(__xludf.DUMMYFUNCTION("GOOGLETRANSLATE(D291, ""en"", ""hi"")"),"बी) ब्रिटिश औपनिवेशिक शासन")</f>
        <v>बी) ब्रिटिश औपनिवेशिक शासन</v>
      </c>
    </row>
    <row r="292" ht="22.5" customHeight="1">
      <c r="A292" s="3">
        <v>291.0</v>
      </c>
      <c r="B292" s="4" t="s">
        <v>13780</v>
      </c>
      <c r="C292" s="4" t="s">
        <v>13704</v>
      </c>
      <c r="D292" s="4" t="s">
        <v>13474</v>
      </c>
      <c r="F292" s="5" t="str">
        <f>IFERROR(__xludf.DUMMYFUNCTION("GOOGLETRANSLATE(A292, ""en"", ""hi"")"),"291")</f>
        <v>291</v>
      </c>
      <c r="G292" s="5" t="str">
        <f>IFERROR(__xludf.DUMMYFUNCTION("GOOGLETRANSLATE(B292, ""en"", ""hi"")"),"कौन सा मणिपुरी ग्रंथ मुकना कुश्ती के इतिहास और नियमों के लिए एक महत्वपूर्ण स्रोत है?")</f>
        <v>कौन सा मणिपुरी ग्रंथ मुकना कुश्ती के इतिहास और नियमों के लिए एक महत्वपूर्ण स्रोत है?</v>
      </c>
      <c r="H292" s="5" t="str">
        <f>IFERROR(__xludf.DUMMYFUNCTION("GOOGLETRANSLATE(C292, ""en"", ""hi"")"),"ए) बुरांजी, बी) राजमाला, सी) मणिपुरी वेद, डी) मनुस्मृति")</f>
        <v>ए) बुरांजी, बी) राजमाला, सी) मणिपुरी वेद, डी) मनुस्मृति</v>
      </c>
      <c r="I292" s="5" t="str">
        <f>IFERROR(__xludf.DUMMYFUNCTION("GOOGLETRANSLATE(D292, ""en"", ""hi"")"),"ए) बुरांजी")</f>
        <v>ए) बुरांजी</v>
      </c>
    </row>
    <row r="293" ht="22.5" customHeight="1">
      <c r="A293" s="3">
        <v>292.0</v>
      </c>
      <c r="B293" s="4" t="s">
        <v>13639</v>
      </c>
      <c r="C293" s="4" t="s">
        <v>13781</v>
      </c>
      <c r="D293" s="4" t="s">
        <v>3512</v>
      </c>
      <c r="F293" s="5" t="str">
        <f>IFERROR(__xludf.DUMMYFUNCTION("GOOGLETRANSLATE(A293, ""en"", ""hi"")"),"292")</f>
        <v>292</v>
      </c>
      <c r="G293" s="5" t="str">
        <f>IFERROR(__xludf.DUMMYFUNCTION("GOOGLETRANSLATE(B293, ""en"", ""hi"")"),"मुकना कुश्ती पारंपरिक रूप से किस प्रकार के मणिपुरी आयोजन के दौरान की जाती थी?")</f>
        <v>मुकना कुश्ती पारंपरिक रूप से किस प्रकार के मणिपुरी आयोजन के दौरान की जाती थी?</v>
      </c>
      <c r="H293" s="5" t="str">
        <f>IFERROR(__xludf.DUMMYFUNCTION("GOOGLETRANSLATE(C293, ""en"", ""hi"")"),"A) धार्मिक त्यौहार, B) राजनीतिक सभाएँ, C) सामाजिक समारोह, D) आर्थिक मेले")</f>
        <v>A) धार्मिक त्यौहार, B) राजनीतिक सभाएँ, C) सामाजिक समारोह, D) आर्थिक मेले</v>
      </c>
      <c r="I293" s="5" t="str">
        <f>IFERROR(__xludf.DUMMYFUNCTION("GOOGLETRANSLATE(D293, ""en"", ""hi"")"),"A) धार्मिक त्यौहार")</f>
        <v>A) धार्मिक त्यौहार</v>
      </c>
    </row>
    <row r="294" ht="22.5" customHeight="1">
      <c r="A294" s="3">
        <v>293.0</v>
      </c>
      <c r="B294" s="4" t="s">
        <v>13782</v>
      </c>
      <c r="C294" s="4" t="s">
        <v>13783</v>
      </c>
      <c r="D294" s="4" t="s">
        <v>13784</v>
      </c>
      <c r="F294" s="5" t="str">
        <f>IFERROR(__xludf.DUMMYFUNCTION("GOOGLETRANSLATE(A294, ""en"", ""hi"")"),"293")</f>
        <v>293</v>
      </c>
      <c r="G294" s="5" t="str">
        <f>IFERROR(__xludf.DUMMYFUNCTION("GOOGLETRANSLATE(B294, ""en"", ""hi"")"),"ऐतिहासिक रूप से मणिपुरी युवाओं की शिक्षा में मुकना कुश्ती की क्या भूमिका थी?")</f>
        <v>ऐतिहासिक रूप से मणिपुरी युवाओं की शिक्षा में मुकना कुश्ती की क्या भूमिका थी?</v>
      </c>
      <c r="H294" s="5" t="str">
        <f>IFERROR(__xludf.DUMMYFUNCTION("GOOGLETRANSLATE(C294, ""en"", ""hi"")"),"A) शारीरिक प्रशिक्षण, B) नैतिक शिक्षा, C) सैन्य तैयारी, D) कलात्मक विकास")</f>
        <v>A) शारीरिक प्रशिक्षण, B) नैतिक शिक्षा, C) सैन्य तैयारी, D) कलात्मक विकास</v>
      </c>
      <c r="I294" s="5" t="str">
        <f>IFERROR(__xludf.DUMMYFUNCTION("GOOGLETRANSLATE(D294, ""en"", ""hi"")"),"C) सैन्य तैयारी")</f>
        <v>C) सैन्य तैयारी</v>
      </c>
    </row>
    <row r="295" ht="22.5" customHeight="1">
      <c r="A295" s="3">
        <v>294.0</v>
      </c>
      <c r="B295" s="4" t="s">
        <v>13785</v>
      </c>
      <c r="C295" s="4" t="s">
        <v>13786</v>
      </c>
      <c r="D295" s="4" t="s">
        <v>13787</v>
      </c>
      <c r="F295" s="5" t="str">
        <f>IFERROR(__xludf.DUMMYFUNCTION("GOOGLETRANSLATE(A295, ""en"", ""hi"")"),"294")</f>
        <v>294</v>
      </c>
      <c r="G295" s="5" t="str">
        <f>IFERROR(__xludf.DUMMYFUNCTION("GOOGLETRANSLATE(B295, ""en"", ""hi"")"),"सांस्कृतिक परिवर्तन के समय मुकना कुश्ती प्रथाओं को संरक्षित करने का श्रेय किस शाही व्यक्ति को दिया जाता है?")</f>
        <v>सांस्कृतिक परिवर्तन के समय मुकना कुश्ती प्रथाओं को संरक्षित करने का श्रेय किस शाही व्यक्ति को दिया जाता है?</v>
      </c>
      <c r="H295" s="5" t="str">
        <f>IFERROR(__xludf.DUMMYFUNCTION("GOOGLETRANSLATE(C295, ""en"", ""hi"")"),"ए) महाराजा गंभीर सिंह, बी) महाराजा भाग्यचंद्र सिंह, सी) महाराजा चुराचंद सिंह, डी) महाराजा बोधचंद्र सिंह")</f>
        <v>ए) महाराजा गंभीर सिंह, बी) महाराजा भाग्यचंद्र सिंह, सी) महाराजा चुराचंद सिंह, डी) महाराजा बोधचंद्र सिंह</v>
      </c>
      <c r="I295" s="5" t="str">
        <f>IFERROR(__xludf.DUMMYFUNCTION("GOOGLETRANSLATE(D295, ""en"", ""hi"")"),"B)महाराजा भाग्यचंद्र सिंह")</f>
        <v>B)महाराजा भाग्यचंद्र सिंह</v>
      </c>
    </row>
    <row r="296" ht="22.5" customHeight="1">
      <c r="A296" s="3">
        <v>295.0</v>
      </c>
      <c r="B296" s="4" t="s">
        <v>13788</v>
      </c>
      <c r="C296" s="4" t="s">
        <v>13789</v>
      </c>
      <c r="D296" s="4" t="s">
        <v>13790</v>
      </c>
      <c r="F296" s="5" t="str">
        <f>IFERROR(__xludf.DUMMYFUNCTION("GOOGLETRANSLATE(A296, ""en"", ""hi"")"),"295")</f>
        <v>295</v>
      </c>
      <c r="G296" s="5" t="str">
        <f>IFERROR(__xludf.DUMMYFUNCTION("GOOGLETRANSLATE(B296, ""en"", ""hi"")"),"ऐतिहासिक मणिपुर में मुकना कुश्ती मैचों का सामान्य उद्देश्य क्या था?")</f>
        <v>ऐतिहासिक मणिपुर में मुकना कुश्ती मैचों का सामान्य उद्देश्य क्या था?</v>
      </c>
      <c r="H296" s="5" t="str">
        <f>IFERROR(__xludf.DUMMYFUNCTION("GOOGLETRANSLATE(C296, ""en"", ""hi"")"),"A) मनोरंजन, B) अनुष्ठान प्रसाद, C) युद्ध के लिए प्रशिक्षण, D) सामाजिक बंधन")</f>
        <v>A) मनोरंजन, B) अनुष्ठान प्रसाद, C) युद्ध के लिए प्रशिक्षण, D) सामाजिक बंधन</v>
      </c>
      <c r="I296" s="5" t="str">
        <f>IFERROR(__xludf.DUMMYFUNCTION("GOOGLETRANSLATE(D296, ""en"", ""hi"")"),"C) युद्ध के लिए प्रशिक्षण")</f>
        <v>C) युद्ध के लिए प्रशिक्षण</v>
      </c>
    </row>
    <row r="297" ht="22.5" customHeight="1">
      <c r="A297" s="3">
        <v>296.0</v>
      </c>
      <c r="B297" s="4" t="s">
        <v>13791</v>
      </c>
      <c r="C297" s="4" t="s">
        <v>13792</v>
      </c>
      <c r="D297" s="4" t="s">
        <v>13793</v>
      </c>
      <c r="F297" s="5" t="str">
        <f>IFERROR(__xludf.DUMMYFUNCTION("GOOGLETRANSLATE(A297, ""en"", ""hi"")"),"296")</f>
        <v>296</v>
      </c>
      <c r="G297" s="5" t="str">
        <f>IFERROR(__xludf.DUMMYFUNCTION("GOOGLETRANSLATE(B297, ""en"", ""hi"")"),"पारंपरिक मणिपुरी लोककथाओं में मुकना कुश्ती के किस पहलू पर प्रकाश डाला गया है?")</f>
        <v>पारंपरिक मणिपुरी लोककथाओं में मुकना कुश्ती के किस पहलू पर प्रकाश डाला गया है?</v>
      </c>
      <c r="H297" s="5" t="str">
        <f>IFERROR(__xludf.DUMMYFUNCTION("GOOGLETRANSLATE(C297, ""en"", ""hi"")"),"A) आध्यात्मिक महत्व, B) प्रतिस्पर्धी प्रकृति, C) ऐतिहासिक नायक, D) शारीरिक तकनीक")</f>
        <v>A) आध्यात्मिक महत्व, B) प्रतिस्पर्धी प्रकृति, C) ऐतिहासिक नायक, D) शारीरिक तकनीक</v>
      </c>
      <c r="I297" s="5" t="str">
        <f>IFERROR(__xludf.DUMMYFUNCTION("GOOGLETRANSLATE(D297, ""en"", ""hi"")"),"A) आध्यात्मिक महत्व")</f>
        <v>A) आध्यात्मिक महत्व</v>
      </c>
    </row>
    <row r="298" ht="22.5" customHeight="1">
      <c r="A298" s="3">
        <v>297.0</v>
      </c>
      <c r="B298" s="4" t="s">
        <v>13794</v>
      </c>
      <c r="C298" s="4" t="s">
        <v>13704</v>
      </c>
      <c r="D298" s="4" t="s">
        <v>13765</v>
      </c>
      <c r="F298" s="5" t="str">
        <f>IFERROR(__xludf.DUMMYFUNCTION("GOOGLETRANSLATE(A298, ""en"", ""hi"")"),"297")</f>
        <v>297</v>
      </c>
      <c r="G298" s="5" t="str">
        <f>IFERROR(__xludf.DUMMYFUNCTION("GOOGLETRANSLATE(B298, ""en"", ""hi"")"),"कौन सा मणिपुरी ग्रंथ मुकना कुश्ती अनुष्ठानों पर विस्तृत जानकारी प्रदान करता है?")</f>
        <v>कौन सा मणिपुरी ग्रंथ मुकना कुश्ती अनुष्ठानों पर विस्तृत जानकारी प्रदान करता है?</v>
      </c>
      <c r="H298" s="5" t="str">
        <f>IFERROR(__xludf.DUMMYFUNCTION("GOOGLETRANSLATE(C298, ""en"", ""hi"")"),"ए) बुरांजी, बी) राजमाला, सी) मणिपुरी वेद, डी) मनुस्मृति")</f>
        <v>ए) बुरांजी, बी) राजमाला, सी) मणिपुरी वेद, डी) मनुस्मृति</v>
      </c>
      <c r="I298" s="5" t="str">
        <f>IFERROR(__xludf.DUMMYFUNCTION("GOOGLETRANSLATE(D298, ""en"", ""hi"")"),"बी) राजमाला")</f>
        <v>बी) राजमाला</v>
      </c>
    </row>
    <row r="299" ht="22.5" customHeight="1">
      <c r="A299" s="3">
        <v>298.0</v>
      </c>
      <c r="B299" s="4" t="s">
        <v>13795</v>
      </c>
      <c r="C299" s="4" t="s">
        <v>13796</v>
      </c>
      <c r="D299" s="4" t="s">
        <v>13797</v>
      </c>
      <c r="F299" s="5" t="str">
        <f>IFERROR(__xludf.DUMMYFUNCTION("GOOGLETRANSLATE(A299, ""en"", ""hi"")"),"298")</f>
        <v>298</v>
      </c>
      <c r="G299" s="5" t="str">
        <f>IFERROR(__xludf.DUMMYFUNCTION("GOOGLETRANSLATE(B299, ""en"", ""hi"")"),"पारंपरिक मुकना कुश्ती पोशाक की विशिष्ट विशेषता क्या थी?")</f>
        <v>पारंपरिक मुकना कुश्ती पोशाक की विशिष्ट विशेषता क्या थी?</v>
      </c>
      <c r="H299" s="5" t="str">
        <f>IFERROR(__xludf.DUMMYFUNCTION("GOOGLETRANSLATE(C299, ""en"", ""hi"")"),"A) ढीली फिटिंग, B) भारी गद्दी, C) चमकीले रंग, D) अलंकृत सजावट")</f>
        <v>A) ढीली फिटिंग, B) भारी गद्दी, C) चमकीले रंग, D) अलंकृत सजावट</v>
      </c>
      <c r="I299" s="5" t="str">
        <f>IFERROR(__xludf.DUMMYFUNCTION("GOOGLETRANSLATE(D299, ""en"", ""hi"")"),"A) ढीली फिटिंग")</f>
        <v>A) ढीली फिटिंग</v>
      </c>
    </row>
    <row r="300" ht="22.5" customHeight="1">
      <c r="A300" s="3">
        <v>299.0</v>
      </c>
      <c r="B300" s="4" t="s">
        <v>13798</v>
      </c>
      <c r="C300" s="4" t="s">
        <v>13602</v>
      </c>
      <c r="D300" s="4" t="s">
        <v>13603</v>
      </c>
      <c r="F300" s="5" t="str">
        <f>IFERROR(__xludf.DUMMYFUNCTION("GOOGLETRANSLATE(A300, ""en"", ""hi"")"),"299")</f>
        <v>299</v>
      </c>
      <c r="G300" s="5" t="str">
        <f>IFERROR(__xludf.DUMMYFUNCTION("GOOGLETRANSLATE(B300, ""en"", ""hi"")"),"किस ऐतिहासिक काल में मुकना कुश्ती का पारंपरिक खेल के रूप में पुनरुत्थान हुआ?")</f>
        <v>किस ऐतिहासिक काल में मुकना कुश्ती का पारंपरिक खेल के रूप में पुनरुत्थान हुआ?</v>
      </c>
      <c r="H300" s="5" t="str">
        <f>IFERROR(__xludf.DUMMYFUNCTION("GOOGLETRANSLATE(C300, ""en"", ""hi"")"),"A) 20वीं सदी का प्रारंभ, B) 19वीं सदी का उत्तरार्ध, C) 20वीं सदी का मध्य, D) 21वीं सदी")</f>
        <v>A) 20वीं सदी का प्रारंभ, B) 19वीं सदी का उत्तरार्ध, C) 20वीं सदी का मध्य, D) 21वीं सदी</v>
      </c>
      <c r="I300" s="5" t="str">
        <f>IFERROR(__xludf.DUMMYFUNCTION("GOOGLETRANSLATE(D300, ""en"", ""hi"")"),"A) 20वीं सदी की शुरुआत")</f>
        <v>A) 20वीं सदी की शुरुआत</v>
      </c>
    </row>
    <row r="301" ht="22.5" customHeight="1">
      <c r="A301" s="3">
        <v>300.0</v>
      </c>
      <c r="B301" s="4" t="s">
        <v>13799</v>
      </c>
      <c r="C301" s="4" t="s">
        <v>13687</v>
      </c>
      <c r="D301" s="4" t="s">
        <v>13688</v>
      </c>
      <c r="F301" s="5" t="str">
        <f>IFERROR(__xludf.DUMMYFUNCTION("GOOGLETRANSLATE(A301, ""en"", ""hi"")"),"300")</f>
        <v>300</v>
      </c>
      <c r="G301" s="5" t="str">
        <f>IFERROR(__xludf.DUMMYFUNCTION("GOOGLETRANSLATE(B301, ""en"", ""hi"")"),"कौन सा मणिपुरी राजा मुकना कुश्ती के लिए औपचारिक प्रशिक्षण केंद्र स्थापित करने के लिए जाना जाता है?")</f>
        <v>कौन सा मणिपुरी राजा मुकना कुश्ती के लिए औपचारिक प्रशिक्षण केंद्र स्थापित करने के लिए जाना जाता है?</v>
      </c>
      <c r="H301" s="5" t="str">
        <f>IFERROR(__xludf.DUMMYFUNCTION("GOOGLETRANSLATE(C301,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301" s="5" t="str">
        <f>IFERROR(__xludf.DUMMYFUNCTION("GOOGLETRANSLATE(D301, ""en"", ""hi"")"),"बी) महाराजा चूड़ाचंद सिंह")</f>
        <v>बी) महाराजा चूड़ाचंद सिंह</v>
      </c>
    </row>
    <row r="302" ht="22.5" customHeight="1">
      <c r="A302" s="3">
        <v>301.0</v>
      </c>
      <c r="B302" s="4" t="s">
        <v>13800</v>
      </c>
      <c r="C302" s="4" t="s">
        <v>13801</v>
      </c>
      <c r="D302" s="4" t="s">
        <v>13750</v>
      </c>
      <c r="F302" s="5" t="str">
        <f>IFERROR(__xludf.DUMMYFUNCTION("GOOGLETRANSLATE(A302, ""en"", ""hi"")"),"301")</f>
        <v>301</v>
      </c>
      <c r="G302" s="5" t="str">
        <f>IFERROR(__xludf.DUMMYFUNCTION("GOOGLETRANSLATE(B302, ""en"", ""hi"")"),"ऐतिहासिक मणिपुर में मुकना के लिए कुश्ती मैट बनाने के लिए किस पारंपरिक सामग्री का उपयोग किया जाता था?")</f>
        <v>ऐतिहासिक मणिपुर में मुकना के लिए कुश्ती मैट बनाने के लिए किस पारंपरिक सामग्री का उपयोग किया जाता था?</v>
      </c>
      <c r="H302" s="5" t="str">
        <f>IFERROR(__xludf.DUMMYFUNCTION("GOOGLETRANSLATE(C302, ""en"", ""hi"")"),"A) पुआल, B) जूट, C) कपास, D) बांस")</f>
        <v>A) पुआल, B) जूट, C) कपास, D) बांस</v>
      </c>
      <c r="I302" s="5" t="str">
        <f>IFERROR(__xludf.DUMMYFUNCTION("GOOGLETRANSLATE(D302, ""en"", ""hi"")"),"एक पुआल")</f>
        <v>एक पुआल</v>
      </c>
    </row>
    <row r="303" ht="22.5" customHeight="1">
      <c r="A303" s="3">
        <v>302.0</v>
      </c>
      <c r="B303" s="4" t="s">
        <v>13802</v>
      </c>
      <c r="C303" s="4" t="s">
        <v>13610</v>
      </c>
      <c r="D303" s="4" t="s">
        <v>13611</v>
      </c>
      <c r="F303" s="5" t="str">
        <f>IFERROR(__xludf.DUMMYFUNCTION("GOOGLETRANSLATE(A303, ""en"", ""hi"")"),"302")</f>
        <v>302</v>
      </c>
      <c r="G303" s="5" t="str">
        <f>IFERROR(__xludf.DUMMYFUNCTION("GOOGLETRANSLATE(B303, ""en"", ""hi"")"),"20वीं सदी के आरंभ में किस ऐतिहासिक व्यक्ति ने मुकना कुश्ती तकनीकों का दस्तावेजीकरण किया?")</f>
        <v>20वीं सदी के आरंभ में किस ऐतिहासिक व्यक्ति ने मुकना कुश्ती तकनीकों का दस्तावेजीकरण किया?</v>
      </c>
      <c r="H303" s="5" t="str">
        <f>IFERROR(__xludf.DUMMYFUNCTION("GOOGLETRANSLATE(C303, ""en"", ""hi"")"),"A) जी. ई. हार्वे, B) रॉबर्ट गॉर्डन, C) आर. एन. शर्मा, D) ए. बी. जॉर्ज")</f>
        <v>A) जी. ई. हार्वे, B) रॉबर्ट गॉर्डन, C) आर. एन. शर्मा, D) ए. बी. जॉर्ज</v>
      </c>
      <c r="I303" s="5" t="str">
        <f>IFERROR(__xludf.DUMMYFUNCTION("GOOGLETRANSLATE(D303, ""en"", ""hi"")"),"A) जी. ई. हार्वे")</f>
        <v>A) जी. ई. हार्वे</v>
      </c>
    </row>
    <row r="304" ht="22.5" customHeight="1">
      <c r="A304" s="3">
        <v>303.0</v>
      </c>
      <c r="B304" s="4" t="s">
        <v>13803</v>
      </c>
      <c r="C304" s="4" t="s">
        <v>13804</v>
      </c>
      <c r="D304" s="4" t="s">
        <v>13805</v>
      </c>
      <c r="F304" s="5" t="str">
        <f>IFERROR(__xludf.DUMMYFUNCTION("GOOGLETRANSLATE(A304, ""en"", ""hi"")"),"303")</f>
        <v>303</v>
      </c>
      <c r="G304" s="5" t="str">
        <f>IFERROR(__xludf.DUMMYFUNCTION("GOOGLETRANSLATE(B304, ""en"", ""hi"")"),"मुकना कुश्ती पारंपरिक रूप से किस मणिपुरी शाही गतिविधियों से जुड़ी थी?")</f>
        <v>मुकना कुश्ती पारंपरिक रूप से किस मणिपुरी शाही गतिविधियों से जुड़ी थी?</v>
      </c>
      <c r="H304" s="5" t="str">
        <f>IFERROR(__xludf.DUMMYFUNCTION("GOOGLETRANSLATE(C304, ""en"", ""hi"")"),"A) औपचारिक अनुष्ठान, B) प्रशासनिक बैठकें, C) सैन्य प्रशिक्षण, D) राजनयिक कार्यक्रम")</f>
        <v>A) औपचारिक अनुष्ठान, B) प्रशासनिक बैठकें, C) सैन्य प्रशिक्षण, D) राजनयिक कार्यक्रम</v>
      </c>
      <c r="I304" s="5" t="str">
        <f>IFERROR(__xludf.DUMMYFUNCTION("GOOGLETRANSLATE(D304, ""en"", ""hi"")"),"A) औपचारिक अनुष्ठान")</f>
        <v>A) औपचारिक अनुष्ठान</v>
      </c>
    </row>
    <row r="305" ht="22.5" customHeight="1">
      <c r="A305" s="3">
        <v>304.0</v>
      </c>
      <c r="B305" s="4" t="s">
        <v>13806</v>
      </c>
      <c r="C305" s="4" t="s">
        <v>13807</v>
      </c>
      <c r="D305" s="4" t="s">
        <v>13808</v>
      </c>
      <c r="F305" s="5" t="str">
        <f>IFERROR(__xludf.DUMMYFUNCTION("GOOGLETRANSLATE(A305, ""en"", ""hi"")"),"304")</f>
        <v>304</v>
      </c>
      <c r="G305" s="5" t="str">
        <f>IFERROR(__xludf.DUMMYFUNCTION("GOOGLETRANSLATE(B305, ""en"", ""hi"")"),"औपनिवेशिक काल में मुकना कुश्ती के अभ्यासकर्ताओं के सामने कौन सी महत्वपूर्ण चुनौती थी?")</f>
        <v>औपनिवेशिक काल में मुकना कुश्ती के अभ्यासकर्ताओं के सामने कौन सी महत्वपूर्ण चुनौती थी?</v>
      </c>
      <c r="H305" s="5" t="str">
        <f>IFERROR(__xludf.DUMMYFUNCTION("GOOGLETRANSLATE(C305, ""en"", ""hi"")"),"A) पारंपरिक प्रथाओं का दमन, B) नए खेलों का परिचय, C) आर्थिक कठिनाइयाँ, D) सांस्कृतिक बदलाव")</f>
        <v>A) पारंपरिक प्रथाओं का दमन, B) नए खेलों का परिचय, C) आर्थिक कठिनाइयाँ, D) सांस्कृतिक बदलाव</v>
      </c>
      <c r="I305" s="5" t="str">
        <f>IFERROR(__xludf.DUMMYFUNCTION("GOOGLETRANSLATE(D305, ""en"", ""hi"")"),"A) पारंपरिक प्रथाओं का दमन")</f>
        <v>A) पारंपरिक प्रथाओं का दमन</v>
      </c>
    </row>
    <row r="306" ht="22.5" customHeight="1">
      <c r="A306" s="3">
        <v>305.0</v>
      </c>
      <c r="B306" s="4" t="s">
        <v>13809</v>
      </c>
      <c r="C306" s="4" t="s">
        <v>13810</v>
      </c>
      <c r="D306" s="4" t="s">
        <v>12794</v>
      </c>
      <c r="F306" s="5" t="str">
        <f>IFERROR(__xludf.DUMMYFUNCTION("GOOGLETRANSLATE(A306, ""en"", ""hi"")"),"305")</f>
        <v>305</v>
      </c>
      <c r="G306" s="5" t="str">
        <f>IFERROR(__xludf.DUMMYFUNCTION("GOOGLETRANSLATE(B306, ""en"", ""hi"")"),"ऐतिहासिक रूप से मुकना कुश्ती में सबसे अधिक भागीदारी किस उत्सव में देखी गई?")</f>
        <v>ऐतिहासिक रूप से मुकना कुश्ती में सबसे अधिक भागीदारी किस उत्सव में देखी गई?</v>
      </c>
      <c r="H306" s="5" t="str">
        <f>IFERROR(__xludf.DUMMYFUNCTION("GOOGLETRANSLATE(C306, ""en"", ""hi"")"),"ए) याओशांग, बी) लाई हराओबा, सी) चेइराओबा, डी) निंगोल चाकोउबा")</f>
        <v>ए) याओशांग, बी) लाई हराओबा, सी) चेइराओबा, डी) निंगोल चाकोउबा</v>
      </c>
      <c r="I306" s="5" t="str">
        <f>IFERROR(__xludf.DUMMYFUNCTION("GOOGLETRANSLATE(D306, ""en"", ""hi"")"),"बी) लाई हरोबा")</f>
        <v>बी) लाई हरोबा</v>
      </c>
    </row>
    <row r="307" ht="22.5" customHeight="1">
      <c r="A307" s="3">
        <v>306.0</v>
      </c>
      <c r="B307" s="4" t="s">
        <v>13811</v>
      </c>
      <c r="C307" s="4" t="s">
        <v>13812</v>
      </c>
      <c r="D307" s="4" t="s">
        <v>13813</v>
      </c>
      <c r="F307" s="5" t="str">
        <f>IFERROR(__xludf.DUMMYFUNCTION("GOOGLETRANSLATE(A307, ""en"", ""hi"")"),"306")</f>
        <v>306</v>
      </c>
      <c r="G307" s="5" t="str">
        <f>IFERROR(__xludf.DUMMYFUNCTION("GOOGLETRANSLATE(B307, ""en"", ""hi"")"),"मणिपुरी समाज में मुकना कुश्ती का पारंपरिक उद्देश्य क्या था?")</f>
        <v>मणिपुरी समाज में मुकना कुश्ती का पारंपरिक उद्देश्य क्या था?</v>
      </c>
      <c r="H307" s="5" t="str">
        <f>IFERROR(__xludf.DUMMYFUNCTION("GOOGLETRANSLATE(C307, ""en"", ""hi"")"),"A) सामाजिक मनोरंजन, B) धार्मिक समारोह, C) युद्ध के लिए प्रशिक्षण, D) राजनीतिक प्रदर्शन")</f>
        <v>A) सामाजिक मनोरंजन, B) धार्मिक समारोह, C) युद्ध के लिए प्रशिक्षण, D) राजनीतिक प्रदर्शन</v>
      </c>
      <c r="I307" s="5" t="str">
        <f>IFERROR(__xludf.DUMMYFUNCTION("GOOGLETRANSLATE(D307, ""en"", ""hi"")"),"C) युद्ध के लिए प्रशिक्षण")</f>
        <v>C) युद्ध के लिए प्रशिक्षण</v>
      </c>
    </row>
    <row r="308" ht="22.5" customHeight="1">
      <c r="A308" s="3">
        <v>307.0</v>
      </c>
      <c r="B308" s="4" t="s">
        <v>13814</v>
      </c>
      <c r="C308" s="4" t="s">
        <v>13815</v>
      </c>
      <c r="D308" s="4" t="s">
        <v>8775</v>
      </c>
      <c r="F308" s="5" t="str">
        <f>IFERROR(__xludf.DUMMYFUNCTION("GOOGLETRANSLATE(A308, ""en"", ""hi"")"),"307")</f>
        <v>307</v>
      </c>
      <c r="G308" s="5" t="str">
        <f>IFERROR(__xludf.DUMMYFUNCTION("GOOGLETRANSLATE(B308, ""en"", ""hi"")"),"ऐतिहासिक प्रशिक्षण सत्रों में मुकना कुश्ती के किस पहलू पर जोर दिया गया था?")</f>
        <v>ऐतिहासिक प्रशिक्षण सत्रों में मुकना कुश्ती के किस पहलू पर जोर दिया गया था?</v>
      </c>
      <c r="H308" s="5" t="str">
        <f>IFERROR(__xludf.DUMMYFUNCTION("GOOGLETRANSLATE(C308, ""en"", ""hi"")"),"A) शक्ति और चपलता, B) अनुष्ठान ज्ञान, C) युद्ध तकनीक, D) शारीरिक सहनशक्ति")</f>
        <v>A) शक्ति और चपलता, B) अनुष्ठान ज्ञान, C) युद्ध तकनीक, D) शारीरिक सहनशक्ति</v>
      </c>
      <c r="I308" s="5" t="str">
        <f>IFERROR(__xludf.DUMMYFUNCTION("GOOGLETRANSLATE(D308, ""en"", ""hi"")"),"C) युद्ध तकनीकें")</f>
        <v>C) युद्ध तकनीकें</v>
      </c>
    </row>
    <row r="309" ht="22.5" customHeight="1">
      <c r="A309" s="3">
        <v>308.0</v>
      </c>
      <c r="B309" s="4" t="s">
        <v>13816</v>
      </c>
      <c r="C309" s="4" t="s">
        <v>13649</v>
      </c>
      <c r="D309" s="4" t="s">
        <v>13572</v>
      </c>
      <c r="F309" s="5" t="str">
        <f>IFERROR(__xludf.DUMMYFUNCTION("GOOGLETRANSLATE(A309, ""en"", ""hi"")"),"308")</f>
        <v>308</v>
      </c>
      <c r="G309" s="5" t="str">
        <f>IFERROR(__xludf.DUMMYFUNCTION("GOOGLETRANSLATE(B309, ""en"", ""hi"")"),"कौन सा ऐतिहासिक दस्तावेज मणिपुर में मुकना कुश्ती प्रथाओं का व्यापक दृष्टिकोण प्रदान करता है?")</f>
        <v>कौन सा ऐतिहासिक दस्तावेज मणिपुर में मुकना कुश्ती प्रथाओं का व्यापक दृष्टिकोण प्रदान करता है?</v>
      </c>
      <c r="H309" s="5" t="str">
        <f>IFERROR(__xludf.DUMMYFUNCTION("GOOGLETRANSLATE(C309, ""en"", ""hi"")"),"ए) राजमाला, बी) बुरांजी, सी) मणिपुरी वेद, डी) मनुस्मृति")</f>
        <v>ए) राजमाला, बी) बुरांजी, सी) मणिपुरी वेद, डी) मनुस्मृति</v>
      </c>
      <c r="I309" s="5" t="str">
        <f>IFERROR(__xludf.DUMMYFUNCTION("GOOGLETRANSLATE(D309, ""en"", ""hi"")"),"बी) बुरांजी")</f>
        <v>बी) बुरांजी</v>
      </c>
    </row>
    <row r="310" ht="22.5" customHeight="1">
      <c r="A310" s="3">
        <v>309.0</v>
      </c>
      <c r="B310" s="4" t="s">
        <v>13817</v>
      </c>
      <c r="C310" s="4" t="s">
        <v>13818</v>
      </c>
      <c r="D310" s="4" t="s">
        <v>13819</v>
      </c>
      <c r="F310" s="5" t="str">
        <f>IFERROR(__xludf.DUMMYFUNCTION("GOOGLETRANSLATE(A310, ""en"", ""hi"")"),"309")</f>
        <v>309</v>
      </c>
      <c r="G310" s="5" t="str">
        <f>IFERROR(__xludf.DUMMYFUNCTION("GOOGLETRANSLATE(B310, ""en"", ""hi"")"),"अतीत में आयोजित मुकना कुश्ती मैचों की एक सामान्य विशेषता क्या थी?")</f>
        <v>अतीत में आयोजित मुकना कुश्ती मैचों की एक सामान्य विशेषता क्या थी?</v>
      </c>
      <c r="H310" s="5" t="str">
        <f>IFERROR(__xludf.DUMMYFUNCTION("GOOGLETRANSLATE(C310, ""en"", ""hi"")"),"A) अनुष्ठानिक तत्व, B) औपचारिक स्कोरिंग, C) सख्त नियम, D) दर्शकों की भागीदारी")</f>
        <v>A) अनुष्ठानिक तत्व, B) औपचारिक स्कोरिंग, C) सख्त नियम, D) दर्शकों की भागीदारी</v>
      </c>
      <c r="I310" s="5" t="str">
        <f>IFERROR(__xludf.DUMMYFUNCTION("GOOGLETRANSLATE(D310, ""en"", ""hi"")"),"A) अनुष्ठानिक तत्व")</f>
        <v>A) अनुष्ठानिक तत्व</v>
      </c>
    </row>
    <row r="311" ht="22.5" customHeight="1">
      <c r="A311" s="3">
        <v>310.0</v>
      </c>
      <c r="B311" s="4" t="s">
        <v>13820</v>
      </c>
      <c r="C311" s="4" t="s">
        <v>13619</v>
      </c>
      <c r="D311" s="4" t="s">
        <v>13331</v>
      </c>
      <c r="F311" s="5" t="str">
        <f>IFERROR(__xludf.DUMMYFUNCTION("GOOGLETRANSLATE(A311, ""en"", ""hi"")"),"310")</f>
        <v>310</v>
      </c>
      <c r="G311" s="5" t="str">
        <f>IFERROR(__xludf.DUMMYFUNCTION("GOOGLETRANSLATE(B311, ""en"", ""hi"")"),"20वीं शताब्दी के दौरान मुकना कुश्ती को एक सांस्कृतिक प्रथा के रूप में पुनर्जीवित करने के लिए किस राजा को याद किया जाता है?")</f>
        <v>20वीं शताब्दी के दौरान मुकना कुश्ती को एक सांस्कृतिक प्रथा के रूप में पुनर्जीवित करने के लिए किस राजा को याद किया जाता है?</v>
      </c>
      <c r="H311" s="5" t="str">
        <f>IFERROR(__xludf.DUMMYFUNCTION("GOOGLETRANSLATE(C311,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11" s="5" t="str">
        <f>IFERROR(__xludf.DUMMYFUNCTION("GOOGLETRANSLATE(D311, ""en"", ""hi"")"),"A) महाराजा चूड़ाचंद सिंह")</f>
        <v>A) महाराजा चूड़ाचंद सिंह</v>
      </c>
    </row>
    <row r="312" ht="22.5" customHeight="1">
      <c r="A312" s="3">
        <v>311.0</v>
      </c>
      <c r="B312" s="4" t="s">
        <v>13821</v>
      </c>
      <c r="C312" s="4" t="s">
        <v>13822</v>
      </c>
      <c r="D312" s="4" t="s">
        <v>13823</v>
      </c>
      <c r="F312" s="5" t="str">
        <f>IFERROR(__xludf.DUMMYFUNCTION("GOOGLETRANSLATE(A312, ""en"", ""hi"")"),"311")</f>
        <v>311</v>
      </c>
      <c r="G312" s="5" t="str">
        <f>IFERROR(__xludf.DUMMYFUNCTION("GOOGLETRANSLATE(B312, ""en"", ""hi"")"),"मुकना में प्रयुक्त कुश्ती मैट की पारंपरिक विशेषता क्या थी?")</f>
        <v>मुकना में प्रयुक्त कुश्ती मैट की पारंपरिक विशेषता क्या थी?</v>
      </c>
      <c r="H312" s="5" t="str">
        <f>IFERROR(__xludf.DUMMYFUNCTION("GOOGLETRANSLATE(C312, ""en"", ""hi"")"),"A) भूसे से बना, B) जूट से ढका, C) प्रतीकों से अलंकृत, D) गद्दी से सुसज्जित")</f>
        <v>A) भूसे से बना, B) जूट से ढका, C) प्रतीकों से अलंकृत, D) गद्दी से सुसज्जित</v>
      </c>
      <c r="I312" s="5" t="str">
        <f>IFERROR(__xludf.DUMMYFUNCTION("GOOGLETRANSLATE(D312, ""en"", ""hi"")"),"A) भूसे से बना")</f>
        <v>A) भूसे से बना</v>
      </c>
    </row>
    <row r="313" ht="22.5" customHeight="1">
      <c r="A313" s="3">
        <v>312.0</v>
      </c>
      <c r="B313" s="4" t="s">
        <v>13824</v>
      </c>
      <c r="C313" s="4" t="s">
        <v>13704</v>
      </c>
      <c r="D313" s="4" t="s">
        <v>13765</v>
      </c>
      <c r="F313" s="5" t="str">
        <f>IFERROR(__xludf.DUMMYFUNCTION("GOOGLETRANSLATE(A313, ""en"", ""hi"")"),"312")</f>
        <v>312</v>
      </c>
      <c r="G313" s="5" t="str">
        <f>IFERROR(__xludf.DUMMYFUNCTION("GOOGLETRANSLATE(B313, ""en"", ""hi"")"),"कौन सा मणिपुरी ग्रंथ मुकना कुश्ती का विस्तृत ऐतिहासिक विवरण प्रदान करता है?")</f>
        <v>कौन सा मणिपुरी ग्रंथ मुकना कुश्ती का विस्तृत ऐतिहासिक विवरण प्रदान करता है?</v>
      </c>
      <c r="H313" s="5" t="str">
        <f>IFERROR(__xludf.DUMMYFUNCTION("GOOGLETRANSLATE(C313, ""en"", ""hi"")"),"ए) बुरांजी, बी) राजमाला, सी) मणिपुरी वेद, डी) मनुस्मृति")</f>
        <v>ए) बुरांजी, बी) राजमाला, सी) मणिपुरी वेद, डी) मनुस्मृति</v>
      </c>
      <c r="I313" s="5" t="str">
        <f>IFERROR(__xludf.DUMMYFUNCTION("GOOGLETRANSLATE(D313, ""en"", ""hi"")"),"बी) राजमाला")</f>
        <v>बी) राजमाला</v>
      </c>
    </row>
    <row r="314" ht="22.5" customHeight="1">
      <c r="A314" s="3">
        <v>313.0</v>
      </c>
      <c r="B314" s="4" t="s">
        <v>13825</v>
      </c>
      <c r="C314" s="4" t="s">
        <v>13826</v>
      </c>
      <c r="D314" s="4" t="s">
        <v>13827</v>
      </c>
      <c r="F314" s="5" t="str">
        <f>IFERROR(__xludf.DUMMYFUNCTION("GOOGLETRANSLATE(A314, ""en"", ""hi"")"),"313")</f>
        <v>313</v>
      </c>
      <c r="G314" s="5" t="str">
        <f>IFERROR(__xludf.DUMMYFUNCTION("GOOGLETRANSLATE(B314, ""en"", ""hi"")"),"ऐतिहासिक रूप से मुकना कुश्ती प्रशिक्षण का मुख्य केंद्र क्या था?")</f>
        <v>ऐतिहासिक रूप से मुकना कुश्ती प्रशिक्षण का मुख्य केंद्र क्या था?</v>
      </c>
      <c r="H314" s="5" t="str">
        <f>IFERROR(__xludf.DUMMYFUNCTION("GOOGLETRANSLATE(C314, ""en"", ""hi"")"),"A) युद्ध की तैयारी, B) सांस्कृतिक अनुष्ठान, C) सामाजिक स्थिति, D) आर्थिक लाभ")</f>
        <v>A) युद्ध की तैयारी, B) सांस्कृतिक अनुष्ठान, C) सामाजिक स्थिति, D) आर्थिक लाभ</v>
      </c>
      <c r="I314" s="5" t="str">
        <f>IFERROR(__xludf.DUMMYFUNCTION("GOOGLETRANSLATE(D314, ""en"", ""hi"")"),"ए) युद्ध तत्परता")</f>
        <v>ए) युद्ध तत्परता</v>
      </c>
    </row>
    <row r="315" ht="22.5" customHeight="1">
      <c r="A315" s="3">
        <v>314.0</v>
      </c>
      <c r="B315" s="4" t="s">
        <v>13828</v>
      </c>
      <c r="C315" s="4" t="s">
        <v>13786</v>
      </c>
      <c r="D315" s="4" t="s">
        <v>13787</v>
      </c>
      <c r="F315" s="5" t="str">
        <f>IFERROR(__xludf.DUMMYFUNCTION("GOOGLETRANSLATE(A315, ""en"", ""hi"")"),"314")</f>
        <v>314</v>
      </c>
      <c r="G315" s="5" t="str">
        <f>IFERROR(__xludf.DUMMYFUNCTION("GOOGLETRANSLATE(B315, ""en"", ""hi"")"),"किस मणिपुरी राजा को अपने शासनकाल के दौरान मुकना कुश्ती को एक खेल के रूप में बढ़ावा देने का श्रेय दिया जाता है?")</f>
        <v>किस मणिपुरी राजा को अपने शासनकाल के दौरान मुकना कुश्ती को एक खेल के रूप में बढ़ावा देने का श्रेय दिया जाता है?</v>
      </c>
      <c r="H315" s="5" t="str">
        <f>IFERROR(__xludf.DUMMYFUNCTION("GOOGLETRANSLATE(C315, ""en"", ""hi"")"),"ए) महाराजा गंभीर सिंह, बी) महाराजा भाग्यचंद्र सिंह, सी) महाराजा चुराचंद सिंह, डी) महाराजा बोधचंद्र सिंह")</f>
        <v>ए) महाराजा गंभीर सिंह, बी) महाराजा भाग्यचंद्र सिंह, सी) महाराजा चुराचंद सिंह, डी) महाराजा बोधचंद्र सिंह</v>
      </c>
      <c r="I315" s="5" t="str">
        <f>IFERROR(__xludf.DUMMYFUNCTION("GOOGLETRANSLATE(D315, ""en"", ""hi"")"),"B)महाराजा भाग्यचंद्र सिंह")</f>
        <v>B)महाराजा भाग्यचंद्र सिंह</v>
      </c>
    </row>
    <row r="316" ht="22.5" customHeight="1">
      <c r="A316" s="3">
        <v>315.0</v>
      </c>
      <c r="B316" s="4" t="s">
        <v>13829</v>
      </c>
      <c r="C316" s="4" t="s">
        <v>13830</v>
      </c>
      <c r="D316" s="4" t="s">
        <v>13831</v>
      </c>
      <c r="F316" s="5" t="str">
        <f>IFERROR(__xludf.DUMMYFUNCTION("GOOGLETRANSLATE(A316, ""en"", ""hi"")"),"315")</f>
        <v>315</v>
      </c>
      <c r="G316" s="5" t="str">
        <f>IFERROR(__xludf.DUMMYFUNCTION("GOOGLETRANSLATE(B316, ""en"", ""hi"")"),"मुकना कुश्ती में कौन सी पारंपरिक पोशाक का उपयोग किया जाता था?")</f>
        <v>मुकना कुश्ती में कौन सी पारंपरिक पोशाक का उपयोग किया जाता था?</v>
      </c>
      <c r="H316" s="5" t="str">
        <f>IFERROR(__xludf.DUMMYFUNCTION("GOOGLETRANSLATE(C316, ""en"", ""hi"")"),"A) सूती वस्त्र, B) रेशमी वस्त्र, C) ऊनी पोशाकें, D) चमड़े का कवच")</f>
        <v>A) सूती वस्त्र, B) रेशमी वस्त्र, C) ऊनी पोशाकें, D) चमड़े का कवच</v>
      </c>
      <c r="I316" s="5" t="str">
        <f>IFERROR(__xludf.DUMMYFUNCTION("GOOGLETRANSLATE(D316, ""en"", ""hi"")"),"A) सूती वस्त्र")</f>
        <v>A) सूती वस्त्र</v>
      </c>
    </row>
    <row r="317" ht="22.5" customHeight="1">
      <c r="A317" s="3">
        <v>316.0</v>
      </c>
      <c r="B317" s="4" t="s">
        <v>13832</v>
      </c>
      <c r="C317" s="4" t="s">
        <v>13833</v>
      </c>
      <c r="D317" s="4" t="s">
        <v>13834</v>
      </c>
      <c r="F317" s="5" t="str">
        <f>IFERROR(__xludf.DUMMYFUNCTION("GOOGLETRANSLATE(A317, ""en"", ""hi"")"),"316")</f>
        <v>316</v>
      </c>
      <c r="G317" s="5" t="str">
        <f>IFERROR(__xludf.DUMMYFUNCTION("GOOGLETRANSLATE(B317, ""en"", ""hi"")"),"मुकना कुश्ती पर ब्रिटिश औपनिवेशिक शासन का क्या प्रभाव पड़ा?")</f>
        <v>मुकना कुश्ती पर ब्रिटिश औपनिवेशिक शासन का क्या प्रभाव पड़ा?</v>
      </c>
      <c r="H317" s="5" t="str">
        <f>IFERROR(__xludf.DUMMYFUNCTION("GOOGLETRANSLATE(C317, ""en"", ""hi"")"),"A) लोकप्रियता में गिरावट, B) नए नियमों का लागू होना, C) अंतर्राष्ट्रीय स्तर पर प्रचार में वृद्धि, D) पारंपरिक प्रथाओं का संरक्षण")</f>
        <v>A) लोकप्रियता में गिरावट, B) नए नियमों का लागू होना, C) अंतर्राष्ट्रीय स्तर पर प्रचार में वृद्धि, D) पारंपरिक प्रथाओं का संरक्षण</v>
      </c>
      <c r="I317" s="5" t="str">
        <f>IFERROR(__xludf.DUMMYFUNCTION("GOOGLETRANSLATE(D317, ""en"", ""hi"")"),"A) लोकप्रियता में गिरावट")</f>
        <v>A) लोकप्रियता में गिरावट</v>
      </c>
    </row>
    <row r="318" ht="22.5" customHeight="1">
      <c r="A318" s="3">
        <v>317.0</v>
      </c>
      <c r="B318" s="4" t="s">
        <v>13835</v>
      </c>
      <c r="C318" s="4" t="s">
        <v>12389</v>
      </c>
      <c r="D318" s="4" t="s">
        <v>12086</v>
      </c>
      <c r="F318" s="5" t="str">
        <f>IFERROR(__xludf.DUMMYFUNCTION("GOOGLETRANSLATE(A318, ""en"", ""hi"")"),"317")</f>
        <v>317</v>
      </c>
      <c r="G318" s="5" t="str">
        <f>IFERROR(__xludf.DUMMYFUNCTION("GOOGLETRANSLATE(B318, ""en"", ""hi"")"),"मणिपुर में पारंपरिक मुकना कुश्ती से सबसे अधिक कौन सा त्यौहार जुड़ा हुआ था?")</f>
        <v>मणिपुर में पारंपरिक मुकना कुश्ती से सबसे अधिक कौन सा त्यौहार जुड़ा हुआ था?</v>
      </c>
      <c r="H318" s="5" t="str">
        <f>IFERROR(__xludf.DUMMYFUNCTION("GOOGLETRANSLATE(C318, ""en"", ""hi"")"),"ए) लाई हराओबा, बी) याओशांग, सी) निंगोल चाकोउबा, डी) चेइराओबा")</f>
        <v>ए) लाई हराओबा, बी) याओशांग, सी) निंगोल चाकोउबा, डी) चेइराओबा</v>
      </c>
      <c r="I318" s="5" t="str">
        <f>IFERROR(__xludf.DUMMYFUNCTION("GOOGLETRANSLATE(D318, ""en"", ""hi"")"),"A) लाई हरोबा")</f>
        <v>A) लाई हरोबा</v>
      </c>
    </row>
    <row r="319" ht="22.5" customHeight="1">
      <c r="A319" s="3">
        <v>318.0</v>
      </c>
      <c r="B319" s="4" t="s">
        <v>13836</v>
      </c>
      <c r="C319" s="4" t="s">
        <v>13837</v>
      </c>
      <c r="D319" s="4" t="s">
        <v>13838</v>
      </c>
      <c r="F319" s="5" t="str">
        <f>IFERROR(__xludf.DUMMYFUNCTION("GOOGLETRANSLATE(A319, ""en"", ""hi"")"),"318")</f>
        <v>318</v>
      </c>
      <c r="G319" s="5" t="str">
        <f>IFERROR(__xludf.DUMMYFUNCTION("GOOGLETRANSLATE(B319, ""en"", ""hi"")"),"मणिपुरी समाज में मुकना कुश्ती का कौन सा पहलू आम तौर पर मनाया जाता था?")</f>
        <v>मणिपुरी समाज में मुकना कुश्ती का कौन सा पहलू आम तौर पर मनाया जाता था?</v>
      </c>
      <c r="H319" s="5" t="str">
        <f>IFERROR(__xludf.DUMMYFUNCTION("GOOGLETRANSLATE(C319, ""en"", ""hi"")"),"A) अनुष्ठानिक महत्व, B) प्रतिस्पर्धी भावना, C) कलात्मक प्रदर्शन, D) राजनीतिक महत्व")</f>
        <v>A) अनुष्ठानिक महत्व, B) प्रतिस्पर्धी भावना, C) कलात्मक प्रदर्शन, D) राजनीतिक महत्व</v>
      </c>
      <c r="I319" s="5" t="str">
        <f>IFERROR(__xludf.DUMMYFUNCTION("GOOGLETRANSLATE(D319, ""en"", ""hi"")"),"क) अनुष्ठानिक महत्व")</f>
        <v>क) अनुष्ठानिक महत्व</v>
      </c>
    </row>
    <row r="320" ht="22.5" customHeight="1">
      <c r="A320" s="3">
        <v>319.0</v>
      </c>
      <c r="B320" s="4" t="s">
        <v>13839</v>
      </c>
      <c r="C320" s="4" t="s">
        <v>13840</v>
      </c>
      <c r="D320" s="4" t="s">
        <v>13044</v>
      </c>
      <c r="F320" s="5" t="str">
        <f>IFERROR(__xludf.DUMMYFUNCTION("GOOGLETRANSLATE(A320, ""en"", ""hi"")"),"319")</f>
        <v>319</v>
      </c>
      <c r="G320" s="5" t="str">
        <f>IFERROR(__xludf.DUMMYFUNCTION("GOOGLETRANSLATE(B320, ""en"", ""hi"")"),"किस ऐतिहासिक काल में मुकना कुश्ती का पारंपरिक खेल के रूप में पुनरुत्थान हुआ?")</f>
        <v>किस ऐतिहासिक काल में मुकना कुश्ती का पारंपरिक खेल के रूप में पुनरुत्थान हुआ?</v>
      </c>
      <c r="H320" s="5" t="str">
        <f>IFERROR(__xludf.DUMMYFUNCTION("GOOGLETRANSLATE(C320, ""en"", ""hi"")"),"A) स्वतंत्रता के बाद, B) ब्रिटिश शासन के दौरान, C) 20वीं सदी के प्रारंभ में, D) पूर्व-औपनिवेशिक युग")</f>
        <v>A) स्वतंत्रता के बाद, B) ब्रिटिश शासन के दौरान, C) 20वीं सदी के प्रारंभ में, D) पूर्व-औपनिवेशिक युग</v>
      </c>
      <c r="I320" s="5" t="str">
        <f>IFERROR(__xludf.DUMMYFUNCTION("GOOGLETRANSLATE(D320, ""en"", ""hi"")"),"A) स्वतंत्रता के बाद")</f>
        <v>A) स्वतंत्रता के बाद</v>
      </c>
    </row>
    <row r="321" ht="22.5" customHeight="1">
      <c r="A321" s="3">
        <v>320.0</v>
      </c>
      <c r="B321" s="4" t="s">
        <v>13841</v>
      </c>
      <c r="C321" s="4" t="s">
        <v>13842</v>
      </c>
      <c r="D321" s="4" t="s">
        <v>13823</v>
      </c>
      <c r="F321" s="5" t="str">
        <f>IFERROR(__xludf.DUMMYFUNCTION("GOOGLETRANSLATE(A321, ""en"", ""hi"")"),"320")</f>
        <v>320</v>
      </c>
      <c r="G321" s="5" t="str">
        <f>IFERROR(__xludf.DUMMYFUNCTION("GOOGLETRANSLATE(B321, ""en"", ""hi"")"),"ऐतिहासिक समय में मुकना कुश्ती मैट की विशिष्ट विशेषता क्या थी?")</f>
        <v>ऐतिहासिक समय में मुकना कुश्ती मैट की विशिष्ट विशेषता क्या थी?</v>
      </c>
      <c r="H321" s="5" t="str">
        <f>IFERROR(__xludf.DUMMYFUNCTION("GOOGLETRANSLATE(C321, ""en"", ""hi"")"),"A) पुआल से बना, B) जूट से ढका, C) पैटर्न से अलंकृत, D) गद्दी से सुसज्जित")</f>
        <v>A) पुआल से बना, B) जूट से ढका, C) पैटर्न से अलंकृत, D) गद्दी से सुसज्जित</v>
      </c>
      <c r="I321" s="5" t="str">
        <f>IFERROR(__xludf.DUMMYFUNCTION("GOOGLETRANSLATE(D321, ""en"", ""hi"")"),"A) भूसे से बना")</f>
        <v>A) भूसे से बना</v>
      </c>
    </row>
    <row r="322" ht="22.5" customHeight="1">
      <c r="A322" s="3">
        <v>321.0</v>
      </c>
      <c r="B322" s="4" t="s">
        <v>13843</v>
      </c>
      <c r="C322" s="4" t="s">
        <v>13619</v>
      </c>
      <c r="D322" s="4" t="s">
        <v>13331</v>
      </c>
      <c r="F322" s="5" t="str">
        <f>IFERROR(__xludf.DUMMYFUNCTION("GOOGLETRANSLATE(A322, ""en"", ""hi"")"),"321")</f>
        <v>321</v>
      </c>
      <c r="G322" s="5" t="str">
        <f>IFERROR(__xludf.DUMMYFUNCTION("GOOGLETRANSLATE(B322, ""en"", ""hi"")"),"मुकना कुश्ती के नियमों और प्रथाओं को औपचारिक रूप देने से कौन सा राजा जुड़ा हुआ है?")</f>
        <v>मुकना कुश्ती के नियमों और प्रथाओं को औपचारिक रूप देने से कौन सा राजा जुड़ा हुआ है?</v>
      </c>
      <c r="H322" s="5" t="str">
        <f>IFERROR(__xludf.DUMMYFUNCTION("GOOGLETRANSLATE(C322,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22" s="5" t="str">
        <f>IFERROR(__xludf.DUMMYFUNCTION("GOOGLETRANSLATE(D322, ""en"", ""hi"")"),"A) महाराजा चूड़ाचंद सिंह")</f>
        <v>A) महाराजा चूड़ाचंद सिंह</v>
      </c>
    </row>
    <row r="323" ht="22.5" customHeight="1">
      <c r="A323" s="3">
        <v>322.0</v>
      </c>
      <c r="B323" s="4" t="s">
        <v>13844</v>
      </c>
      <c r="C323" s="4" t="s">
        <v>13704</v>
      </c>
      <c r="D323" s="4" t="s">
        <v>13474</v>
      </c>
      <c r="F323" s="5" t="str">
        <f>IFERROR(__xludf.DUMMYFUNCTION("GOOGLETRANSLATE(A323, ""en"", ""hi"")"),"322")</f>
        <v>322</v>
      </c>
      <c r="G323" s="5" t="str">
        <f>IFERROR(__xludf.DUMMYFUNCTION("GOOGLETRANSLATE(B323, ""en"", ""hi"")"),"कौन सा ऐतिहासिक विवरण मुकना कुश्ती तकनीक और प्रशिक्षण के बारे में जानकारी प्रदान करता है?")</f>
        <v>कौन सा ऐतिहासिक विवरण मुकना कुश्ती तकनीक और प्रशिक्षण के बारे में जानकारी प्रदान करता है?</v>
      </c>
      <c r="H323" s="5" t="str">
        <f>IFERROR(__xludf.DUMMYFUNCTION("GOOGLETRANSLATE(C323, ""en"", ""hi"")"),"ए) बुरांजी, बी) राजमाला, सी) मणिपुरी वेद, डी) मनुस्मृति")</f>
        <v>ए) बुरांजी, बी) राजमाला, सी) मणिपुरी वेद, डी) मनुस्मृति</v>
      </c>
      <c r="I323" s="5" t="str">
        <f>IFERROR(__xludf.DUMMYFUNCTION("GOOGLETRANSLATE(D323, ""en"", ""hi"")"),"ए) बुरांजी")</f>
        <v>ए) बुरांजी</v>
      </c>
    </row>
    <row r="324" ht="22.5" customHeight="1">
      <c r="A324" s="3">
        <v>323.0</v>
      </c>
      <c r="B324" s="4" t="s">
        <v>13845</v>
      </c>
      <c r="C324" s="4" t="s">
        <v>13846</v>
      </c>
      <c r="D324" s="4" t="s">
        <v>13847</v>
      </c>
      <c r="F324" s="5" t="str">
        <f>IFERROR(__xludf.DUMMYFUNCTION("GOOGLETRANSLATE(A324, ""en"", ""hi"")"),"323")</f>
        <v>323</v>
      </c>
      <c r="G324" s="5" t="str">
        <f>IFERROR(__xludf.DUMMYFUNCTION("GOOGLETRANSLATE(B324, ""en"", ""hi"")"),"19वीं शताब्दी के दौरान मणिपुरी संस्कृति में मुकना कुश्ती की क्या भूमिका थी?")</f>
        <v>19वीं शताब्दी के दौरान मणिपुरी संस्कृति में मुकना कुश्ती की क्या भूमिका थी?</v>
      </c>
      <c r="H324" s="5" t="str">
        <f>IFERROR(__xludf.DUMMYFUNCTION("GOOGLETRANSLATE(C324, ""en"", ""hi"")"),"A) सांस्कृतिक अनुष्ठान, B) मनोरंजन, C) सैन्य प्रशिक्षण, D) राजनीतिक वक्तव्य")</f>
        <v>A) सांस्कृतिक अनुष्ठान, B) मनोरंजन, C) सैन्य प्रशिक्षण, D) राजनीतिक वक्तव्य</v>
      </c>
      <c r="I324" s="5" t="str">
        <f>IFERROR(__xludf.DUMMYFUNCTION("GOOGLETRANSLATE(D324, ""en"", ""hi"")"),"A) सांस्कृतिक अनुष्ठान")</f>
        <v>A) सांस्कृतिक अनुष्ठान</v>
      </c>
    </row>
    <row r="325" ht="22.5" customHeight="1">
      <c r="A325" s="3">
        <v>324.0</v>
      </c>
      <c r="B325" s="4" t="s">
        <v>13848</v>
      </c>
      <c r="C325" s="4" t="s">
        <v>13786</v>
      </c>
      <c r="D325" s="4" t="s">
        <v>13658</v>
      </c>
      <c r="F325" s="5" t="str">
        <f>IFERROR(__xludf.DUMMYFUNCTION("GOOGLETRANSLATE(A325, ""en"", ""hi"")"),"324")</f>
        <v>324</v>
      </c>
      <c r="G325" s="5" t="str">
        <f>IFERROR(__xludf.DUMMYFUNCTION("GOOGLETRANSLATE(B325, ""en"", ""hi"")"),"किस मणिपुरी राजा को मुकना कुश्ती को एक सांस्कृतिक प्रथा के रूप में समर्थन देने के लिए याद किया जाता है?")</f>
        <v>किस मणिपुरी राजा को मुकना कुश्ती को एक सांस्कृतिक प्रथा के रूप में समर्थन देने के लिए याद किया जाता है?</v>
      </c>
      <c r="H325" s="5" t="str">
        <f>IFERROR(__xludf.DUMMYFUNCTION("GOOGLETRANSLATE(C325, ""en"", ""hi"")"),"ए) महाराजा गंभीर सिंह, बी) महाराजा भाग्यचंद्र सिंह, सी) महाराजा चुराचंद सिंह, डी) महाराजा बोधचंद्र सिंह")</f>
        <v>ए) महाराजा गंभीर सिंह, बी) महाराजा भाग्यचंद्र सिंह, सी) महाराजा चुराचंद सिंह, डी) महाराजा बोधचंद्र सिंह</v>
      </c>
      <c r="I325" s="5" t="str">
        <f>IFERROR(__xludf.DUMMYFUNCTION("GOOGLETRANSLATE(D325, ""en"", ""hi"")"),"C) महाराजा चूड़ाचंद सिंह")</f>
        <v>C) महाराजा चूड़ाचंद सिंह</v>
      </c>
    </row>
    <row r="326" ht="22.5" customHeight="1">
      <c r="A326" s="3">
        <v>325.0</v>
      </c>
      <c r="B326" s="4" t="s">
        <v>13849</v>
      </c>
      <c r="C326" s="4" t="s">
        <v>13850</v>
      </c>
      <c r="D326" s="4" t="s">
        <v>13797</v>
      </c>
      <c r="F326" s="5" t="str">
        <f>IFERROR(__xludf.DUMMYFUNCTION("GOOGLETRANSLATE(A326, ""en"", ""hi"")"),"325")</f>
        <v>325</v>
      </c>
      <c r="G326" s="5" t="str">
        <f>IFERROR(__xludf.DUMMYFUNCTION("GOOGLETRANSLATE(B326, ""en"", ""hi"")"),"ऐतिहासिक मुकना कुश्ती पोशाक की एक सामान्य विशेषता क्या थी?")</f>
        <v>ऐतिहासिक मुकना कुश्ती पोशाक की एक सामान्य विशेषता क्या थी?</v>
      </c>
      <c r="H326" s="5" t="str">
        <f>IFERROR(__xludf.DUMMYFUNCTION("GOOGLETRANSLATE(C326, ""en"", ""hi"")"),"A) ढीली फिटिंग, B) चमकीले रंग, C) भारी पैडिंग, D) विस्तृत डिज़ाइन")</f>
        <v>A) ढीली फिटिंग, B) चमकीले रंग, C) भारी पैडिंग, D) विस्तृत डिज़ाइन</v>
      </c>
      <c r="I326" s="5" t="str">
        <f>IFERROR(__xludf.DUMMYFUNCTION("GOOGLETRANSLATE(D326, ""en"", ""hi"")"),"A) ढीली फिटिंग")</f>
        <v>A) ढीली फिटिंग</v>
      </c>
    </row>
    <row r="327" ht="22.5" customHeight="1">
      <c r="A327" s="3">
        <v>326.0</v>
      </c>
      <c r="B327" s="4" t="s">
        <v>13851</v>
      </c>
      <c r="C327" s="4" t="s">
        <v>13704</v>
      </c>
      <c r="D327" s="4" t="s">
        <v>13765</v>
      </c>
      <c r="F327" s="5" t="str">
        <f>IFERROR(__xludf.DUMMYFUNCTION("GOOGLETRANSLATE(A327, ""en"", ""hi"")"),"326")</f>
        <v>326</v>
      </c>
      <c r="G327" s="5" t="str">
        <f>IFERROR(__xludf.DUMMYFUNCTION("GOOGLETRANSLATE(B327, ""en"", ""hi"")"),"कौन सा दस्तावेज़ मणिपुर में पारंपरिक मुकना कुश्ती प्रथाओं का विस्तृत विवरण प्रस्तुत करता है?")</f>
        <v>कौन सा दस्तावेज़ मणिपुर में पारंपरिक मुकना कुश्ती प्रथाओं का विस्तृत विवरण प्रस्तुत करता है?</v>
      </c>
      <c r="H327" s="5" t="str">
        <f>IFERROR(__xludf.DUMMYFUNCTION("GOOGLETRANSLATE(C327, ""en"", ""hi"")"),"ए) बुरांजी, बी) राजमाला, सी) मणिपुरी वेद, डी) मनुस्मृति")</f>
        <v>ए) बुरांजी, बी) राजमाला, सी) मणिपुरी वेद, डी) मनुस्मृति</v>
      </c>
      <c r="I327" s="5" t="str">
        <f>IFERROR(__xludf.DUMMYFUNCTION("GOOGLETRANSLATE(D327, ""en"", ""hi"")"),"बी) राजमाला")</f>
        <v>बी) राजमाला</v>
      </c>
    </row>
    <row r="328" ht="22.5" customHeight="1">
      <c r="A328" s="3">
        <v>327.0</v>
      </c>
      <c r="B328" s="4" t="s">
        <v>13852</v>
      </c>
      <c r="C328" s="4" t="s">
        <v>13853</v>
      </c>
      <c r="D328" s="4" t="s">
        <v>13854</v>
      </c>
      <c r="F328" s="5" t="str">
        <f>IFERROR(__xludf.DUMMYFUNCTION("GOOGLETRANSLATE(A328, ""en"", ""hi"")"),"327")</f>
        <v>327</v>
      </c>
      <c r="G328" s="5" t="str">
        <f>IFERROR(__xludf.DUMMYFUNCTION("GOOGLETRANSLATE(B328, ""en"", ""hi"")"),"मणिपुर में मुकना कुश्ती मैट का पारंपरिक उपयोग क्या था?")</f>
        <v>मणिपुर में मुकना कुश्ती मैट का पारंपरिक उपयोग क्या था?</v>
      </c>
      <c r="H328" s="5" t="str">
        <f>IFERROR(__xludf.DUMMYFUNCTION("GOOGLETRANSLATE(C328, ""en"", ""hi"")"),"A) औपचारिक प्रयोजनों के लिए, B) खेल प्रतियोगिताओं के लिए, C) सैन्य प्रशिक्षण के लिए, D) शैक्षिक आयोजनों के लिए")</f>
        <v>A) औपचारिक प्रयोजनों के लिए, B) खेल प्रतियोगिताओं के लिए, C) सैन्य प्रशिक्षण के लिए, D) शैक्षिक आयोजनों के लिए</v>
      </c>
      <c r="I328" s="5" t="str">
        <f>IFERROR(__xludf.DUMMYFUNCTION("GOOGLETRANSLATE(D328, ""en"", ""hi"")"),"A) औपचारिक प्रयोजनों के लिए")</f>
        <v>A) औपचारिक प्रयोजनों के लिए</v>
      </c>
    </row>
    <row r="329" ht="22.5" customHeight="1">
      <c r="A329" s="3">
        <v>328.0</v>
      </c>
      <c r="B329" s="4" t="s">
        <v>13855</v>
      </c>
      <c r="C329" s="4" t="s">
        <v>13673</v>
      </c>
      <c r="D329" s="4" t="s">
        <v>12086</v>
      </c>
      <c r="F329" s="5" t="str">
        <f>IFERROR(__xludf.DUMMYFUNCTION("GOOGLETRANSLATE(A329, ""en"", ""hi"")"),"328")</f>
        <v>328</v>
      </c>
      <c r="G329" s="5" t="str">
        <f>IFERROR(__xludf.DUMMYFUNCTION("GOOGLETRANSLATE(B329, ""en"", ""hi"")"),"ऐतिहासिक रूप से मुकना कुश्ती में सबसे अधिक भागीदारी किस उत्सव में हुई?")</f>
        <v>ऐतिहासिक रूप से मुकना कुश्ती में सबसे अधिक भागीदारी किस उत्सव में हुई?</v>
      </c>
      <c r="H329" s="5" t="str">
        <f>IFERROR(__xludf.DUMMYFUNCTION("GOOGLETRANSLATE(C329, ""en"", ""hi"")"),"ए) लाई हराओबा, बी) याओशांग, सी) चेइराओबा, डी) निंगोल चाकोउबा")</f>
        <v>ए) लाई हराओबा, बी) याओशांग, सी) चेइराओबा, डी) निंगोल चाकोउबा</v>
      </c>
      <c r="I329" s="5" t="str">
        <f>IFERROR(__xludf.DUMMYFUNCTION("GOOGLETRANSLATE(D329, ""en"", ""hi"")"),"A) लाई हरोबा")</f>
        <v>A) लाई हरोबा</v>
      </c>
    </row>
    <row r="330" ht="22.5" customHeight="1">
      <c r="A330" s="3">
        <v>329.0</v>
      </c>
      <c r="B330" s="4" t="s">
        <v>13856</v>
      </c>
      <c r="C330" s="4" t="s">
        <v>13857</v>
      </c>
      <c r="D330" s="4" t="s">
        <v>13858</v>
      </c>
      <c r="F330" s="5" t="str">
        <f>IFERROR(__xludf.DUMMYFUNCTION("GOOGLETRANSLATE(A330, ""en"", ""hi"")"),"329")</f>
        <v>329</v>
      </c>
      <c r="G330" s="5" t="str">
        <f>IFERROR(__xludf.DUMMYFUNCTION("GOOGLETRANSLATE(B330, ""en"", ""hi"")"),"औपनिवेशिक शासन के दौरान मुकना कुश्ती अभ्यासकर्ताओं के लिए मुख्य चुनौती क्या थी?")</f>
        <v>औपनिवेशिक शासन के दौरान मुकना कुश्ती अभ्यासकर्ताओं के लिए मुख्य चुनौती क्या थी?</v>
      </c>
      <c r="H330" s="5" t="str">
        <f>IFERROR(__xludf.DUMMYFUNCTION("GOOGLETRANSLATE(C330, ""en"", ""hi"")"),"A) पारंपरिक प्रथाओं का नुकसान, B) समर्थन की कमी, C) आर्थिक बाधाएं, D) सांस्कृतिक बदलाव")</f>
        <v>A) पारंपरिक प्रथाओं का नुकसान, B) समर्थन की कमी, C) आर्थिक बाधाएं, D) सांस्कृतिक बदलाव</v>
      </c>
      <c r="I330" s="5" t="str">
        <f>IFERROR(__xludf.DUMMYFUNCTION("GOOGLETRANSLATE(D330, ""en"", ""hi"")"),"A) पारंपरिक प्रथाओं का नुकसान")</f>
        <v>A) पारंपरिक प्रथाओं का नुकसान</v>
      </c>
    </row>
    <row r="331" ht="22.5" customHeight="1">
      <c r="A331" s="3">
        <v>330.0</v>
      </c>
      <c r="B331" s="4" t="s">
        <v>13859</v>
      </c>
      <c r="C331" s="4" t="s">
        <v>13860</v>
      </c>
      <c r="D331" s="4" t="s">
        <v>13831</v>
      </c>
      <c r="F331" s="5" t="str">
        <f>IFERROR(__xludf.DUMMYFUNCTION("GOOGLETRANSLATE(A331, ""en"", ""hi"")"),"330")</f>
        <v>330</v>
      </c>
      <c r="G331" s="5" t="str">
        <f>IFERROR(__xludf.DUMMYFUNCTION("GOOGLETRANSLATE(B331, ""en"", ""hi"")"),"मणिपुर में पारंपरिक मुकना कुश्ती पोशाक की मुख्य विशेषता क्या थी?")</f>
        <v>मणिपुर में पारंपरिक मुकना कुश्ती पोशाक की मुख्य विशेषता क्या थी?</v>
      </c>
      <c r="H331" s="5" t="str">
        <f>IFERROR(__xludf.DUMMYFUNCTION("GOOGLETRANSLATE(C331, ""en"", ""hi"")"),"A) सूती वस्त्र, B) ऊनी पोशाक, C) रेशमी वस्त्र, D) चमड़े का कवच")</f>
        <v>A) सूती वस्त्र, B) ऊनी पोशाक, C) रेशमी वस्त्र, D) चमड़े का कवच</v>
      </c>
      <c r="I331" s="5" t="str">
        <f>IFERROR(__xludf.DUMMYFUNCTION("GOOGLETRANSLATE(D331, ""en"", ""hi"")"),"A) सूती वस्त्र")</f>
        <v>A) सूती वस्त्र</v>
      </c>
    </row>
    <row r="332" ht="22.5" customHeight="1">
      <c r="A332" s="3">
        <v>331.0</v>
      </c>
      <c r="B332" s="4" t="s">
        <v>13861</v>
      </c>
      <c r="C332" s="4" t="s">
        <v>13619</v>
      </c>
      <c r="D332" s="4" t="s">
        <v>13331</v>
      </c>
      <c r="F332" s="5" t="str">
        <f>IFERROR(__xludf.DUMMYFUNCTION("GOOGLETRANSLATE(A332, ""en"", ""hi"")"),"331")</f>
        <v>331</v>
      </c>
      <c r="G332" s="5" t="str">
        <f>IFERROR(__xludf.DUMMYFUNCTION("GOOGLETRANSLATE(B332, ""en"", ""hi"")"),"आधुनिक समय में मुकना कुश्ती को पुनर्जीवित करने के प्रयासों के लिए कौन सा राजा जाना जाता है?")</f>
        <v>आधुनिक समय में मुकना कुश्ती को पुनर्जीवित करने के प्रयासों के लिए कौन सा राजा जाना जाता है?</v>
      </c>
      <c r="H332" s="5" t="str">
        <f>IFERROR(__xludf.DUMMYFUNCTION("GOOGLETRANSLATE(C332,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32" s="5" t="str">
        <f>IFERROR(__xludf.DUMMYFUNCTION("GOOGLETRANSLATE(D332, ""en"", ""hi"")"),"A) महाराजा चूड़ाचंद सिंह")</f>
        <v>A) महाराजा चूड़ाचंद सिंह</v>
      </c>
    </row>
    <row r="333" ht="22.5" customHeight="1">
      <c r="A333" s="3">
        <v>332.0</v>
      </c>
      <c r="B333" s="4" t="s">
        <v>13862</v>
      </c>
      <c r="C333" s="4" t="s">
        <v>13863</v>
      </c>
      <c r="D333" s="4" t="s">
        <v>13864</v>
      </c>
      <c r="F333" s="5" t="str">
        <f>IFERROR(__xludf.DUMMYFUNCTION("GOOGLETRANSLATE(A333, ""en"", ""hi"")"),"332")</f>
        <v>332</v>
      </c>
      <c r="G333" s="5" t="str">
        <f>IFERROR(__xludf.DUMMYFUNCTION("GOOGLETRANSLATE(B333, ""en"", ""hi"")"),"ब्रिटिश काल में मुकना कुश्ती के पतन पर मुख्य प्रभाव क्या था?")</f>
        <v>ब्रिटिश काल में मुकना कुश्ती के पतन पर मुख्य प्रभाव क्या था?</v>
      </c>
      <c r="H333" s="5" t="str">
        <f>IFERROR(__xludf.DUMMYFUNCTION("GOOGLETRANSLATE(C333, ""en"", ""hi"")"),"A) औपनिवेशिक नीतियाँ, B) आर्थिक बदलाव, C) सांस्कृतिक परिवर्तन, D) सैन्य संघर्ष")</f>
        <v>A) औपनिवेशिक नीतियाँ, B) आर्थिक बदलाव, C) सांस्कृतिक परिवर्तन, D) सैन्य संघर्ष</v>
      </c>
      <c r="I333" s="5" t="str">
        <f>IFERROR(__xludf.DUMMYFUNCTION("GOOGLETRANSLATE(D333, ""en"", ""hi"")"),"A) औपनिवेशिक नीतियां")</f>
        <v>A) औपनिवेशिक नीतियां</v>
      </c>
    </row>
    <row r="334" ht="22.5" customHeight="1">
      <c r="A334" s="3">
        <v>333.0</v>
      </c>
      <c r="B334" s="4" t="s">
        <v>13865</v>
      </c>
      <c r="C334" s="4" t="s">
        <v>13704</v>
      </c>
      <c r="D334" s="4" t="s">
        <v>13474</v>
      </c>
      <c r="F334" s="5" t="str">
        <f>IFERROR(__xludf.DUMMYFUNCTION("GOOGLETRANSLATE(A334, ""en"", ""hi"")"),"333")</f>
        <v>333</v>
      </c>
      <c r="G334" s="5" t="str">
        <f>IFERROR(__xludf.DUMMYFUNCTION("GOOGLETRANSLATE(B334, ""en"", ""hi"")"),"मुकना कुश्ती के ऐतिहासिक संदर्भ को समझने के लिए कौन सा दस्तावेज़ महत्वपूर्ण है?")</f>
        <v>मुकना कुश्ती के ऐतिहासिक संदर्भ को समझने के लिए कौन सा दस्तावेज़ महत्वपूर्ण है?</v>
      </c>
      <c r="H334" s="5" t="str">
        <f>IFERROR(__xludf.DUMMYFUNCTION("GOOGLETRANSLATE(C334, ""en"", ""hi"")"),"ए) बुरांजी, बी) राजमाला, सी) मणिपुरी वेद, डी) मनुस्मृति")</f>
        <v>ए) बुरांजी, बी) राजमाला, सी) मणिपुरी वेद, डी) मनुस्मृति</v>
      </c>
      <c r="I334" s="5" t="str">
        <f>IFERROR(__xludf.DUMMYFUNCTION("GOOGLETRANSLATE(D334, ""en"", ""hi"")"),"ए) बुरांजी")</f>
        <v>ए) बुरांजी</v>
      </c>
    </row>
    <row r="335" ht="22.5" customHeight="1">
      <c r="A335" s="3">
        <v>334.0</v>
      </c>
      <c r="B335" s="4" t="s">
        <v>13866</v>
      </c>
      <c r="C335" s="4" t="s">
        <v>13867</v>
      </c>
      <c r="D335" s="4" t="s">
        <v>13868</v>
      </c>
      <c r="F335" s="5" t="str">
        <f>IFERROR(__xludf.DUMMYFUNCTION("GOOGLETRANSLATE(A335, ""en"", ""hi"")"),"334")</f>
        <v>334</v>
      </c>
      <c r="G335" s="5" t="str">
        <f>IFERROR(__xludf.DUMMYFUNCTION("GOOGLETRANSLATE(B335, ""en"", ""hi"")"),"मणिपुर में मुकना कुश्ती मैचों का पारंपरिक उद्देश्य क्या था?")</f>
        <v>मणिपुर में मुकना कुश्ती मैचों का पारंपरिक उद्देश्य क्या था?</v>
      </c>
      <c r="H335" s="5" t="str">
        <f>IFERROR(__xludf.DUMMYFUNCTION("GOOGLETRANSLATE(C335, ""en"", ""hi"")"),"A) युद्ध के लिए प्रशिक्षण, B) सामाजिक मनोरंजन, C) धार्मिक अनुष्ठान, D) राजनीतिक प्रदर्शन")</f>
        <v>A) युद्ध के लिए प्रशिक्षण, B) सामाजिक मनोरंजन, C) धार्मिक अनुष्ठान, D) राजनीतिक प्रदर्शन</v>
      </c>
      <c r="I335" s="5" t="str">
        <f>IFERROR(__xludf.DUMMYFUNCTION("GOOGLETRANSLATE(D335, ""en"", ""hi"")"),"A) युद्ध के लिए प्रशिक्षण")</f>
        <v>A) युद्ध के लिए प्रशिक्षण</v>
      </c>
    </row>
    <row r="336" ht="22.5" customHeight="1">
      <c r="A336" s="3">
        <v>335.0</v>
      </c>
      <c r="B336" s="4" t="s">
        <v>13869</v>
      </c>
      <c r="C336" s="4" t="s">
        <v>13786</v>
      </c>
      <c r="D336" s="4" t="s">
        <v>12361</v>
      </c>
      <c r="F336" s="5" t="str">
        <f>IFERROR(__xludf.DUMMYFUNCTION("GOOGLETRANSLATE(A336, ""en"", ""hi"")"),"335")</f>
        <v>335</v>
      </c>
      <c r="G336" s="5" t="str">
        <f>IFERROR(__xludf.DUMMYFUNCTION("GOOGLETRANSLATE(B336, ""en"", ""hi"")"),"कौन सा मणिपुरी राजा मुकना कुश्ती तकनीकों के औपचारिककरण से जुड़ा हुआ है?")</f>
        <v>कौन सा मणिपुरी राजा मुकना कुश्ती तकनीकों के औपचारिककरण से जुड़ा हुआ है?</v>
      </c>
      <c r="H336" s="5" t="str">
        <f>IFERROR(__xludf.DUMMYFUNCTION("GOOGLETRANSLATE(C336, ""en"", ""hi"")"),"ए) महाराजा गंभीर सिंह, बी) महाराजा भाग्यचंद्र सिंह, सी) महाराजा चुराचंद सिंह, डी) महाराजा बोधचंद्र सिंह")</f>
        <v>ए) महाराजा गंभीर सिंह, बी) महाराजा भाग्यचंद्र सिंह, सी) महाराजा चुराचंद सिंह, डी) महाराजा बोधचंद्र सिंह</v>
      </c>
      <c r="I336" s="5" t="str">
        <f>IFERROR(__xludf.DUMMYFUNCTION("GOOGLETRANSLATE(D336, ""en"", ""hi"")"),"A) महाराजा गंभीर सिंह")</f>
        <v>A) महाराजा गंभीर सिंह</v>
      </c>
    </row>
    <row r="337" ht="22.5" customHeight="1">
      <c r="A337" s="3">
        <v>336.0</v>
      </c>
      <c r="B337" s="4" t="s">
        <v>13870</v>
      </c>
      <c r="C337" s="4" t="s">
        <v>13871</v>
      </c>
      <c r="D337" s="4" t="s">
        <v>13872</v>
      </c>
      <c r="F337" s="5" t="str">
        <f>IFERROR(__xludf.DUMMYFUNCTION("GOOGLETRANSLATE(A337, ""en"", ""hi"")"),"336")</f>
        <v>336</v>
      </c>
      <c r="G337" s="5" t="str">
        <f>IFERROR(__xludf.DUMMYFUNCTION("GOOGLETRANSLATE(B337, ""en"", ""hi"")"),"ऐतिहासिक समय में मुकना कुश्ती की पारंपरिक विशेषता क्या थी?")</f>
        <v>ऐतिहासिक समय में मुकना कुश्ती की पारंपरिक विशेषता क्या थी?</v>
      </c>
      <c r="H337" s="5" t="str">
        <f>IFERROR(__xludf.DUMMYFUNCTION("GOOGLETRANSLATE(C337, ""en"", ""hi"")"),"A) अनुष्ठानिक प्रथाएँ, B) प्रतिस्पर्धी प्रारूप, C) राजनीतिक महत्व, D) कलात्मक प्रदर्शन")</f>
        <v>A) अनुष्ठानिक प्रथाएँ, B) प्रतिस्पर्धी प्रारूप, C) राजनीतिक महत्व, D) कलात्मक प्रदर्शन</v>
      </c>
      <c r="I337" s="5" t="str">
        <f>IFERROR(__xludf.DUMMYFUNCTION("GOOGLETRANSLATE(D337, ""en"", ""hi"")"),"A) अनुष्ठानिक प्रथाएँ")</f>
        <v>A) अनुष्ठानिक प्रथाएँ</v>
      </c>
    </row>
    <row r="338" ht="22.5" customHeight="1">
      <c r="A338" s="3">
        <v>337.0</v>
      </c>
      <c r="B338" s="4" t="s">
        <v>13873</v>
      </c>
      <c r="C338" s="4" t="s">
        <v>13649</v>
      </c>
      <c r="D338" s="4" t="s">
        <v>13572</v>
      </c>
      <c r="F338" s="5" t="str">
        <f>IFERROR(__xludf.DUMMYFUNCTION("GOOGLETRANSLATE(A338, ""en"", ""hi"")"),"337")</f>
        <v>337</v>
      </c>
      <c r="G338" s="5" t="str">
        <f>IFERROR(__xludf.DUMMYFUNCTION("GOOGLETRANSLATE(B338, ""en"", ""hi"")"),"कौन सा ऐतिहासिक विवरण मुकना कुश्ती के अभ्यास और महत्व के बारे में बहुमूल्य जानकारी प्रदान करता है?")</f>
        <v>कौन सा ऐतिहासिक विवरण मुकना कुश्ती के अभ्यास और महत्व के बारे में बहुमूल्य जानकारी प्रदान करता है?</v>
      </c>
      <c r="H338" s="5" t="str">
        <f>IFERROR(__xludf.DUMMYFUNCTION("GOOGLETRANSLATE(C338, ""en"", ""hi"")"),"ए) राजमाला, बी) बुरांजी, सी) मणिपुरी वेद, डी) मनुस्मृति")</f>
        <v>ए) राजमाला, बी) बुरांजी, सी) मणिपुरी वेद, डी) मनुस्मृति</v>
      </c>
      <c r="I338" s="5" t="str">
        <f>IFERROR(__xludf.DUMMYFUNCTION("GOOGLETRANSLATE(D338, ""en"", ""hi"")"),"बी) बुरांजी")</f>
        <v>बी) बुरांजी</v>
      </c>
    </row>
    <row r="339" ht="22.5" customHeight="1">
      <c r="A339" s="3">
        <v>338.0</v>
      </c>
      <c r="B339" s="4" t="s">
        <v>13874</v>
      </c>
      <c r="C339" s="4" t="s">
        <v>12389</v>
      </c>
      <c r="D339" s="4" t="s">
        <v>12086</v>
      </c>
      <c r="F339" s="5" t="str">
        <f>IFERROR(__xludf.DUMMYFUNCTION("GOOGLETRANSLATE(A339, ""en"", ""hi"")"),"338")</f>
        <v>338</v>
      </c>
      <c r="G339" s="5" t="str">
        <f>IFERROR(__xludf.DUMMYFUNCTION("GOOGLETRANSLATE(B339, ""en"", ""hi"")"),"कौन सा मणिपुरी त्यौहार मुकना कुश्ती से निकटता से जुड़ा हुआ है?")</f>
        <v>कौन सा मणिपुरी त्यौहार मुकना कुश्ती से निकटता से जुड़ा हुआ है?</v>
      </c>
      <c r="H339" s="5" t="str">
        <f>IFERROR(__xludf.DUMMYFUNCTION("GOOGLETRANSLATE(C339, ""en"", ""hi"")"),"ए) लाई हराओबा, बी) याओशांग, सी) निंगोल चाकोउबा, डी) चेइराओबा")</f>
        <v>ए) लाई हराओबा, बी) याओशांग, सी) निंगोल चाकोउबा, डी) चेइराओबा</v>
      </c>
      <c r="I339" s="5" t="str">
        <f>IFERROR(__xludf.DUMMYFUNCTION("GOOGLETRANSLATE(D339, ""en"", ""hi"")"),"A) लाई हरोबा")</f>
        <v>A) लाई हरोबा</v>
      </c>
    </row>
    <row r="340" ht="22.5" customHeight="1">
      <c r="A340" s="3">
        <v>339.0</v>
      </c>
      <c r="B340" s="4" t="s">
        <v>13875</v>
      </c>
      <c r="C340" s="4" t="s">
        <v>13876</v>
      </c>
      <c r="D340" s="4" t="s">
        <v>13827</v>
      </c>
      <c r="F340" s="5" t="str">
        <f>IFERROR(__xludf.DUMMYFUNCTION("GOOGLETRANSLATE(A340, ""en"", ""hi"")"),"339")</f>
        <v>339</v>
      </c>
      <c r="G340" s="5" t="str">
        <f>IFERROR(__xludf.DUMMYFUNCTION("GOOGLETRANSLATE(B340, ""en"", ""hi"")"),"ऐतिहासिक मणिपुर में मुकना कुश्ती प्रशिक्षण का पारंपरिक पहलू क्या था?")</f>
        <v>ऐतिहासिक मणिपुर में मुकना कुश्ती प्रशिक्षण का पारंपरिक पहलू क्या था?</v>
      </c>
      <c r="H340" s="5" t="str">
        <f>IFERROR(__xludf.DUMMYFUNCTION("GOOGLETRANSLATE(C340, ""en"", ""hi"")"),"A) युद्ध तत्परता, B) शारीरिक सहनशक्ति, C) अनुष्ठान ज्ञान, D) सामाजिक कौशल")</f>
        <v>A) युद्ध तत्परता, B) शारीरिक सहनशक्ति, C) अनुष्ठान ज्ञान, D) सामाजिक कौशल</v>
      </c>
      <c r="I340" s="5" t="str">
        <f>IFERROR(__xludf.DUMMYFUNCTION("GOOGLETRANSLATE(D340, ""en"", ""hi"")"),"ए) युद्ध तत्परता")</f>
        <v>ए) युद्ध तत्परता</v>
      </c>
    </row>
    <row r="341" ht="22.5" customHeight="1">
      <c r="A341" s="3">
        <v>340.0</v>
      </c>
      <c r="B341" s="4" t="s">
        <v>13877</v>
      </c>
      <c r="C341" s="4" t="s">
        <v>13619</v>
      </c>
      <c r="D341" s="4" t="s">
        <v>13331</v>
      </c>
      <c r="F341" s="5" t="str">
        <f>IFERROR(__xludf.DUMMYFUNCTION("GOOGLETRANSLATE(A341, ""en"", ""hi"")"),"340")</f>
        <v>340</v>
      </c>
      <c r="G341" s="5" t="str">
        <f>IFERROR(__xludf.DUMMYFUNCTION("GOOGLETRANSLATE(B341, ""en"", ""hi"")"),"20वीं शताब्दी के दौरान मुकना कुश्ती के संरक्षण में अपने योगदान के लिए किस राजा को जाना जाता है?")</f>
        <v>20वीं शताब्दी के दौरान मुकना कुश्ती के संरक्षण में अपने योगदान के लिए किस राजा को जाना जाता है?</v>
      </c>
      <c r="H341" s="5" t="str">
        <f>IFERROR(__xludf.DUMMYFUNCTION("GOOGLETRANSLATE(C341,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41" s="5" t="str">
        <f>IFERROR(__xludf.DUMMYFUNCTION("GOOGLETRANSLATE(D341, ""en"", ""hi"")"),"A) महाराजा चूड़ाचंद सिंह")</f>
        <v>A) महाराजा चूड़ाचंद सिंह</v>
      </c>
    </row>
    <row r="342" ht="22.5" customHeight="1">
      <c r="A342" s="3">
        <v>341.0</v>
      </c>
      <c r="B342" s="4" t="s">
        <v>13878</v>
      </c>
      <c r="C342" s="4" t="s">
        <v>13801</v>
      </c>
      <c r="D342" s="4" t="s">
        <v>13750</v>
      </c>
      <c r="F342" s="5" t="str">
        <f>IFERROR(__xludf.DUMMYFUNCTION("GOOGLETRANSLATE(A342, ""en"", ""hi"")"),"341")</f>
        <v>341</v>
      </c>
      <c r="G342" s="5" t="str">
        <f>IFERROR(__xludf.DUMMYFUNCTION("GOOGLETRANSLATE(B342, ""en"", ""hi"")"),"मणिपुर में ऐतिहासिक मुकना कुश्ती मैट के लिए आमतौर पर किस सामग्री का उपयोग किया जाता था?")</f>
        <v>मणिपुर में ऐतिहासिक मुकना कुश्ती मैट के लिए आमतौर पर किस सामग्री का उपयोग किया जाता था?</v>
      </c>
      <c r="H342" s="5" t="str">
        <f>IFERROR(__xludf.DUMMYFUNCTION("GOOGLETRANSLATE(C342, ""en"", ""hi"")"),"A) पुआल, B) जूट, C) कपास, D) बांस")</f>
        <v>A) पुआल, B) जूट, C) कपास, D) बांस</v>
      </c>
      <c r="I342" s="5" t="str">
        <f>IFERROR(__xludf.DUMMYFUNCTION("GOOGLETRANSLATE(D342, ""en"", ""hi"")"),"एक पुआल")</f>
        <v>एक पुआल</v>
      </c>
    </row>
    <row r="343" ht="22.5" customHeight="1">
      <c r="A343" s="3">
        <v>342.0</v>
      </c>
      <c r="B343" s="4" t="s">
        <v>13879</v>
      </c>
      <c r="C343" s="4" t="s">
        <v>13649</v>
      </c>
      <c r="D343" s="4" t="s">
        <v>13572</v>
      </c>
      <c r="F343" s="5" t="str">
        <f>IFERROR(__xludf.DUMMYFUNCTION("GOOGLETRANSLATE(A343, ""en"", ""hi"")"),"342")</f>
        <v>342</v>
      </c>
      <c r="G343" s="5" t="str">
        <f>IFERROR(__xludf.DUMMYFUNCTION("GOOGLETRANSLATE(B343, ""en"", ""hi"")"),"कौन सा मणिपुरी ग्रंथ मुकना कुश्ती प्रथाओं और अनुष्ठानों का व्यापक विवरण प्रदान करता है?")</f>
        <v>कौन सा मणिपुरी ग्रंथ मुकना कुश्ती प्रथाओं और अनुष्ठानों का व्यापक विवरण प्रदान करता है?</v>
      </c>
      <c r="H343" s="5" t="str">
        <f>IFERROR(__xludf.DUMMYFUNCTION("GOOGLETRANSLATE(C343, ""en"", ""hi"")"),"ए) राजमाला, बी) बुरांजी, सी) मणिपुरी वेद, डी) मनुस्मृति")</f>
        <v>ए) राजमाला, बी) बुरांजी, सी) मणिपुरी वेद, डी) मनुस्मृति</v>
      </c>
      <c r="I343" s="5" t="str">
        <f>IFERROR(__xludf.DUMMYFUNCTION("GOOGLETRANSLATE(D343, ""en"", ""hi"")"),"बी) बुरांजी")</f>
        <v>बी) बुरांजी</v>
      </c>
    </row>
    <row r="344" ht="22.5" customHeight="1">
      <c r="A344" s="3">
        <v>343.0</v>
      </c>
      <c r="B344" s="4" t="s">
        <v>13880</v>
      </c>
      <c r="C344" s="4" t="s">
        <v>13881</v>
      </c>
      <c r="D344" s="4" t="s">
        <v>13882</v>
      </c>
      <c r="F344" s="5" t="str">
        <f>IFERROR(__xludf.DUMMYFUNCTION("GOOGLETRANSLATE(A344, ""en"", ""hi"")"),"343")</f>
        <v>343</v>
      </c>
      <c r="G344" s="5" t="str">
        <f>IFERROR(__xludf.DUMMYFUNCTION("GOOGLETRANSLATE(B344, ""en"", ""hi"")"),"ऐतिहासिक मणिपुरी समाज में मुकना कुश्ती का प्राथमिक उद्देश्य क्या था?")</f>
        <v>ऐतिहासिक मणिपुरी समाज में मुकना कुश्ती का प्राथमिक उद्देश्य क्या था?</v>
      </c>
      <c r="H344" s="5" t="str">
        <f>IFERROR(__xludf.DUMMYFUNCTION("GOOGLETRANSLATE(C344, ""en"", ""hi"")"),"A) युद्ध प्रशिक्षण, B) सामाजिक मनोरंजन, C) धार्मिक अनुष्ठान, D) राजनीतिक प्रदर्शन")</f>
        <v>A) युद्ध प्रशिक्षण, B) सामाजिक मनोरंजन, C) धार्मिक अनुष्ठान, D) राजनीतिक प्रदर्शन</v>
      </c>
      <c r="I344" s="5" t="str">
        <f>IFERROR(__xludf.DUMMYFUNCTION("GOOGLETRANSLATE(D344, ""en"", ""hi"")"),"ए) युद्ध प्रशिक्षण")</f>
        <v>ए) युद्ध प्रशिक्षण</v>
      </c>
    </row>
    <row r="345" ht="22.5" customHeight="1">
      <c r="A345" s="3">
        <v>344.0</v>
      </c>
      <c r="B345" s="4" t="s">
        <v>13883</v>
      </c>
      <c r="C345" s="4" t="s">
        <v>13704</v>
      </c>
      <c r="D345" s="4" t="s">
        <v>13474</v>
      </c>
      <c r="F345" s="5" t="str">
        <f>IFERROR(__xludf.DUMMYFUNCTION("GOOGLETRANSLATE(A345, ""en"", ""hi"")"),"344")</f>
        <v>344</v>
      </c>
      <c r="G345" s="5" t="str">
        <f>IFERROR(__xludf.DUMMYFUNCTION("GOOGLETRANSLATE(B345, ""en"", ""hi"")"),"मुकना कुश्ती के इतिहास को समझने के लिए कौन सा ऐतिहासिक ग्रन्थ आवश्यक है?")</f>
        <v>मुकना कुश्ती के इतिहास को समझने के लिए कौन सा ऐतिहासिक ग्रन्थ आवश्यक है?</v>
      </c>
      <c r="H345" s="5" t="str">
        <f>IFERROR(__xludf.DUMMYFUNCTION("GOOGLETRANSLATE(C345, ""en"", ""hi"")"),"ए) बुरांजी, बी) राजमाला, सी) मणिपुरी वेद, डी) मनुस्मृति")</f>
        <v>ए) बुरांजी, बी) राजमाला, सी) मणिपुरी वेद, डी) मनुस्मृति</v>
      </c>
      <c r="I345" s="5" t="str">
        <f>IFERROR(__xludf.DUMMYFUNCTION("GOOGLETRANSLATE(D345, ""en"", ""hi"")"),"ए) बुरांजी")</f>
        <v>ए) बुरांजी</v>
      </c>
    </row>
    <row r="346" ht="22.5" customHeight="1">
      <c r="A346" s="3">
        <v>345.0</v>
      </c>
      <c r="B346" s="4" t="s">
        <v>13884</v>
      </c>
      <c r="C346" s="4" t="s">
        <v>13885</v>
      </c>
      <c r="D346" s="4" t="s">
        <v>13808</v>
      </c>
      <c r="F346" s="5" t="str">
        <f>IFERROR(__xludf.DUMMYFUNCTION("GOOGLETRANSLATE(A346, ""en"", ""hi"")"),"345")</f>
        <v>345</v>
      </c>
      <c r="G346" s="5" t="str">
        <f>IFERROR(__xludf.DUMMYFUNCTION("GOOGLETRANSLATE(B346, ""en"", ""hi"")"),"औपनिवेशिक काल के दौरान मुकना कुश्ती के पतन में योगदान देने वाला प्रमुख कारक क्या था?")</f>
        <v>औपनिवेशिक काल के दौरान मुकना कुश्ती के पतन में योगदान देने वाला प्रमुख कारक क्या था?</v>
      </c>
      <c r="H346" s="5" t="str">
        <f>IFERROR(__xludf.DUMMYFUNCTION("GOOGLETRANSLATE(C346, ""en"", ""hi"")"),"A) पारंपरिक प्रथाओं का दमन, B) आर्थिक कठिनाइयाँ, C) सांस्कृतिक बदलाव, D) सैन्य संघर्ष")</f>
        <v>A) पारंपरिक प्रथाओं का दमन, B) आर्थिक कठिनाइयाँ, C) सांस्कृतिक बदलाव, D) सैन्य संघर्ष</v>
      </c>
      <c r="I346" s="5" t="str">
        <f>IFERROR(__xludf.DUMMYFUNCTION("GOOGLETRANSLATE(D346, ""en"", ""hi"")"),"A) पारंपरिक प्रथाओं का दमन")</f>
        <v>A) पारंपरिक प्रथाओं का दमन</v>
      </c>
    </row>
    <row r="347" ht="22.5" customHeight="1">
      <c r="A347" s="3">
        <v>346.0</v>
      </c>
      <c r="B347" s="4" t="s">
        <v>13886</v>
      </c>
      <c r="C347" s="4" t="s">
        <v>13619</v>
      </c>
      <c r="D347" s="4" t="s">
        <v>13331</v>
      </c>
      <c r="F347" s="5" t="str">
        <f>IFERROR(__xludf.DUMMYFUNCTION("GOOGLETRANSLATE(A347, ""en"", ""hi"")"),"346")</f>
        <v>346</v>
      </c>
      <c r="G347" s="5" t="str">
        <f>IFERROR(__xludf.DUMMYFUNCTION("GOOGLETRANSLATE(B347, ""en"", ""hi"")"),"किस मणिपुरी राजा ने पारंपरिक खेल के रूप में मुकना कुश्ती के पुनरुद्धार में महत्वपूर्ण भूमिका निभाई?")</f>
        <v>किस मणिपुरी राजा ने पारंपरिक खेल के रूप में मुकना कुश्ती के पुनरुद्धार में महत्वपूर्ण भूमिका निभाई?</v>
      </c>
      <c r="H347" s="5" t="str">
        <f>IFERROR(__xludf.DUMMYFUNCTION("GOOGLETRANSLATE(C347,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47" s="5" t="str">
        <f>IFERROR(__xludf.DUMMYFUNCTION("GOOGLETRANSLATE(D347, ""en"", ""hi"")"),"A) महाराजा चूड़ाचंद सिंह")</f>
        <v>A) महाराजा चूड़ाचंद सिंह</v>
      </c>
    </row>
    <row r="348" ht="22.5" customHeight="1">
      <c r="A348" s="3">
        <v>347.0</v>
      </c>
      <c r="B348" s="4" t="s">
        <v>13887</v>
      </c>
      <c r="C348" s="4" t="s">
        <v>13888</v>
      </c>
      <c r="D348" s="4" t="s">
        <v>13889</v>
      </c>
      <c r="F348" s="5" t="str">
        <f>IFERROR(__xludf.DUMMYFUNCTION("GOOGLETRANSLATE(A348, ""en"", ""hi"")"),"347")</f>
        <v>347</v>
      </c>
      <c r="G348" s="5" t="str">
        <f>IFERROR(__xludf.DUMMYFUNCTION("GOOGLETRANSLATE(B348, ""en"", ""hi"")"),"पारंपरिक मुकना कुश्ती पोशाक की उल्लेखनीय विशेषता क्या थी?")</f>
        <v>पारंपरिक मुकना कुश्ती पोशाक की उल्लेखनीय विशेषता क्या थी?</v>
      </c>
      <c r="H348" s="5" t="str">
        <f>IFERROR(__xludf.DUMMYFUNCTION("GOOGLETRANSLATE(C348, ""en"", ""hi"")"),"A) ढीले-ढाले सूती कपड़े, B) रेशमी वस्त्र, C) भारी गद्दी, D) विस्तृत सजावट")</f>
        <v>A) ढीले-ढाले सूती कपड़े, B) रेशमी वस्त्र, C) भारी गद्दी, D) विस्तृत सजावट</v>
      </c>
      <c r="I348" s="5" t="str">
        <f>IFERROR(__xludf.DUMMYFUNCTION("GOOGLETRANSLATE(D348, ""en"", ""hi"")"),"A) ढीला-ढाला सूती कपड़ा")</f>
        <v>A) ढीला-ढाला सूती कपड़ा</v>
      </c>
    </row>
    <row r="349" ht="22.5" customHeight="1">
      <c r="A349" s="3">
        <v>348.0</v>
      </c>
      <c r="B349" s="4" t="s">
        <v>13890</v>
      </c>
      <c r="C349" s="4" t="s">
        <v>13649</v>
      </c>
      <c r="D349" s="4" t="s">
        <v>13572</v>
      </c>
      <c r="F349" s="5" t="str">
        <f>IFERROR(__xludf.DUMMYFUNCTION("GOOGLETRANSLATE(A349, ""en"", ""hi"")"),"348")</f>
        <v>348</v>
      </c>
      <c r="G349" s="5" t="str">
        <f>IFERROR(__xludf.DUMMYFUNCTION("GOOGLETRANSLATE(B349, ""en"", ""hi"")"),"कौन सा ऐतिहासिक विवरण मुकना कुश्ती तकनीकों और प्रथाओं के बारे में विस्तृत जानकारी प्रदान करता है?")</f>
        <v>कौन सा ऐतिहासिक विवरण मुकना कुश्ती तकनीकों और प्रथाओं के बारे में विस्तृत जानकारी प्रदान करता है?</v>
      </c>
      <c r="H349" s="5" t="str">
        <f>IFERROR(__xludf.DUMMYFUNCTION("GOOGLETRANSLATE(C349, ""en"", ""hi"")"),"ए) राजमाला, बी) बुरांजी, सी) मणिपुरी वेद, डी) मनुस्मृति")</f>
        <v>ए) राजमाला, बी) बुरांजी, सी) मणिपुरी वेद, डी) मनुस्मृति</v>
      </c>
      <c r="I349" s="5" t="str">
        <f>IFERROR(__xludf.DUMMYFUNCTION("GOOGLETRANSLATE(D349, ""en"", ""hi"")"),"बी) बुरांजी")</f>
        <v>बी) बुरांजी</v>
      </c>
    </row>
    <row r="350" ht="22.5" customHeight="1">
      <c r="A350" s="3">
        <v>349.0</v>
      </c>
      <c r="B350" s="4" t="s">
        <v>13891</v>
      </c>
      <c r="C350" s="4" t="s">
        <v>12389</v>
      </c>
      <c r="D350" s="4" t="s">
        <v>12086</v>
      </c>
      <c r="F350" s="5" t="str">
        <f>IFERROR(__xludf.DUMMYFUNCTION("GOOGLETRANSLATE(A350, ""en"", ""hi"")"),"349")</f>
        <v>349</v>
      </c>
      <c r="G350" s="5" t="str">
        <f>IFERROR(__xludf.DUMMYFUNCTION("GOOGLETRANSLATE(B350, ""en"", ""hi"")"),"ऐतिहासिक रूप से किस मणिपुरी उत्सव में मुकना कुश्ती प्रतिभागियों की संख्या सबसे अधिक थी?")</f>
        <v>ऐतिहासिक रूप से किस मणिपुरी उत्सव में मुकना कुश्ती प्रतिभागियों की संख्या सबसे अधिक थी?</v>
      </c>
      <c r="H350" s="5" t="str">
        <f>IFERROR(__xludf.DUMMYFUNCTION("GOOGLETRANSLATE(C350, ""en"", ""hi"")"),"ए) लाई हराओबा, बी) याओशांग, सी) निंगोल चाकोउबा, डी) चेइराओबा")</f>
        <v>ए) लाई हराओबा, बी) याओशांग, सी) निंगोल चाकोउबा, डी) चेइराओबा</v>
      </c>
      <c r="I350" s="5" t="str">
        <f>IFERROR(__xludf.DUMMYFUNCTION("GOOGLETRANSLATE(D350, ""en"", ""hi"")"),"A) लाई हरोबा")</f>
        <v>A) लाई हरोबा</v>
      </c>
    </row>
    <row r="351" ht="22.5" customHeight="1">
      <c r="A351" s="3">
        <v>350.0</v>
      </c>
      <c r="B351" s="4" t="s">
        <v>13528</v>
      </c>
      <c r="C351" s="4" t="s">
        <v>13892</v>
      </c>
      <c r="D351" s="4" t="s">
        <v>13827</v>
      </c>
      <c r="F351" s="5" t="str">
        <f>IFERROR(__xludf.DUMMYFUNCTION("GOOGLETRANSLATE(A351, ""en"", ""hi"")"),"350")</f>
        <v>350</v>
      </c>
      <c r="G351" s="5" t="str">
        <f>IFERROR(__xludf.DUMMYFUNCTION("GOOGLETRANSLATE(B351, ""en"", ""hi"")"),"पारंपरिक प्रशिक्षण में मुकना कुश्ती के किस पहलू पर जोर दिया जाता था?")</f>
        <v>पारंपरिक प्रशिक्षण में मुकना कुश्ती के किस पहलू पर जोर दिया जाता था?</v>
      </c>
      <c r="H351" s="5" t="str">
        <f>IFERROR(__xludf.DUMMYFUNCTION("GOOGLETRANSLATE(C351, ""en"", ""hi"")"),"A) युद्ध तत्परता, B) शारीरिक सहनशक्ति, C) अनुष्ठान ज्ञान, D) सामाजिक संपर्क")</f>
        <v>A) युद्ध तत्परता, B) शारीरिक सहनशक्ति, C) अनुष्ठान ज्ञान, D) सामाजिक संपर्क</v>
      </c>
      <c r="I351" s="5" t="str">
        <f>IFERROR(__xludf.DUMMYFUNCTION("GOOGLETRANSLATE(D351, ""en"", ""hi"")"),"ए) युद्ध तत्परता")</f>
        <v>ए) युद्ध तत्परता</v>
      </c>
    </row>
    <row r="352" ht="22.5" customHeight="1">
      <c r="A352" s="3">
        <v>351.0</v>
      </c>
      <c r="B352" s="4" t="s">
        <v>13893</v>
      </c>
      <c r="C352" s="4" t="s">
        <v>13610</v>
      </c>
      <c r="D352" s="4" t="s">
        <v>13611</v>
      </c>
      <c r="F352" s="5" t="str">
        <f>IFERROR(__xludf.DUMMYFUNCTION("GOOGLETRANSLATE(A352, ""en"", ""hi"")"),"351")</f>
        <v>351</v>
      </c>
      <c r="G352" s="5" t="str">
        <f>IFERROR(__xludf.DUMMYFUNCTION("GOOGLETRANSLATE(B352, ""en"", ""hi"")"),"20वीं सदी के आरंभ में मणिपुर में मुकना कुश्ती प्रथाओं का दस्तावेजीकरण करने का श्रेय किस ऐतिहासिक व्यक्ति को दिया जाता है?")</f>
        <v>20वीं सदी के आरंभ में मणिपुर में मुकना कुश्ती प्रथाओं का दस्तावेजीकरण करने का श्रेय किस ऐतिहासिक व्यक्ति को दिया जाता है?</v>
      </c>
      <c r="H352" s="5" t="str">
        <f>IFERROR(__xludf.DUMMYFUNCTION("GOOGLETRANSLATE(C352, ""en"", ""hi"")"),"A) जी. ई. हार्वे, B) रॉबर्ट गॉर्डन, C) आर. एन. शर्मा, D) ए. बी. जॉर्ज")</f>
        <v>A) जी. ई. हार्वे, B) रॉबर्ट गॉर्डन, C) आर. एन. शर्मा, D) ए. बी. जॉर्ज</v>
      </c>
      <c r="I352" s="5" t="str">
        <f>IFERROR(__xludf.DUMMYFUNCTION("GOOGLETRANSLATE(D352, ""en"", ""hi"")"),"A) जी. ई. हार्वे")</f>
        <v>A) जी. ई. हार्वे</v>
      </c>
    </row>
    <row r="353" ht="22.5" customHeight="1">
      <c r="A353" s="3">
        <v>352.0</v>
      </c>
      <c r="B353" s="4" t="s">
        <v>13894</v>
      </c>
      <c r="C353" s="4" t="s">
        <v>13895</v>
      </c>
      <c r="D353" s="4" t="s">
        <v>13882</v>
      </c>
      <c r="F353" s="5" t="str">
        <f>IFERROR(__xludf.DUMMYFUNCTION("GOOGLETRANSLATE(A353, ""en"", ""hi"")"),"352")</f>
        <v>352</v>
      </c>
      <c r="G353" s="5" t="str">
        <f>IFERROR(__xludf.DUMMYFUNCTION("GOOGLETRANSLATE(B353, ""en"", ""hi"")"),"मणिपुरी युद्ध में मुकना कुश्ती की पारंपरिक भूमिका क्या थी?")</f>
        <v>मणिपुरी युद्ध में मुकना कुश्ती की पारंपरिक भूमिका क्या थी?</v>
      </c>
      <c r="H353" s="5" t="str">
        <f>IFERROR(__xludf.DUMMYFUNCTION("GOOGLETRANSLATE(C353, ""en"", ""hi"")"),"A) युद्ध प्रशिक्षण, B) अनुष्ठान तैयारी, C) सामाजिक बंधन, D) कलात्मक अभिव्यक्ति")</f>
        <v>A) युद्ध प्रशिक्षण, B) अनुष्ठान तैयारी, C) सामाजिक बंधन, D) कलात्मक अभिव्यक्ति</v>
      </c>
      <c r="I353" s="5" t="str">
        <f>IFERROR(__xludf.DUMMYFUNCTION("GOOGLETRANSLATE(D353, ""en"", ""hi"")"),"ए) युद्ध प्रशिक्षण")</f>
        <v>ए) युद्ध प्रशिक्षण</v>
      </c>
    </row>
    <row r="354" ht="22.5" customHeight="1">
      <c r="A354" s="3">
        <v>353.0</v>
      </c>
      <c r="B354" s="4" t="s">
        <v>13896</v>
      </c>
      <c r="C354" s="4" t="s">
        <v>13687</v>
      </c>
      <c r="D354" s="4" t="s">
        <v>13688</v>
      </c>
      <c r="F354" s="5" t="str">
        <f>IFERROR(__xludf.DUMMYFUNCTION("GOOGLETRANSLATE(A354, ""en"", ""hi"")"),"353")</f>
        <v>353</v>
      </c>
      <c r="G354" s="5" t="str">
        <f>IFERROR(__xludf.DUMMYFUNCTION("GOOGLETRANSLATE(B354, ""en"", ""hi"")"),"कौन सा मणिपुरी राजा मुकना कुश्ती तकनीक को औपचारिक रूप देने के अपने प्रयासों के लिए जाना जाता है?")</f>
        <v>कौन सा मणिपुरी राजा मुकना कुश्ती तकनीक को औपचारिक रूप देने के अपने प्रयासों के लिए जाना जाता है?</v>
      </c>
      <c r="H354" s="5" t="str">
        <f>IFERROR(__xludf.DUMMYFUNCTION("GOOGLETRANSLATE(C354,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354" s="5" t="str">
        <f>IFERROR(__xludf.DUMMYFUNCTION("GOOGLETRANSLATE(D354, ""en"", ""hi"")"),"बी) महाराजा चूड़ाचंद सिंह")</f>
        <v>बी) महाराजा चूड़ाचंद सिंह</v>
      </c>
    </row>
    <row r="355" ht="22.5" customHeight="1">
      <c r="A355" s="3">
        <v>354.0</v>
      </c>
      <c r="B355" s="4" t="s">
        <v>13642</v>
      </c>
      <c r="C355" s="4" t="s">
        <v>13897</v>
      </c>
      <c r="D355" s="4" t="s">
        <v>13864</v>
      </c>
      <c r="F355" s="5" t="str">
        <f>IFERROR(__xludf.DUMMYFUNCTION("GOOGLETRANSLATE(A355, ""en"", ""hi"")"),"354")</f>
        <v>354</v>
      </c>
      <c r="G355" s="5" t="str">
        <f>IFERROR(__xludf.DUMMYFUNCTION("GOOGLETRANSLATE(B355, ""en"", ""hi"")"),"ब्रिटिश शासन के दौरान मुकना कुश्ती के पतन का एक महत्वपूर्ण कारण क्या था?")</f>
        <v>ब्रिटिश शासन के दौरान मुकना कुश्ती के पतन का एक महत्वपूर्ण कारण क्या था?</v>
      </c>
      <c r="H355" s="5" t="str">
        <f>IFERROR(__xludf.DUMMYFUNCTION("GOOGLETRANSLATE(C355, ""en"", ""hi"")"),"A) औपनिवेशिक नीतियाँ, B) आर्थिक दबाव, C) सांस्कृतिक परिवर्तन, D) सैन्य संघर्ष")</f>
        <v>A) औपनिवेशिक नीतियाँ, B) आर्थिक दबाव, C) सांस्कृतिक परिवर्तन, D) सैन्य संघर्ष</v>
      </c>
      <c r="I355" s="5" t="str">
        <f>IFERROR(__xludf.DUMMYFUNCTION("GOOGLETRANSLATE(D355, ""en"", ""hi"")"),"A) औपनिवेशिक नीतियां")</f>
        <v>A) औपनिवेशिक नीतियां</v>
      </c>
    </row>
    <row r="356" ht="22.5" customHeight="1">
      <c r="A356" s="3">
        <v>355.0</v>
      </c>
      <c r="B356" s="4" t="s">
        <v>13898</v>
      </c>
      <c r="C356" s="4" t="s">
        <v>13704</v>
      </c>
      <c r="D356" s="4" t="s">
        <v>13474</v>
      </c>
      <c r="F356" s="5" t="str">
        <f>IFERROR(__xludf.DUMMYFUNCTION("GOOGLETRANSLATE(A356, ""en"", ""hi"")"),"355")</f>
        <v>355</v>
      </c>
      <c r="G356" s="5" t="str">
        <f>IFERROR(__xludf.DUMMYFUNCTION("GOOGLETRANSLATE(B356, ""en"", ""hi"")"),"मुकना कुश्ती प्रथाओं को समझने के लिए कौन सा ऐतिहासिक ग्रंथ महत्वपूर्ण है?")</f>
        <v>मुकना कुश्ती प्रथाओं को समझने के लिए कौन सा ऐतिहासिक ग्रंथ महत्वपूर्ण है?</v>
      </c>
      <c r="H356" s="5" t="str">
        <f>IFERROR(__xludf.DUMMYFUNCTION("GOOGLETRANSLATE(C356, ""en"", ""hi"")"),"ए) बुरांजी, बी) राजमाला, सी) मणिपुरी वेद, डी) मनुस्मृति")</f>
        <v>ए) बुरांजी, बी) राजमाला, सी) मणिपुरी वेद, डी) मनुस्मृति</v>
      </c>
      <c r="I356" s="5" t="str">
        <f>IFERROR(__xludf.DUMMYFUNCTION("GOOGLETRANSLATE(D356, ""en"", ""hi"")"),"ए) बुरांजी")</f>
        <v>ए) बुरांजी</v>
      </c>
    </row>
    <row r="357" ht="22.5" customHeight="1">
      <c r="A357" s="3">
        <v>356.0</v>
      </c>
      <c r="B357" s="4" t="s">
        <v>13899</v>
      </c>
      <c r="C357" s="4" t="s">
        <v>13830</v>
      </c>
      <c r="D357" s="4" t="s">
        <v>13831</v>
      </c>
      <c r="F357" s="5" t="str">
        <f>IFERROR(__xludf.DUMMYFUNCTION("GOOGLETRANSLATE(A357, ""en"", ""hi"")"),"356")</f>
        <v>356</v>
      </c>
      <c r="G357" s="5" t="str">
        <f>IFERROR(__xludf.DUMMYFUNCTION("GOOGLETRANSLATE(B357, ""en"", ""hi"")"),"ऐतिहासिक मणिपुर में मुकना कुश्ती मैचों के लिए पारंपरिक पोशाक क्या थी?")</f>
        <v>ऐतिहासिक मणिपुर में मुकना कुश्ती मैचों के लिए पारंपरिक पोशाक क्या थी?</v>
      </c>
      <c r="H357" s="5" t="str">
        <f>IFERROR(__xludf.DUMMYFUNCTION("GOOGLETRANSLATE(C357, ""en"", ""hi"")"),"A) सूती वस्त्र, B) रेशमी वस्त्र, C) ऊनी पोशाकें, D) चमड़े का कवच")</f>
        <v>A) सूती वस्त्र, B) रेशमी वस्त्र, C) ऊनी पोशाकें, D) चमड़े का कवच</v>
      </c>
      <c r="I357" s="5" t="str">
        <f>IFERROR(__xludf.DUMMYFUNCTION("GOOGLETRANSLATE(D357, ""en"", ""hi"")"),"A) सूती वस्त्र")</f>
        <v>A) सूती वस्त्र</v>
      </c>
    </row>
    <row r="358" ht="22.5" customHeight="1">
      <c r="A358" s="3">
        <v>357.0</v>
      </c>
      <c r="B358" s="4" t="s">
        <v>13900</v>
      </c>
      <c r="C358" s="4" t="s">
        <v>13619</v>
      </c>
      <c r="D358" s="4" t="s">
        <v>13331</v>
      </c>
      <c r="F358" s="5" t="str">
        <f>IFERROR(__xludf.DUMMYFUNCTION("GOOGLETRANSLATE(A358, ""en"", ""hi"")"),"357")</f>
        <v>357</v>
      </c>
      <c r="G358" s="5" t="str">
        <f>IFERROR(__xludf.DUMMYFUNCTION("GOOGLETRANSLATE(B358, ""en"", ""hi"")"),"किस राजा को मुकना कुश्ती को एक सांस्कृतिक प्रथा के रूप में पुनर्जीवित करने में उनकी भूमिका के लिए जाना जाता है?")</f>
        <v>किस राजा को मुकना कुश्ती को एक सांस्कृतिक प्रथा के रूप में पुनर्जीवित करने में उनकी भूमिका के लिए जाना जाता है?</v>
      </c>
      <c r="H358" s="5" t="str">
        <f>IFERROR(__xludf.DUMMYFUNCTION("GOOGLETRANSLATE(C358,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58" s="5" t="str">
        <f>IFERROR(__xludf.DUMMYFUNCTION("GOOGLETRANSLATE(D358, ""en"", ""hi"")"),"A) महाराजा चूड़ाचंद सिंह")</f>
        <v>A) महाराजा चूड़ाचंद सिंह</v>
      </c>
    </row>
    <row r="359" ht="22.5" customHeight="1">
      <c r="A359" s="3">
        <v>358.0</v>
      </c>
      <c r="B359" s="4" t="s">
        <v>13832</v>
      </c>
      <c r="C359" s="4" t="s">
        <v>13901</v>
      </c>
      <c r="D359" s="4" t="s">
        <v>13834</v>
      </c>
      <c r="F359" s="5" t="str">
        <f>IFERROR(__xludf.DUMMYFUNCTION("GOOGLETRANSLATE(A359, ""en"", ""hi"")"),"358")</f>
        <v>358</v>
      </c>
      <c r="G359" s="5" t="str">
        <f>IFERROR(__xludf.DUMMYFUNCTION("GOOGLETRANSLATE(B359, ""en"", ""hi"")"),"मुकना कुश्ती पर ब्रिटिश औपनिवेशिक शासन का क्या प्रभाव पड़ा?")</f>
        <v>मुकना कुश्ती पर ब्रिटिश औपनिवेशिक शासन का क्या प्रभाव पड़ा?</v>
      </c>
      <c r="H359" s="5" t="str">
        <f>IFERROR(__xludf.DUMMYFUNCTION("GOOGLETRANSLATE(C359, ""en"", ""hi"")"),"A) लोकप्रियता में गिरावट, B) बढ़ा हुआ प्रदर्शन, C) प्रथाओं का संरक्षण, D) नए नियमों का परिचय")</f>
        <v>A) लोकप्रियता में गिरावट, B) बढ़ा हुआ प्रदर्शन, C) प्रथाओं का संरक्षण, D) नए नियमों का परिचय</v>
      </c>
      <c r="I359" s="5" t="str">
        <f>IFERROR(__xludf.DUMMYFUNCTION("GOOGLETRANSLATE(D359, ""en"", ""hi"")"),"A) लोकप्रियता में गिरावट")</f>
        <v>A) लोकप्रियता में गिरावट</v>
      </c>
    </row>
    <row r="360" ht="22.5" customHeight="1">
      <c r="A360" s="3">
        <v>359.0</v>
      </c>
      <c r="B360" s="4" t="s">
        <v>13902</v>
      </c>
      <c r="C360" s="4" t="s">
        <v>12389</v>
      </c>
      <c r="D360" s="4" t="s">
        <v>12086</v>
      </c>
      <c r="F360" s="5" t="str">
        <f>IFERROR(__xludf.DUMMYFUNCTION("GOOGLETRANSLATE(A360, ""en"", ""hi"")"),"359")</f>
        <v>359</v>
      </c>
      <c r="G360" s="5" t="str">
        <f>IFERROR(__xludf.DUMMYFUNCTION("GOOGLETRANSLATE(B360, ""en"", ""hi"")"),"ऐतिहासिक रूप से किस मणिपुरी त्यौहार में मुकना कुश्ती की सबसे महत्वपूर्ण भागीदारी देखी गई?")</f>
        <v>ऐतिहासिक रूप से किस मणिपुरी त्यौहार में मुकना कुश्ती की सबसे महत्वपूर्ण भागीदारी देखी गई?</v>
      </c>
      <c r="H360" s="5" t="str">
        <f>IFERROR(__xludf.DUMMYFUNCTION("GOOGLETRANSLATE(C360, ""en"", ""hi"")"),"ए) लाई हराओबा, बी) याओशांग, सी) निंगोल चाकोउबा, डी) चेइराओबा")</f>
        <v>ए) लाई हराओबा, बी) याओशांग, सी) निंगोल चाकोउबा, डी) चेइराओबा</v>
      </c>
      <c r="I360" s="5" t="str">
        <f>IFERROR(__xludf.DUMMYFUNCTION("GOOGLETRANSLATE(D360, ""en"", ""hi"")"),"A) लाई हरोबा")</f>
        <v>A) लाई हरोबा</v>
      </c>
    </row>
    <row r="361" ht="22.5" customHeight="1">
      <c r="A361" s="3">
        <v>360.0</v>
      </c>
      <c r="B361" s="4" t="s">
        <v>13903</v>
      </c>
      <c r="C361" s="4" t="s">
        <v>13904</v>
      </c>
      <c r="D361" s="4" t="s">
        <v>13882</v>
      </c>
      <c r="F361" s="5" t="str">
        <f>IFERROR(__xludf.DUMMYFUNCTION("GOOGLETRANSLATE(A361, ""en"", ""hi"")"),"360")</f>
        <v>360</v>
      </c>
      <c r="G361" s="5" t="str">
        <f>IFERROR(__xludf.DUMMYFUNCTION("GOOGLETRANSLATE(B361, ""en"", ""hi"")"),"ऐतिहासिक मणिपुर में मुकना कुश्ती का प्राथमिक उद्देश्य क्या था?")</f>
        <v>ऐतिहासिक मणिपुर में मुकना कुश्ती का प्राथमिक उद्देश्य क्या था?</v>
      </c>
      <c r="H361" s="5" t="str">
        <f>IFERROR(__xludf.DUMMYFUNCTION("GOOGLETRANSLATE(C361, ""en"", ""hi"")"),"A) युद्ध प्रशिक्षण, B) मनोरंजन, C) धार्मिक अनुष्ठान, D) सामाजिक स्थिति")</f>
        <v>A) युद्ध प्रशिक्षण, B) मनोरंजन, C) धार्मिक अनुष्ठान, D) सामाजिक स्थिति</v>
      </c>
      <c r="I361" s="5" t="str">
        <f>IFERROR(__xludf.DUMMYFUNCTION("GOOGLETRANSLATE(D361, ""en"", ""hi"")"),"ए) युद्ध प्रशिक्षण")</f>
        <v>ए) युद्ध प्रशिक्षण</v>
      </c>
    </row>
    <row r="362" ht="22.5" customHeight="1">
      <c r="A362" s="3">
        <v>361.0</v>
      </c>
      <c r="B362" s="4" t="s">
        <v>13905</v>
      </c>
      <c r="C362" s="4" t="s">
        <v>13704</v>
      </c>
      <c r="D362" s="4" t="s">
        <v>13765</v>
      </c>
      <c r="F362" s="5" t="str">
        <f>IFERROR(__xludf.DUMMYFUNCTION("GOOGLETRANSLATE(A362, ""en"", ""hi"")"),"361")</f>
        <v>361</v>
      </c>
      <c r="G362" s="5" t="str">
        <f>IFERROR(__xludf.DUMMYFUNCTION("GOOGLETRANSLATE(B362, ""en"", ""hi"")"),"मुकना कुश्ती के विकास को समझने के लिए कौन सा ऐतिहासिक दस्तावेज आवश्यक है?")</f>
        <v>मुकना कुश्ती के विकास को समझने के लिए कौन सा ऐतिहासिक दस्तावेज आवश्यक है?</v>
      </c>
      <c r="H362" s="5" t="str">
        <f>IFERROR(__xludf.DUMMYFUNCTION("GOOGLETRANSLATE(C362, ""en"", ""hi"")"),"ए) बुरांजी, बी) राजमाला, सी) मणिपुरी वेद, डी) मनुस्मृति")</f>
        <v>ए) बुरांजी, बी) राजमाला, सी) मणिपुरी वेद, डी) मनुस्मृति</v>
      </c>
      <c r="I362" s="5" t="str">
        <f>IFERROR(__xludf.DUMMYFUNCTION("GOOGLETRANSLATE(D362, ""en"", ""hi"")"),"बी) राजमाला")</f>
        <v>बी) राजमाला</v>
      </c>
    </row>
    <row r="363" ht="22.5" customHeight="1">
      <c r="A363" s="3">
        <v>362.0</v>
      </c>
      <c r="B363" s="4" t="s">
        <v>13906</v>
      </c>
      <c r="C363" s="4" t="s">
        <v>13907</v>
      </c>
      <c r="D363" s="4" t="s">
        <v>13797</v>
      </c>
      <c r="F363" s="5" t="str">
        <f>IFERROR(__xludf.DUMMYFUNCTION("GOOGLETRANSLATE(A363, ""en"", ""hi"")"),"362")</f>
        <v>362</v>
      </c>
      <c r="G363" s="5" t="str">
        <f>IFERROR(__xludf.DUMMYFUNCTION("GOOGLETRANSLATE(B363, ""en"", ""hi"")"),"मणिपुर में मुकना कुश्ती पोशाक की पारंपरिक विशेषता क्या थी?")</f>
        <v>मणिपुर में मुकना कुश्ती पोशाक की पारंपरिक विशेषता क्या थी?</v>
      </c>
      <c r="H363" s="5" t="str">
        <f>IFERROR(__xludf.DUMMYFUNCTION("GOOGLETRANSLATE(C363, ""en"", ""hi"")"),"A) ढीली फिटिंग, B) चमकीले रंग, C) भारी पैडिंग, D) सजावटी डिज़ाइन")</f>
        <v>A) ढीली फिटिंग, B) चमकीले रंग, C) भारी पैडिंग, D) सजावटी डिज़ाइन</v>
      </c>
      <c r="I363" s="5" t="str">
        <f>IFERROR(__xludf.DUMMYFUNCTION("GOOGLETRANSLATE(D363, ""en"", ""hi"")"),"A) ढीली फिटिंग")</f>
        <v>A) ढीली फिटिंग</v>
      </c>
    </row>
    <row r="364" ht="22.5" customHeight="1">
      <c r="A364" s="3">
        <v>363.0</v>
      </c>
      <c r="B364" s="4" t="s">
        <v>13908</v>
      </c>
      <c r="C364" s="4" t="s">
        <v>13619</v>
      </c>
      <c r="D364" s="4" t="s">
        <v>13331</v>
      </c>
      <c r="F364" s="5" t="str">
        <f>IFERROR(__xludf.DUMMYFUNCTION("GOOGLETRANSLATE(A364, ""en"", ""hi"")"),"363")</f>
        <v>363</v>
      </c>
      <c r="G364" s="5" t="str">
        <f>IFERROR(__xludf.DUMMYFUNCTION("GOOGLETRANSLATE(B364, ""en"", ""hi"")"),"20वीं शताब्दी के दौरान मुकना कुश्ती के पुनरुद्धार में किस मणिपुरी राजा ने महत्वपूर्ण भूमिका निभाई?")</f>
        <v>20वीं शताब्दी के दौरान मुकना कुश्ती के पुनरुद्धार में किस मणिपुरी राजा ने महत्वपूर्ण भूमिका निभाई?</v>
      </c>
      <c r="H364" s="5" t="str">
        <f>IFERROR(__xludf.DUMMYFUNCTION("GOOGLETRANSLATE(C364,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64" s="5" t="str">
        <f>IFERROR(__xludf.DUMMYFUNCTION("GOOGLETRANSLATE(D364, ""en"", ""hi"")"),"A) महाराजा चूड़ाचंद सिंह")</f>
        <v>A) महाराजा चूड़ाचंद सिंह</v>
      </c>
    </row>
    <row r="365" ht="22.5" customHeight="1">
      <c r="A365" s="3">
        <v>364.0</v>
      </c>
      <c r="B365" s="4" t="s">
        <v>13909</v>
      </c>
      <c r="C365" s="4" t="s">
        <v>13910</v>
      </c>
      <c r="D365" s="4" t="s">
        <v>13823</v>
      </c>
      <c r="F365" s="5" t="str">
        <f>IFERROR(__xludf.DUMMYFUNCTION("GOOGLETRANSLATE(A365, ""en"", ""hi"")"),"364")</f>
        <v>364</v>
      </c>
      <c r="G365" s="5" t="str">
        <f>IFERROR(__xludf.DUMMYFUNCTION("GOOGLETRANSLATE(B365, ""en"", ""hi"")"),"ऐतिहासिक समय में मुकना कुश्ती मैट की उल्लेखनीय विशेषता क्या थी?")</f>
        <v>ऐतिहासिक समय में मुकना कुश्ती मैट की उल्लेखनीय विशेषता क्या थी?</v>
      </c>
      <c r="H365" s="5" t="str">
        <f>IFERROR(__xludf.DUMMYFUNCTION("GOOGLETRANSLATE(C365, ""en"", ""hi"")"),"A) पुआल से बना, B) जूट से ढका, C) गद्दी से सुसज्जित, D) पैटर्न से अलंकृत")</f>
        <v>A) पुआल से बना, B) जूट से ढका, C) गद्दी से सुसज्जित, D) पैटर्न से अलंकृत</v>
      </c>
      <c r="I365" s="5" t="str">
        <f>IFERROR(__xludf.DUMMYFUNCTION("GOOGLETRANSLATE(D365, ""en"", ""hi"")"),"A) भूसे से बना")</f>
        <v>A) भूसे से बना</v>
      </c>
    </row>
    <row r="366" ht="22.5" customHeight="1">
      <c r="A366" s="3">
        <v>365.0</v>
      </c>
      <c r="B366" s="4" t="s">
        <v>13911</v>
      </c>
      <c r="C366" s="4" t="s">
        <v>13704</v>
      </c>
      <c r="D366" s="4" t="s">
        <v>13474</v>
      </c>
      <c r="F366" s="5" t="str">
        <f>IFERROR(__xludf.DUMMYFUNCTION("GOOGLETRANSLATE(A366, ""en"", ""hi"")"),"365")</f>
        <v>365</v>
      </c>
      <c r="G366" s="5" t="str">
        <f>IFERROR(__xludf.DUMMYFUNCTION("GOOGLETRANSLATE(B366, ""en"", ""hi"")"),"कौन सा ऐतिहासिक ग्रंथ मुकना कुश्ती प्रथाओं और तकनीकों के बारे में विस्तृत जानकारी प्रदान करता है?")</f>
        <v>कौन सा ऐतिहासिक ग्रंथ मुकना कुश्ती प्रथाओं और तकनीकों के बारे में विस्तृत जानकारी प्रदान करता है?</v>
      </c>
      <c r="H366" s="5" t="str">
        <f>IFERROR(__xludf.DUMMYFUNCTION("GOOGLETRANSLATE(C366, ""en"", ""hi"")"),"ए) बुरांजी, बी) राजमाला, सी) मणिपुरी वेद, डी) मनुस्मृति")</f>
        <v>ए) बुरांजी, बी) राजमाला, सी) मणिपुरी वेद, डी) मनुस्मृति</v>
      </c>
      <c r="I366" s="5" t="str">
        <f>IFERROR(__xludf.DUMMYFUNCTION("GOOGLETRANSLATE(D366, ""en"", ""hi"")"),"ए) बुरांजी")</f>
        <v>ए) बुरांजी</v>
      </c>
    </row>
    <row r="367" ht="22.5" customHeight="1">
      <c r="A367" s="3">
        <v>366.0</v>
      </c>
      <c r="B367" s="4" t="s">
        <v>13912</v>
      </c>
      <c r="C367" s="4" t="s">
        <v>13913</v>
      </c>
      <c r="D367" s="4" t="s">
        <v>13882</v>
      </c>
      <c r="F367" s="5" t="str">
        <f>IFERROR(__xludf.DUMMYFUNCTION("GOOGLETRANSLATE(A367, ""en"", ""hi"")"),"366")</f>
        <v>366</v>
      </c>
      <c r="G367" s="5" t="str">
        <f>IFERROR(__xludf.DUMMYFUNCTION("GOOGLETRANSLATE(B367, ""en"", ""hi"")"),"मणिपुरी समाज में मुकना कुश्ती का पारंपरिक उद्देश्य क्या था?")</f>
        <v>मणिपुरी समाज में मुकना कुश्ती का पारंपरिक उद्देश्य क्या था?</v>
      </c>
      <c r="H367" s="5" t="str">
        <f>IFERROR(__xludf.DUMMYFUNCTION("GOOGLETRANSLATE(C367, ""en"", ""hi"")"),"A) युद्ध प्रशिक्षण, B) सामाजिक मनोरंजन, C) धार्मिक समारोह, D) राजनीतिक प्रदर्शन")</f>
        <v>A) युद्ध प्रशिक्षण, B) सामाजिक मनोरंजन, C) धार्मिक समारोह, D) राजनीतिक प्रदर्शन</v>
      </c>
      <c r="I367" s="5" t="str">
        <f>IFERROR(__xludf.DUMMYFUNCTION("GOOGLETRANSLATE(D367, ""en"", ""hi"")"),"ए) युद्ध प्रशिक्षण")</f>
        <v>ए) युद्ध प्रशिक्षण</v>
      </c>
    </row>
    <row r="368" ht="22.5" customHeight="1">
      <c r="A368" s="3">
        <v>367.0</v>
      </c>
      <c r="B368" s="4" t="s">
        <v>13914</v>
      </c>
      <c r="C368" s="4" t="s">
        <v>13619</v>
      </c>
      <c r="D368" s="4" t="s">
        <v>13331</v>
      </c>
      <c r="F368" s="5" t="str">
        <f>IFERROR(__xludf.DUMMYFUNCTION("GOOGLETRANSLATE(A368, ""en"", ""hi"")"),"367")</f>
        <v>367</v>
      </c>
      <c r="G368" s="5" t="str">
        <f>IFERROR(__xludf.DUMMYFUNCTION("GOOGLETRANSLATE(B368, ""en"", ""hi"")"),"कौन सा मणिपुरी राजा मुकना कुश्ती को पारंपरिक प्रथा के रूप में संरक्षित करने के अपने प्रयासों के लिए जाना जाता है?")</f>
        <v>कौन सा मणिपुरी राजा मुकना कुश्ती को पारंपरिक प्रथा के रूप में संरक्षित करने के अपने प्रयासों के लिए जाना जाता है?</v>
      </c>
      <c r="H368" s="5" t="str">
        <f>IFERROR(__xludf.DUMMYFUNCTION("GOOGLETRANSLATE(C368,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68" s="5" t="str">
        <f>IFERROR(__xludf.DUMMYFUNCTION("GOOGLETRANSLATE(D368, ""en"", ""hi"")"),"A) महाराजा चूड़ाचंद सिंह")</f>
        <v>A) महाराजा चूड़ाचंद सिंह</v>
      </c>
    </row>
    <row r="369" ht="22.5" customHeight="1">
      <c r="A369" s="3">
        <v>368.0</v>
      </c>
      <c r="B369" s="4" t="s">
        <v>13915</v>
      </c>
      <c r="C369" s="4" t="s">
        <v>13885</v>
      </c>
      <c r="D369" s="4" t="s">
        <v>13808</v>
      </c>
      <c r="F369" s="5" t="str">
        <f>IFERROR(__xludf.DUMMYFUNCTION("GOOGLETRANSLATE(A369, ""en"", ""hi"")"),"368")</f>
        <v>368</v>
      </c>
      <c r="G369" s="5" t="str">
        <f>IFERROR(__xludf.DUMMYFUNCTION("GOOGLETRANSLATE(B369, ""en"", ""hi"")"),"ब्रिटिश काल में मुकना कुश्ती के पतन में महत्वपूर्ण योगदान देने वाला कारक क्या था?")</f>
        <v>ब्रिटिश काल में मुकना कुश्ती के पतन में महत्वपूर्ण योगदान देने वाला कारक क्या था?</v>
      </c>
      <c r="H369" s="5" t="str">
        <f>IFERROR(__xludf.DUMMYFUNCTION("GOOGLETRANSLATE(C369, ""en"", ""hi"")"),"A) पारंपरिक प्रथाओं का दमन, B) आर्थिक कठिनाइयाँ, C) सांस्कृतिक बदलाव, D) सैन्य संघर्ष")</f>
        <v>A) पारंपरिक प्रथाओं का दमन, B) आर्थिक कठिनाइयाँ, C) सांस्कृतिक बदलाव, D) सैन्य संघर्ष</v>
      </c>
      <c r="I369" s="5" t="str">
        <f>IFERROR(__xludf.DUMMYFUNCTION("GOOGLETRANSLATE(D369, ""en"", ""hi"")"),"A) पारंपरिक प्रथाओं का दमन")</f>
        <v>A) पारंपरिक प्रथाओं का दमन</v>
      </c>
    </row>
    <row r="370" ht="22.5" customHeight="1">
      <c r="A370" s="3">
        <v>369.0</v>
      </c>
      <c r="B370" s="4" t="s">
        <v>13916</v>
      </c>
      <c r="C370" s="4" t="s">
        <v>13649</v>
      </c>
      <c r="D370" s="4" t="s">
        <v>13572</v>
      </c>
      <c r="F370" s="5" t="str">
        <f>IFERROR(__xludf.DUMMYFUNCTION("GOOGLETRANSLATE(A370, ""en"", ""hi"")"),"369")</f>
        <v>369</v>
      </c>
      <c r="G370" s="5" t="str">
        <f>IFERROR(__xludf.DUMMYFUNCTION("GOOGLETRANSLATE(B370, ""en"", ""hi"")"),"कौन सा ऐतिहासिक विवरण मुकना कुश्ती के अभ्यास के बारे में बहुमूल्य जानकारी प्रदान करता है?")</f>
        <v>कौन सा ऐतिहासिक विवरण मुकना कुश्ती के अभ्यास के बारे में बहुमूल्य जानकारी प्रदान करता है?</v>
      </c>
      <c r="H370" s="5" t="str">
        <f>IFERROR(__xludf.DUMMYFUNCTION("GOOGLETRANSLATE(C370, ""en"", ""hi"")"),"ए) राजमाला, बी) बुरांजी, सी) मणिपुरी वेद, डी) मनुस्मृति")</f>
        <v>ए) राजमाला, बी) बुरांजी, सी) मणिपुरी वेद, डी) मनुस्मृति</v>
      </c>
      <c r="I370" s="5" t="str">
        <f>IFERROR(__xludf.DUMMYFUNCTION("GOOGLETRANSLATE(D370, ""en"", ""hi"")"),"बी) बुरांजी")</f>
        <v>बी) बुरांजी</v>
      </c>
    </row>
    <row r="371" ht="22.5" customHeight="1">
      <c r="A371" s="3">
        <v>370.0</v>
      </c>
      <c r="B371" s="4" t="s">
        <v>13917</v>
      </c>
      <c r="C371" s="4" t="s">
        <v>13918</v>
      </c>
      <c r="D371" s="4" t="s">
        <v>13919</v>
      </c>
      <c r="F371" s="5" t="str">
        <f>IFERROR(__xludf.DUMMYFUNCTION("GOOGLETRANSLATE(A371, ""en"", ""hi"")"),"370")</f>
        <v>370</v>
      </c>
      <c r="G371" s="5" t="str">
        <f>IFERROR(__xludf.DUMMYFUNCTION("GOOGLETRANSLATE(B371, ""en"", ""hi"")"),"ऐतिहासिक मणिपुर में मुकना कुश्ती मैट का प्राथमिक उपयोग क्या था?")</f>
        <v>ऐतिहासिक मणिपुर में मुकना कुश्ती मैट का प्राथमिक उपयोग क्या था?</v>
      </c>
      <c r="H371" s="5" t="str">
        <f>IFERROR(__xludf.DUMMYFUNCTION("GOOGLETRANSLATE(C371, ""en"", ""hi"")"),"A) औपचारिक प्रयोजन, B) खेल प्रतियोगिताएं, C) सैन्य प्रशिक्षण, D) शैक्षिक कार्यक्रम")</f>
        <v>A) औपचारिक प्रयोजन, B) खेल प्रतियोगिताएं, C) सैन्य प्रशिक्षण, D) शैक्षिक कार्यक्रम</v>
      </c>
      <c r="I371" s="5" t="str">
        <f>IFERROR(__xludf.DUMMYFUNCTION("GOOGLETRANSLATE(D371, ""en"", ""hi"")"),"A) औपचारिक उद्देश्यों")</f>
        <v>A) औपचारिक उद्देश्यों</v>
      </c>
    </row>
    <row r="372" ht="22.5" customHeight="1">
      <c r="A372" s="3">
        <v>371.0</v>
      </c>
      <c r="B372" s="4" t="s">
        <v>13920</v>
      </c>
      <c r="C372" s="4" t="s">
        <v>12389</v>
      </c>
      <c r="D372" s="4" t="s">
        <v>12086</v>
      </c>
      <c r="F372" s="5" t="str">
        <f>IFERROR(__xludf.DUMMYFUNCTION("GOOGLETRANSLATE(A372, ""en"", ""hi"")"),"371")</f>
        <v>371</v>
      </c>
      <c r="G372" s="5" t="str">
        <f>IFERROR(__xludf.DUMMYFUNCTION("GOOGLETRANSLATE(B372, ""en"", ""hi"")"),"ऐतिहासिक रूप से किस मणिपुरी त्यौहार में मुकना कुश्ती प्रतिभागियों की संख्या सबसे अधिक थी?")</f>
        <v>ऐतिहासिक रूप से किस मणिपुरी त्यौहार में मुकना कुश्ती प्रतिभागियों की संख्या सबसे अधिक थी?</v>
      </c>
      <c r="H372" s="5" t="str">
        <f>IFERROR(__xludf.DUMMYFUNCTION("GOOGLETRANSLATE(C372, ""en"", ""hi"")"),"ए) लाई हराओबा, बी) याओशांग, सी) निंगोल चाकोउबा, डी) चेइराओबा")</f>
        <v>ए) लाई हराओबा, बी) याओशांग, सी) निंगोल चाकोउबा, डी) चेइराओबा</v>
      </c>
      <c r="I372" s="5" t="str">
        <f>IFERROR(__xludf.DUMMYFUNCTION("GOOGLETRANSLATE(D372, ""en"", ""hi"")"),"A) लाई हरोबा")</f>
        <v>A) लाई हरोबा</v>
      </c>
    </row>
    <row r="373" ht="22.5" customHeight="1">
      <c r="A373" s="3">
        <v>372.0</v>
      </c>
      <c r="B373" s="4" t="s">
        <v>13528</v>
      </c>
      <c r="C373" s="4" t="s">
        <v>13892</v>
      </c>
      <c r="D373" s="4" t="s">
        <v>13827</v>
      </c>
      <c r="F373" s="5" t="str">
        <f>IFERROR(__xludf.DUMMYFUNCTION("GOOGLETRANSLATE(A373, ""en"", ""hi"")"),"372")</f>
        <v>372</v>
      </c>
      <c r="G373" s="5" t="str">
        <f>IFERROR(__xludf.DUMMYFUNCTION("GOOGLETRANSLATE(B373, ""en"", ""hi"")"),"पारंपरिक प्रशिक्षण में मुकना कुश्ती के किस पहलू पर जोर दिया जाता था?")</f>
        <v>पारंपरिक प्रशिक्षण में मुकना कुश्ती के किस पहलू पर जोर दिया जाता था?</v>
      </c>
      <c r="H373" s="5" t="str">
        <f>IFERROR(__xludf.DUMMYFUNCTION("GOOGLETRANSLATE(C373, ""en"", ""hi"")"),"A) युद्ध तत्परता, B) शारीरिक सहनशक्ति, C) अनुष्ठान ज्ञान, D) सामाजिक संपर्क")</f>
        <v>A) युद्ध तत्परता, B) शारीरिक सहनशक्ति, C) अनुष्ठान ज्ञान, D) सामाजिक संपर्क</v>
      </c>
      <c r="I373" s="5" t="str">
        <f>IFERROR(__xludf.DUMMYFUNCTION("GOOGLETRANSLATE(D373, ""en"", ""hi"")"),"ए) युद्ध तत्परता")</f>
        <v>ए) युद्ध तत्परता</v>
      </c>
    </row>
    <row r="374" ht="22.5" customHeight="1">
      <c r="A374" s="3">
        <v>373.0</v>
      </c>
      <c r="B374" s="4" t="s">
        <v>13921</v>
      </c>
      <c r="C374" s="4" t="s">
        <v>13610</v>
      </c>
      <c r="D374" s="4" t="s">
        <v>13611</v>
      </c>
      <c r="F374" s="5" t="str">
        <f>IFERROR(__xludf.DUMMYFUNCTION("GOOGLETRANSLATE(A374, ""en"", ""hi"")"),"373")</f>
        <v>373</v>
      </c>
      <c r="G374" s="5" t="str">
        <f>IFERROR(__xludf.DUMMYFUNCTION("GOOGLETRANSLATE(B374, ""en"", ""hi"")"),"20वीं शताब्दी के आरंभ में मणिपुर में मुकना कुश्ती प्रथाओं का दस्तावेजीकरण किस राजा से संबंधित है?")</f>
        <v>20वीं शताब्दी के आरंभ में मणिपुर में मुकना कुश्ती प्रथाओं का दस्तावेजीकरण किस राजा से संबंधित है?</v>
      </c>
      <c r="H374" s="5" t="str">
        <f>IFERROR(__xludf.DUMMYFUNCTION("GOOGLETRANSLATE(C374, ""en"", ""hi"")"),"A) जी. ई. हार्वे, B) रॉबर्ट गॉर्डन, C) आर. एन. शर्मा, D) ए. बी. जॉर्ज")</f>
        <v>A) जी. ई. हार्वे, B) रॉबर्ट गॉर्डन, C) आर. एन. शर्मा, D) ए. बी. जॉर्ज</v>
      </c>
      <c r="I374" s="5" t="str">
        <f>IFERROR(__xludf.DUMMYFUNCTION("GOOGLETRANSLATE(D374, ""en"", ""hi"")"),"A) जी. ई. हार्वे")</f>
        <v>A) जी. ई. हार्वे</v>
      </c>
    </row>
    <row r="375" ht="22.5" customHeight="1">
      <c r="A375" s="3">
        <v>374.0</v>
      </c>
      <c r="B375" s="4" t="s">
        <v>13875</v>
      </c>
      <c r="C375" s="4" t="s">
        <v>13876</v>
      </c>
      <c r="D375" s="4" t="s">
        <v>13827</v>
      </c>
      <c r="F375" s="5" t="str">
        <f>IFERROR(__xludf.DUMMYFUNCTION("GOOGLETRANSLATE(A375, ""en"", ""hi"")"),"374")</f>
        <v>374</v>
      </c>
      <c r="G375" s="5" t="str">
        <f>IFERROR(__xludf.DUMMYFUNCTION("GOOGLETRANSLATE(B375, ""en"", ""hi"")"),"ऐतिहासिक मणिपुर में मुकना कुश्ती प्रशिक्षण का पारंपरिक पहलू क्या था?")</f>
        <v>ऐतिहासिक मणिपुर में मुकना कुश्ती प्रशिक्षण का पारंपरिक पहलू क्या था?</v>
      </c>
      <c r="H375" s="5" t="str">
        <f>IFERROR(__xludf.DUMMYFUNCTION("GOOGLETRANSLATE(C375, ""en"", ""hi"")"),"A) युद्ध तत्परता, B) शारीरिक सहनशक्ति, C) अनुष्ठान ज्ञान, D) सामाजिक कौशल")</f>
        <v>A) युद्ध तत्परता, B) शारीरिक सहनशक्ति, C) अनुष्ठान ज्ञान, D) सामाजिक कौशल</v>
      </c>
      <c r="I375" s="5" t="str">
        <f>IFERROR(__xludf.DUMMYFUNCTION("GOOGLETRANSLATE(D375, ""en"", ""hi"")"),"ए) युद्ध तत्परता")</f>
        <v>ए) युद्ध तत्परता</v>
      </c>
    </row>
    <row r="376" ht="22.5" customHeight="1">
      <c r="A376" s="3">
        <v>375.0</v>
      </c>
      <c r="B376" s="4" t="s">
        <v>13922</v>
      </c>
      <c r="C376" s="4" t="s">
        <v>13619</v>
      </c>
      <c r="D376" s="4" t="s">
        <v>13331</v>
      </c>
      <c r="F376" s="5" t="str">
        <f>IFERROR(__xludf.DUMMYFUNCTION("GOOGLETRANSLATE(A376, ""en"", ""hi"")"),"375")</f>
        <v>375</v>
      </c>
      <c r="G376" s="5" t="str">
        <f>IFERROR(__xludf.DUMMYFUNCTION("GOOGLETRANSLATE(B376, ""en"", ""hi"")"),"20वीं शताब्दी के दौरान मुकना कुश्ती के पुनरुद्धार में किस मणिपुरी राजा ने महत्वपूर्ण भूमिका निभाई?")</f>
        <v>20वीं शताब्दी के दौरान मुकना कुश्ती के पुनरुद्धार में किस मणिपुरी राजा ने महत्वपूर्ण भूमिका निभाई?</v>
      </c>
      <c r="H376" s="5" t="str">
        <f>IFERROR(__xludf.DUMMYFUNCTION("GOOGLETRANSLATE(C376,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76" s="5" t="str">
        <f>IFERROR(__xludf.DUMMYFUNCTION("GOOGLETRANSLATE(D376, ""en"", ""hi"")"),"A) महाराजा चूड़ाचंद सिंह")</f>
        <v>A) महाराजा चूड़ाचंद सिंह</v>
      </c>
    </row>
    <row r="377" ht="22.5" customHeight="1">
      <c r="A377" s="3">
        <v>376.0</v>
      </c>
      <c r="B377" s="4" t="s">
        <v>13878</v>
      </c>
      <c r="C377" s="4" t="s">
        <v>13801</v>
      </c>
      <c r="D377" s="4" t="s">
        <v>13750</v>
      </c>
      <c r="F377" s="5" t="str">
        <f>IFERROR(__xludf.DUMMYFUNCTION("GOOGLETRANSLATE(A377, ""en"", ""hi"")"),"376")</f>
        <v>376</v>
      </c>
      <c r="G377" s="5" t="str">
        <f>IFERROR(__xludf.DUMMYFUNCTION("GOOGLETRANSLATE(B377, ""en"", ""hi"")"),"मणिपुर में ऐतिहासिक मुकना कुश्ती मैट के लिए आमतौर पर किस सामग्री का उपयोग किया जाता था?")</f>
        <v>मणिपुर में ऐतिहासिक मुकना कुश्ती मैट के लिए आमतौर पर किस सामग्री का उपयोग किया जाता था?</v>
      </c>
      <c r="H377" s="5" t="str">
        <f>IFERROR(__xludf.DUMMYFUNCTION("GOOGLETRANSLATE(C377, ""en"", ""hi"")"),"A) पुआल, B) जूट, C) कपास, D) बांस")</f>
        <v>A) पुआल, B) जूट, C) कपास, D) बांस</v>
      </c>
      <c r="I377" s="5" t="str">
        <f>IFERROR(__xludf.DUMMYFUNCTION("GOOGLETRANSLATE(D377, ""en"", ""hi"")"),"एक पुआल")</f>
        <v>एक पुआल</v>
      </c>
    </row>
    <row r="378" ht="22.5" customHeight="1">
      <c r="A378" s="3">
        <v>377.0</v>
      </c>
      <c r="B378" s="4" t="s">
        <v>13879</v>
      </c>
      <c r="C378" s="4" t="s">
        <v>13649</v>
      </c>
      <c r="D378" s="4" t="s">
        <v>13572</v>
      </c>
      <c r="F378" s="5" t="str">
        <f>IFERROR(__xludf.DUMMYFUNCTION("GOOGLETRANSLATE(A378, ""en"", ""hi"")"),"377")</f>
        <v>377</v>
      </c>
      <c r="G378" s="5" t="str">
        <f>IFERROR(__xludf.DUMMYFUNCTION("GOOGLETRANSLATE(B378, ""en"", ""hi"")"),"कौन सा मणिपुरी ग्रंथ मुकना कुश्ती प्रथाओं और अनुष्ठानों का व्यापक विवरण प्रदान करता है?")</f>
        <v>कौन सा मणिपुरी ग्रंथ मुकना कुश्ती प्रथाओं और अनुष्ठानों का व्यापक विवरण प्रदान करता है?</v>
      </c>
      <c r="H378" s="5" t="str">
        <f>IFERROR(__xludf.DUMMYFUNCTION("GOOGLETRANSLATE(C378, ""en"", ""hi"")"),"ए) राजमाला, बी) बुरांजी, सी) मणिपुरी वेद, डी) मनुस्मृति")</f>
        <v>ए) राजमाला, बी) बुरांजी, सी) मणिपुरी वेद, डी) मनुस्मृति</v>
      </c>
      <c r="I378" s="5" t="str">
        <f>IFERROR(__xludf.DUMMYFUNCTION("GOOGLETRANSLATE(D378, ""en"", ""hi"")"),"बी) बुरांजी")</f>
        <v>बी) बुरांजी</v>
      </c>
    </row>
    <row r="379" ht="22.5" customHeight="1">
      <c r="A379" s="3">
        <v>378.0</v>
      </c>
      <c r="B379" s="4" t="s">
        <v>13880</v>
      </c>
      <c r="C379" s="4" t="s">
        <v>13881</v>
      </c>
      <c r="D379" s="4" t="s">
        <v>13882</v>
      </c>
      <c r="F379" s="5" t="str">
        <f>IFERROR(__xludf.DUMMYFUNCTION("GOOGLETRANSLATE(A379, ""en"", ""hi"")"),"378")</f>
        <v>378</v>
      </c>
      <c r="G379" s="5" t="str">
        <f>IFERROR(__xludf.DUMMYFUNCTION("GOOGLETRANSLATE(B379, ""en"", ""hi"")"),"ऐतिहासिक मणिपुरी समाज में मुकना कुश्ती का प्राथमिक उद्देश्य क्या था?")</f>
        <v>ऐतिहासिक मणिपुरी समाज में मुकना कुश्ती का प्राथमिक उद्देश्य क्या था?</v>
      </c>
      <c r="H379" s="5" t="str">
        <f>IFERROR(__xludf.DUMMYFUNCTION("GOOGLETRANSLATE(C379, ""en"", ""hi"")"),"A) युद्ध प्रशिक्षण, B) सामाजिक मनोरंजन, C) धार्मिक अनुष्ठान, D) राजनीतिक प्रदर्शन")</f>
        <v>A) युद्ध प्रशिक्षण, B) सामाजिक मनोरंजन, C) धार्मिक अनुष्ठान, D) राजनीतिक प्रदर्शन</v>
      </c>
      <c r="I379" s="5" t="str">
        <f>IFERROR(__xludf.DUMMYFUNCTION("GOOGLETRANSLATE(D379, ""en"", ""hi"")"),"ए) युद्ध प्रशिक्षण")</f>
        <v>ए) युद्ध प्रशिक्षण</v>
      </c>
    </row>
    <row r="380" ht="22.5" customHeight="1">
      <c r="A380" s="3">
        <v>379.0</v>
      </c>
      <c r="B380" s="4" t="s">
        <v>13883</v>
      </c>
      <c r="C380" s="4" t="s">
        <v>13704</v>
      </c>
      <c r="D380" s="4" t="s">
        <v>13474</v>
      </c>
      <c r="F380" s="5" t="str">
        <f>IFERROR(__xludf.DUMMYFUNCTION("GOOGLETRANSLATE(A380, ""en"", ""hi"")"),"379")</f>
        <v>379</v>
      </c>
      <c r="G380" s="5" t="str">
        <f>IFERROR(__xludf.DUMMYFUNCTION("GOOGLETRANSLATE(B380, ""en"", ""hi"")"),"मुकना कुश्ती के इतिहास को समझने के लिए कौन सा ऐतिहासिक ग्रन्थ आवश्यक है?")</f>
        <v>मुकना कुश्ती के इतिहास को समझने के लिए कौन सा ऐतिहासिक ग्रन्थ आवश्यक है?</v>
      </c>
      <c r="H380" s="5" t="str">
        <f>IFERROR(__xludf.DUMMYFUNCTION("GOOGLETRANSLATE(C380, ""en"", ""hi"")"),"ए) बुरांजी, बी) राजमाला, सी) मणिपुरी वेद, डी) मनुस्मृति")</f>
        <v>ए) बुरांजी, बी) राजमाला, सी) मणिपुरी वेद, डी) मनुस्मृति</v>
      </c>
      <c r="I380" s="5" t="str">
        <f>IFERROR(__xludf.DUMMYFUNCTION("GOOGLETRANSLATE(D380, ""en"", ""hi"")"),"ए) बुरांजी")</f>
        <v>ए) बुरांजी</v>
      </c>
    </row>
    <row r="381" ht="22.5" customHeight="1">
      <c r="A381" s="3">
        <v>380.0</v>
      </c>
      <c r="B381" s="4" t="s">
        <v>13923</v>
      </c>
      <c r="C381" s="4" t="s">
        <v>13704</v>
      </c>
      <c r="D381" s="4" t="s">
        <v>13474</v>
      </c>
      <c r="F381" s="5" t="str">
        <f>IFERROR(__xludf.DUMMYFUNCTION("GOOGLETRANSLATE(A381, ""en"", ""hi"")"),"380")</f>
        <v>380</v>
      </c>
      <c r="G381" s="5" t="str">
        <f>IFERROR(__xludf.DUMMYFUNCTION("GOOGLETRANSLATE(B381, ""en"", ""hi"")"),"कौन सा प्राचीन ग्रंथ मुकना कुश्ती तकनीकों का विस्तृत विवरण प्रदान करता है?")</f>
        <v>कौन सा प्राचीन ग्रंथ मुकना कुश्ती तकनीकों का विस्तृत विवरण प्रदान करता है?</v>
      </c>
      <c r="H381" s="5" t="str">
        <f>IFERROR(__xludf.DUMMYFUNCTION("GOOGLETRANSLATE(C381, ""en"", ""hi"")"),"ए) बुरांजी, बी) राजमाला, सी) मणिपुरी वेद, डी) मनुस्मृति")</f>
        <v>ए) बुरांजी, बी) राजमाला, सी) मणिपुरी वेद, डी) मनुस्मृति</v>
      </c>
      <c r="I381" s="5" t="str">
        <f>IFERROR(__xludf.DUMMYFUNCTION("GOOGLETRANSLATE(D381, ""en"", ""hi"")"),"ए) बुरांजी")</f>
        <v>ए) बुरांजी</v>
      </c>
    </row>
    <row r="382" ht="22.5" customHeight="1">
      <c r="A382" s="3">
        <v>381.0</v>
      </c>
      <c r="B382" s="4" t="s">
        <v>13924</v>
      </c>
      <c r="C382" s="4" t="s">
        <v>13619</v>
      </c>
      <c r="D382" s="4" t="s">
        <v>13331</v>
      </c>
      <c r="F382" s="5" t="str">
        <f>IFERROR(__xludf.DUMMYFUNCTION("GOOGLETRANSLATE(A382, ""en"", ""hi"")"),"381")</f>
        <v>381</v>
      </c>
      <c r="G382" s="5" t="str">
        <f>IFERROR(__xludf.DUMMYFUNCTION("GOOGLETRANSLATE(B382, ""en"", ""hi"")"),"कौन सा मणिपुरी राजा मुकना कुश्ती के संरक्षण के लिए जाना जाता था?")</f>
        <v>कौन सा मणिपुरी राजा मुकना कुश्ती के संरक्षण के लिए जाना जाता था?</v>
      </c>
      <c r="H382" s="5" t="str">
        <f>IFERROR(__xludf.DUMMYFUNCTION("GOOGLETRANSLATE(C382,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82" s="5" t="str">
        <f>IFERROR(__xludf.DUMMYFUNCTION("GOOGLETRANSLATE(D382, ""en"", ""hi"")"),"A) महाराजा चूड़ाचंद सिंह")</f>
        <v>A) महाराजा चूड़ाचंद सिंह</v>
      </c>
    </row>
    <row r="383" ht="22.5" customHeight="1">
      <c r="A383" s="3">
        <v>382.0</v>
      </c>
      <c r="B383" s="4" t="s">
        <v>13925</v>
      </c>
      <c r="C383" s="4" t="s">
        <v>13926</v>
      </c>
      <c r="D383" s="4" t="s">
        <v>13927</v>
      </c>
      <c r="F383" s="5" t="str">
        <f>IFERROR(__xludf.DUMMYFUNCTION("GOOGLETRANSLATE(A383, ""en"", ""hi"")"),"382")</f>
        <v>382</v>
      </c>
      <c r="G383" s="5" t="str">
        <f>IFERROR(__xludf.DUMMYFUNCTION("GOOGLETRANSLATE(B383, ""en"", ""hi"")"),"19वीं शताब्दी के दौरान मुकना कुश्ती के पतन का एक महत्वपूर्ण कारक क्या था?")</f>
        <v>19वीं शताब्दी के दौरान मुकना कुश्ती के पतन का एक महत्वपूर्ण कारक क्या था?</v>
      </c>
      <c r="H383" s="5" t="str">
        <f>IFERROR(__xludf.DUMMYFUNCTION("GOOGLETRANSLATE(C383, ""en"", ""hi"")"),"A) औपनिवेशिक हस्तक्षेप, B) आर्थिक परिवर्तन, C) सामाजिक सुधार, D) राजनीतिक संघर्ष")</f>
        <v>A) औपनिवेशिक हस्तक्षेप, B) आर्थिक परिवर्तन, C) सामाजिक सुधार, D) राजनीतिक संघर्ष</v>
      </c>
      <c r="I383" s="5" t="str">
        <f>IFERROR(__xludf.DUMMYFUNCTION("GOOGLETRANSLATE(D383, ""en"", ""hi"")"),"A) औपनिवेशिक हस्तक्षेप")</f>
        <v>A) औपनिवेशिक हस्तक्षेप</v>
      </c>
    </row>
    <row r="384" ht="22.5" customHeight="1">
      <c r="A384" s="3">
        <v>383.0</v>
      </c>
      <c r="B384" s="4" t="s">
        <v>13928</v>
      </c>
      <c r="C384" s="4" t="s">
        <v>12389</v>
      </c>
      <c r="D384" s="4" t="s">
        <v>12086</v>
      </c>
      <c r="F384" s="5" t="str">
        <f>IFERROR(__xludf.DUMMYFUNCTION("GOOGLETRANSLATE(A384, ""en"", ""hi"")"),"383")</f>
        <v>383</v>
      </c>
      <c r="G384" s="5" t="str">
        <f>IFERROR(__xludf.DUMMYFUNCTION("GOOGLETRANSLATE(B384, ""en"", ""hi"")"),"मणिपुर में किस त्यौहार में ऐतिहासिक रूप से प्रमुख मुकना कुश्ती प्रतियोगिताएं आयोजित की जाती थीं?")</f>
        <v>मणिपुर में किस त्यौहार में ऐतिहासिक रूप से प्रमुख मुकना कुश्ती प्रतियोगिताएं आयोजित की जाती थीं?</v>
      </c>
      <c r="H384" s="5" t="str">
        <f>IFERROR(__xludf.DUMMYFUNCTION("GOOGLETRANSLATE(C384, ""en"", ""hi"")"),"ए) लाई हराओबा, बी) याओशांग, सी) निंगोल चाकोउबा, डी) चेइराओबा")</f>
        <v>ए) लाई हराओबा, बी) याओशांग, सी) निंगोल चाकोउबा, डी) चेइराओबा</v>
      </c>
      <c r="I384" s="5" t="str">
        <f>IFERROR(__xludf.DUMMYFUNCTION("GOOGLETRANSLATE(D384, ""en"", ""hi"")"),"A) लाई हरोबा")</f>
        <v>A) लाई हरोबा</v>
      </c>
    </row>
    <row r="385" ht="22.5" customHeight="1">
      <c r="A385" s="3">
        <v>384.0</v>
      </c>
      <c r="B385" s="4" t="s">
        <v>13929</v>
      </c>
      <c r="C385" s="4" t="s">
        <v>13930</v>
      </c>
      <c r="D385" s="4" t="s">
        <v>13931</v>
      </c>
      <c r="F385" s="5" t="str">
        <f>IFERROR(__xludf.DUMMYFUNCTION("GOOGLETRANSLATE(A385, ""en"", ""hi"")"),"384")</f>
        <v>384</v>
      </c>
      <c r="G385" s="5" t="str">
        <f>IFERROR(__xludf.DUMMYFUNCTION("GOOGLETRANSLATE(B385, ""en"", ""hi"")"),"पारंपरिक मुकना कुश्ती पोशाक की एक सामान्य विशेषता क्या थी?")</f>
        <v>पारंपरिक मुकना कुश्ती पोशाक की एक सामान्य विशेषता क्या थी?</v>
      </c>
      <c r="H385" s="5" t="str">
        <f>IFERROR(__xludf.DUMMYFUNCTION("GOOGLETRANSLATE(C385, ""en"", ""hi"")"),"A) ढीले-ढाले सूती वस्त्र, B) रेशमी वस्त्र, C) चमड़े का कवच, D) ऊनी पोशाक")</f>
        <v>A) ढीले-ढाले सूती वस्त्र, B) रेशमी वस्त्र, C) चमड़े का कवच, D) ऊनी पोशाक</v>
      </c>
      <c r="I385" s="5" t="str">
        <f>IFERROR(__xludf.DUMMYFUNCTION("GOOGLETRANSLATE(D385, ""en"", ""hi"")"),"A) ढीले-ढाले सूती वस्त्र")</f>
        <v>A) ढीले-ढाले सूती वस्त्र</v>
      </c>
    </row>
    <row r="386" ht="22.5" customHeight="1">
      <c r="A386" s="3">
        <v>385.0</v>
      </c>
      <c r="B386" s="4" t="s">
        <v>13932</v>
      </c>
      <c r="C386" s="4" t="s">
        <v>13649</v>
      </c>
      <c r="D386" s="4" t="s">
        <v>13572</v>
      </c>
      <c r="F386" s="5" t="str">
        <f>IFERROR(__xludf.DUMMYFUNCTION("GOOGLETRANSLATE(A386, ""en"", ""hi"")"),"385")</f>
        <v>385</v>
      </c>
      <c r="G386" s="5" t="str">
        <f>IFERROR(__xludf.DUMMYFUNCTION("GOOGLETRANSLATE(B386, ""en"", ""hi"")"),"मुकना कुश्ती के नियमों और तकनीकों को समझने के लिए कौन सा ऐतिहासिक विवरण महत्वपूर्ण है?")</f>
        <v>मुकना कुश्ती के नियमों और तकनीकों को समझने के लिए कौन सा ऐतिहासिक विवरण महत्वपूर्ण है?</v>
      </c>
      <c r="H386" s="5" t="str">
        <f>IFERROR(__xludf.DUMMYFUNCTION("GOOGLETRANSLATE(C386, ""en"", ""hi"")"),"ए) राजमाला, बी) बुरांजी, सी) मणिपुरी वेद, डी) मनुस्मृति")</f>
        <v>ए) राजमाला, बी) बुरांजी, सी) मणिपुरी वेद, डी) मनुस्मृति</v>
      </c>
      <c r="I386" s="5" t="str">
        <f>IFERROR(__xludf.DUMMYFUNCTION("GOOGLETRANSLATE(D386, ""en"", ""hi"")"),"बी) बुरांजी")</f>
        <v>बी) बुरांजी</v>
      </c>
    </row>
    <row r="387" ht="22.5" customHeight="1">
      <c r="A387" s="3">
        <v>386.0</v>
      </c>
      <c r="B387" s="4" t="s">
        <v>13933</v>
      </c>
      <c r="C387" s="4" t="s">
        <v>13895</v>
      </c>
      <c r="D387" s="4" t="s">
        <v>13882</v>
      </c>
      <c r="F387" s="5" t="str">
        <f>IFERROR(__xludf.DUMMYFUNCTION("GOOGLETRANSLATE(A387, ""en"", ""hi"")"),"386")</f>
        <v>386</v>
      </c>
      <c r="G387" s="5" t="str">
        <f>IFERROR(__xludf.DUMMYFUNCTION("GOOGLETRANSLATE(B387, ""en"", ""hi"")"),"पारंपरिक मणिपुरी सैन्य प्रशिक्षण में मुकना कुश्ती की क्या भूमिका थी?")</f>
        <v>पारंपरिक मणिपुरी सैन्य प्रशिक्षण में मुकना कुश्ती की क्या भूमिका थी?</v>
      </c>
      <c r="H387" s="5" t="str">
        <f>IFERROR(__xludf.DUMMYFUNCTION("GOOGLETRANSLATE(C387, ""en"", ""hi"")"),"A) युद्ध प्रशिक्षण, B) अनुष्ठान तैयारी, C) सामाजिक बंधन, D) कलात्मक अभिव्यक्ति")</f>
        <v>A) युद्ध प्रशिक्षण, B) अनुष्ठान तैयारी, C) सामाजिक बंधन, D) कलात्मक अभिव्यक्ति</v>
      </c>
      <c r="I387" s="5" t="str">
        <f>IFERROR(__xludf.DUMMYFUNCTION("GOOGLETRANSLATE(D387, ""en"", ""hi"")"),"ए) युद्ध प्रशिक्षण")</f>
        <v>ए) युद्ध प्रशिक्षण</v>
      </c>
    </row>
    <row r="388" ht="22.5" customHeight="1">
      <c r="A388" s="3">
        <v>387.0</v>
      </c>
      <c r="B388" s="4" t="s">
        <v>13934</v>
      </c>
      <c r="C388" s="4" t="s">
        <v>13935</v>
      </c>
      <c r="D388" s="4" t="s">
        <v>13936</v>
      </c>
      <c r="F388" s="5" t="str">
        <f>IFERROR(__xludf.DUMMYFUNCTION("GOOGLETRANSLATE(A388, ""en"", ""hi"")"),"387")</f>
        <v>387</v>
      </c>
      <c r="G388" s="5" t="str">
        <f>IFERROR(__xludf.DUMMYFUNCTION("GOOGLETRANSLATE(B388, ""en"", ""hi"")"),"कौन सा ब्रिटिशकालीन दस्तावेज़ मुकना कुश्ती के पतन के बारे में जानकारी प्रदान करता है?")</f>
        <v>कौन सा ब्रिटिशकालीन दस्तावेज़ मुकना कुश्ती के पतन के बारे में जानकारी प्रदान करता है?</v>
      </c>
      <c r="H388" s="5" t="str">
        <f>IFERROR(__xludf.DUMMYFUNCTION("GOOGLETRANSLATE(C388,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388" s="5" t="str">
        <f>IFERROR(__xludf.DUMMYFUNCTION("GOOGLETRANSLATE(D388, ""en"", ""hi"")"),"A) जी. ई. हार्वे के लेखन")</f>
        <v>A) जी. ई. हार्वे के लेखन</v>
      </c>
    </row>
    <row r="389" ht="22.5" customHeight="1">
      <c r="A389" s="3">
        <v>388.0</v>
      </c>
      <c r="B389" s="4" t="s">
        <v>13937</v>
      </c>
      <c r="C389" s="4" t="s">
        <v>13938</v>
      </c>
      <c r="D389" s="4" t="s">
        <v>13827</v>
      </c>
      <c r="F389" s="5" t="str">
        <f>IFERROR(__xludf.DUMMYFUNCTION("GOOGLETRANSLATE(A389, ""en"", ""hi"")"),"388")</f>
        <v>388</v>
      </c>
      <c r="G389" s="5" t="str">
        <f>IFERROR(__xludf.DUMMYFUNCTION("GOOGLETRANSLATE(B389, ""en"", ""hi"")"),"मुकना पहलवानों के प्रशिक्षण में कौन सी पारंपरिक विशेषता प्रमुख थी?")</f>
        <v>मुकना पहलवानों के प्रशिक्षण में कौन सी पारंपरिक विशेषता प्रमुख थी?</v>
      </c>
      <c r="H389" s="5" t="str">
        <f>IFERROR(__xludf.DUMMYFUNCTION("GOOGLETRANSLATE(C389, ""en"", ""hi"")"),"A) युद्ध की तैयारी, B) शारीरिक शक्ति, C) अनुष्ठानिक प्रथाएँ, D) सामाजिक शिष्टाचार")</f>
        <v>A) युद्ध की तैयारी, B) शारीरिक शक्ति, C) अनुष्ठानिक प्रथाएँ, D) सामाजिक शिष्टाचार</v>
      </c>
      <c r="I389" s="5" t="str">
        <f>IFERROR(__xludf.DUMMYFUNCTION("GOOGLETRANSLATE(D389, ""en"", ""hi"")"),"ए) युद्ध तत्परता")</f>
        <v>ए) युद्ध तत्परता</v>
      </c>
    </row>
    <row r="390" ht="22.5" customHeight="1">
      <c r="A390" s="3">
        <v>389.0</v>
      </c>
      <c r="B390" s="4" t="s">
        <v>13939</v>
      </c>
      <c r="C390" s="4" t="s">
        <v>13619</v>
      </c>
      <c r="D390" s="4" t="s">
        <v>13331</v>
      </c>
      <c r="F390" s="5" t="str">
        <f>IFERROR(__xludf.DUMMYFUNCTION("GOOGLETRANSLATE(A390, ""en"", ""hi"")"),"389")</f>
        <v>389</v>
      </c>
      <c r="G390" s="5" t="str">
        <f>IFERROR(__xludf.DUMMYFUNCTION("GOOGLETRANSLATE(B390, ""en"", ""hi"")"),"कौन सा मणिपुरी राजा मुकना कुश्ती तकनीकों के आधुनिकीकरण से जुड़ा हुआ है?")</f>
        <v>कौन सा मणिपुरी राजा मुकना कुश्ती तकनीकों के आधुनिकीकरण से जुड़ा हुआ है?</v>
      </c>
      <c r="H390" s="5" t="str">
        <f>IFERROR(__xludf.DUMMYFUNCTION("GOOGLETRANSLATE(C390,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90" s="5" t="str">
        <f>IFERROR(__xludf.DUMMYFUNCTION("GOOGLETRANSLATE(D390, ""en"", ""hi"")"),"A) महाराजा चूड़ाचंद सिंह")</f>
        <v>A) महाराजा चूड़ाचंद सिंह</v>
      </c>
    </row>
    <row r="391" ht="22.5" customHeight="1">
      <c r="A391" s="3">
        <v>390.0</v>
      </c>
      <c r="B391" s="4" t="s">
        <v>13940</v>
      </c>
      <c r="C391" s="4" t="s">
        <v>13941</v>
      </c>
      <c r="D391" s="4" t="s">
        <v>13808</v>
      </c>
      <c r="F391" s="5" t="str">
        <f>IFERROR(__xludf.DUMMYFUNCTION("GOOGLETRANSLATE(A391, ""en"", ""hi"")"),"390")</f>
        <v>390</v>
      </c>
      <c r="G391" s="5" t="str">
        <f>IFERROR(__xludf.DUMMYFUNCTION("GOOGLETRANSLATE(B391, ""en"", ""hi"")"),"ब्रिटिश औपनिवेशिक नीतियों का मुकना कुश्ती पर क्या प्रभाव पड़ा?")</f>
        <v>ब्रिटिश औपनिवेशिक नीतियों का मुकना कुश्ती पर क्या प्रभाव पड़ा?</v>
      </c>
      <c r="H391" s="5" t="str">
        <f>IFERROR(__xludf.DUMMYFUNCTION("GOOGLETRANSLATE(C391, ""en"", ""hi"")"),"A) पारंपरिक प्रथाओं का दमन, B) खेल को बढ़ावा देना, C) नए नियमों का लागू करना, D) परंपराओं का संरक्षण")</f>
        <v>A) पारंपरिक प्रथाओं का दमन, B) खेल को बढ़ावा देना, C) नए नियमों का लागू करना, D) परंपराओं का संरक्षण</v>
      </c>
      <c r="I391" s="5" t="str">
        <f>IFERROR(__xludf.DUMMYFUNCTION("GOOGLETRANSLATE(D391, ""en"", ""hi"")"),"A) पारंपरिक प्रथाओं का दमन")</f>
        <v>A) पारंपरिक प्रथाओं का दमन</v>
      </c>
    </row>
    <row r="392" ht="22.5" customHeight="1">
      <c r="A392" s="3">
        <v>391.0</v>
      </c>
      <c r="B392" s="4" t="s">
        <v>13942</v>
      </c>
      <c r="C392" s="4" t="s">
        <v>13649</v>
      </c>
      <c r="D392" s="4" t="s">
        <v>13451</v>
      </c>
      <c r="F392" s="5" t="str">
        <f>IFERROR(__xludf.DUMMYFUNCTION("GOOGLETRANSLATE(A392, ""en"", ""hi"")"),"391")</f>
        <v>391</v>
      </c>
      <c r="G392" s="5" t="str">
        <f>IFERROR(__xludf.DUMMYFUNCTION("GOOGLETRANSLATE(B392, ""en"", ""hi"")"),"कौन सा ग्रंथ मणिपुरी समाज में मुकना कुश्ती की भूमिका का ऐतिहासिक विवरण प्रदान करता है?")</f>
        <v>कौन सा ग्रंथ मणिपुरी समाज में मुकना कुश्ती की भूमिका का ऐतिहासिक विवरण प्रदान करता है?</v>
      </c>
      <c r="H392" s="5" t="str">
        <f>IFERROR(__xludf.DUMMYFUNCTION("GOOGLETRANSLATE(C392, ""en"", ""hi"")"),"ए) राजमाला, बी) बुरांजी, सी) मणिपुरी वेद, डी) मनुस्मृति")</f>
        <v>ए) राजमाला, बी) बुरांजी, सी) मणिपुरी वेद, डी) मनुस्मृति</v>
      </c>
      <c r="I392" s="5" t="str">
        <f>IFERROR(__xludf.DUMMYFUNCTION("GOOGLETRANSLATE(D392, ""en"", ""hi"")"),"A) राजमाला")</f>
        <v>A) राजमाला</v>
      </c>
    </row>
    <row r="393" ht="22.5" customHeight="1">
      <c r="A393" s="3">
        <v>392.0</v>
      </c>
      <c r="B393" s="4" t="s">
        <v>13943</v>
      </c>
      <c r="C393" s="4" t="s">
        <v>13801</v>
      </c>
      <c r="D393" s="4" t="s">
        <v>13750</v>
      </c>
      <c r="F393" s="5" t="str">
        <f>IFERROR(__xludf.DUMMYFUNCTION("GOOGLETRANSLATE(A393, ""en"", ""hi"")"),"392")</f>
        <v>392</v>
      </c>
      <c r="G393" s="5" t="str">
        <f>IFERROR(__xludf.DUMMYFUNCTION("GOOGLETRANSLATE(B393, ""en"", ""hi"")"),"मणिपुर में मुकना कुश्ती मैट के लिए ऐतिहासिक रूप से किस सामग्री का उपयोग किया जाता था?")</f>
        <v>मणिपुर में मुकना कुश्ती मैट के लिए ऐतिहासिक रूप से किस सामग्री का उपयोग किया जाता था?</v>
      </c>
      <c r="H393" s="5" t="str">
        <f>IFERROR(__xludf.DUMMYFUNCTION("GOOGLETRANSLATE(C393, ""en"", ""hi"")"),"A) पुआल, B) जूट, C) कपास, D) बांस")</f>
        <v>A) पुआल, B) जूट, C) कपास, D) बांस</v>
      </c>
      <c r="I393" s="5" t="str">
        <f>IFERROR(__xludf.DUMMYFUNCTION("GOOGLETRANSLATE(D393, ""en"", ""hi"")"),"एक पुआल")</f>
        <v>एक पुआल</v>
      </c>
    </row>
    <row r="394" ht="22.5" customHeight="1">
      <c r="A394" s="3">
        <v>393.0</v>
      </c>
      <c r="B394" s="4" t="s">
        <v>13944</v>
      </c>
      <c r="C394" s="4" t="s">
        <v>12389</v>
      </c>
      <c r="D394" s="4" t="s">
        <v>12086</v>
      </c>
      <c r="F394" s="5" t="str">
        <f>IFERROR(__xludf.DUMMYFUNCTION("GOOGLETRANSLATE(A394, ""en"", ""hi"")"),"393")</f>
        <v>393</v>
      </c>
      <c r="G394" s="5" t="str">
        <f>IFERROR(__xludf.DUMMYFUNCTION("GOOGLETRANSLATE(B394, ""en"", ""hi"")"),"कौन सा मणिपुरी त्यौहार ऐतिहासिक रूप से बड़े पैमाने पर मुकना कुश्ती मैचों के लिए जाना जाता था?")</f>
        <v>कौन सा मणिपुरी त्यौहार ऐतिहासिक रूप से बड़े पैमाने पर मुकना कुश्ती मैचों के लिए जाना जाता था?</v>
      </c>
      <c r="H394" s="5" t="str">
        <f>IFERROR(__xludf.DUMMYFUNCTION("GOOGLETRANSLATE(C394, ""en"", ""hi"")"),"ए) लाई हराओबा, बी) याओशांग, सी) निंगोल चाकोउबा, डी) चेइराओबा")</f>
        <v>ए) लाई हराओबा, बी) याओशांग, सी) निंगोल चाकोउबा, डी) चेइराओबा</v>
      </c>
      <c r="I394" s="5" t="str">
        <f>IFERROR(__xludf.DUMMYFUNCTION("GOOGLETRANSLATE(D394, ""en"", ""hi"")"),"A) लाई हरोबा")</f>
        <v>A) लाई हरोबा</v>
      </c>
    </row>
    <row r="395" ht="22.5" customHeight="1">
      <c r="A395" s="3">
        <v>394.0</v>
      </c>
      <c r="B395" s="4" t="s">
        <v>13880</v>
      </c>
      <c r="C395" s="4" t="s">
        <v>13904</v>
      </c>
      <c r="D395" s="4" t="s">
        <v>13882</v>
      </c>
      <c r="F395" s="5" t="str">
        <f>IFERROR(__xludf.DUMMYFUNCTION("GOOGLETRANSLATE(A395, ""en"", ""hi"")"),"394")</f>
        <v>394</v>
      </c>
      <c r="G395" s="5" t="str">
        <f>IFERROR(__xludf.DUMMYFUNCTION("GOOGLETRANSLATE(B395, ""en"", ""hi"")"),"ऐतिहासिक मणिपुरी समाज में मुकना कुश्ती का प्राथमिक उद्देश्य क्या था?")</f>
        <v>ऐतिहासिक मणिपुरी समाज में मुकना कुश्ती का प्राथमिक उद्देश्य क्या था?</v>
      </c>
      <c r="H395" s="5" t="str">
        <f>IFERROR(__xludf.DUMMYFUNCTION("GOOGLETRANSLATE(C395, ""en"", ""hi"")"),"A) युद्ध प्रशिक्षण, B) मनोरंजन, C) धार्मिक अनुष्ठान, D) सामाजिक स्थिति")</f>
        <v>A) युद्ध प्रशिक्षण, B) मनोरंजन, C) धार्मिक अनुष्ठान, D) सामाजिक स्थिति</v>
      </c>
      <c r="I395" s="5" t="str">
        <f>IFERROR(__xludf.DUMMYFUNCTION("GOOGLETRANSLATE(D395, ""en"", ""hi"")"),"ए) युद्ध प्रशिक्षण")</f>
        <v>ए) युद्ध प्रशिक्षण</v>
      </c>
    </row>
    <row r="396" ht="22.5" customHeight="1">
      <c r="A396" s="3">
        <v>395.0</v>
      </c>
      <c r="B396" s="4" t="s">
        <v>13945</v>
      </c>
      <c r="C396" s="4" t="s">
        <v>13704</v>
      </c>
      <c r="D396" s="4" t="s">
        <v>13474</v>
      </c>
      <c r="F396" s="5" t="str">
        <f>IFERROR(__xludf.DUMMYFUNCTION("GOOGLETRANSLATE(A396, ""en"", ""hi"")"),"395")</f>
        <v>395</v>
      </c>
      <c r="G396" s="5" t="str">
        <f>IFERROR(__xludf.DUMMYFUNCTION("GOOGLETRANSLATE(B396, ""en"", ""hi"")"),"मुकना कुश्ती प्रथाओं को समझने के लिए कौन सा ऐतिहासिक ग्रन्थ आवश्यक है?")</f>
        <v>मुकना कुश्ती प्रथाओं को समझने के लिए कौन सा ऐतिहासिक ग्रन्थ आवश्यक है?</v>
      </c>
      <c r="H396" s="5" t="str">
        <f>IFERROR(__xludf.DUMMYFUNCTION("GOOGLETRANSLATE(C396, ""en"", ""hi"")"),"ए) बुरांजी, बी) राजमाला, सी) मणिपुरी वेद, डी) मनुस्मृति")</f>
        <v>ए) बुरांजी, बी) राजमाला, सी) मणिपुरी वेद, डी) मनुस्मृति</v>
      </c>
      <c r="I396" s="5" t="str">
        <f>IFERROR(__xludf.DUMMYFUNCTION("GOOGLETRANSLATE(D396, ""en"", ""hi"")"),"ए) बुरांजी")</f>
        <v>ए) बुरांजी</v>
      </c>
    </row>
    <row r="397" ht="22.5" customHeight="1">
      <c r="A397" s="3">
        <v>396.0</v>
      </c>
      <c r="B397" s="4" t="s">
        <v>13946</v>
      </c>
      <c r="C397" s="4" t="s">
        <v>13947</v>
      </c>
      <c r="D397" s="4" t="s">
        <v>13948</v>
      </c>
      <c r="F397" s="5" t="str">
        <f>IFERROR(__xludf.DUMMYFUNCTION("GOOGLETRANSLATE(A397, ""en"", ""hi"")"),"396")</f>
        <v>396</v>
      </c>
      <c r="G397" s="5" t="str">
        <f>IFERROR(__xludf.DUMMYFUNCTION("GOOGLETRANSLATE(B397, ""en"", ""hi"")"),"मणिपुर में मुकना कुश्ती पोशाक का पारंपरिक पहलू क्या था?")</f>
        <v>मणिपुर में मुकना कुश्ती पोशाक का पारंपरिक पहलू क्या था?</v>
      </c>
      <c r="H397" s="5" t="str">
        <f>IFERROR(__xludf.DUMMYFUNCTION("GOOGLETRANSLATE(C397, ""en"", ""hi"")"),"A) ढीले-ढाले वस्त्र, B) चमकीले रंग, C) भारी गद्दी, D) सजावटी डिज़ाइन")</f>
        <v>A) ढीले-ढाले वस्त्र, B) चमकीले रंग, C) भारी गद्दी, D) सजावटी डिज़ाइन</v>
      </c>
      <c r="I397" s="5" t="str">
        <f>IFERROR(__xludf.DUMMYFUNCTION("GOOGLETRANSLATE(D397, ""en"", ""hi"")"),"A) ढीले-ढाले वस्त्र")</f>
        <v>A) ढीले-ढाले वस्त्र</v>
      </c>
    </row>
    <row r="398" ht="22.5" customHeight="1">
      <c r="A398" s="3">
        <v>397.0</v>
      </c>
      <c r="B398" s="4" t="s">
        <v>13949</v>
      </c>
      <c r="C398" s="4" t="s">
        <v>13619</v>
      </c>
      <c r="D398" s="4" t="s">
        <v>13331</v>
      </c>
      <c r="F398" s="5" t="str">
        <f>IFERROR(__xludf.DUMMYFUNCTION("GOOGLETRANSLATE(A398, ""en"", ""hi"")"),"397")</f>
        <v>397</v>
      </c>
      <c r="G398" s="5" t="str">
        <f>IFERROR(__xludf.DUMMYFUNCTION("GOOGLETRANSLATE(B398, ""en"", ""hi"")"),"कौन सा मणिपुरी राजा मुकना कुश्ती के पुनरुद्धार में अपने योगदान के लिए जाना जाता है?")</f>
        <v>कौन सा मणिपुरी राजा मुकना कुश्ती के पुनरुद्धार में अपने योगदान के लिए जाना जाता है?</v>
      </c>
      <c r="H398" s="5" t="str">
        <f>IFERROR(__xludf.DUMMYFUNCTION("GOOGLETRANSLATE(C398,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398" s="5" t="str">
        <f>IFERROR(__xludf.DUMMYFUNCTION("GOOGLETRANSLATE(D398, ""en"", ""hi"")"),"A) महाराजा चूड़ाचंद सिंह")</f>
        <v>A) महाराजा चूड़ाचंद सिंह</v>
      </c>
    </row>
    <row r="399" ht="22.5" customHeight="1">
      <c r="A399" s="3">
        <v>398.0</v>
      </c>
      <c r="B399" s="4" t="s">
        <v>13909</v>
      </c>
      <c r="C399" s="4" t="s">
        <v>13910</v>
      </c>
      <c r="D399" s="4" t="s">
        <v>13823</v>
      </c>
      <c r="F399" s="5" t="str">
        <f>IFERROR(__xludf.DUMMYFUNCTION("GOOGLETRANSLATE(A399, ""en"", ""hi"")"),"398")</f>
        <v>398</v>
      </c>
      <c r="G399" s="5" t="str">
        <f>IFERROR(__xludf.DUMMYFUNCTION("GOOGLETRANSLATE(B399, ""en"", ""hi"")"),"ऐतिहासिक समय में मुकना कुश्ती मैट की उल्लेखनीय विशेषता क्या थी?")</f>
        <v>ऐतिहासिक समय में मुकना कुश्ती मैट की उल्लेखनीय विशेषता क्या थी?</v>
      </c>
      <c r="H399" s="5" t="str">
        <f>IFERROR(__xludf.DUMMYFUNCTION("GOOGLETRANSLATE(C399, ""en"", ""hi"")"),"A) पुआल से बना, B) जूट से ढका, C) गद्दी से सुसज्जित, D) पैटर्न से अलंकृत")</f>
        <v>A) पुआल से बना, B) जूट से ढका, C) गद्दी से सुसज्जित, D) पैटर्न से अलंकृत</v>
      </c>
      <c r="I399" s="5" t="str">
        <f>IFERROR(__xludf.DUMMYFUNCTION("GOOGLETRANSLATE(D399, ""en"", ""hi"")"),"A) भूसे से बना")</f>
        <v>A) भूसे से बना</v>
      </c>
    </row>
    <row r="400" ht="22.5" customHeight="1">
      <c r="A400" s="3">
        <v>399.0</v>
      </c>
      <c r="B400" s="4" t="s">
        <v>13950</v>
      </c>
      <c r="C400" s="4" t="s">
        <v>13704</v>
      </c>
      <c r="D400" s="4" t="s">
        <v>13474</v>
      </c>
      <c r="F400" s="5" t="str">
        <f>IFERROR(__xludf.DUMMYFUNCTION("GOOGLETRANSLATE(A400, ""en"", ""hi"")"),"399")</f>
        <v>399</v>
      </c>
      <c r="G400" s="5" t="str">
        <f>IFERROR(__xludf.DUMMYFUNCTION("GOOGLETRANSLATE(B400, ""en"", ""hi"")"),"मुकना कुश्ती प्रथाओं और तकनीकों को समझने के लिए कौन सा ऐतिहासिक विवरण महत्वपूर्ण है?")</f>
        <v>मुकना कुश्ती प्रथाओं और तकनीकों को समझने के लिए कौन सा ऐतिहासिक विवरण महत्वपूर्ण है?</v>
      </c>
      <c r="H400" s="5" t="str">
        <f>IFERROR(__xludf.DUMMYFUNCTION("GOOGLETRANSLATE(C400, ""en"", ""hi"")"),"ए) बुरांजी, बी) राजमाला, सी) मणिपुरी वेद, डी) मनुस्मृति")</f>
        <v>ए) बुरांजी, बी) राजमाला, सी) मणिपुरी वेद, डी) मनुस्मृति</v>
      </c>
      <c r="I400" s="5" t="str">
        <f>IFERROR(__xludf.DUMMYFUNCTION("GOOGLETRANSLATE(D400, ""en"", ""hi"")"),"ए) बुरांजी")</f>
        <v>ए) बुरांजी</v>
      </c>
    </row>
    <row r="401" ht="22.5" customHeight="1">
      <c r="A401" s="3">
        <v>400.0</v>
      </c>
      <c r="B401" s="4" t="s">
        <v>13951</v>
      </c>
      <c r="C401" s="4" t="s">
        <v>13881</v>
      </c>
      <c r="D401" s="4" t="s">
        <v>13882</v>
      </c>
      <c r="F401" s="5" t="str">
        <f>IFERROR(__xludf.DUMMYFUNCTION("GOOGLETRANSLATE(A401, ""en"", ""hi"")"),"400")</f>
        <v>400</v>
      </c>
      <c r="G401" s="5" t="str">
        <f>IFERROR(__xludf.DUMMYFUNCTION("GOOGLETRANSLATE(B401, ""en"", ""hi"")"),"19वीं शताब्दी के दौरान मणिपुरी समाज में मुकना कुश्ती की क्या भूमिका थी?")</f>
        <v>19वीं शताब्दी के दौरान मणिपुरी समाज में मुकना कुश्ती की क्या भूमिका थी?</v>
      </c>
      <c r="H401" s="5" t="str">
        <f>IFERROR(__xludf.DUMMYFUNCTION("GOOGLETRANSLATE(C401, ""en"", ""hi"")"),"A) युद्ध प्रशिक्षण, B) सामाजिक मनोरंजन, C) धार्मिक अनुष्ठान, D) राजनीतिक प्रदर्शन")</f>
        <v>A) युद्ध प्रशिक्षण, B) सामाजिक मनोरंजन, C) धार्मिक अनुष्ठान, D) राजनीतिक प्रदर्शन</v>
      </c>
      <c r="I401" s="5" t="str">
        <f>IFERROR(__xludf.DUMMYFUNCTION("GOOGLETRANSLATE(D401, ""en"", ""hi"")"),"ए) युद्ध प्रशिक्षण")</f>
        <v>ए) युद्ध प्रशिक्षण</v>
      </c>
    </row>
    <row r="402" ht="22.5" customHeight="1">
      <c r="A402" s="3">
        <v>401.0</v>
      </c>
      <c r="B402" s="4" t="s">
        <v>13952</v>
      </c>
      <c r="C402" s="4" t="s">
        <v>13704</v>
      </c>
      <c r="D402" s="4" t="s">
        <v>13474</v>
      </c>
      <c r="F402" s="5" t="str">
        <f>IFERROR(__xludf.DUMMYFUNCTION("GOOGLETRANSLATE(A402, ""en"", ""hi"")"),"401")</f>
        <v>401</v>
      </c>
      <c r="G402" s="5" t="str">
        <f>IFERROR(__xludf.DUMMYFUNCTION("GOOGLETRANSLATE(B402, ""en"", ""hi"")"),"मुकना कुश्ती के इतिहास को समझने के लिए कौन सा ऐतिहासिक दस्तावेज आवश्यक है?")</f>
        <v>मुकना कुश्ती के इतिहास को समझने के लिए कौन सा ऐतिहासिक दस्तावेज आवश्यक है?</v>
      </c>
      <c r="H402" s="5" t="str">
        <f>IFERROR(__xludf.DUMMYFUNCTION("GOOGLETRANSLATE(C402, ""en"", ""hi"")"),"ए) बुरांजी, बी) राजमाला, सी) मणिपुरी वेद, डी) मनुस्मृति")</f>
        <v>ए) बुरांजी, बी) राजमाला, सी) मणिपुरी वेद, डी) मनुस्मृति</v>
      </c>
      <c r="I402" s="5" t="str">
        <f>IFERROR(__xludf.DUMMYFUNCTION("GOOGLETRANSLATE(D402, ""en"", ""hi"")"),"ए) बुरांजी")</f>
        <v>ए) बुरांजी</v>
      </c>
    </row>
    <row r="403" ht="22.5" customHeight="1">
      <c r="A403" s="3">
        <v>402.0</v>
      </c>
      <c r="B403" s="4" t="s">
        <v>13953</v>
      </c>
      <c r="C403" s="4" t="s">
        <v>13619</v>
      </c>
      <c r="D403" s="4" t="s">
        <v>13331</v>
      </c>
      <c r="F403" s="5" t="str">
        <f>IFERROR(__xludf.DUMMYFUNCTION("GOOGLETRANSLATE(A403, ""en"", ""hi"")"),"402")</f>
        <v>402</v>
      </c>
      <c r="G403" s="5" t="str">
        <f>IFERROR(__xludf.DUMMYFUNCTION("GOOGLETRANSLATE(B403, ""en"", ""hi"")"),"कौन सा मणिपुरी राजा मुकना कुश्ती के प्रचार और औपचारिकता से जुड़ा हुआ है?")</f>
        <v>कौन सा मणिपुरी राजा मुकना कुश्ती के प्रचार और औपचारिकता से जुड़ा हुआ है?</v>
      </c>
      <c r="H403" s="5" t="str">
        <f>IFERROR(__xludf.DUMMYFUNCTION("GOOGLETRANSLATE(C403,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03" s="5" t="str">
        <f>IFERROR(__xludf.DUMMYFUNCTION("GOOGLETRANSLATE(D403, ""en"", ""hi"")"),"A) महाराजा चूड़ाचंद सिंह")</f>
        <v>A) महाराजा चूड़ाचंद सिंह</v>
      </c>
    </row>
    <row r="404" ht="22.5" customHeight="1">
      <c r="A404" s="3">
        <v>403.0</v>
      </c>
      <c r="B404" s="4" t="s">
        <v>13954</v>
      </c>
      <c r="C404" s="4" t="s">
        <v>13955</v>
      </c>
      <c r="D404" s="4" t="s">
        <v>13956</v>
      </c>
      <c r="F404" s="5" t="str">
        <f>IFERROR(__xludf.DUMMYFUNCTION("GOOGLETRANSLATE(A404, ""en"", ""hi"")"),"403")</f>
        <v>403</v>
      </c>
      <c r="G404" s="5" t="str">
        <f>IFERROR(__xludf.DUMMYFUNCTION("GOOGLETRANSLATE(B404, ""en"", ""hi"")"),"औपनिवेशिक काल के दौरान मुकना कुश्ती के पतन का एक महत्वपूर्ण कारण क्या था?")</f>
        <v>औपनिवेशिक काल के दौरान मुकना कुश्ती के पतन का एक महत्वपूर्ण कारण क्या था?</v>
      </c>
      <c r="H404" s="5" t="str">
        <f>IFERROR(__xludf.DUMMYFUNCTION("GOOGLETRANSLATE(C404, ""en"", ""hi"")"),"A) ब्रिटिश नीतियाँ, B) आर्थिक गिरावट, C) सांस्कृतिक परिवर्तन, D) आंतरिक संघर्ष")</f>
        <v>A) ब्रिटिश नीतियाँ, B) आर्थिक गिरावट, C) सांस्कृतिक परिवर्तन, D) आंतरिक संघर्ष</v>
      </c>
      <c r="I404" s="5" t="str">
        <f>IFERROR(__xludf.DUMMYFUNCTION("GOOGLETRANSLATE(D404, ""en"", ""hi"")"),"A) ब्रिटिश नीतियां")</f>
        <v>A) ब्रिटिश नीतियां</v>
      </c>
    </row>
    <row r="405" ht="22.5" customHeight="1">
      <c r="A405" s="3">
        <v>404.0</v>
      </c>
      <c r="B405" s="4" t="s">
        <v>13957</v>
      </c>
      <c r="C405" s="4" t="s">
        <v>12389</v>
      </c>
      <c r="D405" s="4" t="s">
        <v>12086</v>
      </c>
      <c r="F405" s="5" t="str">
        <f>IFERROR(__xludf.DUMMYFUNCTION("GOOGLETRANSLATE(A405, ""en"", ""hi"")"),"404")</f>
        <v>404</v>
      </c>
      <c r="G405" s="5" t="str">
        <f>IFERROR(__xludf.DUMMYFUNCTION("GOOGLETRANSLATE(B405, ""en"", ""hi"")"),"ऐतिहासिक मणिपुर में कौन सा त्यौहार बड़े पैमाने पर मुकना कुश्ती प्रतियोगिताओं के लिए जाना जाता था?")</f>
        <v>ऐतिहासिक मणिपुर में कौन सा त्यौहार बड़े पैमाने पर मुकना कुश्ती प्रतियोगिताओं के लिए जाना जाता था?</v>
      </c>
      <c r="H405" s="5" t="str">
        <f>IFERROR(__xludf.DUMMYFUNCTION("GOOGLETRANSLATE(C405, ""en"", ""hi"")"),"ए) लाई हराओबा, बी) याओशांग, सी) निंगोल चाकोउबा, डी) चेइराओबा")</f>
        <v>ए) लाई हराओबा, बी) याओशांग, सी) निंगोल चाकोउबा, डी) चेइराओबा</v>
      </c>
      <c r="I405" s="5" t="str">
        <f>IFERROR(__xludf.DUMMYFUNCTION("GOOGLETRANSLATE(D405, ""en"", ""hi"")"),"A) लाई हरोबा")</f>
        <v>A) लाई हरोबा</v>
      </c>
    </row>
    <row r="406" ht="22.5" customHeight="1">
      <c r="A406" s="3">
        <v>405.0</v>
      </c>
      <c r="B406" s="4" t="s">
        <v>13958</v>
      </c>
      <c r="C406" s="4" t="s">
        <v>13881</v>
      </c>
      <c r="D406" s="4" t="s">
        <v>13882</v>
      </c>
      <c r="F406" s="5" t="str">
        <f>IFERROR(__xludf.DUMMYFUNCTION("GOOGLETRANSLATE(A406, ""en"", ""hi"")"),"405")</f>
        <v>405</v>
      </c>
      <c r="G406" s="5" t="str">
        <f>IFERROR(__xludf.DUMMYFUNCTION("GOOGLETRANSLATE(B406, ""en"", ""hi"")"),"पारंपरिक मणिपुरी समाज में मुकना कुश्ती का प्राथमिक उद्देश्य क्या था?")</f>
        <v>पारंपरिक मणिपुरी समाज में मुकना कुश्ती का प्राथमिक उद्देश्य क्या था?</v>
      </c>
      <c r="H406" s="5" t="str">
        <f>IFERROR(__xludf.DUMMYFUNCTION("GOOGLETRANSLATE(C406, ""en"", ""hi"")"),"A) युद्ध प्रशिक्षण, B) सामाजिक मनोरंजन, C) धार्मिक अनुष्ठान, D) राजनीतिक प्रदर्शन")</f>
        <v>A) युद्ध प्रशिक्षण, B) सामाजिक मनोरंजन, C) धार्मिक अनुष्ठान, D) राजनीतिक प्रदर्शन</v>
      </c>
      <c r="I406" s="5" t="str">
        <f>IFERROR(__xludf.DUMMYFUNCTION("GOOGLETRANSLATE(D406, ""en"", ""hi"")"),"ए) युद्ध प्रशिक्षण")</f>
        <v>ए) युद्ध प्रशिक्षण</v>
      </c>
    </row>
    <row r="407" ht="22.5" customHeight="1">
      <c r="A407" s="3">
        <v>406.0</v>
      </c>
      <c r="B407" s="4" t="s">
        <v>13959</v>
      </c>
      <c r="C407" s="4" t="s">
        <v>13704</v>
      </c>
      <c r="D407" s="4" t="s">
        <v>13474</v>
      </c>
      <c r="F407" s="5" t="str">
        <f>IFERROR(__xludf.DUMMYFUNCTION("GOOGLETRANSLATE(A407, ""en"", ""hi"")"),"406")</f>
        <v>406</v>
      </c>
      <c r="G407" s="5" t="str">
        <f>IFERROR(__xludf.DUMMYFUNCTION("GOOGLETRANSLATE(B407, ""en"", ""hi"")"),"कौन सा मणिपुरी ग्रंथ मुकना कुश्ती प्रथाओं का व्यापक विवरण प्रस्तुत करता है?")</f>
        <v>कौन सा मणिपुरी ग्रंथ मुकना कुश्ती प्रथाओं का व्यापक विवरण प्रस्तुत करता है?</v>
      </c>
      <c r="H407" s="5" t="str">
        <f>IFERROR(__xludf.DUMMYFUNCTION("GOOGLETRANSLATE(C407, ""en"", ""hi"")"),"ए) बुरांजी, बी) राजमाला, सी) मणिपुरी वेद, डी) मनुस्मृति")</f>
        <v>ए) बुरांजी, बी) राजमाला, सी) मणिपुरी वेद, डी) मनुस्मृति</v>
      </c>
      <c r="I407" s="5" t="str">
        <f>IFERROR(__xludf.DUMMYFUNCTION("GOOGLETRANSLATE(D407, ""en"", ""hi"")"),"ए) बुरांजी")</f>
        <v>ए) बुरांजी</v>
      </c>
    </row>
    <row r="408" ht="22.5" customHeight="1">
      <c r="A408" s="3">
        <v>407.0</v>
      </c>
      <c r="B408" s="4" t="s">
        <v>13943</v>
      </c>
      <c r="C408" s="4" t="s">
        <v>13801</v>
      </c>
      <c r="D408" s="4" t="s">
        <v>13750</v>
      </c>
      <c r="F408" s="5" t="str">
        <f>IFERROR(__xludf.DUMMYFUNCTION("GOOGLETRANSLATE(A408, ""en"", ""hi"")"),"407")</f>
        <v>407</v>
      </c>
      <c r="G408" s="5" t="str">
        <f>IFERROR(__xludf.DUMMYFUNCTION("GOOGLETRANSLATE(B408, ""en"", ""hi"")"),"मणिपुर में मुकना कुश्ती मैट के लिए ऐतिहासिक रूप से किस सामग्री का उपयोग किया जाता था?")</f>
        <v>मणिपुर में मुकना कुश्ती मैट के लिए ऐतिहासिक रूप से किस सामग्री का उपयोग किया जाता था?</v>
      </c>
      <c r="H408" s="5" t="str">
        <f>IFERROR(__xludf.DUMMYFUNCTION("GOOGLETRANSLATE(C408, ""en"", ""hi"")"),"A) पुआल, B) जूट, C) कपास, D) बांस")</f>
        <v>A) पुआल, B) जूट, C) कपास, D) बांस</v>
      </c>
      <c r="I408" s="5" t="str">
        <f>IFERROR(__xludf.DUMMYFUNCTION("GOOGLETRANSLATE(D408, ""en"", ""hi"")"),"एक पुआल")</f>
        <v>एक पुआल</v>
      </c>
    </row>
    <row r="409" ht="22.5" customHeight="1">
      <c r="A409" s="3">
        <v>408.0</v>
      </c>
      <c r="B409" s="4" t="s">
        <v>13922</v>
      </c>
      <c r="C409" s="4" t="s">
        <v>13619</v>
      </c>
      <c r="D409" s="4" t="s">
        <v>13331</v>
      </c>
      <c r="F409" s="5" t="str">
        <f>IFERROR(__xludf.DUMMYFUNCTION("GOOGLETRANSLATE(A409, ""en"", ""hi"")"),"408")</f>
        <v>408</v>
      </c>
      <c r="G409" s="5" t="str">
        <f>IFERROR(__xludf.DUMMYFUNCTION("GOOGLETRANSLATE(B409, ""en"", ""hi"")"),"20वीं शताब्दी के दौरान मुकना कुश्ती के पुनरुद्धार में किस मणिपुरी राजा ने महत्वपूर्ण भूमिका निभाई?")</f>
        <v>20वीं शताब्दी के दौरान मुकना कुश्ती के पुनरुद्धार में किस मणिपुरी राजा ने महत्वपूर्ण भूमिका निभाई?</v>
      </c>
      <c r="H409" s="5" t="str">
        <f>IFERROR(__xludf.DUMMYFUNCTION("GOOGLETRANSLATE(C409,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09" s="5" t="str">
        <f>IFERROR(__xludf.DUMMYFUNCTION("GOOGLETRANSLATE(D409, ""en"", ""hi"")"),"A) महाराजा चूड़ाचंद सिंह")</f>
        <v>A) महाराजा चूड़ाचंद सिंह</v>
      </c>
    </row>
    <row r="410" ht="22.5" customHeight="1">
      <c r="A410" s="3">
        <v>409.0</v>
      </c>
      <c r="B410" s="4" t="s">
        <v>13875</v>
      </c>
      <c r="C410" s="4" t="s">
        <v>13876</v>
      </c>
      <c r="D410" s="4" t="s">
        <v>13827</v>
      </c>
      <c r="F410" s="5" t="str">
        <f>IFERROR(__xludf.DUMMYFUNCTION("GOOGLETRANSLATE(A410, ""en"", ""hi"")"),"409")</f>
        <v>409</v>
      </c>
      <c r="G410" s="5" t="str">
        <f>IFERROR(__xludf.DUMMYFUNCTION("GOOGLETRANSLATE(B410, ""en"", ""hi"")"),"ऐतिहासिक मणिपुर में मुकना कुश्ती प्रशिक्षण का पारंपरिक पहलू क्या था?")</f>
        <v>ऐतिहासिक मणिपुर में मुकना कुश्ती प्रशिक्षण का पारंपरिक पहलू क्या था?</v>
      </c>
      <c r="H410" s="5" t="str">
        <f>IFERROR(__xludf.DUMMYFUNCTION("GOOGLETRANSLATE(C410, ""en"", ""hi"")"),"A) युद्ध तत्परता, B) शारीरिक सहनशक्ति, C) अनुष्ठान ज्ञान, D) सामाजिक कौशल")</f>
        <v>A) युद्ध तत्परता, B) शारीरिक सहनशक्ति, C) अनुष्ठान ज्ञान, D) सामाजिक कौशल</v>
      </c>
      <c r="I410" s="5" t="str">
        <f>IFERROR(__xludf.DUMMYFUNCTION("GOOGLETRANSLATE(D410, ""en"", ""hi"")"),"ए) युद्ध तत्परता")</f>
        <v>ए) युद्ध तत्परता</v>
      </c>
    </row>
    <row r="411" ht="22.5" customHeight="1">
      <c r="A411" s="3">
        <v>410.0</v>
      </c>
      <c r="B411" s="4" t="s">
        <v>13960</v>
      </c>
      <c r="C411" s="4" t="s">
        <v>13649</v>
      </c>
      <c r="D411" s="4" t="s">
        <v>13451</v>
      </c>
      <c r="F411" s="5" t="str">
        <f>IFERROR(__xludf.DUMMYFUNCTION("GOOGLETRANSLATE(A411, ""en"", ""hi"")"),"410")</f>
        <v>410</v>
      </c>
      <c r="G411" s="5" t="str">
        <f>IFERROR(__xludf.DUMMYFUNCTION("GOOGLETRANSLATE(B411, ""en"", ""hi"")"),"कौन सा ऐतिहासिक विवरण मणिपुरी समाज में मुकना कुश्ती की भूमिका के बारे में जानकारी प्रदान करता है?")</f>
        <v>कौन सा ऐतिहासिक विवरण मणिपुरी समाज में मुकना कुश्ती की भूमिका के बारे में जानकारी प्रदान करता है?</v>
      </c>
      <c r="H411" s="5" t="str">
        <f>IFERROR(__xludf.DUMMYFUNCTION("GOOGLETRANSLATE(C411, ""en"", ""hi"")"),"ए) राजमाला, बी) बुरांजी, सी) मणिपुरी वेद, डी) मनुस्मृति")</f>
        <v>ए) राजमाला, बी) बुरांजी, सी) मणिपुरी वेद, डी) मनुस्मृति</v>
      </c>
      <c r="I411" s="5" t="str">
        <f>IFERROR(__xludf.DUMMYFUNCTION("GOOGLETRANSLATE(D411, ""en"", ""hi"")"),"A) राजमाला")</f>
        <v>A) राजमाला</v>
      </c>
    </row>
    <row r="412" ht="22.5" customHeight="1">
      <c r="A412" s="3">
        <v>411.0</v>
      </c>
      <c r="B412" s="4" t="s">
        <v>13961</v>
      </c>
      <c r="C412" s="4" t="s">
        <v>13962</v>
      </c>
      <c r="D412" s="4" t="s">
        <v>13882</v>
      </c>
      <c r="F412" s="5" t="str">
        <f>IFERROR(__xludf.DUMMYFUNCTION("GOOGLETRANSLATE(A412, ""en"", ""hi"")"),"411")</f>
        <v>411</v>
      </c>
      <c r="G412" s="5" t="str">
        <f>IFERROR(__xludf.DUMMYFUNCTION("GOOGLETRANSLATE(B412, ""en"", ""hi"")"),"प्राचीन मणिपुर में मुकना कुश्ती का प्राथमिक कार्य क्या था?")</f>
        <v>प्राचीन मणिपुर में मुकना कुश्ती का प्राथमिक कार्य क्या था?</v>
      </c>
      <c r="H412" s="5" t="str">
        <f>IFERROR(__xludf.DUMMYFUNCTION("GOOGLETRANSLATE(C412, ""en"", ""hi"")"),"A) युद्ध प्रशिक्षण, B) अनुष्ठान अभ्यास, C) राजनीतिक प्रदर्शन, D) मनोरंजन")</f>
        <v>A) युद्ध प्रशिक्षण, B) अनुष्ठान अभ्यास, C) राजनीतिक प्रदर्शन, D) मनोरंजन</v>
      </c>
      <c r="I412" s="5" t="str">
        <f>IFERROR(__xludf.DUMMYFUNCTION("GOOGLETRANSLATE(D412, ""en"", ""hi"")"),"ए) युद्ध प्रशिक्षण")</f>
        <v>ए) युद्ध प्रशिक्षण</v>
      </c>
    </row>
    <row r="413" ht="22.5" customHeight="1">
      <c r="A413" s="3">
        <v>412.0</v>
      </c>
      <c r="B413" s="4" t="s">
        <v>13963</v>
      </c>
      <c r="C413" s="4" t="s">
        <v>13935</v>
      </c>
      <c r="D413" s="4" t="s">
        <v>13936</v>
      </c>
      <c r="F413" s="5" t="str">
        <f>IFERROR(__xludf.DUMMYFUNCTION("GOOGLETRANSLATE(A413, ""en"", ""hi"")"),"412")</f>
        <v>412</v>
      </c>
      <c r="G413" s="5" t="str">
        <f>IFERROR(__xludf.DUMMYFUNCTION("GOOGLETRANSLATE(B413, ""en"", ""hi"")"),"ब्रिटिश काल के किस दस्तावेज़ में मुकना कुश्ती जैसे पारंपरिक खेलों के पतन की चर्चा की गई है?")</f>
        <v>ब्रिटिश काल के किस दस्तावेज़ में मुकना कुश्ती जैसे पारंपरिक खेलों के पतन की चर्चा की गई है?</v>
      </c>
      <c r="H413" s="5" t="str">
        <f>IFERROR(__xludf.DUMMYFUNCTION("GOOGLETRANSLATE(C413,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13" s="5" t="str">
        <f>IFERROR(__xludf.DUMMYFUNCTION("GOOGLETRANSLATE(D413, ""en"", ""hi"")"),"A) जी. ई. हार्वे के लेखन")</f>
        <v>A) जी. ई. हार्वे के लेखन</v>
      </c>
    </row>
    <row r="414" ht="22.5" customHeight="1">
      <c r="A414" s="3">
        <v>413.0</v>
      </c>
      <c r="B414" s="4" t="s">
        <v>13964</v>
      </c>
      <c r="C414" s="4" t="s">
        <v>13965</v>
      </c>
      <c r="D414" s="4" t="s">
        <v>13931</v>
      </c>
      <c r="F414" s="5" t="str">
        <f>IFERROR(__xludf.DUMMYFUNCTION("GOOGLETRANSLATE(A414, ""en"", ""hi"")"),"413")</f>
        <v>413</v>
      </c>
      <c r="G414" s="5" t="str">
        <f>IFERROR(__xludf.DUMMYFUNCTION("GOOGLETRANSLATE(B414, ""en"", ""hi"")"),"मुकना कुश्ती पोशाक में कौन सी पारंपरिक विशेषता प्रमुख थी?")</f>
        <v>मुकना कुश्ती पोशाक में कौन सी पारंपरिक विशेषता प्रमुख थी?</v>
      </c>
      <c r="H414" s="5" t="str">
        <f>IFERROR(__xludf.DUMMYFUNCTION("GOOGLETRANSLATE(C414, ""en"", ""hi"")"),"A) ढीले-ढाले सूती वस्त्र, B) रेशमी वस्त्र, C) भारी गद्दी, D) सजावटी पैटर्न")</f>
        <v>A) ढीले-ढाले सूती वस्त्र, B) रेशमी वस्त्र, C) भारी गद्दी, D) सजावटी पैटर्न</v>
      </c>
      <c r="I414" s="5" t="str">
        <f>IFERROR(__xludf.DUMMYFUNCTION("GOOGLETRANSLATE(D414, ""en"", ""hi"")"),"A) ढीले-ढाले सूती वस्त्र")</f>
        <v>A) ढीले-ढाले सूती वस्त्र</v>
      </c>
    </row>
    <row r="415" ht="22.5" customHeight="1">
      <c r="A415" s="3">
        <v>414.0</v>
      </c>
      <c r="B415" s="4" t="s">
        <v>13949</v>
      </c>
      <c r="C415" s="4" t="s">
        <v>13619</v>
      </c>
      <c r="D415" s="4" t="s">
        <v>13331</v>
      </c>
      <c r="F415" s="5" t="str">
        <f>IFERROR(__xludf.DUMMYFUNCTION("GOOGLETRANSLATE(A415, ""en"", ""hi"")"),"414")</f>
        <v>414</v>
      </c>
      <c r="G415" s="5" t="str">
        <f>IFERROR(__xludf.DUMMYFUNCTION("GOOGLETRANSLATE(B415, ""en"", ""hi"")"),"कौन सा मणिपुरी राजा मुकना कुश्ती के पुनरुद्धार में अपने योगदान के लिए जाना जाता है?")</f>
        <v>कौन सा मणिपुरी राजा मुकना कुश्ती के पुनरुद्धार में अपने योगदान के लिए जाना जाता है?</v>
      </c>
      <c r="H415" s="5" t="str">
        <f>IFERROR(__xludf.DUMMYFUNCTION("GOOGLETRANSLATE(C415,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15" s="5" t="str">
        <f>IFERROR(__xludf.DUMMYFUNCTION("GOOGLETRANSLATE(D415, ""en"", ""hi"")"),"A) महाराजा चूड़ाचंद सिंह")</f>
        <v>A) महाराजा चूड़ाचंद सिंह</v>
      </c>
    </row>
    <row r="416" ht="22.5" customHeight="1">
      <c r="A416" s="3">
        <v>415.0</v>
      </c>
      <c r="B416" s="4" t="s">
        <v>13966</v>
      </c>
      <c r="C416" s="4" t="s">
        <v>13941</v>
      </c>
      <c r="D416" s="4" t="s">
        <v>13808</v>
      </c>
      <c r="F416" s="5" t="str">
        <f>IFERROR(__xludf.DUMMYFUNCTION("GOOGLETRANSLATE(A416, ""en"", ""hi"")"),"415")</f>
        <v>415</v>
      </c>
      <c r="G416" s="5" t="str">
        <f>IFERROR(__xludf.DUMMYFUNCTION("GOOGLETRANSLATE(B416, ""en"", ""hi"")"),"मणिपुर में मुकना कुश्ती पर औपनिवेशिक नीतियों का क्या प्रभाव पड़ा?")</f>
        <v>मणिपुर में मुकना कुश्ती पर औपनिवेशिक नीतियों का क्या प्रभाव पड़ा?</v>
      </c>
      <c r="H416" s="5" t="str">
        <f>IFERROR(__xludf.DUMMYFUNCTION("GOOGLETRANSLATE(C416, ""en"", ""hi"")"),"A) पारंपरिक प्रथाओं का दमन, B) खेल को बढ़ावा देना, C) नए नियमों का लागू करना, D) परंपराओं का संरक्षण")</f>
        <v>A) पारंपरिक प्रथाओं का दमन, B) खेल को बढ़ावा देना, C) नए नियमों का लागू करना, D) परंपराओं का संरक्षण</v>
      </c>
      <c r="I416" s="5" t="str">
        <f>IFERROR(__xludf.DUMMYFUNCTION("GOOGLETRANSLATE(D416, ""en"", ""hi"")"),"A) पारंपरिक प्रथाओं का दमन")</f>
        <v>A) पारंपरिक प्रथाओं का दमन</v>
      </c>
    </row>
    <row r="417" ht="22.5" customHeight="1">
      <c r="A417" s="3">
        <v>416.0</v>
      </c>
      <c r="B417" s="4" t="s">
        <v>13967</v>
      </c>
      <c r="C417" s="4" t="s">
        <v>12389</v>
      </c>
      <c r="D417" s="4" t="s">
        <v>12086</v>
      </c>
      <c r="F417" s="5" t="str">
        <f>IFERROR(__xludf.DUMMYFUNCTION("GOOGLETRANSLATE(A417, ""en"", ""hi"")"),"416")</f>
        <v>416</v>
      </c>
      <c r="G417" s="5" t="str">
        <f>IFERROR(__xludf.DUMMYFUNCTION("GOOGLETRANSLATE(B417, ""en"", ""hi"")"),"मणिपुर में ऐतिहासिक रूप से किस त्यौहार पर मुकना कुश्ती मैच खेले जाते थे?")</f>
        <v>मणिपुर में ऐतिहासिक रूप से किस त्यौहार पर मुकना कुश्ती मैच खेले जाते थे?</v>
      </c>
      <c r="H417" s="5" t="str">
        <f>IFERROR(__xludf.DUMMYFUNCTION("GOOGLETRANSLATE(C417, ""en"", ""hi"")"),"ए) लाई हराओबा, बी) याओशांग, सी) निंगोल चाकोउबा, डी) चेइराओबा")</f>
        <v>ए) लाई हराओबा, बी) याओशांग, सी) निंगोल चाकोउबा, डी) चेइराओबा</v>
      </c>
      <c r="I417" s="5" t="str">
        <f>IFERROR(__xludf.DUMMYFUNCTION("GOOGLETRANSLATE(D417, ""en"", ""hi"")"),"A) लाई हरोबा")</f>
        <v>A) लाई हरोबा</v>
      </c>
    </row>
    <row r="418" ht="22.5" customHeight="1">
      <c r="A418" s="3">
        <v>417.0</v>
      </c>
      <c r="B418" s="4" t="s">
        <v>13968</v>
      </c>
      <c r="C418" s="4" t="s">
        <v>13801</v>
      </c>
      <c r="D418" s="4" t="s">
        <v>13750</v>
      </c>
      <c r="F418" s="5" t="str">
        <f>IFERROR(__xludf.DUMMYFUNCTION("GOOGLETRANSLATE(A418, ""en"", ""hi"")"),"417")</f>
        <v>417</v>
      </c>
      <c r="G418" s="5" t="str">
        <f>IFERROR(__xludf.DUMMYFUNCTION("GOOGLETRANSLATE(B418, ""en"", ""hi"")"),"मणिपुर में पारंपरिक मुकना कुश्ती मैट के लिए किस सामग्री का उपयोग किया जाता था?")</f>
        <v>मणिपुर में पारंपरिक मुकना कुश्ती मैट के लिए किस सामग्री का उपयोग किया जाता था?</v>
      </c>
      <c r="H418" s="5" t="str">
        <f>IFERROR(__xludf.DUMMYFUNCTION("GOOGLETRANSLATE(C418, ""en"", ""hi"")"),"A) पुआल, B) जूट, C) कपास, D) बांस")</f>
        <v>A) पुआल, B) जूट, C) कपास, D) बांस</v>
      </c>
      <c r="I418" s="5" t="str">
        <f>IFERROR(__xludf.DUMMYFUNCTION("GOOGLETRANSLATE(D418, ""en"", ""hi"")"),"एक पुआल")</f>
        <v>एक पुआल</v>
      </c>
    </row>
    <row r="419" ht="22.5" customHeight="1">
      <c r="A419" s="3">
        <v>418.0</v>
      </c>
      <c r="B419" s="4" t="s">
        <v>13969</v>
      </c>
      <c r="C419" s="4" t="s">
        <v>13704</v>
      </c>
      <c r="D419" s="4" t="s">
        <v>13474</v>
      </c>
      <c r="F419" s="5" t="str">
        <f>IFERROR(__xludf.DUMMYFUNCTION("GOOGLETRANSLATE(A419, ""en"", ""hi"")"),"418")</f>
        <v>418</v>
      </c>
      <c r="G419" s="5" t="str">
        <f>IFERROR(__xludf.DUMMYFUNCTION("GOOGLETRANSLATE(B419, ""en"", ""hi"")"),"मुकना कुश्ती तकनीक को समझने के लिए कौन सा मणिपुरी पाठ महत्वपूर्ण है?")</f>
        <v>मुकना कुश्ती तकनीक को समझने के लिए कौन सा मणिपुरी पाठ महत्वपूर्ण है?</v>
      </c>
      <c r="H419" s="5" t="str">
        <f>IFERROR(__xludf.DUMMYFUNCTION("GOOGLETRANSLATE(C419, ""en"", ""hi"")"),"ए) बुरांजी, बी) राजमाला, सी) मणिपुरी वेद, डी) मनुस्मृति")</f>
        <v>ए) बुरांजी, बी) राजमाला, सी) मणिपुरी वेद, डी) मनुस्मृति</v>
      </c>
      <c r="I419" s="5" t="str">
        <f>IFERROR(__xludf.DUMMYFUNCTION("GOOGLETRANSLATE(D419, ""en"", ""hi"")"),"ए) बुरांजी")</f>
        <v>ए) बुरांजी</v>
      </c>
    </row>
    <row r="420" ht="22.5" customHeight="1">
      <c r="A420" s="3">
        <v>419.0</v>
      </c>
      <c r="B420" s="4" t="s">
        <v>13970</v>
      </c>
      <c r="C420" s="4" t="s">
        <v>13971</v>
      </c>
      <c r="D420" s="4" t="s">
        <v>13972</v>
      </c>
      <c r="F420" s="5" t="str">
        <f>IFERROR(__xludf.DUMMYFUNCTION("GOOGLETRANSLATE(A420, ""en"", ""hi"")"),"419")</f>
        <v>419</v>
      </c>
      <c r="G420" s="5" t="str">
        <f>IFERROR(__xludf.DUMMYFUNCTION("GOOGLETRANSLATE(B420, ""en"", ""hi"")"),"ऐतिहासिक समय में मुकना कुश्ती प्रशिक्षण की उल्लेखनीय विशेषता क्या थी?")</f>
        <v>ऐतिहासिक समय में मुकना कुश्ती प्रशिक्षण की उल्लेखनीय विशेषता क्या थी?</v>
      </c>
      <c r="H420" s="5" t="str">
        <f>IFERROR(__xludf.DUMMYFUNCTION("GOOGLETRANSLATE(C420, ""en"", ""hi"")"),"A) युद्ध की तैयारी पर जोर, B) शारीरिक सहनशक्ति पर ध्यान, C) अनुष्ठानिक तत्व, D) सामाजिक कौशल विकास")</f>
        <v>A) युद्ध की तैयारी पर जोर, B) शारीरिक सहनशक्ति पर ध्यान, C) अनुष्ठानिक तत्व, D) सामाजिक कौशल विकास</v>
      </c>
      <c r="I420" s="5" t="str">
        <f>IFERROR(__xludf.DUMMYFUNCTION("GOOGLETRANSLATE(D420, ""en"", ""hi"")"),"A) युद्ध की तैयारी पर जोर")</f>
        <v>A) युद्ध की तैयारी पर जोर</v>
      </c>
    </row>
    <row r="421" ht="22.5" customHeight="1">
      <c r="A421" s="3">
        <v>420.0</v>
      </c>
      <c r="B421" s="4" t="s">
        <v>13973</v>
      </c>
      <c r="C421" s="4" t="s">
        <v>13619</v>
      </c>
      <c r="D421" s="4" t="s">
        <v>13331</v>
      </c>
      <c r="F421" s="5" t="str">
        <f>IFERROR(__xludf.DUMMYFUNCTION("GOOGLETRANSLATE(A421, ""en"", ""hi"")"),"420")</f>
        <v>420</v>
      </c>
      <c r="G421" s="5" t="str">
        <f>IFERROR(__xludf.DUMMYFUNCTION("GOOGLETRANSLATE(B421, ""en"", ""hi"")"),"20वीं शताब्दी में मुकना कुश्ती के पुनरुद्धार में किस मणिपुरी राजा ने महत्वपूर्ण भूमिका निभाई?")</f>
        <v>20वीं शताब्दी में मुकना कुश्ती के पुनरुद्धार में किस मणिपुरी राजा ने महत्वपूर्ण भूमिका निभाई?</v>
      </c>
      <c r="H421" s="5" t="str">
        <f>IFERROR(__xludf.DUMMYFUNCTION("GOOGLETRANSLATE(C421,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21" s="5" t="str">
        <f>IFERROR(__xludf.DUMMYFUNCTION("GOOGLETRANSLATE(D421, ""en"", ""hi"")"),"A) महाराजा चूड़ाचंद सिंह")</f>
        <v>A) महाराजा चूड़ाचंद सिंह</v>
      </c>
    </row>
    <row r="422" ht="22.5" customHeight="1">
      <c r="A422" s="3">
        <v>421.0</v>
      </c>
      <c r="B422" s="4" t="s">
        <v>13946</v>
      </c>
      <c r="C422" s="4" t="s">
        <v>13974</v>
      </c>
      <c r="D422" s="4" t="s">
        <v>13948</v>
      </c>
      <c r="F422" s="5" t="str">
        <f>IFERROR(__xludf.DUMMYFUNCTION("GOOGLETRANSLATE(A422, ""en"", ""hi"")"),"421")</f>
        <v>421</v>
      </c>
      <c r="G422" s="5" t="str">
        <f>IFERROR(__xludf.DUMMYFUNCTION("GOOGLETRANSLATE(B422, ""en"", ""hi"")"),"मणिपुर में मुकना कुश्ती पोशाक का पारंपरिक पहलू क्या था?")</f>
        <v>मणिपुर में मुकना कुश्ती पोशाक का पारंपरिक पहलू क्या था?</v>
      </c>
      <c r="H422" s="5" t="str">
        <f>IFERROR(__xludf.DUMMYFUNCTION("GOOGLETRANSLATE(C422, ""en"", ""hi"")"),"A) ढीले-ढाले वस्त्र, B) रेशमी वस्त्र, C) चमड़े का कवच, D) ऊनी पोशाक")</f>
        <v>A) ढीले-ढाले वस्त्र, B) रेशमी वस्त्र, C) चमड़े का कवच, D) ऊनी पोशाक</v>
      </c>
      <c r="I422" s="5" t="str">
        <f>IFERROR(__xludf.DUMMYFUNCTION("GOOGLETRANSLATE(D422, ""en"", ""hi"")"),"A) ढीले-ढाले वस्त्र")</f>
        <v>A) ढीले-ढाले वस्त्र</v>
      </c>
    </row>
    <row r="423" ht="22.5" customHeight="1">
      <c r="A423" s="3">
        <v>422.0</v>
      </c>
      <c r="B423" s="4" t="s">
        <v>13975</v>
      </c>
      <c r="C423" s="4" t="s">
        <v>13935</v>
      </c>
      <c r="D423" s="4" t="s">
        <v>13936</v>
      </c>
      <c r="F423" s="5" t="str">
        <f>IFERROR(__xludf.DUMMYFUNCTION("GOOGLETRANSLATE(A423, ""en"", ""hi"")"),"422")</f>
        <v>422</v>
      </c>
      <c r="G423" s="5" t="str">
        <f>IFERROR(__xludf.DUMMYFUNCTION("GOOGLETRANSLATE(B423, ""en"", ""hi"")"),"मुकना कुश्ती के पतन को समझने के लिए ब्रिटिश काल के कौन से लेख महत्वपूर्ण हैं?")</f>
        <v>मुकना कुश्ती के पतन को समझने के लिए ब्रिटिश काल के कौन से लेख महत्वपूर्ण हैं?</v>
      </c>
      <c r="H423" s="5" t="str">
        <f>IFERROR(__xludf.DUMMYFUNCTION("GOOGLETRANSLATE(C423,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23" s="5" t="str">
        <f>IFERROR(__xludf.DUMMYFUNCTION("GOOGLETRANSLATE(D423, ""en"", ""hi"")"),"A) जी. ई. हार्वे के लेखन")</f>
        <v>A) जी. ई. हार्वे के लेखन</v>
      </c>
    </row>
    <row r="424" ht="22.5" customHeight="1">
      <c r="A424" s="3">
        <v>423.0</v>
      </c>
      <c r="B424" s="4" t="s">
        <v>13976</v>
      </c>
      <c r="C424" s="4" t="s">
        <v>13977</v>
      </c>
      <c r="D424" s="4" t="s">
        <v>13827</v>
      </c>
      <c r="F424" s="5" t="str">
        <f>IFERROR(__xludf.DUMMYFUNCTION("GOOGLETRANSLATE(A424, ""en"", ""hi"")"),"423")</f>
        <v>423</v>
      </c>
      <c r="G424" s="5" t="str">
        <f>IFERROR(__xludf.DUMMYFUNCTION("GOOGLETRANSLATE(B424, ""en"", ""hi"")"),"ऐतिहासिक मणिपुर के सैन्य प्रशिक्षण में मुकना कुश्ती की क्या भूमिका थी?")</f>
        <v>ऐतिहासिक मणिपुर के सैन्य प्रशिक्षण में मुकना कुश्ती की क्या भूमिका थी?</v>
      </c>
      <c r="H424" s="5" t="str">
        <f>IFERROR(__xludf.DUMMYFUNCTION("GOOGLETRANSLATE(C424, ""en"", ""hi"")"),"A) युद्ध की तैयारी, B) शारीरिक सहनशक्ति, C) अनुष्ठान की तैयारी, D) सामाजिक संबंध")</f>
        <v>A) युद्ध की तैयारी, B) शारीरिक सहनशक्ति, C) अनुष्ठान की तैयारी, D) सामाजिक संबंध</v>
      </c>
      <c r="I424" s="5" t="str">
        <f>IFERROR(__xludf.DUMMYFUNCTION("GOOGLETRANSLATE(D424, ""en"", ""hi"")"),"ए) युद्ध तत्परता")</f>
        <v>ए) युद्ध तत्परता</v>
      </c>
    </row>
    <row r="425" ht="22.5" customHeight="1">
      <c r="A425" s="3">
        <v>424.0</v>
      </c>
      <c r="B425" s="4" t="s">
        <v>13978</v>
      </c>
      <c r="C425" s="4" t="s">
        <v>12389</v>
      </c>
      <c r="D425" s="4" t="s">
        <v>12086</v>
      </c>
      <c r="F425" s="5" t="str">
        <f>IFERROR(__xludf.DUMMYFUNCTION("GOOGLETRANSLATE(A425, ""en"", ""hi"")"),"424")</f>
        <v>424</v>
      </c>
      <c r="G425" s="5" t="str">
        <f>IFERROR(__xludf.DUMMYFUNCTION("GOOGLETRANSLATE(B425, ""en"", ""hi"")"),"मणिपुर का कौन सा त्यौहार मुकना कुश्ती मैचों के लिए जाना जाता है?")</f>
        <v>मणिपुर का कौन सा त्यौहार मुकना कुश्ती मैचों के लिए जाना जाता है?</v>
      </c>
      <c r="H425" s="5" t="str">
        <f>IFERROR(__xludf.DUMMYFUNCTION("GOOGLETRANSLATE(C425, ""en"", ""hi"")"),"ए) लाई हराओबा, बी) याओशांग, सी) निंगोल चाकोउबा, डी) चेइराओबा")</f>
        <v>ए) लाई हराओबा, बी) याओशांग, सी) निंगोल चाकोउबा, डी) चेइराओबा</v>
      </c>
      <c r="I425" s="5" t="str">
        <f>IFERROR(__xludf.DUMMYFUNCTION("GOOGLETRANSLATE(D425, ""en"", ""hi"")"),"A) लाई हरोबा")</f>
        <v>A) लाई हरोबा</v>
      </c>
    </row>
    <row r="426" ht="22.5" customHeight="1">
      <c r="A426" s="3">
        <v>425.0</v>
      </c>
      <c r="B426" s="4" t="s">
        <v>13979</v>
      </c>
      <c r="C426" s="4" t="s">
        <v>13704</v>
      </c>
      <c r="D426" s="4" t="s">
        <v>13474</v>
      </c>
      <c r="F426" s="5" t="str">
        <f>IFERROR(__xludf.DUMMYFUNCTION("GOOGLETRANSLATE(A426, ""en"", ""hi"")"),"425")</f>
        <v>425</v>
      </c>
      <c r="G426" s="5" t="str">
        <f>IFERROR(__xludf.DUMMYFUNCTION("GOOGLETRANSLATE(B426, ""en"", ""hi"")"),"मुकना कुश्ती को समझने के लिए कौन सा ऐतिहासिक ग्रन्थ आवश्यक है?")</f>
        <v>मुकना कुश्ती को समझने के लिए कौन सा ऐतिहासिक ग्रन्थ आवश्यक है?</v>
      </c>
      <c r="H426" s="5" t="str">
        <f>IFERROR(__xludf.DUMMYFUNCTION("GOOGLETRANSLATE(C426, ""en"", ""hi"")"),"ए) बुरांजी, बी) राजमाला, सी) मणिपुरी वेद, डी) मनुस्मृति")</f>
        <v>ए) बुरांजी, बी) राजमाला, सी) मणिपुरी वेद, डी) मनुस्मृति</v>
      </c>
      <c r="I426" s="5" t="str">
        <f>IFERROR(__xludf.DUMMYFUNCTION("GOOGLETRANSLATE(D426, ""en"", ""hi"")"),"ए) बुरांजी")</f>
        <v>ए) बुरांजी</v>
      </c>
    </row>
    <row r="427" ht="22.5" customHeight="1">
      <c r="A427" s="3">
        <v>426.0</v>
      </c>
      <c r="B427" s="4" t="s">
        <v>13980</v>
      </c>
      <c r="C427" s="4" t="s">
        <v>13910</v>
      </c>
      <c r="D427" s="4" t="s">
        <v>13823</v>
      </c>
      <c r="F427" s="5" t="str">
        <f>IFERROR(__xludf.DUMMYFUNCTION("GOOGLETRANSLATE(A427, ""en"", ""hi"")"),"426")</f>
        <v>426</v>
      </c>
      <c r="G427" s="5" t="str">
        <f>IFERROR(__xludf.DUMMYFUNCTION("GOOGLETRANSLATE(B427, ""en"", ""hi"")"),"ऐतिहासिक मणिपुर में मुकना कुश्ती मैट की एक महत्वपूर्ण विशेषता क्या थी?")</f>
        <v>ऐतिहासिक मणिपुर में मुकना कुश्ती मैट की एक महत्वपूर्ण विशेषता क्या थी?</v>
      </c>
      <c r="H427" s="5" t="str">
        <f>IFERROR(__xludf.DUMMYFUNCTION("GOOGLETRANSLATE(C427, ""en"", ""hi"")"),"A) पुआल से बना, B) जूट से ढका, C) गद्दी से सुसज्जित, D) पैटर्न से अलंकृत")</f>
        <v>A) पुआल से बना, B) जूट से ढका, C) गद्दी से सुसज्जित, D) पैटर्न से अलंकृत</v>
      </c>
      <c r="I427" s="5" t="str">
        <f>IFERROR(__xludf.DUMMYFUNCTION("GOOGLETRANSLATE(D427, ""en"", ""hi"")"),"A) भूसे से बना")</f>
        <v>A) भूसे से बना</v>
      </c>
    </row>
    <row r="428" ht="22.5" customHeight="1">
      <c r="A428" s="3">
        <v>427.0</v>
      </c>
      <c r="B428" s="4" t="s">
        <v>13949</v>
      </c>
      <c r="C428" s="4" t="s">
        <v>13619</v>
      </c>
      <c r="D428" s="4" t="s">
        <v>13331</v>
      </c>
      <c r="F428" s="5" t="str">
        <f>IFERROR(__xludf.DUMMYFUNCTION("GOOGLETRANSLATE(A428, ""en"", ""hi"")"),"427")</f>
        <v>427</v>
      </c>
      <c r="G428" s="5" t="str">
        <f>IFERROR(__xludf.DUMMYFUNCTION("GOOGLETRANSLATE(B428, ""en"", ""hi"")"),"कौन सा मणिपुरी राजा मुकना कुश्ती के पुनरुद्धार में अपने योगदान के लिए जाना जाता है?")</f>
        <v>कौन सा मणिपुरी राजा मुकना कुश्ती के पुनरुद्धार में अपने योगदान के लिए जाना जाता है?</v>
      </c>
      <c r="H428" s="5" t="str">
        <f>IFERROR(__xludf.DUMMYFUNCTION("GOOGLETRANSLATE(C428,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28" s="5" t="str">
        <f>IFERROR(__xludf.DUMMYFUNCTION("GOOGLETRANSLATE(D428, ""en"", ""hi"")"),"A) महाराजा चूड़ाचंद सिंह")</f>
        <v>A) महाराजा चूड़ाचंद सिंह</v>
      </c>
    </row>
    <row r="429" ht="22.5" customHeight="1">
      <c r="A429" s="3">
        <v>428.0</v>
      </c>
      <c r="B429" s="4" t="s">
        <v>13940</v>
      </c>
      <c r="C429" s="4" t="s">
        <v>13941</v>
      </c>
      <c r="D429" s="4" t="s">
        <v>13808</v>
      </c>
      <c r="F429" s="5" t="str">
        <f>IFERROR(__xludf.DUMMYFUNCTION("GOOGLETRANSLATE(A429, ""en"", ""hi"")"),"428")</f>
        <v>428</v>
      </c>
      <c r="G429" s="5" t="str">
        <f>IFERROR(__xludf.DUMMYFUNCTION("GOOGLETRANSLATE(B429, ""en"", ""hi"")"),"ब्रिटिश औपनिवेशिक नीतियों का मुकना कुश्ती पर क्या प्रभाव पड़ा?")</f>
        <v>ब्रिटिश औपनिवेशिक नीतियों का मुकना कुश्ती पर क्या प्रभाव पड़ा?</v>
      </c>
      <c r="H429" s="5" t="str">
        <f>IFERROR(__xludf.DUMMYFUNCTION("GOOGLETRANSLATE(C429, ""en"", ""hi"")"),"A) पारंपरिक प्रथाओं का दमन, B) खेल को बढ़ावा देना, C) नए नियमों का लागू करना, D) परंपराओं का संरक्षण")</f>
        <v>A) पारंपरिक प्रथाओं का दमन, B) खेल को बढ़ावा देना, C) नए नियमों का लागू करना, D) परंपराओं का संरक्षण</v>
      </c>
      <c r="I429" s="5" t="str">
        <f>IFERROR(__xludf.DUMMYFUNCTION("GOOGLETRANSLATE(D429, ""en"", ""hi"")"),"A) पारंपरिक प्रथाओं का दमन")</f>
        <v>A) पारंपरिक प्रथाओं का दमन</v>
      </c>
    </row>
    <row r="430" ht="22.5" customHeight="1">
      <c r="A430" s="3">
        <v>429.0</v>
      </c>
      <c r="B430" s="4" t="s">
        <v>13981</v>
      </c>
      <c r="C430" s="4" t="s">
        <v>12389</v>
      </c>
      <c r="D430" s="4" t="s">
        <v>12086</v>
      </c>
      <c r="F430" s="5" t="str">
        <f>IFERROR(__xludf.DUMMYFUNCTION("GOOGLETRANSLATE(A430, ""en"", ""hi"")"),"429")</f>
        <v>429</v>
      </c>
      <c r="G430" s="5" t="str">
        <f>IFERROR(__xludf.DUMMYFUNCTION("GOOGLETRANSLATE(B430, ""en"", ""hi"")"),"कौन सा मणिपुरी त्यौहार ऐतिहासिक रूप से मुकना कुश्ती प्रतियोगिताओं के लिए जाना जाता है?")</f>
        <v>कौन सा मणिपुरी त्यौहार ऐतिहासिक रूप से मुकना कुश्ती प्रतियोगिताओं के लिए जाना जाता है?</v>
      </c>
      <c r="H430" s="5" t="str">
        <f>IFERROR(__xludf.DUMMYFUNCTION("GOOGLETRANSLATE(C430, ""en"", ""hi"")"),"ए) लाई हराओबा, बी) याओशांग, सी) निंगोल चाकोउबा, डी) चेइराओबा")</f>
        <v>ए) लाई हराओबा, बी) याओशांग, सी) निंगोल चाकोउबा, डी) चेइराओबा</v>
      </c>
      <c r="I430" s="5" t="str">
        <f>IFERROR(__xludf.DUMMYFUNCTION("GOOGLETRANSLATE(D430, ""en"", ""hi"")"),"A) लाई हरोबा")</f>
        <v>A) लाई हरोबा</v>
      </c>
    </row>
    <row r="431" ht="22.5" customHeight="1">
      <c r="A431" s="3">
        <v>430.0</v>
      </c>
      <c r="B431" s="4" t="s">
        <v>13958</v>
      </c>
      <c r="C431" s="4" t="s">
        <v>13881</v>
      </c>
      <c r="D431" s="4" t="s">
        <v>13882</v>
      </c>
      <c r="F431" s="5" t="str">
        <f>IFERROR(__xludf.DUMMYFUNCTION("GOOGLETRANSLATE(A431, ""en"", ""hi"")"),"430")</f>
        <v>430</v>
      </c>
      <c r="G431" s="5" t="str">
        <f>IFERROR(__xludf.DUMMYFUNCTION("GOOGLETRANSLATE(B431, ""en"", ""hi"")"),"पारंपरिक मणिपुरी समाज में मुकना कुश्ती का प्राथमिक उद्देश्य क्या था?")</f>
        <v>पारंपरिक मणिपुरी समाज में मुकना कुश्ती का प्राथमिक उद्देश्य क्या था?</v>
      </c>
      <c r="H431" s="5" t="str">
        <f>IFERROR(__xludf.DUMMYFUNCTION("GOOGLETRANSLATE(C431, ""en"", ""hi"")"),"A) युद्ध प्रशिक्षण, B) सामाजिक मनोरंजन, C) धार्मिक अनुष्ठान, D) राजनीतिक प्रदर्शन")</f>
        <v>A) युद्ध प्रशिक्षण, B) सामाजिक मनोरंजन, C) धार्मिक अनुष्ठान, D) राजनीतिक प्रदर्शन</v>
      </c>
      <c r="I431" s="5" t="str">
        <f>IFERROR(__xludf.DUMMYFUNCTION("GOOGLETRANSLATE(D431, ""en"", ""hi"")"),"ए) युद्ध प्रशिक्षण")</f>
        <v>ए) युद्ध प्रशिक्षण</v>
      </c>
    </row>
    <row r="432" ht="22.5" customHeight="1">
      <c r="A432" s="3">
        <v>431.0</v>
      </c>
      <c r="B432" s="4" t="s">
        <v>13982</v>
      </c>
      <c r="C432" s="4" t="s">
        <v>13704</v>
      </c>
      <c r="D432" s="4" t="s">
        <v>13474</v>
      </c>
      <c r="F432" s="5" t="str">
        <f>IFERROR(__xludf.DUMMYFUNCTION("GOOGLETRANSLATE(A432, ""en"", ""hi"")"),"431")</f>
        <v>431</v>
      </c>
      <c r="G432" s="5" t="str">
        <f>IFERROR(__xludf.DUMMYFUNCTION("GOOGLETRANSLATE(B432, ""en"", ""hi"")"),"कौन सा ऐतिहासिक ग्रंथ मुकना कुश्ती का व्यापक विवरण प्रदान करता है?")</f>
        <v>कौन सा ऐतिहासिक ग्रंथ मुकना कुश्ती का व्यापक विवरण प्रदान करता है?</v>
      </c>
      <c r="H432" s="5" t="str">
        <f>IFERROR(__xludf.DUMMYFUNCTION("GOOGLETRANSLATE(C432, ""en"", ""hi"")"),"ए) बुरांजी, बी) राजमाला, सी) मणिपुरी वेद, डी) मनुस्मृति")</f>
        <v>ए) बुरांजी, बी) राजमाला, सी) मणिपुरी वेद, डी) मनुस्मृति</v>
      </c>
      <c r="I432" s="5" t="str">
        <f>IFERROR(__xludf.DUMMYFUNCTION("GOOGLETRANSLATE(D432, ""en"", ""hi"")"),"ए) बुरांजी")</f>
        <v>ए) बुरांजी</v>
      </c>
    </row>
    <row r="433" ht="22.5" customHeight="1">
      <c r="A433" s="3">
        <v>432.0</v>
      </c>
      <c r="B433" s="4" t="s">
        <v>13968</v>
      </c>
      <c r="C433" s="4" t="s">
        <v>13801</v>
      </c>
      <c r="D433" s="4" t="s">
        <v>13750</v>
      </c>
      <c r="F433" s="5" t="str">
        <f>IFERROR(__xludf.DUMMYFUNCTION("GOOGLETRANSLATE(A433, ""en"", ""hi"")"),"432")</f>
        <v>432</v>
      </c>
      <c r="G433" s="5" t="str">
        <f>IFERROR(__xludf.DUMMYFUNCTION("GOOGLETRANSLATE(B433, ""en"", ""hi"")"),"मणिपुर में पारंपरिक मुकना कुश्ती मैट के लिए किस सामग्री का उपयोग किया जाता था?")</f>
        <v>मणिपुर में पारंपरिक मुकना कुश्ती मैट के लिए किस सामग्री का उपयोग किया जाता था?</v>
      </c>
      <c r="H433" s="5" t="str">
        <f>IFERROR(__xludf.DUMMYFUNCTION("GOOGLETRANSLATE(C433, ""en"", ""hi"")"),"A) पुआल, B) जूट, C) कपास, D) बांस")</f>
        <v>A) पुआल, B) जूट, C) कपास, D) बांस</v>
      </c>
      <c r="I433" s="5" t="str">
        <f>IFERROR(__xludf.DUMMYFUNCTION("GOOGLETRANSLATE(D433, ""en"", ""hi"")"),"एक पुआल")</f>
        <v>एक पुआल</v>
      </c>
    </row>
    <row r="434" ht="22.5" customHeight="1">
      <c r="A434" s="3">
        <v>433.0</v>
      </c>
      <c r="B434" s="4" t="s">
        <v>13983</v>
      </c>
      <c r="C434" s="4" t="s">
        <v>13619</v>
      </c>
      <c r="D434" s="4" t="s">
        <v>13331</v>
      </c>
      <c r="F434" s="5" t="str">
        <f>IFERROR(__xludf.DUMMYFUNCTION("GOOGLETRANSLATE(A434, ""en"", ""hi"")"),"433")</f>
        <v>433</v>
      </c>
      <c r="G434" s="5" t="str">
        <f>IFERROR(__xludf.DUMMYFUNCTION("GOOGLETRANSLATE(B434, ""en"", ""hi"")"),"20वीं शताब्दी में मुकना कुश्ती के पुनरुद्धार में किस मणिपुरी राजा ने महत्वपूर्ण योगदान दिया?")</f>
        <v>20वीं शताब्दी में मुकना कुश्ती के पुनरुद्धार में किस मणिपुरी राजा ने महत्वपूर्ण योगदान दिया?</v>
      </c>
      <c r="H434" s="5" t="str">
        <f>IFERROR(__xludf.DUMMYFUNCTION("GOOGLETRANSLATE(C434,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34" s="5" t="str">
        <f>IFERROR(__xludf.DUMMYFUNCTION("GOOGLETRANSLATE(D434, ""en"", ""hi"")"),"A) महाराजा चूड़ाचंद सिंह")</f>
        <v>A) महाराजा चूड़ाचंद सिंह</v>
      </c>
    </row>
    <row r="435" ht="22.5" customHeight="1">
      <c r="A435" s="3">
        <v>434.0</v>
      </c>
      <c r="B435" s="4" t="s">
        <v>13875</v>
      </c>
      <c r="C435" s="4" t="s">
        <v>13876</v>
      </c>
      <c r="D435" s="4" t="s">
        <v>13827</v>
      </c>
      <c r="F435" s="5" t="str">
        <f>IFERROR(__xludf.DUMMYFUNCTION("GOOGLETRANSLATE(A435, ""en"", ""hi"")"),"434")</f>
        <v>434</v>
      </c>
      <c r="G435" s="5" t="str">
        <f>IFERROR(__xludf.DUMMYFUNCTION("GOOGLETRANSLATE(B435, ""en"", ""hi"")"),"ऐतिहासिक मणिपुर में मुकना कुश्ती प्रशिक्षण का पारंपरिक पहलू क्या था?")</f>
        <v>ऐतिहासिक मणिपुर में मुकना कुश्ती प्रशिक्षण का पारंपरिक पहलू क्या था?</v>
      </c>
      <c r="H435" s="5" t="str">
        <f>IFERROR(__xludf.DUMMYFUNCTION("GOOGLETRANSLATE(C435, ""en"", ""hi"")"),"A) युद्ध तत्परता, B) शारीरिक सहनशक्ति, C) अनुष्ठान ज्ञान, D) सामाजिक कौशल")</f>
        <v>A) युद्ध तत्परता, B) शारीरिक सहनशक्ति, C) अनुष्ठान ज्ञान, D) सामाजिक कौशल</v>
      </c>
      <c r="I435" s="5" t="str">
        <f>IFERROR(__xludf.DUMMYFUNCTION("GOOGLETRANSLATE(D435, ""en"", ""hi"")"),"ए) युद्ध तत्परता")</f>
        <v>ए) युद्ध तत्परता</v>
      </c>
    </row>
    <row r="436" ht="22.5" customHeight="1">
      <c r="A436" s="3">
        <v>435.0</v>
      </c>
      <c r="B436" s="4" t="s">
        <v>13984</v>
      </c>
      <c r="C436" s="4" t="s">
        <v>13704</v>
      </c>
      <c r="D436" s="4" t="s">
        <v>13474</v>
      </c>
      <c r="F436" s="5" t="str">
        <f>IFERROR(__xludf.DUMMYFUNCTION("GOOGLETRANSLATE(A436, ""en"", ""hi"")"),"435")</f>
        <v>435</v>
      </c>
      <c r="G436" s="5" t="str">
        <f>IFERROR(__xludf.DUMMYFUNCTION("GOOGLETRANSLATE(B436, ""en"", ""hi"")"),"मुकना कुश्ती प्रथाओं और तकनीकों को समझने के लिए कौन सा ऐतिहासिक दस्तावेज महत्वपूर्ण है?")</f>
        <v>मुकना कुश्ती प्रथाओं और तकनीकों को समझने के लिए कौन सा ऐतिहासिक दस्तावेज महत्वपूर्ण है?</v>
      </c>
      <c r="H436" s="5" t="str">
        <f>IFERROR(__xludf.DUMMYFUNCTION("GOOGLETRANSLATE(C436, ""en"", ""hi"")"),"ए) बुरांजी, बी) राजमाला, सी) मणिपुरी वेद, डी) मनुस्मृति")</f>
        <v>ए) बुरांजी, बी) राजमाला, सी) मणिपुरी वेद, डी) मनुस्मृति</v>
      </c>
      <c r="I436" s="5" t="str">
        <f>IFERROR(__xludf.DUMMYFUNCTION("GOOGLETRANSLATE(D436, ""en"", ""hi"")"),"ए) बुरांजी")</f>
        <v>ए) बुरांजी</v>
      </c>
    </row>
    <row r="437" ht="22.5" customHeight="1">
      <c r="A437" s="3">
        <v>436.0</v>
      </c>
      <c r="B437" s="4" t="s">
        <v>13985</v>
      </c>
      <c r="C437" s="4" t="s">
        <v>13881</v>
      </c>
      <c r="D437" s="4" t="s">
        <v>13882</v>
      </c>
      <c r="F437" s="5" t="str">
        <f>IFERROR(__xludf.DUMMYFUNCTION("GOOGLETRANSLATE(A437, ""en"", ""hi"")"),"436")</f>
        <v>436</v>
      </c>
      <c r="G437" s="5" t="str">
        <f>IFERROR(__xludf.DUMMYFUNCTION("GOOGLETRANSLATE(B437, ""en"", ""hi"")"),"ऐतिहासिक मणिपुरी समाज में मुकना कुश्ती का प्राथमिक कार्य क्या था?")</f>
        <v>ऐतिहासिक मणिपुरी समाज में मुकना कुश्ती का प्राथमिक कार्य क्या था?</v>
      </c>
      <c r="H437" s="5" t="str">
        <f>IFERROR(__xludf.DUMMYFUNCTION("GOOGLETRANSLATE(C437, ""en"", ""hi"")"),"A) युद्ध प्रशिक्षण, B) सामाजिक मनोरंजन, C) धार्मिक अनुष्ठान, D) राजनीतिक प्रदर्शन")</f>
        <v>A) युद्ध प्रशिक्षण, B) सामाजिक मनोरंजन, C) धार्मिक अनुष्ठान, D) राजनीतिक प्रदर्शन</v>
      </c>
      <c r="I437" s="5" t="str">
        <f>IFERROR(__xludf.DUMMYFUNCTION("GOOGLETRANSLATE(D437, ""en"", ""hi"")"),"ए) युद्ध प्रशिक्षण")</f>
        <v>ए) युद्ध प्रशिक्षण</v>
      </c>
    </row>
    <row r="438" ht="22.5" customHeight="1">
      <c r="A438" s="3">
        <v>437.0</v>
      </c>
      <c r="B438" s="4" t="s">
        <v>13986</v>
      </c>
      <c r="C438" s="4" t="s">
        <v>13935</v>
      </c>
      <c r="D438" s="4" t="s">
        <v>13936</v>
      </c>
      <c r="F438" s="5" t="str">
        <f>IFERROR(__xludf.DUMMYFUNCTION("GOOGLETRANSLATE(A438, ""en"", ""hi"")"),"437")</f>
        <v>437</v>
      </c>
      <c r="G438" s="5" t="str">
        <f>IFERROR(__xludf.DUMMYFUNCTION("GOOGLETRANSLATE(B438, ""en"", ""hi"")"),"ब्रिटिश काल के कौन से लेख मुकना कुश्ती के पतन के बारे में जानकारी देते हैं?")</f>
        <v>ब्रिटिश काल के कौन से लेख मुकना कुश्ती के पतन के बारे में जानकारी देते हैं?</v>
      </c>
      <c r="H438" s="5" t="str">
        <f>IFERROR(__xludf.DUMMYFUNCTION("GOOGLETRANSLATE(C438,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38" s="5" t="str">
        <f>IFERROR(__xludf.DUMMYFUNCTION("GOOGLETRANSLATE(D438, ""en"", ""hi"")"),"A) जी. ई. हार्वे के लेखन")</f>
        <v>A) जी. ई. हार्वे के लेखन</v>
      </c>
    </row>
    <row r="439" ht="22.5" customHeight="1">
      <c r="A439" s="3">
        <v>438.0</v>
      </c>
      <c r="B439" s="4" t="s">
        <v>13987</v>
      </c>
      <c r="C439" s="4" t="s">
        <v>13988</v>
      </c>
      <c r="D439" s="4" t="s">
        <v>13474</v>
      </c>
      <c r="F439" s="5" t="str">
        <f>IFERROR(__xludf.DUMMYFUNCTION("GOOGLETRANSLATE(A439, ""en"", ""hi"")"),"438")</f>
        <v>438</v>
      </c>
      <c r="G439" s="5" t="str">
        <f>IFERROR(__xludf.DUMMYFUNCTION("GOOGLETRANSLATE(B439, ""en"", ""hi"")"),"कौन सा दस्तावेज़ पारंपरिक मुकना कुश्ती तकनीकों और अनुष्ठानों का विवरण देने के लिए जाना जाता है?")</f>
        <v>कौन सा दस्तावेज़ पारंपरिक मुकना कुश्ती तकनीकों और अनुष्ठानों का विवरण देने के लिए जाना जाता है?</v>
      </c>
      <c r="H439" s="5" t="str">
        <f>IFERROR(__xludf.DUMMYFUNCTION("GOOGLETRANSLATE(C439, ""en"", ""hi"")"),"ए) बुरांजी, बी) मणिपुरी वेद, सी) राजमाला, डी) मनुस्मृति")</f>
        <v>ए) बुरांजी, बी) मणिपुरी वेद, सी) राजमाला, डी) मनुस्मृति</v>
      </c>
      <c r="I439" s="5" t="str">
        <f>IFERROR(__xludf.DUMMYFUNCTION("GOOGLETRANSLATE(D439, ""en"", ""hi"")"),"ए) बुरांजी")</f>
        <v>ए) बुरांजी</v>
      </c>
    </row>
    <row r="440" ht="22.5" customHeight="1">
      <c r="A440" s="3">
        <v>439.0</v>
      </c>
      <c r="B440" s="4" t="s">
        <v>13989</v>
      </c>
      <c r="C440" s="4" t="s">
        <v>13619</v>
      </c>
      <c r="D440" s="4" t="s">
        <v>13331</v>
      </c>
      <c r="F440" s="5" t="str">
        <f>IFERROR(__xludf.DUMMYFUNCTION("GOOGLETRANSLATE(A440, ""en"", ""hi"")"),"439")</f>
        <v>439</v>
      </c>
      <c r="G440" s="5" t="str">
        <f>IFERROR(__xludf.DUMMYFUNCTION("GOOGLETRANSLATE(B440, ""en"", ""hi"")"),"मणिपुर में मुकना कुश्ती का आधुनिक प्रवर्तक किसे माना जाता है?")</f>
        <v>मणिपुर में मुकना कुश्ती का आधुनिक प्रवर्तक किसे माना जाता है?</v>
      </c>
      <c r="H440" s="5" t="str">
        <f>IFERROR(__xludf.DUMMYFUNCTION("GOOGLETRANSLATE(C440,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40" s="5" t="str">
        <f>IFERROR(__xludf.DUMMYFUNCTION("GOOGLETRANSLATE(D440, ""en"", ""hi"")"),"A) महाराजा चूड़ाचंद सिंह")</f>
        <v>A) महाराजा चूड़ाचंद सिंह</v>
      </c>
    </row>
    <row r="441" ht="22.5" customHeight="1">
      <c r="A441" s="3">
        <v>440.0</v>
      </c>
      <c r="B441" s="4" t="s">
        <v>13990</v>
      </c>
      <c r="C441" s="4" t="s">
        <v>13991</v>
      </c>
      <c r="D441" s="4" t="s">
        <v>13956</v>
      </c>
      <c r="F441" s="5" t="str">
        <f>IFERROR(__xludf.DUMMYFUNCTION("GOOGLETRANSLATE(A441, ""en"", ""hi"")"),"440")</f>
        <v>440</v>
      </c>
      <c r="G441" s="5" t="str">
        <f>IFERROR(__xludf.DUMMYFUNCTION("GOOGLETRANSLATE(B441, ""en"", ""hi"")"),"ब्रिटिश शासन के दौरान मुकना कुश्ती के ऐतिहासिक पतन का प्रमुख कारण क्या था?")</f>
        <v>ब्रिटिश शासन के दौरान मुकना कुश्ती के ऐतिहासिक पतन का प्रमुख कारण क्या था?</v>
      </c>
      <c r="H441" s="5" t="str">
        <f>IFERROR(__xludf.DUMMYFUNCTION("GOOGLETRANSLATE(C441, ""en"", ""hi"")"),"A) ब्रिटिश नीतियाँ, B) आर्थिक बदलाव, C) सामाजिक सुधार, D) सांस्कृतिक परिवर्तन")</f>
        <v>A) ब्रिटिश नीतियाँ, B) आर्थिक बदलाव, C) सामाजिक सुधार, D) सांस्कृतिक परिवर्तन</v>
      </c>
      <c r="I441" s="5" t="str">
        <f>IFERROR(__xludf.DUMMYFUNCTION("GOOGLETRANSLATE(D441, ""en"", ""hi"")"),"A) ब्रिटिश नीतियां")</f>
        <v>A) ब्रिटिश नीतियां</v>
      </c>
    </row>
    <row r="442" ht="22.5" customHeight="1">
      <c r="A442" s="3">
        <v>441.0</v>
      </c>
      <c r="B442" s="4" t="s">
        <v>13992</v>
      </c>
      <c r="C442" s="4" t="s">
        <v>12389</v>
      </c>
      <c r="D442" s="4" t="s">
        <v>12086</v>
      </c>
      <c r="F442" s="5" t="str">
        <f>IFERROR(__xludf.DUMMYFUNCTION("GOOGLETRANSLATE(A442, ""en"", ""hi"")"),"441")</f>
        <v>441</v>
      </c>
      <c r="G442" s="5" t="str">
        <f>IFERROR(__xludf.DUMMYFUNCTION("GOOGLETRANSLATE(B442, ""en"", ""hi"")"),"कौन सा पारंपरिक मणिपुरी त्योहार ऐतिहासिक रूप से मुकना कुश्ती से जुड़ा हुआ था?")</f>
        <v>कौन सा पारंपरिक मणिपुरी त्योहार ऐतिहासिक रूप से मुकना कुश्ती से जुड़ा हुआ था?</v>
      </c>
      <c r="H442" s="5" t="str">
        <f>IFERROR(__xludf.DUMMYFUNCTION("GOOGLETRANSLATE(C442, ""en"", ""hi"")"),"ए) लाई हराओबा, बी) याओशांग, सी) निंगोल चाकोउबा, डी) चेइराओबा")</f>
        <v>ए) लाई हराओबा, बी) याओशांग, सी) निंगोल चाकोउबा, डी) चेइराओबा</v>
      </c>
      <c r="I442" s="5" t="str">
        <f>IFERROR(__xludf.DUMMYFUNCTION("GOOGLETRANSLATE(D442, ""en"", ""hi"")"),"A) लाई हरोबा")</f>
        <v>A) लाई हरोबा</v>
      </c>
    </row>
    <row r="443" ht="22.5" customHeight="1">
      <c r="A443" s="3">
        <v>442.0</v>
      </c>
      <c r="B443" s="4" t="s">
        <v>13993</v>
      </c>
      <c r="C443" s="4" t="s">
        <v>13994</v>
      </c>
      <c r="D443" s="4" t="s">
        <v>13948</v>
      </c>
      <c r="F443" s="5" t="str">
        <f>IFERROR(__xludf.DUMMYFUNCTION("GOOGLETRANSLATE(A443, ""en"", ""hi"")"),"442")</f>
        <v>442</v>
      </c>
      <c r="G443" s="5" t="str">
        <f>IFERROR(__xludf.DUMMYFUNCTION("GOOGLETRANSLATE(B443, ""en"", ""hi"")"),"मणिपुर में मुकना कुश्ती मैचों के दौरान पारंपरिक रूप से किस प्रकार की पोशाक पहनी जाती थी?")</f>
        <v>मणिपुर में मुकना कुश्ती मैचों के दौरान पारंपरिक रूप से किस प्रकार की पोशाक पहनी जाती थी?</v>
      </c>
      <c r="H443" s="5" t="str">
        <f>IFERROR(__xludf.DUMMYFUNCTION("GOOGLETRANSLATE(C443, ""en"", ""hi"")"),"A) ढीले-ढाले वस्त्र, B) भारी कवच, C) रेशमी वस्त्र, D) चमड़े की बेल्ट")</f>
        <v>A) ढीले-ढाले वस्त्र, B) भारी कवच, C) रेशमी वस्त्र, D) चमड़े की बेल्ट</v>
      </c>
      <c r="I443" s="5" t="str">
        <f>IFERROR(__xludf.DUMMYFUNCTION("GOOGLETRANSLATE(D443, ""en"", ""hi"")"),"A) ढीले-ढाले वस्त्र")</f>
        <v>A) ढीले-ढाले वस्त्र</v>
      </c>
    </row>
    <row r="444" ht="22.5" customHeight="1">
      <c r="A444" s="3">
        <v>443.0</v>
      </c>
      <c r="B444" s="4" t="s">
        <v>13995</v>
      </c>
      <c r="C444" s="4" t="s">
        <v>13704</v>
      </c>
      <c r="D444" s="4" t="s">
        <v>13474</v>
      </c>
      <c r="F444" s="5" t="str">
        <f>IFERROR(__xludf.DUMMYFUNCTION("GOOGLETRANSLATE(A444, ""en"", ""hi"")"),"443")</f>
        <v>443</v>
      </c>
      <c r="G444" s="5" t="str">
        <f>IFERROR(__xludf.DUMMYFUNCTION("GOOGLETRANSLATE(B444, ""en"", ""hi"")"),"कौन सा ऐतिहासिक ग्रंथ मुकना कुश्ती प्रथाओं का सबसे विस्तृत विवरण प्रदान करता है?")</f>
        <v>कौन सा ऐतिहासिक ग्रंथ मुकना कुश्ती प्रथाओं का सबसे विस्तृत विवरण प्रदान करता है?</v>
      </c>
      <c r="H444" s="5" t="str">
        <f>IFERROR(__xludf.DUMMYFUNCTION("GOOGLETRANSLATE(C444, ""en"", ""hi"")"),"ए) बुरांजी, बी) राजमाला, सी) मणिपुरी वेद, डी) मनुस्मृति")</f>
        <v>ए) बुरांजी, बी) राजमाला, सी) मणिपुरी वेद, डी) मनुस्मृति</v>
      </c>
      <c r="I444" s="5" t="str">
        <f>IFERROR(__xludf.DUMMYFUNCTION("GOOGLETRANSLATE(D444, ""en"", ""hi"")"),"ए) बुरांजी")</f>
        <v>ए) बुरांजी</v>
      </c>
    </row>
    <row r="445" ht="22.5" customHeight="1">
      <c r="A445" s="3">
        <v>444.0</v>
      </c>
      <c r="B445" s="4" t="s">
        <v>13996</v>
      </c>
      <c r="C445" s="4" t="s">
        <v>13997</v>
      </c>
      <c r="D445" s="4" t="s">
        <v>13882</v>
      </c>
      <c r="F445" s="5" t="str">
        <f>IFERROR(__xludf.DUMMYFUNCTION("GOOGLETRANSLATE(A445, ""en"", ""hi"")"),"444")</f>
        <v>444</v>
      </c>
      <c r="G445" s="5" t="str">
        <f>IFERROR(__xludf.DUMMYFUNCTION("GOOGLETRANSLATE(B445, ""en"", ""hi"")"),"20वीं सदी के आरंभ में मणिपुरी समाज में मुकना कुश्ती का प्राथमिक कार्य क्या था?")</f>
        <v>20वीं सदी के आरंभ में मणिपुरी समाज में मुकना कुश्ती का प्राथमिक कार्य क्या था?</v>
      </c>
      <c r="H445" s="5" t="str">
        <f>IFERROR(__xludf.DUMMYFUNCTION("GOOGLETRANSLATE(C445, ""en"", ""hi"")"),"A) युद्ध प्रशिक्षण, B) धार्मिक अनुष्ठान, C) मनोरंजन, D) सामाजिक संबंध")</f>
        <v>A) युद्ध प्रशिक्षण, B) धार्मिक अनुष्ठान, C) मनोरंजन, D) सामाजिक संबंध</v>
      </c>
      <c r="I445" s="5" t="str">
        <f>IFERROR(__xludf.DUMMYFUNCTION("GOOGLETRANSLATE(D445, ""en"", ""hi"")"),"ए) युद्ध प्रशिक्षण")</f>
        <v>ए) युद्ध प्रशिक्षण</v>
      </c>
    </row>
    <row r="446" ht="22.5" customHeight="1">
      <c r="A446" s="3">
        <v>445.0</v>
      </c>
      <c r="B446" s="4" t="s">
        <v>13998</v>
      </c>
      <c r="C446" s="4" t="s">
        <v>13619</v>
      </c>
      <c r="D446" s="4" t="s">
        <v>13331</v>
      </c>
      <c r="F446" s="5" t="str">
        <f>IFERROR(__xludf.DUMMYFUNCTION("GOOGLETRANSLATE(A446, ""en"", ""hi"")"),"445")</f>
        <v>445</v>
      </c>
      <c r="G446" s="5" t="str">
        <f>IFERROR(__xludf.DUMMYFUNCTION("GOOGLETRANSLATE(B446, ""en"", ""hi"")"),"औपनिवेशिक शासन के दौरान मुकना कुश्ती के संरक्षण में किसने महत्वपूर्ण भूमिका निभाई?")</f>
        <v>औपनिवेशिक शासन के दौरान मुकना कुश्ती के संरक्षण में किसने महत्वपूर्ण भूमिका निभाई?</v>
      </c>
      <c r="H446" s="5" t="str">
        <f>IFERROR(__xludf.DUMMYFUNCTION("GOOGLETRANSLATE(C446,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46" s="5" t="str">
        <f>IFERROR(__xludf.DUMMYFUNCTION("GOOGLETRANSLATE(D446, ""en"", ""hi"")"),"A) महाराजा चूड़ाचंद सिंह")</f>
        <v>A) महाराजा चूड़ाचंद सिंह</v>
      </c>
    </row>
    <row r="447" ht="22.5" customHeight="1">
      <c r="A447" s="3">
        <v>446.0</v>
      </c>
      <c r="B447" s="4" t="s">
        <v>13999</v>
      </c>
      <c r="C447" s="4" t="s">
        <v>13619</v>
      </c>
      <c r="D447" s="4" t="s">
        <v>13331</v>
      </c>
      <c r="F447" s="5" t="str">
        <f>IFERROR(__xludf.DUMMYFUNCTION("GOOGLETRANSLATE(A447, ""en"", ""hi"")"),"446")</f>
        <v>446</v>
      </c>
      <c r="G447" s="5" t="str">
        <f>IFERROR(__xludf.DUMMYFUNCTION("GOOGLETRANSLATE(B447, ""en"", ""hi"")"),"मुकना कुश्ती के नियमों को औपचारिक रूप देने का श्रेय किस मणिपुरी राजा को दिया जाता है?")</f>
        <v>मुकना कुश्ती के नियमों को औपचारिक रूप देने का श्रेय किस मणिपुरी राजा को दिया जाता है?</v>
      </c>
      <c r="H447" s="5" t="str">
        <f>IFERROR(__xludf.DUMMYFUNCTION("GOOGLETRANSLATE(C447,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47" s="5" t="str">
        <f>IFERROR(__xludf.DUMMYFUNCTION("GOOGLETRANSLATE(D447, ""en"", ""hi"")"),"A) महाराजा चूड़ाचंद सिंह")</f>
        <v>A) महाराजा चूड़ाचंद सिंह</v>
      </c>
    </row>
    <row r="448" ht="22.5" customHeight="1">
      <c r="A448" s="3">
        <v>447.0</v>
      </c>
      <c r="B448" s="4" t="s">
        <v>14000</v>
      </c>
      <c r="C448" s="4" t="s">
        <v>14001</v>
      </c>
      <c r="D448" s="4" t="s">
        <v>14002</v>
      </c>
      <c r="F448" s="5" t="str">
        <f>IFERROR(__xludf.DUMMYFUNCTION("GOOGLETRANSLATE(A448, ""en"", ""hi"")"),"447")</f>
        <v>447</v>
      </c>
      <c r="G448" s="5" t="str">
        <f>IFERROR(__xludf.DUMMYFUNCTION("GOOGLETRANSLATE(B448, ""en"", ""hi"")"),"ब्रिटिश औपनिवेशिक प्रशासन का मुकना जैसे पारंपरिक खेलों पर क्या ऐतिहासिक प्रभाव पड़ा?")</f>
        <v>ब्रिटिश औपनिवेशिक प्रशासन का मुकना जैसे पारंपरिक खेलों पर क्या ऐतिहासिक प्रभाव पड़ा?</v>
      </c>
      <c r="H448" s="5" t="str">
        <f>IFERROR(__xludf.DUMMYFUNCTION("GOOGLETRANSLATE(C448, ""en"", ""hi"")"),"A) पारंपरिक प्रथाओं का ह्रास, B) खेलों को बढ़ावा, C) नई तकनीकों का परिचय, D) रीति-रिवाजों का संरक्षण")</f>
        <v>A) पारंपरिक प्रथाओं का ह्रास, B) खेलों को बढ़ावा, C) नई तकनीकों का परिचय, D) रीति-रिवाजों का संरक्षण</v>
      </c>
      <c r="I448" s="5" t="str">
        <f>IFERROR(__xludf.DUMMYFUNCTION("GOOGLETRANSLATE(D448, ""en"", ""hi"")"),"A) पारंपरिक प्रथाओं का पतन")</f>
        <v>A) पारंपरिक प्रथाओं का पतन</v>
      </c>
    </row>
    <row r="449" ht="22.5" customHeight="1">
      <c r="A449" s="3">
        <v>448.0</v>
      </c>
      <c r="B449" s="4" t="s">
        <v>14003</v>
      </c>
      <c r="C449" s="4" t="s">
        <v>14004</v>
      </c>
      <c r="D449" s="4" t="s">
        <v>14005</v>
      </c>
      <c r="F449" s="5" t="str">
        <f>IFERROR(__xludf.DUMMYFUNCTION("GOOGLETRANSLATE(A449, ""en"", ""hi"")"),"448")</f>
        <v>448</v>
      </c>
      <c r="G449" s="5" t="str">
        <f>IFERROR(__xludf.DUMMYFUNCTION("GOOGLETRANSLATE(B449, ""en"", ""hi"")"),"कौन सी पारंपरिक मणिपुरी प्रथा मुकना कुश्ती से निकटता से जुड़ी हुई है?")</f>
        <v>कौन सी पारंपरिक मणिपुरी प्रथा मुकना कुश्ती से निकटता से जुड़ी हुई है?</v>
      </c>
      <c r="H449" s="5" t="str">
        <f>IFERROR(__xludf.DUMMYFUNCTION("GOOGLETRANSLATE(C449, ""en"", ""hi"")"),"A) अनुष्ठानिक युद्ध प्रशिक्षण, B) कलात्मक प्रदर्शन, C) धार्मिक समारोह, D) सामाजिक समारोह")</f>
        <v>A) अनुष्ठानिक युद्ध प्रशिक्षण, B) कलात्मक प्रदर्शन, C) धार्मिक समारोह, D) सामाजिक समारोह</v>
      </c>
      <c r="I449" s="5" t="str">
        <f>IFERROR(__xludf.DUMMYFUNCTION("GOOGLETRANSLATE(D449, ""en"", ""hi"")"),"A) अनुष्ठानिक युद्ध प्रशिक्षण")</f>
        <v>A) अनुष्ठानिक युद्ध प्रशिक्षण</v>
      </c>
    </row>
    <row r="450" ht="22.5" customHeight="1">
      <c r="A450" s="3">
        <v>449.0</v>
      </c>
      <c r="B450" s="4" t="s">
        <v>14006</v>
      </c>
      <c r="C450" s="4" t="s">
        <v>13649</v>
      </c>
      <c r="D450" s="4" t="s">
        <v>13451</v>
      </c>
      <c r="F450" s="5" t="str">
        <f>IFERROR(__xludf.DUMMYFUNCTION("GOOGLETRANSLATE(A450, ""en"", ""hi"")"),"449")</f>
        <v>449</v>
      </c>
      <c r="G450" s="5" t="str">
        <f>IFERROR(__xludf.DUMMYFUNCTION("GOOGLETRANSLATE(B450, ""en"", ""hi"")"),"कौन सा प्राचीन मणिपुरी ग्रंथ मुकना कुश्ती का व्यापक इतिहास प्रदान करता है?")</f>
        <v>कौन सा प्राचीन मणिपुरी ग्रंथ मुकना कुश्ती का व्यापक इतिहास प्रदान करता है?</v>
      </c>
      <c r="H450" s="5" t="str">
        <f>IFERROR(__xludf.DUMMYFUNCTION("GOOGLETRANSLATE(C450, ""en"", ""hi"")"),"ए) राजमाला, बी) बुरांजी, सी) मणिपुरी वेद, डी) मनुस्मृति")</f>
        <v>ए) राजमाला, बी) बुरांजी, सी) मणिपुरी वेद, डी) मनुस्मृति</v>
      </c>
      <c r="I450" s="5" t="str">
        <f>IFERROR(__xludf.DUMMYFUNCTION("GOOGLETRANSLATE(D450, ""en"", ""hi"")"),"A) राजमाला")</f>
        <v>A) राजमाला</v>
      </c>
    </row>
    <row r="451" ht="22.5" customHeight="1">
      <c r="A451" s="3">
        <v>450.0</v>
      </c>
      <c r="B451" s="4" t="s">
        <v>14007</v>
      </c>
      <c r="C451" s="4" t="s">
        <v>12389</v>
      </c>
      <c r="D451" s="4" t="s">
        <v>12086</v>
      </c>
      <c r="F451" s="5" t="str">
        <f>IFERROR(__xludf.DUMMYFUNCTION("GOOGLETRANSLATE(A451, ""en"", ""hi"")"),"450")</f>
        <v>450</v>
      </c>
      <c r="G451" s="5" t="str">
        <f>IFERROR(__xludf.DUMMYFUNCTION("GOOGLETRANSLATE(B451, ""en"", ""hi"")"),"मणिपुर में किस त्यौहार पर ऐतिहासिक रूप से महत्वपूर्ण मुकना कुश्ती प्रतियोगिताएं आयोजित की जाती थीं?")</f>
        <v>मणिपुर में किस त्यौहार पर ऐतिहासिक रूप से महत्वपूर्ण मुकना कुश्ती प्रतियोगिताएं आयोजित की जाती थीं?</v>
      </c>
      <c r="H451" s="5" t="str">
        <f>IFERROR(__xludf.DUMMYFUNCTION("GOOGLETRANSLATE(C451, ""en"", ""hi"")"),"ए) लाई हराओबा, बी) याओशांग, सी) निंगोल चाकोउबा, डी) चेइराओबा")</f>
        <v>ए) लाई हराओबा, बी) याओशांग, सी) निंगोल चाकोउबा, डी) चेइराओबा</v>
      </c>
      <c r="I451" s="5" t="str">
        <f>IFERROR(__xludf.DUMMYFUNCTION("GOOGLETRANSLATE(D451, ""en"", ""hi"")"),"A) लाई हरोबा")</f>
        <v>A) लाई हरोबा</v>
      </c>
    </row>
    <row r="452" ht="22.5" customHeight="1">
      <c r="A452" s="3">
        <v>451.0</v>
      </c>
      <c r="B452" s="4" t="s">
        <v>14008</v>
      </c>
      <c r="C452" s="4" t="s">
        <v>14009</v>
      </c>
      <c r="D452" s="4" t="s">
        <v>14010</v>
      </c>
      <c r="F452" s="5" t="str">
        <f>IFERROR(__xludf.DUMMYFUNCTION("GOOGLETRANSLATE(A452, ""en"", ""hi"")"),"451")</f>
        <v>451</v>
      </c>
      <c r="G452" s="5" t="str">
        <f>IFERROR(__xludf.DUMMYFUNCTION("GOOGLETRANSLATE(B452, ""en"", ""hi"")"),"19वीं शताब्दी के दौरान मुकना कुश्ती की लोकप्रियता में गिरावट का प्रमुख कारण क्या था?")</f>
        <v>19वीं शताब्दी के दौरान मुकना कुश्ती की लोकप्रियता में गिरावट का प्रमुख कारण क्या था?</v>
      </c>
      <c r="H452" s="5" t="str">
        <f>IFERROR(__xludf.DUMMYFUNCTION("GOOGLETRANSLATE(C452, ""en"", ""hi"")"),"A) औपनिवेशिक हस्तक्षेप, B) आर्थिक कठिनाई, C) सामाजिक परिवर्तन, D) तकनीकी प्रगति")</f>
        <v>A) औपनिवेशिक हस्तक्षेप, B) आर्थिक कठिनाई, C) सामाजिक परिवर्तन, D) तकनीकी प्रगति</v>
      </c>
      <c r="I452" s="5" t="str">
        <f>IFERROR(__xludf.DUMMYFUNCTION("GOOGLETRANSLATE(D452, ""en"", ""hi"")"),"A) औपनिवेशिक हस्तक्षेप")</f>
        <v>A) औपनिवेशिक हस्तक्षेप</v>
      </c>
    </row>
    <row r="453" ht="22.5" customHeight="1">
      <c r="A453" s="3">
        <v>452.0</v>
      </c>
      <c r="B453" s="4" t="s">
        <v>14011</v>
      </c>
      <c r="C453" s="4" t="s">
        <v>14012</v>
      </c>
      <c r="D453" s="4" t="s">
        <v>14013</v>
      </c>
      <c r="F453" s="5" t="str">
        <f>IFERROR(__xludf.DUMMYFUNCTION("GOOGLETRANSLATE(A453, ""en"", ""hi"")"),"452")</f>
        <v>452</v>
      </c>
      <c r="G453" s="5" t="str">
        <f>IFERROR(__xludf.DUMMYFUNCTION("GOOGLETRANSLATE(B453, ""en"", ""hi"")"),"ऐतिहासिक रूप से मणिपुरी सैनिकों के प्रशिक्षण में मुकना कुश्ती की क्या भूमिका थी?")</f>
        <v>ऐतिहासिक रूप से मणिपुरी सैनिकों के प्रशिक्षण में मुकना कुश्ती की क्या भूमिका थी?</v>
      </c>
      <c r="H453" s="5" t="str">
        <f>IFERROR(__xludf.DUMMYFUNCTION("GOOGLETRANSLATE(C453, ""en"", ""hi"")"),"A) युद्ध कौशल विकास, B) शारीरिक सहनशक्ति, C) सामाजिक संबंध, D) अनुष्ठान प्रथाएँ")</f>
        <v>A) युद्ध कौशल विकास, B) शारीरिक सहनशक्ति, C) सामाजिक संबंध, D) अनुष्ठान प्रथाएँ</v>
      </c>
      <c r="I453" s="5" t="str">
        <f>IFERROR(__xludf.DUMMYFUNCTION("GOOGLETRANSLATE(D453, ""en"", ""hi"")"),"ए) युद्ध कौशल विकास")</f>
        <v>ए) युद्ध कौशल विकास</v>
      </c>
    </row>
    <row r="454" ht="22.5" customHeight="1">
      <c r="A454" s="3">
        <v>453.0</v>
      </c>
      <c r="B454" s="4" t="s">
        <v>14014</v>
      </c>
      <c r="C454" s="4" t="s">
        <v>13619</v>
      </c>
      <c r="D454" s="4" t="s">
        <v>13331</v>
      </c>
      <c r="F454" s="5" t="str">
        <f>IFERROR(__xludf.DUMMYFUNCTION("GOOGLETRANSLATE(A454, ""en"", ""hi"")"),"453")</f>
        <v>453</v>
      </c>
      <c r="G454" s="5" t="str">
        <f>IFERROR(__xludf.DUMMYFUNCTION("GOOGLETRANSLATE(B454, ""en"", ""hi"")"),"आधुनिक समय में मुकना कुश्ती के पुनरुद्धार से कौन सा राजा जुड़ा हुआ है?")</f>
        <v>आधुनिक समय में मुकना कुश्ती के पुनरुद्धार से कौन सा राजा जुड़ा हुआ है?</v>
      </c>
      <c r="H454" s="5" t="str">
        <f>IFERROR(__xludf.DUMMYFUNCTION("GOOGLETRANSLATE(C454,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54" s="5" t="str">
        <f>IFERROR(__xludf.DUMMYFUNCTION("GOOGLETRANSLATE(D454, ""en"", ""hi"")"),"A) महाराजा चूड़ाचंद सिंह")</f>
        <v>A) महाराजा चूड़ाचंद सिंह</v>
      </c>
    </row>
    <row r="455" ht="22.5" customHeight="1">
      <c r="A455" s="3">
        <v>454.0</v>
      </c>
      <c r="B455" s="4" t="s">
        <v>14015</v>
      </c>
      <c r="C455" s="4" t="s">
        <v>13801</v>
      </c>
      <c r="D455" s="4" t="s">
        <v>13750</v>
      </c>
      <c r="F455" s="5" t="str">
        <f>IFERROR(__xludf.DUMMYFUNCTION("GOOGLETRANSLATE(A455, ""en"", ""hi"")"),"454")</f>
        <v>454</v>
      </c>
      <c r="G455" s="5" t="str">
        <f>IFERROR(__xludf.DUMMYFUNCTION("GOOGLETRANSLATE(B455, ""en"", ""hi"")"),"मुकना कुश्ती मैट बनाने के लिए पारंपरिक रूप से किस सामग्री का उपयोग किया जाता था?")</f>
        <v>मुकना कुश्ती मैट बनाने के लिए पारंपरिक रूप से किस सामग्री का उपयोग किया जाता था?</v>
      </c>
      <c r="H455" s="5" t="str">
        <f>IFERROR(__xludf.DUMMYFUNCTION("GOOGLETRANSLATE(C455, ""en"", ""hi"")"),"A) पुआल, B) जूट, C) कपास, D) बांस")</f>
        <v>A) पुआल, B) जूट, C) कपास, D) बांस</v>
      </c>
      <c r="I455" s="5" t="str">
        <f>IFERROR(__xludf.DUMMYFUNCTION("GOOGLETRANSLATE(D455, ""en"", ""hi"")"),"एक पुआल")</f>
        <v>एक पुआल</v>
      </c>
    </row>
    <row r="456" ht="22.5" customHeight="1">
      <c r="A456" s="3">
        <v>455.0</v>
      </c>
      <c r="B456" s="4" t="s">
        <v>14016</v>
      </c>
      <c r="C456" s="4" t="s">
        <v>12389</v>
      </c>
      <c r="D456" s="4" t="s">
        <v>12086</v>
      </c>
      <c r="F456" s="5" t="str">
        <f>IFERROR(__xludf.DUMMYFUNCTION("GOOGLETRANSLATE(A456, ""en"", ""hi"")"),"455")</f>
        <v>455</v>
      </c>
      <c r="G456" s="5" t="str">
        <f>IFERROR(__xludf.DUMMYFUNCTION("GOOGLETRANSLATE(B456, ""en"", ""hi"")"),"कौन सा त्यौहार बड़े पैमाने पर मुकना कुश्ती प्रतियोगिताओं के लिए जाना जाता है?")</f>
        <v>कौन सा त्यौहार बड़े पैमाने पर मुकना कुश्ती प्रतियोगिताओं के लिए जाना जाता है?</v>
      </c>
      <c r="H456" s="5" t="str">
        <f>IFERROR(__xludf.DUMMYFUNCTION("GOOGLETRANSLATE(C456, ""en"", ""hi"")"),"ए) लाई हराओबा, बी) याओशांग, सी) निंगोल चाकोउबा, डी) चेइराओबा")</f>
        <v>ए) लाई हराओबा, बी) याओशांग, सी) निंगोल चाकोउबा, डी) चेइराओबा</v>
      </c>
      <c r="I456" s="5" t="str">
        <f>IFERROR(__xludf.DUMMYFUNCTION("GOOGLETRANSLATE(D456, ""en"", ""hi"")"),"A) लाई हरोबा")</f>
        <v>A) लाई हरोबा</v>
      </c>
    </row>
    <row r="457" ht="22.5" customHeight="1">
      <c r="A457" s="3">
        <v>456.0</v>
      </c>
      <c r="B457" s="4" t="s">
        <v>13933</v>
      </c>
      <c r="C457" s="4" t="s">
        <v>14017</v>
      </c>
      <c r="D457" s="4" t="s">
        <v>8961</v>
      </c>
      <c r="F457" s="5" t="str">
        <f>IFERROR(__xludf.DUMMYFUNCTION("GOOGLETRANSLATE(A457, ""en"", ""hi"")"),"456")</f>
        <v>456</v>
      </c>
      <c r="G457" s="5" t="str">
        <f>IFERROR(__xludf.DUMMYFUNCTION("GOOGLETRANSLATE(B457, ""en"", ""hi"")"),"पारंपरिक मणिपुरी सैन्य प्रशिक्षण में मुकना कुश्ती की क्या भूमिका थी?")</f>
        <v>पारंपरिक मणिपुरी सैन्य प्रशिक्षण में मुकना कुश्ती की क्या भूमिका थी?</v>
      </c>
      <c r="H457" s="5" t="str">
        <f>IFERROR(__xludf.DUMMYFUNCTION("GOOGLETRANSLATE(C457, ""en"", ""hi"")"),"A) युद्ध की तैयारी, B) अनुष्ठानिक प्रशिक्षण, C) सामाजिक कौशल विकास, D) मनोरंजन")</f>
        <v>A) युद्ध की तैयारी, B) अनुष्ठानिक प्रशिक्षण, C) सामाजिक कौशल विकास, D) मनोरंजन</v>
      </c>
      <c r="I457" s="5" t="str">
        <f>IFERROR(__xludf.DUMMYFUNCTION("GOOGLETRANSLATE(D457, ""en"", ""hi"")"),"ए) युद्ध की तैयारी")</f>
        <v>ए) युद्ध की तैयारी</v>
      </c>
    </row>
    <row r="458" ht="22.5" customHeight="1">
      <c r="A458" s="3">
        <v>457.0</v>
      </c>
      <c r="B458" s="4" t="s">
        <v>14018</v>
      </c>
      <c r="C458" s="4" t="s">
        <v>13619</v>
      </c>
      <c r="D458" s="4" t="s">
        <v>13331</v>
      </c>
      <c r="F458" s="5" t="str">
        <f>IFERROR(__xludf.DUMMYFUNCTION("GOOGLETRANSLATE(A458, ""en"", ""hi"")"),"457")</f>
        <v>457</v>
      </c>
      <c r="G458" s="5" t="str">
        <f>IFERROR(__xludf.DUMMYFUNCTION("GOOGLETRANSLATE(B458, ""en"", ""hi"")"),"मुकना कुश्ती को बढ़ावा देने के साथ किस ऐतिहासिक व्यक्ति का सबसे अधिक संबंध है?")</f>
        <v>मुकना कुश्ती को बढ़ावा देने के साथ किस ऐतिहासिक व्यक्ति का सबसे अधिक संबंध है?</v>
      </c>
      <c r="H458" s="5" t="str">
        <f>IFERROR(__xludf.DUMMYFUNCTION("GOOGLETRANSLATE(C458,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58" s="5" t="str">
        <f>IFERROR(__xludf.DUMMYFUNCTION("GOOGLETRANSLATE(D458, ""en"", ""hi"")"),"A) महाराजा चूड़ाचंद सिंह")</f>
        <v>A) महाराजा चूड़ाचंद सिंह</v>
      </c>
    </row>
    <row r="459" ht="22.5" customHeight="1">
      <c r="A459" s="3">
        <v>458.0</v>
      </c>
      <c r="B459" s="4" t="s">
        <v>14019</v>
      </c>
      <c r="C459" s="4" t="s">
        <v>13974</v>
      </c>
      <c r="D459" s="4" t="s">
        <v>13948</v>
      </c>
      <c r="F459" s="5" t="str">
        <f>IFERROR(__xludf.DUMMYFUNCTION("GOOGLETRANSLATE(A459, ""en"", ""hi"")"),"458")</f>
        <v>458</v>
      </c>
      <c r="G459" s="5" t="str">
        <f>IFERROR(__xludf.DUMMYFUNCTION("GOOGLETRANSLATE(B459, ""en"", ""hi"")"),"ऐतिहासिक मणिपुर में मुकना कुश्ती पोशाक की मुख्य विशेषता क्या थी?")</f>
        <v>ऐतिहासिक मणिपुर में मुकना कुश्ती पोशाक की मुख्य विशेषता क्या थी?</v>
      </c>
      <c r="H459" s="5" t="str">
        <f>IFERROR(__xludf.DUMMYFUNCTION("GOOGLETRANSLATE(C459, ""en"", ""hi"")"),"A) ढीले-ढाले वस्त्र, B) रेशमी वस्त्र, C) चमड़े का कवच, D) ऊनी पोशाक")</f>
        <v>A) ढीले-ढाले वस्त्र, B) रेशमी वस्त्र, C) चमड़े का कवच, D) ऊनी पोशाक</v>
      </c>
      <c r="I459" s="5" t="str">
        <f>IFERROR(__xludf.DUMMYFUNCTION("GOOGLETRANSLATE(D459, ""en"", ""hi"")"),"A) ढीले-ढाले वस्त्र")</f>
        <v>A) ढीले-ढाले वस्त्र</v>
      </c>
    </row>
    <row r="460" ht="22.5" customHeight="1">
      <c r="A460" s="3">
        <v>459.0</v>
      </c>
      <c r="B460" s="4" t="s">
        <v>14020</v>
      </c>
      <c r="C460" s="4" t="s">
        <v>13935</v>
      </c>
      <c r="D460" s="4" t="s">
        <v>13936</v>
      </c>
      <c r="F460" s="5" t="str">
        <f>IFERROR(__xludf.DUMMYFUNCTION("GOOGLETRANSLATE(A460, ""en"", ""hi"")"),"459")</f>
        <v>459</v>
      </c>
      <c r="G460" s="5" t="str">
        <f>IFERROR(__xludf.DUMMYFUNCTION("GOOGLETRANSLATE(B460, ""en"", ""hi"")"),"ब्रिटिश काल के किस दस्तावेज से मुकना कुश्ती के पतन की जानकारी मिलती है?")</f>
        <v>ब्रिटिश काल के किस दस्तावेज से मुकना कुश्ती के पतन की जानकारी मिलती है?</v>
      </c>
      <c r="H460" s="5" t="str">
        <f>IFERROR(__xludf.DUMMYFUNCTION("GOOGLETRANSLATE(C460,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60" s="5" t="str">
        <f>IFERROR(__xludf.DUMMYFUNCTION("GOOGLETRANSLATE(D460, ""en"", ""hi"")"),"A) जी. ई. हार्वे के लेखन")</f>
        <v>A) जी. ई. हार्वे के लेखन</v>
      </c>
    </row>
    <row r="461" ht="22.5" customHeight="1">
      <c r="A461" s="3">
        <v>460.0</v>
      </c>
      <c r="B461" s="4" t="s">
        <v>14021</v>
      </c>
      <c r="C461" s="4" t="s">
        <v>14022</v>
      </c>
      <c r="D461" s="4" t="s">
        <v>13882</v>
      </c>
      <c r="F461" s="5" t="str">
        <f>IFERROR(__xludf.DUMMYFUNCTION("GOOGLETRANSLATE(A461, ""en"", ""hi"")"),"460")</f>
        <v>460</v>
      </c>
      <c r="G461" s="5" t="str">
        <f>IFERROR(__xludf.DUMMYFUNCTION("GOOGLETRANSLATE(B461, ""en"", ""hi"")"),"ऐतिहासिक मणिपुरी समाज में मुकना कुश्ती की क्या भूमिका थी?")</f>
        <v>ऐतिहासिक मणिपुरी समाज में मुकना कुश्ती की क्या भूमिका थी?</v>
      </c>
      <c r="H461" s="5" t="str">
        <f>IFERROR(__xludf.DUMMYFUNCTION("GOOGLETRANSLATE(C461, ""en"", ""hi"")"),"A) युद्ध प्रशिक्षण, B) मनोरंजन, C) धार्मिक अनुष्ठान, D) सामाजिक बंधन")</f>
        <v>A) युद्ध प्रशिक्षण, B) मनोरंजन, C) धार्मिक अनुष्ठान, D) सामाजिक बंधन</v>
      </c>
      <c r="I461" s="5" t="str">
        <f>IFERROR(__xludf.DUMMYFUNCTION("GOOGLETRANSLATE(D461, ""en"", ""hi"")"),"ए) युद्ध प्रशिक्षण")</f>
        <v>ए) युद्ध प्रशिक्षण</v>
      </c>
    </row>
    <row r="462" ht="22.5" customHeight="1">
      <c r="A462" s="3">
        <v>461.0</v>
      </c>
      <c r="B462" s="4" t="s">
        <v>14023</v>
      </c>
      <c r="C462" s="4" t="s">
        <v>13619</v>
      </c>
      <c r="D462" s="4" t="s">
        <v>13331</v>
      </c>
      <c r="F462" s="5" t="str">
        <f>IFERROR(__xludf.DUMMYFUNCTION("GOOGLETRANSLATE(A462, ""en"", ""hi"")"),"461")</f>
        <v>461</v>
      </c>
      <c r="G462" s="5" t="str">
        <f>IFERROR(__xludf.DUMMYFUNCTION("GOOGLETRANSLATE(B462, ""en"", ""hi"")"),"मुकना कुश्ती तकनीक को आधुनिक बनाने का श्रेय किस राजा को दिया जाता है?")</f>
        <v>मुकना कुश्ती तकनीक को आधुनिक बनाने का श्रेय किस राजा को दिया जाता है?</v>
      </c>
      <c r="H462" s="5" t="str">
        <f>IFERROR(__xludf.DUMMYFUNCTION("GOOGLETRANSLATE(C462,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62" s="5" t="str">
        <f>IFERROR(__xludf.DUMMYFUNCTION("GOOGLETRANSLATE(D462, ""en"", ""hi"")"),"A) महाराजा चूड़ाचंद सिंह")</f>
        <v>A) महाराजा चूड़ाचंद सिंह</v>
      </c>
    </row>
    <row r="463" ht="22.5" customHeight="1">
      <c r="A463" s="3">
        <v>462.0</v>
      </c>
      <c r="B463" s="4" t="s">
        <v>14024</v>
      </c>
      <c r="C463" s="4" t="s">
        <v>13910</v>
      </c>
      <c r="D463" s="4" t="s">
        <v>13823</v>
      </c>
      <c r="F463" s="5" t="str">
        <f>IFERROR(__xludf.DUMMYFUNCTION("GOOGLETRANSLATE(A463, ""en"", ""hi"")"),"462")</f>
        <v>462</v>
      </c>
      <c r="G463" s="5" t="str">
        <f>IFERROR(__xludf.DUMMYFUNCTION("GOOGLETRANSLATE(B463, ""en"", ""hi"")"),"ऐतिहासिक समय में मुकना कुश्ती मैट की पारंपरिक विशेषता क्या थी?")</f>
        <v>ऐतिहासिक समय में मुकना कुश्ती मैट की पारंपरिक विशेषता क्या थी?</v>
      </c>
      <c r="H463" s="5" t="str">
        <f>IFERROR(__xludf.DUMMYFUNCTION("GOOGLETRANSLATE(C463, ""en"", ""hi"")"),"A) पुआल से बना, B) जूट से ढका, C) गद्दी से सुसज्जित, D) पैटर्न से अलंकृत")</f>
        <v>A) पुआल से बना, B) जूट से ढका, C) गद्दी से सुसज्जित, D) पैटर्न से अलंकृत</v>
      </c>
      <c r="I463" s="5" t="str">
        <f>IFERROR(__xludf.DUMMYFUNCTION("GOOGLETRANSLATE(D463, ""en"", ""hi"")"),"A) भूसे से बना")</f>
        <v>A) भूसे से बना</v>
      </c>
    </row>
    <row r="464" ht="22.5" customHeight="1">
      <c r="A464" s="3">
        <v>463.0</v>
      </c>
      <c r="B464" s="4" t="s">
        <v>14025</v>
      </c>
      <c r="C464" s="4" t="s">
        <v>13704</v>
      </c>
      <c r="D464" s="4" t="s">
        <v>13474</v>
      </c>
      <c r="F464" s="5" t="str">
        <f>IFERROR(__xludf.DUMMYFUNCTION("GOOGLETRANSLATE(A464, ""en"", ""hi"")"),"463")</f>
        <v>463</v>
      </c>
      <c r="G464" s="5" t="str">
        <f>IFERROR(__xludf.DUMMYFUNCTION("GOOGLETRANSLATE(B464, ""en"", ""hi"")"),"कौन सा मणिपुरी ग्रंथ मुकना कुश्ती के विस्तृत वर्णन के लिए जाना जाता है?")</f>
        <v>कौन सा मणिपुरी ग्रंथ मुकना कुश्ती के विस्तृत वर्णन के लिए जाना जाता है?</v>
      </c>
      <c r="H464" s="5" t="str">
        <f>IFERROR(__xludf.DUMMYFUNCTION("GOOGLETRANSLATE(C464, ""en"", ""hi"")"),"ए) बुरांजी, बी) राजमाला, सी) मणिपुरी वेद, डी) मनुस्मृति")</f>
        <v>ए) बुरांजी, बी) राजमाला, सी) मणिपुरी वेद, डी) मनुस्मृति</v>
      </c>
      <c r="I464" s="5" t="str">
        <f>IFERROR(__xludf.DUMMYFUNCTION("GOOGLETRANSLATE(D464, ""en"", ""hi"")"),"ए) बुरांजी")</f>
        <v>ए) बुरांजी</v>
      </c>
    </row>
    <row r="465" ht="22.5" customHeight="1">
      <c r="A465" s="3">
        <v>464.0</v>
      </c>
      <c r="B465" s="4" t="s">
        <v>14026</v>
      </c>
      <c r="C465" s="4" t="s">
        <v>14027</v>
      </c>
      <c r="D465" s="4" t="s">
        <v>13882</v>
      </c>
      <c r="F465" s="5" t="str">
        <f>IFERROR(__xludf.DUMMYFUNCTION("GOOGLETRANSLATE(A465, ""en"", ""hi"")"),"464")</f>
        <v>464</v>
      </c>
      <c r="G465" s="5" t="str">
        <f>IFERROR(__xludf.DUMMYFUNCTION("GOOGLETRANSLATE(B465, ""en"", ""hi"")"),"पारंपरिक मणिपुरी समाज में मुकना कुश्ती का प्राथमिक कार्य क्या था?")</f>
        <v>पारंपरिक मणिपुरी समाज में मुकना कुश्ती का प्राथमिक कार्य क्या था?</v>
      </c>
      <c r="H465" s="5" t="str">
        <f>IFERROR(__xludf.DUMMYFUNCTION("GOOGLETRANSLATE(C465, ""en"", ""hi"")"),"A) युद्ध प्रशिक्षण, B) सामाजिक मनोरंजन, C) धार्मिक अनुष्ठान, D) राजनीतिक प्रदर्शन")</f>
        <v>A) युद्ध प्रशिक्षण, B) सामाजिक मनोरंजन, C) धार्मिक अनुष्ठान, D) राजनीतिक प्रदर्शन</v>
      </c>
      <c r="I465" s="5" t="str">
        <f>IFERROR(__xludf.DUMMYFUNCTION("GOOGLETRANSLATE(D465, ""en"", ""hi"")"),"ए) युद्ध प्रशिक्षण")</f>
        <v>ए) युद्ध प्रशिक्षण</v>
      </c>
    </row>
    <row r="466" ht="22.5" customHeight="1">
      <c r="A466" s="3">
        <v>465.0</v>
      </c>
      <c r="B466" s="4" t="s">
        <v>14028</v>
      </c>
      <c r="C466" s="4" t="s">
        <v>13935</v>
      </c>
      <c r="D466" s="4" t="s">
        <v>13936</v>
      </c>
      <c r="F466" s="5" t="str">
        <f>IFERROR(__xludf.DUMMYFUNCTION("GOOGLETRANSLATE(A466, ""en"", ""hi"")"),"465")</f>
        <v>465</v>
      </c>
      <c r="G466" s="5" t="str">
        <f>IFERROR(__xludf.DUMMYFUNCTION("GOOGLETRANSLATE(B466, ""en"", ""hi"")"),"मुकना कुश्ती के पतन को समझने के लिए कौन से ब्रिटिशकालीन लेखन आवश्यक हैं?")</f>
        <v>मुकना कुश्ती के पतन को समझने के लिए कौन से ब्रिटिशकालीन लेखन आवश्यक हैं?</v>
      </c>
      <c r="H466" s="5" t="str">
        <f>IFERROR(__xludf.DUMMYFUNCTION("GOOGLETRANSLATE(C466,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66" s="5" t="str">
        <f>IFERROR(__xludf.DUMMYFUNCTION("GOOGLETRANSLATE(D466, ""en"", ""hi"")"),"A) जी. ई. हार्वे के लेखन")</f>
        <v>A) जी. ई. हार्वे के लेखन</v>
      </c>
    </row>
    <row r="467" ht="22.5" customHeight="1">
      <c r="A467" s="3">
        <v>466.0</v>
      </c>
      <c r="B467" s="4" t="s">
        <v>14029</v>
      </c>
      <c r="C467" s="4" t="s">
        <v>14030</v>
      </c>
      <c r="D467" s="4" t="s">
        <v>13827</v>
      </c>
      <c r="F467" s="5" t="str">
        <f>IFERROR(__xludf.DUMMYFUNCTION("GOOGLETRANSLATE(A467, ""en"", ""hi"")"),"466")</f>
        <v>466</v>
      </c>
      <c r="G467" s="5" t="str">
        <f>IFERROR(__xludf.DUMMYFUNCTION("GOOGLETRANSLATE(B467, ""en"", ""hi"")"),"ऐतिहासिक विवरणों में मुकना कुश्ती के किस पारंपरिक पहलू पर प्रकाश डाला गया है?")</f>
        <v>ऐतिहासिक विवरणों में मुकना कुश्ती के किस पारंपरिक पहलू पर प्रकाश डाला गया है?</v>
      </c>
      <c r="H467" s="5" t="str">
        <f>IFERROR(__xludf.DUMMYFUNCTION("GOOGLETRANSLATE(C467, ""en"", ""hi"")"),"A) युद्ध तत्परता, B) शारीरिक शक्ति, C) अनुष्ठानिक प्रथाएँ, D) सामाजिक स्थिति")</f>
        <v>A) युद्ध तत्परता, B) शारीरिक शक्ति, C) अनुष्ठानिक प्रथाएँ, D) सामाजिक स्थिति</v>
      </c>
      <c r="I467" s="5" t="str">
        <f>IFERROR(__xludf.DUMMYFUNCTION("GOOGLETRANSLATE(D467, ""en"", ""hi"")"),"ए) युद्ध तत्परता")</f>
        <v>ए) युद्ध तत्परता</v>
      </c>
    </row>
    <row r="468" ht="22.5" customHeight="1">
      <c r="A468" s="3">
        <v>467.0</v>
      </c>
      <c r="B468" s="4" t="s">
        <v>14031</v>
      </c>
      <c r="C468" s="4" t="s">
        <v>12389</v>
      </c>
      <c r="D468" s="4" t="s">
        <v>12086</v>
      </c>
      <c r="F468" s="5" t="str">
        <f>IFERROR(__xludf.DUMMYFUNCTION("GOOGLETRANSLATE(A468, ""en"", ""hi"")"),"467")</f>
        <v>467</v>
      </c>
      <c r="G468" s="5" t="str">
        <f>IFERROR(__xludf.DUMMYFUNCTION("GOOGLETRANSLATE(B468, ""en"", ""hi"")"),"मणिपुर में किस त्यौहार में ऐतिहासिक रूप से मुकना कुश्ती को एक प्रमुख आयोजन के रूप में शामिल किया गया है?")</f>
        <v>मणिपुर में किस त्यौहार में ऐतिहासिक रूप से मुकना कुश्ती को एक प्रमुख आयोजन के रूप में शामिल किया गया है?</v>
      </c>
      <c r="H468" s="5" t="str">
        <f>IFERROR(__xludf.DUMMYFUNCTION("GOOGLETRANSLATE(C468, ""en"", ""hi"")"),"ए) लाई हराओबा, बी) याओशांग, सी) निंगोल चाकोउबा, डी) चेइराओबा")</f>
        <v>ए) लाई हराओबा, बी) याओशांग, सी) निंगोल चाकोउबा, डी) चेइराओबा</v>
      </c>
      <c r="I468" s="5" t="str">
        <f>IFERROR(__xludf.DUMMYFUNCTION("GOOGLETRANSLATE(D468, ""en"", ""hi"")"),"A) लाई हरोबा")</f>
        <v>A) लाई हरोबा</v>
      </c>
    </row>
    <row r="469" ht="22.5" customHeight="1">
      <c r="A469" s="3">
        <v>468.0</v>
      </c>
      <c r="B469" s="4" t="s">
        <v>14032</v>
      </c>
      <c r="C469" s="4" t="s">
        <v>13801</v>
      </c>
      <c r="D469" s="4" t="s">
        <v>13750</v>
      </c>
      <c r="F469" s="5" t="str">
        <f>IFERROR(__xludf.DUMMYFUNCTION("GOOGLETRANSLATE(A469, ""en"", ""hi"")"),"468")</f>
        <v>468</v>
      </c>
      <c r="G469" s="5" t="str">
        <f>IFERROR(__xludf.DUMMYFUNCTION("GOOGLETRANSLATE(B469, ""en"", ""hi"")"),"ऐतिहासिक मणिपुर में पारंपरिक मुकना कुश्ती मैट के लिए किस सामग्री का उपयोग किया जाता था?")</f>
        <v>ऐतिहासिक मणिपुर में पारंपरिक मुकना कुश्ती मैट के लिए किस सामग्री का उपयोग किया जाता था?</v>
      </c>
      <c r="H469" s="5" t="str">
        <f>IFERROR(__xludf.DUMMYFUNCTION("GOOGLETRANSLATE(C469, ""en"", ""hi"")"),"A) पुआल, B) जूट, C) कपास, D) बांस")</f>
        <v>A) पुआल, B) जूट, C) कपास, D) बांस</v>
      </c>
      <c r="I469" s="5" t="str">
        <f>IFERROR(__xludf.DUMMYFUNCTION("GOOGLETRANSLATE(D469, ""en"", ""hi"")"),"एक पुआल")</f>
        <v>एक पुआल</v>
      </c>
    </row>
    <row r="470" ht="22.5" customHeight="1">
      <c r="A470" s="3">
        <v>469.0</v>
      </c>
      <c r="B470" s="4" t="s">
        <v>14033</v>
      </c>
      <c r="C470" s="4" t="s">
        <v>13619</v>
      </c>
      <c r="D470" s="4" t="s">
        <v>13331</v>
      </c>
      <c r="F470" s="5" t="str">
        <f>IFERROR(__xludf.DUMMYFUNCTION("GOOGLETRANSLATE(A470, ""en"", ""hi"")"),"469")</f>
        <v>469</v>
      </c>
      <c r="G470" s="5" t="str">
        <f>IFERROR(__xludf.DUMMYFUNCTION("GOOGLETRANSLATE(B470, ""en"", ""hi"")"),"किस मणिपुरी राजा को मुकना कुश्ती के पुनरुद्धार में महत्वपूर्ण योगदान के लिए जाना जाता है?")</f>
        <v>किस मणिपुरी राजा को मुकना कुश्ती के पुनरुद्धार में महत्वपूर्ण योगदान के लिए जाना जाता है?</v>
      </c>
      <c r="H470" s="5" t="str">
        <f>IFERROR(__xludf.DUMMYFUNCTION("GOOGLETRANSLATE(C470,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70" s="5" t="str">
        <f>IFERROR(__xludf.DUMMYFUNCTION("GOOGLETRANSLATE(D470, ""en"", ""hi"")"),"A) महाराजा चूड़ाचंद सिंह")</f>
        <v>A) महाराजा चूड़ाचंद सिंह</v>
      </c>
    </row>
    <row r="471" ht="22.5" customHeight="1">
      <c r="A471" s="3">
        <v>470.0</v>
      </c>
      <c r="B471" s="4" t="s">
        <v>14034</v>
      </c>
      <c r="C471" s="4" t="s">
        <v>14035</v>
      </c>
      <c r="D471" s="4" t="s">
        <v>13882</v>
      </c>
      <c r="F471" s="5" t="str">
        <f>IFERROR(__xludf.DUMMYFUNCTION("GOOGLETRANSLATE(A471, ""en"", ""hi"")"),"470")</f>
        <v>470</v>
      </c>
      <c r="G471" s="5" t="str">
        <f>IFERROR(__xludf.DUMMYFUNCTION("GOOGLETRANSLATE(B471, ""en"", ""hi"")"),"औपनिवेशिक काल के दौरान पारंपरिक मणिपुरी समाज में मुकना कुश्ती की क्या भूमिका थी?")</f>
        <v>औपनिवेशिक काल के दौरान पारंपरिक मणिपुरी समाज में मुकना कुश्ती की क्या भूमिका थी?</v>
      </c>
      <c r="H471" s="5" t="str">
        <f>IFERROR(__xludf.DUMMYFUNCTION("GOOGLETRANSLATE(C471, ""en"", ""hi"")"),"A) युद्ध प्रशिक्षण, B) सामाजिक मनोरंजन, C) अनुष्ठानिक प्रथाएँ, D) राजनीतिक प्रचार")</f>
        <v>A) युद्ध प्रशिक्षण, B) सामाजिक मनोरंजन, C) अनुष्ठानिक प्रथाएँ, D) राजनीतिक प्रचार</v>
      </c>
      <c r="I471" s="5" t="str">
        <f>IFERROR(__xludf.DUMMYFUNCTION("GOOGLETRANSLATE(D471, ""en"", ""hi"")"),"ए) युद्ध प्रशिक्षण")</f>
        <v>ए) युद्ध प्रशिक्षण</v>
      </c>
    </row>
    <row r="472" ht="22.5" customHeight="1">
      <c r="A472" s="3">
        <v>471.0</v>
      </c>
      <c r="B472" s="4" t="s">
        <v>14036</v>
      </c>
      <c r="C472" s="4" t="s">
        <v>13704</v>
      </c>
      <c r="D472" s="4" t="s">
        <v>13474</v>
      </c>
      <c r="F472" s="5" t="str">
        <f>IFERROR(__xludf.DUMMYFUNCTION("GOOGLETRANSLATE(A472, ""en"", ""hi"")"),"471")</f>
        <v>471</v>
      </c>
      <c r="G472" s="5" t="str">
        <f>IFERROR(__xludf.DUMMYFUNCTION("GOOGLETRANSLATE(B472, ""en"", ""hi"")"),"कौन सा ग्रंथ मुकना कुश्ती तकनीकों का व्यापक ऐतिहासिक विवरण प्रदान करता है?")</f>
        <v>कौन सा ग्रंथ मुकना कुश्ती तकनीकों का व्यापक ऐतिहासिक विवरण प्रदान करता है?</v>
      </c>
      <c r="H472" s="5" t="str">
        <f>IFERROR(__xludf.DUMMYFUNCTION("GOOGLETRANSLATE(C472, ""en"", ""hi"")"),"ए) बुरांजी, बी) राजमाला, सी) मणिपुरी वेद, डी) मनुस्मृति")</f>
        <v>ए) बुरांजी, बी) राजमाला, सी) मणिपुरी वेद, डी) मनुस्मृति</v>
      </c>
      <c r="I472" s="5" t="str">
        <f>IFERROR(__xludf.DUMMYFUNCTION("GOOGLETRANSLATE(D472, ""en"", ""hi"")"),"ए) बुरांजी")</f>
        <v>ए) बुरांजी</v>
      </c>
    </row>
    <row r="473" ht="22.5" customHeight="1">
      <c r="A473" s="3">
        <v>472.0</v>
      </c>
      <c r="B473" s="4" t="s">
        <v>14037</v>
      </c>
      <c r="C473" s="4" t="s">
        <v>13974</v>
      </c>
      <c r="D473" s="4" t="s">
        <v>13948</v>
      </c>
      <c r="F473" s="5" t="str">
        <f>IFERROR(__xludf.DUMMYFUNCTION("GOOGLETRANSLATE(A473, ""en"", ""hi"")"),"472")</f>
        <v>472</v>
      </c>
      <c r="G473" s="5" t="str">
        <f>IFERROR(__xludf.DUMMYFUNCTION("GOOGLETRANSLATE(B473, ""en"", ""hi"")"),"ऐतिहासिक मणिपुर में मुकना कुश्ती पोशाक का पारंपरिक पहलू क्या था?")</f>
        <v>ऐतिहासिक मणिपुर में मुकना कुश्ती पोशाक का पारंपरिक पहलू क्या था?</v>
      </c>
      <c r="H473" s="5" t="str">
        <f>IFERROR(__xludf.DUMMYFUNCTION("GOOGLETRANSLATE(C473, ""en"", ""hi"")"),"A) ढीले-ढाले वस्त्र, B) रेशमी वस्त्र, C) चमड़े का कवच, D) ऊनी पोशाक")</f>
        <v>A) ढीले-ढाले वस्त्र, B) रेशमी वस्त्र, C) चमड़े का कवच, D) ऊनी पोशाक</v>
      </c>
      <c r="I473" s="5" t="str">
        <f>IFERROR(__xludf.DUMMYFUNCTION("GOOGLETRANSLATE(D473, ""en"", ""hi"")"),"A) ढीले-ढाले वस्त्र")</f>
        <v>A) ढीले-ढाले वस्त्र</v>
      </c>
    </row>
    <row r="474" ht="22.5" customHeight="1">
      <c r="A474" s="3">
        <v>473.0</v>
      </c>
      <c r="B474" s="4" t="s">
        <v>14038</v>
      </c>
      <c r="C474" s="4" t="s">
        <v>13935</v>
      </c>
      <c r="D474" s="4" t="s">
        <v>13936</v>
      </c>
      <c r="F474" s="5" t="str">
        <f>IFERROR(__xludf.DUMMYFUNCTION("GOOGLETRANSLATE(A474, ""en"", ""hi"")"),"473")</f>
        <v>473</v>
      </c>
      <c r="G474" s="5" t="str">
        <f>IFERROR(__xludf.DUMMYFUNCTION("GOOGLETRANSLATE(B474, ""en"", ""hi"")"),"ब्रिटिश काल के किस लेख में मुकना कुश्ती जैसे पारंपरिक खेलों के पतन का विवरण दिया गया है?")</f>
        <v>ब्रिटिश काल के किस लेख में मुकना कुश्ती जैसे पारंपरिक खेलों के पतन का विवरण दिया गया है?</v>
      </c>
      <c r="H474" s="5" t="str">
        <f>IFERROR(__xludf.DUMMYFUNCTION("GOOGLETRANSLATE(C474,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74" s="5" t="str">
        <f>IFERROR(__xludf.DUMMYFUNCTION("GOOGLETRANSLATE(D474, ""en"", ""hi"")"),"A) जी. ई. हार्वे के लेखन")</f>
        <v>A) जी. ई. हार्वे के लेखन</v>
      </c>
    </row>
    <row r="475" ht="22.5" customHeight="1">
      <c r="A475" s="3">
        <v>474.0</v>
      </c>
      <c r="B475" s="4" t="s">
        <v>13958</v>
      </c>
      <c r="C475" s="4" t="s">
        <v>13881</v>
      </c>
      <c r="D475" s="4" t="s">
        <v>13882</v>
      </c>
      <c r="F475" s="5" t="str">
        <f>IFERROR(__xludf.DUMMYFUNCTION("GOOGLETRANSLATE(A475, ""en"", ""hi"")"),"474")</f>
        <v>474</v>
      </c>
      <c r="G475" s="5" t="str">
        <f>IFERROR(__xludf.DUMMYFUNCTION("GOOGLETRANSLATE(B475, ""en"", ""hi"")"),"पारंपरिक मणिपुरी समाज में मुकना कुश्ती का प्राथमिक उद्देश्य क्या था?")</f>
        <v>पारंपरिक मणिपुरी समाज में मुकना कुश्ती का प्राथमिक उद्देश्य क्या था?</v>
      </c>
      <c r="H475" s="5" t="str">
        <f>IFERROR(__xludf.DUMMYFUNCTION("GOOGLETRANSLATE(C475, ""en"", ""hi"")"),"A) युद्ध प्रशिक्षण, B) सामाजिक मनोरंजन, C) धार्मिक अनुष्ठान, D) राजनीतिक प्रदर्शन")</f>
        <v>A) युद्ध प्रशिक्षण, B) सामाजिक मनोरंजन, C) धार्मिक अनुष्ठान, D) राजनीतिक प्रदर्शन</v>
      </c>
      <c r="I475" s="5" t="str">
        <f>IFERROR(__xludf.DUMMYFUNCTION("GOOGLETRANSLATE(D475, ""en"", ""hi"")"),"ए) युद्ध प्रशिक्षण")</f>
        <v>ए) युद्ध प्रशिक्षण</v>
      </c>
    </row>
    <row r="476" ht="22.5" customHeight="1">
      <c r="A476" s="3">
        <v>475.0</v>
      </c>
      <c r="B476" s="4" t="s">
        <v>14039</v>
      </c>
      <c r="C476" s="4" t="s">
        <v>13619</v>
      </c>
      <c r="D476" s="4" t="s">
        <v>13331</v>
      </c>
      <c r="F476" s="5" t="str">
        <f>IFERROR(__xludf.DUMMYFUNCTION("GOOGLETRANSLATE(A476, ""en"", ""hi"")"),"475")</f>
        <v>475</v>
      </c>
      <c r="G476" s="5" t="str">
        <f>IFERROR(__xludf.DUMMYFUNCTION("GOOGLETRANSLATE(B476, ""en"", ""hi"")"),"मुकना कुश्ती के नियमों और तकनीकों को औपचारिक रूप देने का श्रेय किस राजा को दिया जाता है?")</f>
        <v>मुकना कुश्ती के नियमों और तकनीकों को औपचारिक रूप देने का श्रेय किस राजा को दिया जाता है?</v>
      </c>
      <c r="H476" s="5" t="str">
        <f>IFERROR(__xludf.DUMMYFUNCTION("GOOGLETRANSLATE(C476,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76" s="5" t="str">
        <f>IFERROR(__xludf.DUMMYFUNCTION("GOOGLETRANSLATE(D476, ""en"", ""hi"")"),"A) महाराजा चूड़ाचंद सिंह")</f>
        <v>A) महाराजा चूड़ाचंद सिंह</v>
      </c>
    </row>
    <row r="477" ht="22.5" customHeight="1">
      <c r="A477" s="3">
        <v>476.0</v>
      </c>
      <c r="B477" s="4" t="s">
        <v>14040</v>
      </c>
      <c r="C477" s="4" t="s">
        <v>13910</v>
      </c>
      <c r="D477" s="4" t="s">
        <v>13823</v>
      </c>
      <c r="F477" s="5" t="str">
        <f>IFERROR(__xludf.DUMMYFUNCTION("GOOGLETRANSLATE(A477, ""en"", ""hi"")"),"476")</f>
        <v>476</v>
      </c>
      <c r="G477" s="5" t="str">
        <f>IFERROR(__xludf.DUMMYFUNCTION("GOOGLETRANSLATE(B477, ""en"", ""hi"")"),"पारंपरिक समय में मुकना कुश्ती मैट की मुख्य विशेषता क्या थी?")</f>
        <v>पारंपरिक समय में मुकना कुश्ती मैट की मुख्य विशेषता क्या थी?</v>
      </c>
      <c r="H477" s="5" t="str">
        <f>IFERROR(__xludf.DUMMYFUNCTION("GOOGLETRANSLATE(C477, ""en"", ""hi"")"),"A) पुआल से बना, B) जूट से ढका, C) गद्दी से सुसज्जित, D) पैटर्न से अलंकृत")</f>
        <v>A) पुआल से बना, B) जूट से ढका, C) गद्दी से सुसज्जित, D) पैटर्न से अलंकृत</v>
      </c>
      <c r="I477" s="5" t="str">
        <f>IFERROR(__xludf.DUMMYFUNCTION("GOOGLETRANSLATE(D477, ""en"", ""hi"")"),"A) भूसे से बना")</f>
        <v>A) भूसे से बना</v>
      </c>
    </row>
    <row r="478" ht="22.5" customHeight="1">
      <c r="A478" s="3">
        <v>477.0</v>
      </c>
      <c r="B478" s="4" t="s">
        <v>14041</v>
      </c>
      <c r="C478" s="4" t="s">
        <v>13704</v>
      </c>
      <c r="D478" s="4" t="s">
        <v>13474</v>
      </c>
      <c r="F478" s="5" t="str">
        <f>IFERROR(__xludf.DUMMYFUNCTION("GOOGLETRANSLATE(A478, ""en"", ""hi"")"),"477")</f>
        <v>477</v>
      </c>
      <c r="G478" s="5" t="str">
        <f>IFERROR(__xludf.DUMMYFUNCTION("GOOGLETRANSLATE(B478, ""en"", ""hi"")"),"मुकना कुश्ती तकनीक और इतिहास को समझने के लिए कौन सा मणिपुरी पाठ महत्वपूर्ण है?")</f>
        <v>मुकना कुश्ती तकनीक और इतिहास को समझने के लिए कौन सा मणिपुरी पाठ महत्वपूर्ण है?</v>
      </c>
      <c r="H478" s="5" t="str">
        <f>IFERROR(__xludf.DUMMYFUNCTION("GOOGLETRANSLATE(C478, ""en"", ""hi"")"),"ए) बुरांजी, बी) राजमाला, सी) मणिपुरी वेद, डी) मनुस्मृति")</f>
        <v>ए) बुरांजी, बी) राजमाला, सी) मणिपुरी वेद, डी) मनुस्मृति</v>
      </c>
      <c r="I478" s="5" t="str">
        <f>IFERROR(__xludf.DUMMYFUNCTION("GOOGLETRANSLATE(D478, ""en"", ""hi"")"),"ए) बुरांजी")</f>
        <v>ए) बुरांजी</v>
      </c>
    </row>
    <row r="479" ht="22.5" customHeight="1">
      <c r="A479" s="3">
        <v>478.0</v>
      </c>
      <c r="B479" s="4" t="s">
        <v>14042</v>
      </c>
      <c r="C479" s="4" t="s">
        <v>14027</v>
      </c>
      <c r="D479" s="4" t="s">
        <v>13882</v>
      </c>
      <c r="F479" s="5" t="str">
        <f>IFERROR(__xludf.DUMMYFUNCTION("GOOGLETRANSLATE(A479, ""en"", ""hi"")"),"478")</f>
        <v>478</v>
      </c>
      <c r="G479" s="5" t="str">
        <f>IFERROR(__xludf.DUMMYFUNCTION("GOOGLETRANSLATE(B479, ""en"", ""hi"")"),"ऐतिहासिक मणिपुरी समाज में मुकना कुश्ती की प्राथमिक भूमिका क्या थी?")</f>
        <v>ऐतिहासिक मणिपुरी समाज में मुकना कुश्ती की प्राथमिक भूमिका क्या थी?</v>
      </c>
      <c r="H479" s="5" t="str">
        <f>IFERROR(__xludf.DUMMYFUNCTION("GOOGLETRANSLATE(C479, ""en"", ""hi"")"),"A) युद्ध प्रशिक्षण, B) सामाजिक मनोरंजन, C) धार्मिक अनुष्ठान, D) राजनीतिक प्रदर्शन")</f>
        <v>A) युद्ध प्रशिक्षण, B) सामाजिक मनोरंजन, C) धार्मिक अनुष्ठान, D) राजनीतिक प्रदर्शन</v>
      </c>
      <c r="I479" s="5" t="str">
        <f>IFERROR(__xludf.DUMMYFUNCTION("GOOGLETRANSLATE(D479, ""en"", ""hi"")"),"ए) युद्ध प्रशिक्षण")</f>
        <v>ए) युद्ध प्रशिक्षण</v>
      </c>
    </row>
    <row r="480" ht="22.5" customHeight="1">
      <c r="A480" s="3">
        <v>479.0</v>
      </c>
      <c r="B480" s="4" t="s">
        <v>13986</v>
      </c>
      <c r="C480" s="4" t="s">
        <v>13935</v>
      </c>
      <c r="D480" s="4" t="s">
        <v>13936</v>
      </c>
      <c r="F480" s="5" t="str">
        <f>IFERROR(__xludf.DUMMYFUNCTION("GOOGLETRANSLATE(A480, ""en"", ""hi"")"),"479")</f>
        <v>479</v>
      </c>
      <c r="G480" s="5" t="str">
        <f>IFERROR(__xludf.DUMMYFUNCTION("GOOGLETRANSLATE(B480, ""en"", ""hi"")"),"ब्रिटिश काल के कौन से लेख मुकना कुश्ती के पतन के बारे में जानकारी देते हैं?")</f>
        <v>ब्रिटिश काल के कौन से लेख मुकना कुश्ती के पतन के बारे में जानकारी देते हैं?</v>
      </c>
      <c r="H480" s="5" t="str">
        <f>IFERROR(__xludf.DUMMYFUNCTION("GOOGLETRANSLATE(C480,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80" s="5" t="str">
        <f>IFERROR(__xludf.DUMMYFUNCTION("GOOGLETRANSLATE(D480, ""en"", ""hi"")"),"A) जी. ई. हार्वे के लेखन")</f>
        <v>A) जी. ई. हार्वे के लेखन</v>
      </c>
    </row>
    <row r="481" ht="22.5" customHeight="1">
      <c r="A481" s="3">
        <v>480.0</v>
      </c>
      <c r="B481" s="4" t="s">
        <v>14043</v>
      </c>
      <c r="C481" s="4" t="s">
        <v>14044</v>
      </c>
      <c r="D481" s="4" t="s">
        <v>13827</v>
      </c>
      <c r="F481" s="5" t="str">
        <f>IFERROR(__xludf.DUMMYFUNCTION("GOOGLETRANSLATE(A481, ""en"", ""hi"")"),"480")</f>
        <v>480</v>
      </c>
      <c r="G481" s="5" t="str">
        <f>IFERROR(__xludf.DUMMYFUNCTION("GOOGLETRANSLATE(B481, ""en"", ""hi"")"),"मुकना कुश्ती प्रशिक्षण की पारंपरिक विशेषता क्या थी?")</f>
        <v>मुकना कुश्ती प्रशिक्षण की पारंपरिक विशेषता क्या थी?</v>
      </c>
      <c r="H481" s="5" t="str">
        <f>IFERROR(__xludf.DUMMYFUNCTION("GOOGLETRANSLATE(C481, ""en"", ""hi"")"),"A) युद्ध तत्परता, B) शारीरिक शक्ति, C) अनुष्ठानिक प्रथाएँ, D) सामाजिक बंधन")</f>
        <v>A) युद्ध तत्परता, B) शारीरिक शक्ति, C) अनुष्ठानिक प्रथाएँ, D) सामाजिक बंधन</v>
      </c>
      <c r="I481" s="5" t="str">
        <f>IFERROR(__xludf.DUMMYFUNCTION("GOOGLETRANSLATE(D481, ""en"", ""hi"")"),"ए) युद्ध तत्परता")</f>
        <v>ए) युद्ध तत्परता</v>
      </c>
    </row>
    <row r="482" ht="22.5" customHeight="1">
      <c r="A482" s="3">
        <v>481.0</v>
      </c>
      <c r="B482" s="4" t="s">
        <v>14045</v>
      </c>
      <c r="C482" s="4" t="s">
        <v>12389</v>
      </c>
      <c r="D482" s="4" t="s">
        <v>12086</v>
      </c>
      <c r="F482" s="5" t="str">
        <f>IFERROR(__xludf.DUMMYFUNCTION("GOOGLETRANSLATE(A482, ""en"", ""hi"")"),"481")</f>
        <v>481</v>
      </c>
      <c r="G482" s="5" t="str">
        <f>IFERROR(__xludf.DUMMYFUNCTION("GOOGLETRANSLATE(B482, ""en"", ""hi"")"),"ऐतिहासिक रूप से किस त्यौहार में मुकना कुश्ती को एक प्रमुख आयोजन के रूप में प्रदर्शित किया गया?")</f>
        <v>ऐतिहासिक रूप से किस त्यौहार में मुकना कुश्ती को एक प्रमुख आयोजन के रूप में प्रदर्शित किया गया?</v>
      </c>
      <c r="H482" s="5" t="str">
        <f>IFERROR(__xludf.DUMMYFUNCTION("GOOGLETRANSLATE(C482, ""en"", ""hi"")"),"ए) लाई हराओबा, बी) याओशांग, सी) निंगोल चाकोउबा, डी) चेइराओबा")</f>
        <v>ए) लाई हराओबा, बी) याओशांग, सी) निंगोल चाकोउबा, डी) चेइराओबा</v>
      </c>
      <c r="I482" s="5" t="str">
        <f>IFERROR(__xludf.DUMMYFUNCTION("GOOGLETRANSLATE(D482, ""en"", ""hi"")"),"A) लाई हरोबा")</f>
        <v>A) लाई हरोबा</v>
      </c>
    </row>
    <row r="483" ht="22.5" customHeight="1">
      <c r="A483" s="3">
        <v>482.0</v>
      </c>
      <c r="B483" s="4" t="s">
        <v>14046</v>
      </c>
      <c r="C483" s="4" t="s">
        <v>13801</v>
      </c>
      <c r="D483" s="4" t="s">
        <v>13750</v>
      </c>
      <c r="F483" s="5" t="str">
        <f>IFERROR(__xludf.DUMMYFUNCTION("GOOGLETRANSLATE(A483, ""en"", ""hi"")"),"482")</f>
        <v>482</v>
      </c>
      <c r="G483" s="5" t="str">
        <f>IFERROR(__xludf.DUMMYFUNCTION("GOOGLETRANSLATE(B483, ""en"", ""hi"")"),"मणिपुर में मुकना कुश्ती मैट के लिए पारंपरिक रूप से किस सामग्री का उपयोग किया जाता था?")</f>
        <v>मणिपुर में मुकना कुश्ती मैट के लिए पारंपरिक रूप से किस सामग्री का उपयोग किया जाता था?</v>
      </c>
      <c r="H483" s="5" t="str">
        <f>IFERROR(__xludf.DUMMYFUNCTION("GOOGLETRANSLATE(C483, ""en"", ""hi"")"),"A) पुआल, B) जूट, C) कपास, D) बांस")</f>
        <v>A) पुआल, B) जूट, C) कपास, D) बांस</v>
      </c>
      <c r="I483" s="5" t="str">
        <f>IFERROR(__xludf.DUMMYFUNCTION("GOOGLETRANSLATE(D483, ""en"", ""hi"")"),"एक पुआल")</f>
        <v>एक पुआल</v>
      </c>
    </row>
    <row r="484" ht="22.5" customHeight="1">
      <c r="A484" s="3">
        <v>483.0</v>
      </c>
      <c r="B484" s="4" t="s">
        <v>14047</v>
      </c>
      <c r="C484" s="4" t="s">
        <v>13619</v>
      </c>
      <c r="D484" s="4" t="s">
        <v>13331</v>
      </c>
      <c r="F484" s="5" t="str">
        <f>IFERROR(__xludf.DUMMYFUNCTION("GOOGLETRANSLATE(A484, ""en"", ""hi"")"),"483")</f>
        <v>483</v>
      </c>
      <c r="G484" s="5" t="str">
        <f>IFERROR(__xludf.DUMMYFUNCTION("GOOGLETRANSLATE(B484, ""en"", ""hi"")"),"20वीं सदी में मुकना कुश्ती के पुनरुद्धार में किस राजा ने महत्वपूर्ण भूमिका निभाई?")</f>
        <v>20वीं सदी में मुकना कुश्ती के पुनरुद्धार में किस राजा ने महत्वपूर्ण भूमिका निभाई?</v>
      </c>
      <c r="H484" s="5" t="str">
        <f>IFERROR(__xludf.DUMMYFUNCTION("GOOGLETRANSLATE(C484,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84" s="5" t="str">
        <f>IFERROR(__xludf.DUMMYFUNCTION("GOOGLETRANSLATE(D484, ""en"", ""hi"")"),"A) महाराजा चूड़ाचंद सिंह")</f>
        <v>A) महाराजा चूड़ाचंद सिंह</v>
      </c>
    </row>
    <row r="485" ht="22.5" customHeight="1">
      <c r="A485" s="3">
        <v>484.0</v>
      </c>
      <c r="B485" s="4" t="s">
        <v>14048</v>
      </c>
      <c r="C485" s="4" t="s">
        <v>14049</v>
      </c>
      <c r="D485" s="4" t="s">
        <v>13882</v>
      </c>
      <c r="F485" s="5" t="str">
        <f>IFERROR(__xludf.DUMMYFUNCTION("GOOGLETRANSLATE(A485, ""en"", ""hi"")"),"484")</f>
        <v>484</v>
      </c>
      <c r="G485" s="5" t="str">
        <f>IFERROR(__xludf.DUMMYFUNCTION("GOOGLETRANSLATE(B485, ""en"", ""hi"")"),"औपनिवेशिक काल के दौरान पारंपरिक मणिपुरी समाज में मुकना कुश्ती का प्राथमिक उद्देश्य क्या था?")</f>
        <v>औपनिवेशिक काल के दौरान पारंपरिक मणिपुरी समाज में मुकना कुश्ती का प्राथमिक उद्देश्य क्या था?</v>
      </c>
      <c r="H485" s="5" t="str">
        <f>IFERROR(__xludf.DUMMYFUNCTION("GOOGLETRANSLATE(C485,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485" s="5" t="str">
        <f>IFERROR(__xludf.DUMMYFUNCTION("GOOGLETRANSLATE(D485, ""en"", ""hi"")"),"ए) युद्ध प्रशिक्षण")</f>
        <v>ए) युद्ध प्रशिक्षण</v>
      </c>
    </row>
    <row r="486" ht="22.5" customHeight="1">
      <c r="A486" s="3">
        <v>485.0</v>
      </c>
      <c r="B486" s="4" t="s">
        <v>14050</v>
      </c>
      <c r="C486" s="4" t="s">
        <v>13704</v>
      </c>
      <c r="D486" s="4" t="s">
        <v>13474</v>
      </c>
      <c r="F486" s="5" t="str">
        <f>IFERROR(__xludf.DUMMYFUNCTION("GOOGLETRANSLATE(A486, ""en"", ""hi"")"),"485")</f>
        <v>485</v>
      </c>
      <c r="G486" s="5" t="str">
        <f>IFERROR(__xludf.DUMMYFUNCTION("GOOGLETRANSLATE(B486, ""en"", ""hi"")"),"कौन सा ग्रंथ मुकना कुश्ती तकनीकों का आवश्यक ऐतिहासिक विवरण प्रदान करता है?")</f>
        <v>कौन सा ग्रंथ मुकना कुश्ती तकनीकों का आवश्यक ऐतिहासिक विवरण प्रदान करता है?</v>
      </c>
      <c r="H486" s="5" t="str">
        <f>IFERROR(__xludf.DUMMYFUNCTION("GOOGLETRANSLATE(C486, ""en"", ""hi"")"),"ए) बुरांजी, बी) राजमाला, सी) मणिपुरी वेद, डी) मनुस्मृति")</f>
        <v>ए) बुरांजी, बी) राजमाला, सी) मणिपुरी वेद, डी) मनुस्मृति</v>
      </c>
      <c r="I486" s="5" t="str">
        <f>IFERROR(__xludf.DUMMYFUNCTION("GOOGLETRANSLATE(D486, ""en"", ""hi"")"),"ए) बुरांजी")</f>
        <v>ए) बुरांजी</v>
      </c>
    </row>
    <row r="487" ht="22.5" customHeight="1">
      <c r="A487" s="3">
        <v>486.0</v>
      </c>
      <c r="B487" s="4" t="s">
        <v>14051</v>
      </c>
      <c r="C487" s="4" t="s">
        <v>13974</v>
      </c>
      <c r="D487" s="4" t="s">
        <v>13948</v>
      </c>
      <c r="F487" s="5" t="str">
        <f>IFERROR(__xludf.DUMMYFUNCTION("GOOGLETRANSLATE(A487, ""en"", ""hi"")"),"486")</f>
        <v>486</v>
      </c>
      <c r="G487" s="5" t="str">
        <f>IFERROR(__xludf.DUMMYFUNCTION("GOOGLETRANSLATE(B487, ""en"", ""hi"")"),"ऐतिहासिक मणिपुर में मुकना कुश्ती पोशाक की पारंपरिक विशेषता क्या थी?")</f>
        <v>ऐतिहासिक मणिपुर में मुकना कुश्ती पोशाक की पारंपरिक विशेषता क्या थी?</v>
      </c>
      <c r="H487" s="5" t="str">
        <f>IFERROR(__xludf.DUMMYFUNCTION("GOOGLETRANSLATE(C487, ""en"", ""hi"")"),"A) ढीले-ढाले वस्त्र, B) रेशमी वस्त्र, C) चमड़े का कवच, D) ऊनी पोशाक")</f>
        <v>A) ढीले-ढाले वस्त्र, B) रेशमी वस्त्र, C) चमड़े का कवच, D) ऊनी पोशाक</v>
      </c>
      <c r="I487" s="5" t="str">
        <f>IFERROR(__xludf.DUMMYFUNCTION("GOOGLETRANSLATE(D487, ""en"", ""hi"")"),"A) ढीले-ढाले वस्त्र")</f>
        <v>A) ढीले-ढाले वस्त्र</v>
      </c>
    </row>
    <row r="488" ht="22.5" customHeight="1">
      <c r="A488" s="3">
        <v>487.0</v>
      </c>
      <c r="B488" s="4" t="s">
        <v>14052</v>
      </c>
      <c r="C488" s="4" t="s">
        <v>13935</v>
      </c>
      <c r="D488" s="4" t="s">
        <v>13936</v>
      </c>
      <c r="F488" s="5" t="str">
        <f>IFERROR(__xludf.DUMMYFUNCTION("GOOGLETRANSLATE(A488, ""en"", ""hi"")"),"487")</f>
        <v>487</v>
      </c>
      <c r="G488" s="5" t="str">
        <f>IFERROR(__xludf.DUMMYFUNCTION("GOOGLETRANSLATE(B488, ""en"", ""hi"")"),"ब्रिटिश काल के किस दस्तावेज़ में मुकना कुश्ती के पतन का विवरण दिया गया है?")</f>
        <v>ब्रिटिश काल के किस दस्तावेज़ में मुकना कुश्ती के पतन का विवरण दिया गया है?</v>
      </c>
      <c r="H488" s="5" t="str">
        <f>IFERROR(__xludf.DUMMYFUNCTION("GOOGLETRANSLATE(C488,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88" s="5" t="str">
        <f>IFERROR(__xludf.DUMMYFUNCTION("GOOGLETRANSLATE(D488, ""en"", ""hi"")"),"A) जी. ई. हार्वे के लेखन")</f>
        <v>A) जी. ई. हार्वे के लेखन</v>
      </c>
    </row>
    <row r="489" ht="22.5" customHeight="1">
      <c r="A489" s="3">
        <v>488.0</v>
      </c>
      <c r="B489" s="4" t="s">
        <v>14053</v>
      </c>
      <c r="C489" s="4" t="s">
        <v>14054</v>
      </c>
      <c r="D489" s="4" t="s">
        <v>8961</v>
      </c>
      <c r="F489" s="5" t="str">
        <f>IFERROR(__xludf.DUMMYFUNCTION("GOOGLETRANSLATE(A489, ""en"", ""hi"")"),"488")</f>
        <v>488</v>
      </c>
      <c r="G489" s="5" t="str">
        <f>IFERROR(__xludf.DUMMYFUNCTION("GOOGLETRANSLATE(B489, ""en"", ""hi"")"),"मणिपुरी सैन्य प्रशिक्षण में मुकना कुश्ती का ऐतिहासिक महत्व क्या था?")</f>
        <v>मणिपुरी सैन्य प्रशिक्षण में मुकना कुश्ती का ऐतिहासिक महत्व क्या था?</v>
      </c>
      <c r="H489" s="5" t="str">
        <f>IFERROR(__xludf.DUMMYFUNCTION("GOOGLETRANSLATE(C489, ""en"", ""hi"")"),"A) युद्ध की तैयारी, B) शारीरिक सहनशक्ति, C) अनुष्ठानिक प्रथाएँ, D) सामाजिक कौशल")</f>
        <v>A) युद्ध की तैयारी, B) शारीरिक सहनशक्ति, C) अनुष्ठानिक प्रथाएँ, D) सामाजिक कौशल</v>
      </c>
      <c r="I489" s="5" t="str">
        <f>IFERROR(__xludf.DUMMYFUNCTION("GOOGLETRANSLATE(D489, ""en"", ""hi"")"),"ए) युद्ध की तैयारी")</f>
        <v>ए) युद्ध की तैयारी</v>
      </c>
    </row>
    <row r="490" ht="22.5" customHeight="1">
      <c r="A490" s="3">
        <v>489.0</v>
      </c>
      <c r="B490" s="4" t="s">
        <v>14055</v>
      </c>
      <c r="C490" s="4" t="s">
        <v>13619</v>
      </c>
      <c r="D490" s="4" t="s">
        <v>13331</v>
      </c>
      <c r="F490" s="5" t="str">
        <f>IFERROR(__xludf.DUMMYFUNCTION("GOOGLETRANSLATE(A490, ""en"", ""hi"")"),"489")</f>
        <v>489</v>
      </c>
      <c r="G490" s="5" t="str">
        <f>IFERROR(__xludf.DUMMYFUNCTION("GOOGLETRANSLATE(B490, ""en"", ""hi"")"),"कौन सा मणिपुरी राजा मुकना कुश्ती नियमों के आधुनिकीकरण से जुड़ा हुआ है?")</f>
        <v>कौन सा मणिपुरी राजा मुकना कुश्ती नियमों के आधुनिकीकरण से जुड़ा हुआ है?</v>
      </c>
      <c r="H490" s="5" t="str">
        <f>IFERROR(__xludf.DUMMYFUNCTION("GOOGLETRANSLATE(C490,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90" s="5" t="str">
        <f>IFERROR(__xludf.DUMMYFUNCTION("GOOGLETRANSLATE(D490, ""en"", ""hi"")"),"A) महाराजा चूड़ाचंद सिंह")</f>
        <v>A) महाराजा चूड़ाचंद सिंह</v>
      </c>
    </row>
    <row r="491" ht="22.5" customHeight="1">
      <c r="A491" s="3">
        <v>490.0</v>
      </c>
      <c r="B491" s="4" t="s">
        <v>14056</v>
      </c>
      <c r="C491" s="4" t="s">
        <v>13910</v>
      </c>
      <c r="D491" s="4" t="s">
        <v>13823</v>
      </c>
      <c r="F491" s="5" t="str">
        <f>IFERROR(__xludf.DUMMYFUNCTION("GOOGLETRANSLATE(A491, ""en"", ""hi"")"),"490")</f>
        <v>490</v>
      </c>
      <c r="G491" s="5" t="str">
        <f>IFERROR(__xludf.DUMMYFUNCTION("GOOGLETRANSLATE(B491, ""en"", ""hi"")"),"मणिपुर में ऐतिहासिक रूप से मुकना कुश्ती मैट का मुख्य पहलू क्या था?")</f>
        <v>मणिपुर में ऐतिहासिक रूप से मुकना कुश्ती मैट का मुख्य पहलू क्या था?</v>
      </c>
      <c r="H491" s="5" t="str">
        <f>IFERROR(__xludf.DUMMYFUNCTION("GOOGLETRANSLATE(C491, ""en"", ""hi"")"),"A) पुआल से बना, B) जूट से ढका, C) गद्दी से सुसज्जित, D) पैटर्न से अलंकृत")</f>
        <v>A) पुआल से बना, B) जूट से ढका, C) गद्दी से सुसज्जित, D) पैटर्न से अलंकृत</v>
      </c>
      <c r="I491" s="5" t="str">
        <f>IFERROR(__xludf.DUMMYFUNCTION("GOOGLETRANSLATE(D491, ""en"", ""hi"")"),"A) भूसे से बना")</f>
        <v>A) भूसे से बना</v>
      </c>
    </row>
    <row r="492" ht="22.5" customHeight="1">
      <c r="A492" s="3">
        <v>491.0</v>
      </c>
      <c r="B492" s="4" t="s">
        <v>14057</v>
      </c>
      <c r="C492" s="4" t="s">
        <v>13704</v>
      </c>
      <c r="D492" s="4" t="s">
        <v>13474</v>
      </c>
      <c r="F492" s="5" t="str">
        <f>IFERROR(__xludf.DUMMYFUNCTION("GOOGLETRANSLATE(A492, ""en"", ""hi"")"),"491")</f>
        <v>491</v>
      </c>
      <c r="G492" s="5" t="str">
        <f>IFERROR(__xludf.DUMMYFUNCTION("GOOGLETRANSLATE(B492, ""en"", ""hi"")"),"मुकना कुश्ती तकनीक को समझने के लिए कौन सा ऐतिहासिक ग्रन्थ महत्वपूर्ण है?")</f>
        <v>मुकना कुश्ती तकनीक को समझने के लिए कौन सा ऐतिहासिक ग्रन्थ महत्वपूर्ण है?</v>
      </c>
      <c r="H492" s="5" t="str">
        <f>IFERROR(__xludf.DUMMYFUNCTION("GOOGLETRANSLATE(C492, ""en"", ""hi"")"),"ए) बुरांजी, बी) राजमाला, सी) मणिपुरी वेद, डी) मनुस्मृति")</f>
        <v>ए) बुरांजी, बी) राजमाला, सी) मणिपुरी वेद, डी) मनुस्मृति</v>
      </c>
      <c r="I492" s="5" t="str">
        <f>IFERROR(__xludf.DUMMYFUNCTION("GOOGLETRANSLATE(D492, ""en"", ""hi"")"),"ए) बुरांजी")</f>
        <v>ए) बुरांजी</v>
      </c>
    </row>
    <row r="493" ht="22.5" customHeight="1">
      <c r="A493" s="3">
        <v>492.0</v>
      </c>
      <c r="B493" s="4" t="s">
        <v>14026</v>
      </c>
      <c r="C493" s="4" t="s">
        <v>14058</v>
      </c>
      <c r="D493" s="4" t="s">
        <v>13882</v>
      </c>
      <c r="F493" s="5" t="str">
        <f>IFERROR(__xludf.DUMMYFUNCTION("GOOGLETRANSLATE(A493, ""en"", ""hi"")"),"492")</f>
        <v>492</v>
      </c>
      <c r="G493" s="5" t="str">
        <f>IFERROR(__xludf.DUMMYFUNCTION("GOOGLETRANSLATE(B493, ""en"", ""hi"")"),"पारंपरिक मणिपुरी समाज में मुकना कुश्ती का प्राथमिक कार्य क्या था?")</f>
        <v>पारंपरिक मणिपुरी समाज में मुकना कुश्ती का प्राथमिक कार्य क्या था?</v>
      </c>
      <c r="H493" s="5" t="str">
        <f>IFERROR(__xludf.DUMMYFUNCTION("GOOGLETRANSLATE(C493, ""en"", ""hi"")"),"A) युद्ध प्रशिक्षण, B) सामाजिक मनोरंजन, C) धार्मिक अनुष्ठान, D) राजनीतिक प्रदर्शन")</f>
        <v>A) युद्ध प्रशिक्षण, B) सामाजिक मनोरंजन, C) धार्मिक अनुष्ठान, D) राजनीतिक प्रदर्शन</v>
      </c>
      <c r="I493" s="5" t="str">
        <f>IFERROR(__xludf.DUMMYFUNCTION("GOOGLETRANSLATE(D493, ""en"", ""hi"")"),"ए) युद्ध प्रशिक्षण")</f>
        <v>ए) युद्ध प्रशिक्षण</v>
      </c>
    </row>
    <row r="494" ht="22.5" customHeight="1">
      <c r="A494" s="3">
        <v>493.0</v>
      </c>
      <c r="B494" s="4" t="s">
        <v>13986</v>
      </c>
      <c r="C494" s="4" t="s">
        <v>13935</v>
      </c>
      <c r="D494" s="4" t="s">
        <v>13936</v>
      </c>
      <c r="F494" s="5" t="str">
        <f>IFERROR(__xludf.DUMMYFUNCTION("GOOGLETRANSLATE(A494, ""en"", ""hi"")"),"493")</f>
        <v>493</v>
      </c>
      <c r="G494" s="5" t="str">
        <f>IFERROR(__xludf.DUMMYFUNCTION("GOOGLETRANSLATE(B494, ""en"", ""hi"")"),"ब्रिटिश काल के कौन से लेख मुकना कुश्ती के पतन के बारे में जानकारी देते हैं?")</f>
        <v>ब्रिटिश काल के कौन से लेख मुकना कुश्ती के पतन के बारे में जानकारी देते हैं?</v>
      </c>
      <c r="H494" s="5" t="str">
        <f>IFERROR(__xludf.DUMMYFUNCTION("GOOGLETRANSLATE(C494,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494" s="5" t="str">
        <f>IFERROR(__xludf.DUMMYFUNCTION("GOOGLETRANSLATE(D494, ""en"", ""hi"")"),"A) जी. ई. हार्वे के लेखन")</f>
        <v>A) जी. ई. हार्वे के लेखन</v>
      </c>
    </row>
    <row r="495" ht="22.5" customHeight="1">
      <c r="A495" s="3">
        <v>494.0</v>
      </c>
      <c r="B495" s="4" t="s">
        <v>14059</v>
      </c>
      <c r="C495" s="4" t="s">
        <v>14044</v>
      </c>
      <c r="D495" s="4" t="s">
        <v>13827</v>
      </c>
      <c r="F495" s="5" t="str">
        <f>IFERROR(__xludf.DUMMYFUNCTION("GOOGLETRANSLATE(A495, ""en"", ""hi"")"),"494")</f>
        <v>494</v>
      </c>
      <c r="G495" s="5" t="str">
        <f>IFERROR(__xludf.DUMMYFUNCTION("GOOGLETRANSLATE(B495, ""en"", ""hi"")"),"मुकना कुश्ती प्रशिक्षण का पारंपरिक पहलू क्या था?")</f>
        <v>मुकना कुश्ती प्रशिक्षण का पारंपरिक पहलू क्या था?</v>
      </c>
      <c r="H495" s="5" t="str">
        <f>IFERROR(__xludf.DUMMYFUNCTION("GOOGLETRANSLATE(C495, ""en"", ""hi"")"),"A) युद्ध तत्परता, B) शारीरिक शक्ति, C) अनुष्ठानिक प्रथाएँ, D) सामाजिक बंधन")</f>
        <v>A) युद्ध तत्परता, B) शारीरिक शक्ति, C) अनुष्ठानिक प्रथाएँ, D) सामाजिक बंधन</v>
      </c>
      <c r="I495" s="5" t="str">
        <f>IFERROR(__xludf.DUMMYFUNCTION("GOOGLETRANSLATE(D495, ""en"", ""hi"")"),"ए) युद्ध तत्परता")</f>
        <v>ए) युद्ध तत्परता</v>
      </c>
    </row>
    <row r="496" ht="22.5" customHeight="1">
      <c r="A496" s="3">
        <v>495.0</v>
      </c>
      <c r="B496" s="4" t="s">
        <v>14060</v>
      </c>
      <c r="C496" s="4" t="s">
        <v>12389</v>
      </c>
      <c r="D496" s="4" t="s">
        <v>12086</v>
      </c>
      <c r="F496" s="5" t="str">
        <f>IFERROR(__xludf.DUMMYFUNCTION("GOOGLETRANSLATE(A496, ""en"", ""hi"")"),"495")</f>
        <v>495</v>
      </c>
      <c r="G496" s="5" t="str">
        <f>IFERROR(__xludf.DUMMYFUNCTION("GOOGLETRANSLATE(B496, ""en"", ""hi"")"),"किस मणिपुरी त्यौहार में ऐतिहासिक रूप से मुकना कुश्ती को एक महत्वपूर्ण आयोजन के रूप में दिखाया गया है?")</f>
        <v>किस मणिपुरी त्यौहार में ऐतिहासिक रूप से मुकना कुश्ती को एक महत्वपूर्ण आयोजन के रूप में दिखाया गया है?</v>
      </c>
      <c r="H496" s="5" t="str">
        <f>IFERROR(__xludf.DUMMYFUNCTION("GOOGLETRANSLATE(C496, ""en"", ""hi"")"),"ए) लाई हराओबा, बी) याओशांग, सी) निंगोल चाकोउबा, डी) चेइराओबा")</f>
        <v>ए) लाई हराओबा, बी) याओशांग, सी) निंगोल चाकोउबा, डी) चेइराओबा</v>
      </c>
      <c r="I496" s="5" t="str">
        <f>IFERROR(__xludf.DUMMYFUNCTION("GOOGLETRANSLATE(D496, ""en"", ""hi"")"),"A) लाई हरोबा")</f>
        <v>A) लाई हरोबा</v>
      </c>
    </row>
    <row r="497" ht="22.5" customHeight="1">
      <c r="A497" s="3">
        <v>496.0</v>
      </c>
      <c r="B497" s="4" t="s">
        <v>14046</v>
      </c>
      <c r="C497" s="4" t="s">
        <v>13801</v>
      </c>
      <c r="D497" s="4" t="s">
        <v>13750</v>
      </c>
      <c r="F497" s="5" t="str">
        <f>IFERROR(__xludf.DUMMYFUNCTION("GOOGLETRANSLATE(A497, ""en"", ""hi"")"),"496")</f>
        <v>496</v>
      </c>
      <c r="G497" s="5" t="str">
        <f>IFERROR(__xludf.DUMMYFUNCTION("GOOGLETRANSLATE(B497, ""en"", ""hi"")"),"मणिपुर में मुकना कुश्ती मैट के लिए पारंपरिक रूप से किस सामग्री का उपयोग किया जाता था?")</f>
        <v>मणिपुर में मुकना कुश्ती मैट के लिए पारंपरिक रूप से किस सामग्री का उपयोग किया जाता था?</v>
      </c>
      <c r="H497" s="5" t="str">
        <f>IFERROR(__xludf.DUMMYFUNCTION("GOOGLETRANSLATE(C497, ""en"", ""hi"")"),"A) पुआल, B) जूट, C) कपास, D) बांस")</f>
        <v>A) पुआल, B) जूट, C) कपास, D) बांस</v>
      </c>
      <c r="I497" s="5" t="str">
        <f>IFERROR(__xludf.DUMMYFUNCTION("GOOGLETRANSLATE(D497, ""en"", ""hi"")"),"एक पुआल")</f>
        <v>एक पुआल</v>
      </c>
    </row>
    <row r="498" ht="22.5" customHeight="1">
      <c r="A498" s="3">
        <v>497.0</v>
      </c>
      <c r="B498" s="4" t="s">
        <v>14061</v>
      </c>
      <c r="C498" s="4" t="s">
        <v>13619</v>
      </c>
      <c r="D498" s="4" t="s">
        <v>13331</v>
      </c>
      <c r="F498" s="5" t="str">
        <f>IFERROR(__xludf.DUMMYFUNCTION("GOOGLETRANSLATE(A498, ""en"", ""hi"")"),"497")</f>
        <v>497</v>
      </c>
      <c r="G498" s="5" t="str">
        <f>IFERROR(__xludf.DUMMYFUNCTION("GOOGLETRANSLATE(B498, ""en"", ""hi"")"),"कौन सा मणिपुरी राजा मुकना कुश्ती को पुनर्जीवित करने के अपने प्रयासों के लिए जाना जाता है?")</f>
        <v>कौन सा मणिपुरी राजा मुकना कुश्ती को पुनर्जीवित करने के अपने प्रयासों के लिए जाना जाता है?</v>
      </c>
      <c r="H498" s="5" t="str">
        <f>IFERROR(__xludf.DUMMYFUNCTION("GOOGLETRANSLATE(C498,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498" s="5" t="str">
        <f>IFERROR(__xludf.DUMMYFUNCTION("GOOGLETRANSLATE(D498, ""en"", ""hi"")"),"A) महाराजा चूड़ाचंद सिंह")</f>
        <v>A) महाराजा चूड़ाचंद सिंह</v>
      </c>
    </row>
    <row r="499" ht="22.5" customHeight="1">
      <c r="A499" s="3">
        <v>498.0</v>
      </c>
      <c r="B499" s="4" t="s">
        <v>14062</v>
      </c>
      <c r="C499" s="4" t="s">
        <v>14063</v>
      </c>
      <c r="D499" s="4" t="s">
        <v>14064</v>
      </c>
      <c r="F499" s="5" t="str">
        <f>IFERROR(__xludf.DUMMYFUNCTION("GOOGLETRANSLATE(A499, ""en"", ""hi"")"),"498")</f>
        <v>498</v>
      </c>
      <c r="G499" s="5" t="str">
        <f>IFERROR(__xludf.DUMMYFUNCTION("GOOGLETRANSLATE(B499, ""en"", ""hi"")"),"औपनिवेशिक काल के दौरान पारंपरिक मणिपुरी सैन्य प्रशिक्षण में मुकना कुश्ती की क्या भूमिका थी?")</f>
        <v>औपनिवेशिक काल के दौरान पारंपरिक मणिपुरी सैन्य प्रशिक्षण में मुकना कुश्ती की क्या भूमिका थी?</v>
      </c>
      <c r="H499" s="5" t="str">
        <f>IFERROR(__xludf.DUMMYFUNCTION("GOOGLETRANSLATE(C499, ""en"", ""hi"")"),"A) युद्ध कौशल, B) शारीरिक सहनशक्ति, C) सामाजिक कौशल, D) अनुष्ठानिक प्रथाएँ")</f>
        <v>A) युद्ध कौशल, B) शारीरिक सहनशक्ति, C) सामाजिक कौशल, D) अनुष्ठानिक प्रथाएँ</v>
      </c>
      <c r="I499" s="5" t="str">
        <f>IFERROR(__xludf.DUMMYFUNCTION("GOOGLETRANSLATE(D499, ""en"", ""hi"")"),"ए) युद्ध कौशल")</f>
        <v>ए) युद्ध कौशल</v>
      </c>
    </row>
    <row r="500" ht="22.5" customHeight="1">
      <c r="A500" s="3">
        <v>499.0</v>
      </c>
      <c r="B500" s="4" t="s">
        <v>14065</v>
      </c>
      <c r="C500" s="4" t="s">
        <v>13704</v>
      </c>
      <c r="D500" s="4" t="s">
        <v>13474</v>
      </c>
      <c r="F500" s="5" t="str">
        <f>IFERROR(__xludf.DUMMYFUNCTION("GOOGLETRANSLATE(A500, ""en"", ""hi"")"),"499")</f>
        <v>499</v>
      </c>
      <c r="G500" s="5" t="str">
        <f>IFERROR(__xludf.DUMMYFUNCTION("GOOGLETRANSLATE(B500, ""en"", ""hi"")"),"कौन सा ग्रंथ मुकना कुश्ती का विस्तृत ऐतिहासिक विवरण प्रदान करता है?")</f>
        <v>कौन सा ग्रंथ मुकना कुश्ती का विस्तृत ऐतिहासिक विवरण प्रदान करता है?</v>
      </c>
      <c r="H500" s="5" t="str">
        <f>IFERROR(__xludf.DUMMYFUNCTION("GOOGLETRANSLATE(C500, ""en"", ""hi"")"),"ए) बुरांजी, बी) राजमाला, सी) मणिपुरी वेद, डी) मनुस्मृति")</f>
        <v>ए) बुरांजी, बी) राजमाला, सी) मणिपुरी वेद, डी) मनुस्मृति</v>
      </c>
      <c r="I500" s="5" t="str">
        <f>IFERROR(__xludf.DUMMYFUNCTION("GOOGLETRANSLATE(D500, ""en"", ""hi"")"),"ए) बुरांजी")</f>
        <v>ए) बुरांजी</v>
      </c>
    </row>
    <row r="501" ht="22.5" customHeight="1">
      <c r="A501" s="3">
        <v>500.0</v>
      </c>
      <c r="B501" s="4" t="s">
        <v>14037</v>
      </c>
      <c r="C501" s="4" t="s">
        <v>13974</v>
      </c>
      <c r="D501" s="4" t="s">
        <v>13948</v>
      </c>
      <c r="F501" s="5" t="str">
        <f>IFERROR(__xludf.DUMMYFUNCTION("GOOGLETRANSLATE(A501, ""en"", ""hi"")"),"500")</f>
        <v>500</v>
      </c>
      <c r="G501" s="5" t="str">
        <f>IFERROR(__xludf.DUMMYFUNCTION("GOOGLETRANSLATE(B501, ""en"", ""hi"")"),"ऐतिहासिक मणिपुर में मुकना कुश्ती पोशाक का पारंपरिक पहलू क्या था?")</f>
        <v>ऐतिहासिक मणिपुर में मुकना कुश्ती पोशाक का पारंपरिक पहलू क्या था?</v>
      </c>
      <c r="H501" s="5" t="str">
        <f>IFERROR(__xludf.DUMMYFUNCTION("GOOGLETRANSLATE(C501, ""en"", ""hi"")"),"A) ढीले-ढाले वस्त्र, B) रेशमी वस्त्र, C) चमड़े का कवच, D) ऊनी पोशाक")</f>
        <v>A) ढीले-ढाले वस्त्र, B) रेशमी वस्त्र, C) चमड़े का कवच, D) ऊनी पोशाक</v>
      </c>
      <c r="I501" s="5" t="str">
        <f>IFERROR(__xludf.DUMMYFUNCTION("GOOGLETRANSLATE(D501, ""en"", ""hi"")"),"A) ढीले-ढाले वस्त्र")</f>
        <v>A) ढीले-ढाले वस्त्र</v>
      </c>
    </row>
    <row r="502" ht="22.5" customHeight="1">
      <c r="A502" s="3">
        <v>501.0</v>
      </c>
      <c r="B502" s="4" t="s">
        <v>13975</v>
      </c>
      <c r="C502" s="4" t="s">
        <v>13935</v>
      </c>
      <c r="D502" s="4" t="s">
        <v>13936</v>
      </c>
      <c r="F502" s="5" t="str">
        <f>IFERROR(__xludf.DUMMYFUNCTION("GOOGLETRANSLATE(A502, ""en"", ""hi"")"),"501")</f>
        <v>501</v>
      </c>
      <c r="G502" s="5" t="str">
        <f>IFERROR(__xludf.DUMMYFUNCTION("GOOGLETRANSLATE(B502, ""en"", ""hi"")"),"मुकना कुश्ती के पतन को समझने के लिए ब्रिटिश काल के कौन से लेख महत्वपूर्ण हैं?")</f>
        <v>मुकना कुश्ती के पतन को समझने के लिए ब्रिटिश काल के कौन से लेख महत्वपूर्ण हैं?</v>
      </c>
      <c r="H502" s="5" t="str">
        <f>IFERROR(__xludf.DUMMYFUNCTION("GOOGLETRANSLATE(C502,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02" s="5" t="str">
        <f>IFERROR(__xludf.DUMMYFUNCTION("GOOGLETRANSLATE(D502, ""en"", ""hi"")"),"A) जी. ई. हार्वे के लेखन")</f>
        <v>A) जी. ई. हार्वे के लेखन</v>
      </c>
    </row>
    <row r="503" ht="22.5" customHeight="1">
      <c r="A503" s="3">
        <v>502.0</v>
      </c>
      <c r="B503" s="4" t="s">
        <v>14066</v>
      </c>
      <c r="C503" s="4" t="s">
        <v>14049</v>
      </c>
      <c r="D503" s="4" t="s">
        <v>13882</v>
      </c>
      <c r="F503" s="5" t="str">
        <f>IFERROR(__xludf.DUMMYFUNCTION("GOOGLETRANSLATE(A503, ""en"", ""hi"")"),"502")</f>
        <v>502</v>
      </c>
      <c r="G503" s="5" t="str">
        <f>IFERROR(__xludf.DUMMYFUNCTION("GOOGLETRANSLATE(B503, ""en"", ""hi"")"),"औपनिवेशिक काल के दौरान पारंपरिक मणिपुरी समाज में मुकना कुश्ती की प्राथमिक भूमिका क्या थी?")</f>
        <v>औपनिवेशिक काल के दौरान पारंपरिक मणिपुरी समाज में मुकना कुश्ती की प्राथमिक भूमिका क्या थी?</v>
      </c>
      <c r="H503" s="5" t="str">
        <f>IFERROR(__xludf.DUMMYFUNCTION("GOOGLETRANSLATE(C503,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503" s="5" t="str">
        <f>IFERROR(__xludf.DUMMYFUNCTION("GOOGLETRANSLATE(D503, ""en"", ""hi"")"),"ए) युद्ध प्रशिक्षण")</f>
        <v>ए) युद्ध प्रशिक्षण</v>
      </c>
    </row>
    <row r="504" ht="22.5" customHeight="1">
      <c r="A504" s="3">
        <v>503.0</v>
      </c>
      <c r="B504" s="4" t="s">
        <v>14067</v>
      </c>
      <c r="C504" s="4" t="s">
        <v>13619</v>
      </c>
      <c r="D504" s="4" t="s">
        <v>13331</v>
      </c>
      <c r="F504" s="5" t="str">
        <f>IFERROR(__xludf.DUMMYFUNCTION("GOOGLETRANSLATE(A504, ""en"", ""hi"")"),"503")</f>
        <v>503</v>
      </c>
      <c r="G504" s="5" t="str">
        <f>IFERROR(__xludf.DUMMYFUNCTION("GOOGLETRANSLATE(B504, ""en"", ""hi"")"),"आधुनिक मणिपुर में मुकना कुश्ती में अपने योगदान के लिए कौन सा राजा जाना जाता है?")</f>
        <v>आधुनिक मणिपुर में मुकना कुश्ती में अपने योगदान के लिए कौन सा राजा जाना जाता है?</v>
      </c>
      <c r="H504" s="5" t="str">
        <f>IFERROR(__xludf.DUMMYFUNCTION("GOOGLETRANSLATE(C504,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04" s="5" t="str">
        <f>IFERROR(__xludf.DUMMYFUNCTION("GOOGLETRANSLATE(D504, ""en"", ""hi"")"),"A) महाराजा चूड़ाचंद सिंह")</f>
        <v>A) महाराजा चूड़ाचंद सिंह</v>
      </c>
    </row>
    <row r="505" ht="22.5" customHeight="1">
      <c r="A505" s="3">
        <v>504.0</v>
      </c>
      <c r="B505" s="4" t="s">
        <v>14068</v>
      </c>
      <c r="C505" s="4" t="s">
        <v>13801</v>
      </c>
      <c r="D505" s="4" t="s">
        <v>13750</v>
      </c>
      <c r="F505" s="5" t="str">
        <f>IFERROR(__xludf.DUMMYFUNCTION("GOOGLETRANSLATE(A505, ""en"", ""hi"")"),"504")</f>
        <v>504</v>
      </c>
      <c r="G505" s="5" t="str">
        <f>IFERROR(__xludf.DUMMYFUNCTION("GOOGLETRANSLATE(B505, ""en"", ""hi"")"),"मुकना कुश्ती मैट के लिए पारंपरिक रूप से किस सामग्री का उपयोग किया जाता था?")</f>
        <v>मुकना कुश्ती मैट के लिए पारंपरिक रूप से किस सामग्री का उपयोग किया जाता था?</v>
      </c>
      <c r="H505" s="5" t="str">
        <f>IFERROR(__xludf.DUMMYFUNCTION("GOOGLETRANSLATE(C505, ""en"", ""hi"")"),"A) पुआल, B) जूट, C) कपास, D) बांस")</f>
        <v>A) पुआल, B) जूट, C) कपास, D) बांस</v>
      </c>
      <c r="I505" s="5" t="str">
        <f>IFERROR(__xludf.DUMMYFUNCTION("GOOGLETRANSLATE(D505, ""en"", ""hi"")"),"एक पुआल")</f>
        <v>एक पुआल</v>
      </c>
    </row>
    <row r="506" ht="22.5" customHeight="1">
      <c r="A506" s="3">
        <v>505.0</v>
      </c>
      <c r="B506" s="4" t="s">
        <v>14069</v>
      </c>
      <c r="C506" s="4" t="s">
        <v>13704</v>
      </c>
      <c r="D506" s="4" t="s">
        <v>13474</v>
      </c>
      <c r="F506" s="5" t="str">
        <f>IFERROR(__xludf.DUMMYFUNCTION("GOOGLETRANSLATE(A506, ""en"", ""hi"")"),"505")</f>
        <v>505</v>
      </c>
      <c r="G506" s="5" t="str">
        <f>IFERROR(__xludf.DUMMYFUNCTION("GOOGLETRANSLATE(B506, ""en"", ""hi"")"),"कौन सा ऐतिहासिक ग्रंथ मुकना कुश्ती तकनीक और इतिहास पर गहराई से जानकारी प्रदान करता है?")</f>
        <v>कौन सा ऐतिहासिक ग्रंथ मुकना कुश्ती तकनीक और इतिहास पर गहराई से जानकारी प्रदान करता है?</v>
      </c>
      <c r="H506" s="5" t="str">
        <f>IFERROR(__xludf.DUMMYFUNCTION("GOOGLETRANSLATE(C506, ""en"", ""hi"")"),"ए) बुरांजी, बी) राजमाला, सी) मणिपुरी वेद, डी) मनुस्मृति")</f>
        <v>ए) बुरांजी, बी) राजमाला, सी) मणिपुरी वेद, डी) मनुस्मृति</v>
      </c>
      <c r="I506" s="5" t="str">
        <f>IFERROR(__xludf.DUMMYFUNCTION("GOOGLETRANSLATE(D506, ""en"", ""hi"")"),"ए) बुरांजी")</f>
        <v>ए) बुरांजी</v>
      </c>
    </row>
    <row r="507" ht="22.5" customHeight="1">
      <c r="A507" s="3">
        <v>506.0</v>
      </c>
      <c r="B507" s="4" t="s">
        <v>14070</v>
      </c>
      <c r="C507" s="4" t="s">
        <v>13974</v>
      </c>
      <c r="D507" s="4" t="s">
        <v>13948</v>
      </c>
      <c r="F507" s="5" t="str">
        <f>IFERROR(__xludf.DUMMYFUNCTION("GOOGLETRANSLATE(A507, ""en"", ""hi"")"),"506")</f>
        <v>506</v>
      </c>
      <c r="G507" s="5" t="str">
        <f>IFERROR(__xludf.DUMMYFUNCTION("GOOGLETRANSLATE(B507, ""en"", ""hi"")"),"पारंपरिक समय में मुकना कुश्ती पोशाक की मुख्य विशेषता क्या थी?")</f>
        <v>पारंपरिक समय में मुकना कुश्ती पोशाक की मुख्य विशेषता क्या थी?</v>
      </c>
      <c r="H507" s="5" t="str">
        <f>IFERROR(__xludf.DUMMYFUNCTION("GOOGLETRANSLATE(C507, ""en"", ""hi"")"),"A) ढीले-ढाले वस्त्र, B) रेशमी वस्त्र, C) चमड़े का कवच, D) ऊनी पोशाक")</f>
        <v>A) ढीले-ढाले वस्त्र, B) रेशमी वस्त्र, C) चमड़े का कवच, D) ऊनी पोशाक</v>
      </c>
      <c r="I507" s="5" t="str">
        <f>IFERROR(__xludf.DUMMYFUNCTION("GOOGLETRANSLATE(D507, ""en"", ""hi"")"),"A) ढीले-ढाले वस्त्र")</f>
        <v>A) ढीले-ढाले वस्त्र</v>
      </c>
    </row>
    <row r="508" ht="22.5" customHeight="1">
      <c r="A508" s="3">
        <v>507.0</v>
      </c>
      <c r="B508" s="4" t="s">
        <v>14071</v>
      </c>
      <c r="C508" s="4" t="s">
        <v>13935</v>
      </c>
      <c r="D508" s="4" t="s">
        <v>13936</v>
      </c>
      <c r="F508" s="5" t="str">
        <f>IFERROR(__xludf.DUMMYFUNCTION("GOOGLETRANSLATE(A508, ""en"", ""hi"")"),"507")</f>
        <v>507</v>
      </c>
      <c r="G508" s="5" t="str">
        <f>IFERROR(__xludf.DUMMYFUNCTION("GOOGLETRANSLATE(B508, ""en"", ""hi"")"),"कौन सा ब्रिटिशकालीन दस्तावेज़ मुकना कुश्ती के पतन पर बहुमूल्य जानकारी प्रदान करता है?")</f>
        <v>कौन सा ब्रिटिशकालीन दस्तावेज़ मुकना कुश्ती के पतन पर बहुमूल्य जानकारी प्रदान करता है?</v>
      </c>
      <c r="H508" s="5" t="str">
        <f>IFERROR(__xludf.DUMMYFUNCTION("GOOGLETRANSLATE(C508,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08" s="5" t="str">
        <f>IFERROR(__xludf.DUMMYFUNCTION("GOOGLETRANSLATE(D508, ""en"", ""hi"")"),"A) जी. ई. हार्वे के लेखन")</f>
        <v>A) जी. ई. हार्वे के लेखन</v>
      </c>
    </row>
    <row r="509" ht="22.5" customHeight="1">
      <c r="A509" s="3">
        <v>508.0</v>
      </c>
      <c r="B509" s="4" t="s">
        <v>14072</v>
      </c>
      <c r="C509" s="4" t="s">
        <v>14058</v>
      </c>
      <c r="D509" s="4" t="s">
        <v>13882</v>
      </c>
      <c r="F509" s="5" t="str">
        <f>IFERROR(__xludf.DUMMYFUNCTION("GOOGLETRANSLATE(A509, ""en"", ""hi"")"),"508")</f>
        <v>508</v>
      </c>
      <c r="G509" s="5" t="str">
        <f>IFERROR(__xludf.DUMMYFUNCTION("GOOGLETRANSLATE(B509, ""en"", ""hi"")"),"पारंपरिक मणिपुरी समाज में मुकना कुश्ती का मुख्य उद्देश्य क्या था?")</f>
        <v>पारंपरिक मणिपुरी समाज में मुकना कुश्ती का मुख्य उद्देश्य क्या था?</v>
      </c>
      <c r="H509" s="5" t="str">
        <f>IFERROR(__xludf.DUMMYFUNCTION("GOOGLETRANSLATE(C509, ""en"", ""hi"")"),"A) युद्ध प्रशिक्षण, B) सामाजिक मनोरंजन, C) धार्मिक अनुष्ठान, D) राजनीतिक प्रदर्शन")</f>
        <v>A) युद्ध प्रशिक्षण, B) सामाजिक मनोरंजन, C) धार्मिक अनुष्ठान, D) राजनीतिक प्रदर्शन</v>
      </c>
      <c r="I509" s="5" t="str">
        <f>IFERROR(__xludf.DUMMYFUNCTION("GOOGLETRANSLATE(D509, ""en"", ""hi"")"),"ए) युद्ध प्रशिक्षण")</f>
        <v>ए) युद्ध प्रशिक्षण</v>
      </c>
    </row>
    <row r="510" ht="22.5" customHeight="1">
      <c r="A510" s="3">
        <v>509.0</v>
      </c>
      <c r="B510" s="4" t="s">
        <v>14073</v>
      </c>
      <c r="C510" s="4" t="s">
        <v>13619</v>
      </c>
      <c r="D510" s="4" t="s">
        <v>13331</v>
      </c>
      <c r="F510" s="5" t="str">
        <f>IFERROR(__xludf.DUMMYFUNCTION("GOOGLETRANSLATE(A510, ""en"", ""hi"")"),"509")</f>
        <v>509</v>
      </c>
      <c r="G510" s="5" t="str">
        <f>IFERROR(__xludf.DUMMYFUNCTION("GOOGLETRANSLATE(B510, ""en"", ""hi"")"),"किस मणिपुरी राजा ने मुकना कुश्ती के आधुनिकीकरण में महत्वपूर्ण भूमिका निभाई?")</f>
        <v>किस मणिपुरी राजा ने मुकना कुश्ती के आधुनिकीकरण में महत्वपूर्ण भूमिका निभाई?</v>
      </c>
      <c r="H510" s="5" t="str">
        <f>IFERROR(__xludf.DUMMYFUNCTION("GOOGLETRANSLATE(C510,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10" s="5" t="str">
        <f>IFERROR(__xludf.DUMMYFUNCTION("GOOGLETRANSLATE(D510, ""en"", ""hi"")"),"A) महाराजा चूड़ाचंद सिंह")</f>
        <v>A) महाराजा चूड़ाचंद सिंह</v>
      </c>
    </row>
    <row r="511" ht="22.5" customHeight="1">
      <c r="A511" s="3">
        <v>510.0</v>
      </c>
      <c r="B511" s="4" t="s">
        <v>14059</v>
      </c>
      <c r="C511" s="4" t="s">
        <v>14044</v>
      </c>
      <c r="D511" s="4" t="s">
        <v>13827</v>
      </c>
      <c r="F511" s="5" t="str">
        <f>IFERROR(__xludf.DUMMYFUNCTION("GOOGLETRANSLATE(A511, ""en"", ""hi"")"),"510")</f>
        <v>510</v>
      </c>
      <c r="G511" s="5" t="str">
        <f>IFERROR(__xludf.DUMMYFUNCTION("GOOGLETRANSLATE(B511, ""en"", ""hi"")"),"मुकना कुश्ती प्रशिक्षण का पारंपरिक पहलू क्या था?")</f>
        <v>मुकना कुश्ती प्रशिक्षण का पारंपरिक पहलू क्या था?</v>
      </c>
      <c r="H511" s="5" t="str">
        <f>IFERROR(__xludf.DUMMYFUNCTION("GOOGLETRANSLATE(C511, ""en"", ""hi"")"),"A) युद्ध तत्परता, B) शारीरिक शक्ति, C) अनुष्ठानिक प्रथाएँ, D) सामाजिक बंधन")</f>
        <v>A) युद्ध तत्परता, B) शारीरिक शक्ति, C) अनुष्ठानिक प्रथाएँ, D) सामाजिक बंधन</v>
      </c>
      <c r="I511" s="5" t="str">
        <f>IFERROR(__xludf.DUMMYFUNCTION("GOOGLETRANSLATE(D511, ""en"", ""hi"")"),"ए) युद्ध तत्परता")</f>
        <v>ए) युद्ध तत्परता</v>
      </c>
    </row>
    <row r="512" ht="22.5" customHeight="1">
      <c r="A512" s="3">
        <v>511.0</v>
      </c>
      <c r="B512" s="4" t="s">
        <v>14074</v>
      </c>
      <c r="C512" s="4" t="s">
        <v>12389</v>
      </c>
      <c r="D512" s="4" t="s">
        <v>12086</v>
      </c>
      <c r="F512" s="5" t="str">
        <f>IFERROR(__xludf.DUMMYFUNCTION("GOOGLETRANSLATE(A512, ""en"", ""hi"")"),"511")</f>
        <v>511</v>
      </c>
      <c r="G512" s="5" t="str">
        <f>IFERROR(__xludf.DUMMYFUNCTION("GOOGLETRANSLATE(B512, ""en"", ""hi"")"),"कौन सा मणिपुरी त्यौहार ऐतिहासिक रूप से मुकना कुश्ती से जुड़ा हुआ है?")</f>
        <v>कौन सा मणिपुरी त्यौहार ऐतिहासिक रूप से मुकना कुश्ती से जुड़ा हुआ है?</v>
      </c>
      <c r="H512" s="5" t="str">
        <f>IFERROR(__xludf.DUMMYFUNCTION("GOOGLETRANSLATE(C512, ""en"", ""hi"")"),"ए) लाई हराओबा, बी) याओशांग, सी) निंगोल चाकोउबा, डी) चेइराओबा")</f>
        <v>ए) लाई हराओबा, बी) याओशांग, सी) निंगोल चाकोउबा, डी) चेइराओबा</v>
      </c>
      <c r="I512" s="5" t="str">
        <f>IFERROR(__xludf.DUMMYFUNCTION("GOOGLETRANSLATE(D512, ""en"", ""hi"")"),"A) लाई हरोबा")</f>
        <v>A) लाई हरोबा</v>
      </c>
    </row>
    <row r="513" ht="22.5" customHeight="1">
      <c r="A513" s="3">
        <v>512.0</v>
      </c>
      <c r="B513" s="4" t="s">
        <v>14015</v>
      </c>
      <c r="C513" s="4" t="s">
        <v>13801</v>
      </c>
      <c r="D513" s="4" t="s">
        <v>13750</v>
      </c>
      <c r="F513" s="5" t="str">
        <f>IFERROR(__xludf.DUMMYFUNCTION("GOOGLETRANSLATE(A513, ""en"", ""hi"")"),"512")</f>
        <v>512</v>
      </c>
      <c r="G513" s="5" t="str">
        <f>IFERROR(__xludf.DUMMYFUNCTION("GOOGLETRANSLATE(B513, ""en"", ""hi"")"),"मुकना कुश्ती मैट बनाने के लिए पारंपरिक रूप से किस सामग्री का उपयोग किया जाता था?")</f>
        <v>मुकना कुश्ती मैट बनाने के लिए पारंपरिक रूप से किस सामग्री का उपयोग किया जाता था?</v>
      </c>
      <c r="H513" s="5" t="str">
        <f>IFERROR(__xludf.DUMMYFUNCTION("GOOGLETRANSLATE(C513, ""en"", ""hi"")"),"A) पुआल, B) जूट, C) कपास, D) बांस")</f>
        <v>A) पुआल, B) जूट, C) कपास, D) बांस</v>
      </c>
      <c r="I513" s="5" t="str">
        <f>IFERROR(__xludf.DUMMYFUNCTION("GOOGLETRANSLATE(D513, ""en"", ""hi"")"),"एक पुआल")</f>
        <v>एक पुआल</v>
      </c>
    </row>
    <row r="514" ht="22.5" customHeight="1">
      <c r="A514" s="3">
        <v>513.0</v>
      </c>
      <c r="B514" s="4" t="s">
        <v>14075</v>
      </c>
      <c r="C514" s="4" t="s">
        <v>13619</v>
      </c>
      <c r="D514" s="4" t="s">
        <v>13331</v>
      </c>
      <c r="F514" s="5" t="str">
        <f>IFERROR(__xludf.DUMMYFUNCTION("GOOGLETRANSLATE(A514, ""en"", ""hi"")"),"513")</f>
        <v>513</v>
      </c>
      <c r="G514" s="5" t="str">
        <f>IFERROR(__xludf.DUMMYFUNCTION("GOOGLETRANSLATE(B514, ""en"", ""hi"")"),"आधुनिक युग में मुकना कुश्ती के पुनरुद्धार का श्रेय किस राजा को दिया जाता है?")</f>
        <v>आधुनिक युग में मुकना कुश्ती के पुनरुद्धार का श्रेय किस राजा को दिया जाता है?</v>
      </c>
      <c r="H514" s="5" t="str">
        <f>IFERROR(__xludf.DUMMYFUNCTION("GOOGLETRANSLATE(C514,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14" s="5" t="str">
        <f>IFERROR(__xludf.DUMMYFUNCTION("GOOGLETRANSLATE(D514, ""en"", ""hi"")"),"A) महाराजा चूड़ाचंद सिंह")</f>
        <v>A) महाराजा चूड़ाचंद सिंह</v>
      </c>
    </row>
    <row r="515" ht="22.5" customHeight="1">
      <c r="A515" s="3">
        <v>514.0</v>
      </c>
      <c r="B515" s="4" t="s">
        <v>14076</v>
      </c>
      <c r="C515" s="4" t="s">
        <v>14063</v>
      </c>
      <c r="D515" s="4" t="s">
        <v>14064</v>
      </c>
      <c r="F515" s="5" t="str">
        <f>IFERROR(__xludf.DUMMYFUNCTION("GOOGLETRANSLATE(A515, ""en"", ""hi"")"),"514")</f>
        <v>514</v>
      </c>
      <c r="G515" s="5" t="str">
        <f>IFERROR(__xludf.DUMMYFUNCTION("GOOGLETRANSLATE(B515, ""en"", ""hi"")"),"मणिपुरी सैन्य प्रशिक्षण पर मुकना कुश्ती का ऐतिहासिक प्रभाव क्या था?")</f>
        <v>मणिपुरी सैन्य प्रशिक्षण पर मुकना कुश्ती का ऐतिहासिक प्रभाव क्या था?</v>
      </c>
      <c r="H515" s="5" t="str">
        <f>IFERROR(__xludf.DUMMYFUNCTION("GOOGLETRANSLATE(C515, ""en"", ""hi"")"),"A) युद्ध कौशल, B) शारीरिक सहनशक्ति, C) सामाजिक कौशल, D) अनुष्ठानिक प्रथाएँ")</f>
        <v>A) युद्ध कौशल, B) शारीरिक सहनशक्ति, C) सामाजिक कौशल, D) अनुष्ठानिक प्रथाएँ</v>
      </c>
      <c r="I515" s="5" t="str">
        <f>IFERROR(__xludf.DUMMYFUNCTION("GOOGLETRANSLATE(D515, ""en"", ""hi"")"),"ए) युद्ध कौशल")</f>
        <v>ए) युद्ध कौशल</v>
      </c>
    </row>
    <row r="516" ht="22.5" customHeight="1">
      <c r="A516" s="3">
        <v>515.0</v>
      </c>
      <c r="B516" s="4" t="s">
        <v>14077</v>
      </c>
      <c r="C516" s="4" t="s">
        <v>13704</v>
      </c>
      <c r="D516" s="4" t="s">
        <v>13474</v>
      </c>
      <c r="F516" s="5" t="str">
        <f>IFERROR(__xludf.DUMMYFUNCTION("GOOGLETRANSLATE(A516, ""en"", ""hi"")"),"515")</f>
        <v>515</v>
      </c>
      <c r="G516" s="5" t="str">
        <f>IFERROR(__xludf.DUMMYFUNCTION("GOOGLETRANSLATE(B516, ""en"", ""hi"")"),"कौन सा ग्रंथ मुकना कुश्ती के इतिहास और तकनीकों का व्यापक विवरण प्रस्तुत करता है?")</f>
        <v>कौन सा ग्रंथ मुकना कुश्ती के इतिहास और तकनीकों का व्यापक विवरण प्रस्तुत करता है?</v>
      </c>
      <c r="H516" s="5" t="str">
        <f>IFERROR(__xludf.DUMMYFUNCTION("GOOGLETRANSLATE(C516, ""en"", ""hi"")"),"ए) बुरांजी, बी) राजमाला, सी) मणिपुरी वेद, डी) मनुस्मृति")</f>
        <v>ए) बुरांजी, बी) राजमाला, सी) मणिपुरी वेद, डी) मनुस्मृति</v>
      </c>
      <c r="I516" s="5" t="str">
        <f>IFERROR(__xludf.DUMMYFUNCTION("GOOGLETRANSLATE(D516, ""en"", ""hi"")"),"ए) बुरांजी")</f>
        <v>ए) बुरांजी</v>
      </c>
    </row>
    <row r="517" ht="22.5" customHeight="1">
      <c r="A517" s="3">
        <v>516.0</v>
      </c>
      <c r="B517" s="4" t="s">
        <v>14078</v>
      </c>
      <c r="C517" s="4" t="s">
        <v>13974</v>
      </c>
      <c r="D517" s="4" t="s">
        <v>13948</v>
      </c>
      <c r="F517" s="5" t="str">
        <f>IFERROR(__xludf.DUMMYFUNCTION("GOOGLETRANSLATE(A517, ""en"", ""hi"")"),"516")</f>
        <v>516</v>
      </c>
      <c r="G517" s="5" t="str">
        <f>IFERROR(__xludf.DUMMYFUNCTION("GOOGLETRANSLATE(B517, ""en"", ""hi"")"),"ऐतिहासिक मणिपुर में मुकना कुश्ती पोशाक की पारंपरिक विशेषता क्या थी?")</f>
        <v>ऐतिहासिक मणिपुर में मुकना कुश्ती पोशाक की पारंपरिक विशेषता क्या थी?</v>
      </c>
      <c r="H517" s="5" t="str">
        <f>IFERROR(__xludf.DUMMYFUNCTION("GOOGLETRANSLATE(C517, ""en"", ""hi"")"),"A) ढीले-ढाले वस्त्र, B) रेशमी वस्त्र, C) चमड़े का कवच, D) ऊनी पोशाक")</f>
        <v>A) ढीले-ढाले वस्त्र, B) रेशमी वस्त्र, C) चमड़े का कवच, D) ऊनी पोशाक</v>
      </c>
      <c r="I517" s="5" t="str">
        <f>IFERROR(__xludf.DUMMYFUNCTION("GOOGLETRANSLATE(D517, ""en"", ""hi"")"),"A) ढीले-ढाले वस्त्र")</f>
        <v>A) ढीले-ढाले वस्त्र</v>
      </c>
    </row>
    <row r="518" ht="22.5" customHeight="1">
      <c r="A518" s="3">
        <v>517.0</v>
      </c>
      <c r="B518" s="4" t="s">
        <v>14079</v>
      </c>
      <c r="C518" s="4" t="s">
        <v>13935</v>
      </c>
      <c r="D518" s="4" t="s">
        <v>13936</v>
      </c>
      <c r="F518" s="5" t="str">
        <f>IFERROR(__xludf.DUMMYFUNCTION("GOOGLETRANSLATE(A518, ""en"", ""hi"")"),"517")</f>
        <v>517</v>
      </c>
      <c r="G518" s="5" t="str">
        <f>IFERROR(__xludf.DUMMYFUNCTION("GOOGLETRANSLATE(B518, ""en"", ""hi"")"),"ब्रिटिश काल के किस लेख में मुकना कुश्ती के पतन का विवरण मिलता है?")</f>
        <v>ब्रिटिश काल के किस लेख में मुकना कुश्ती के पतन का विवरण मिलता है?</v>
      </c>
      <c r="H518" s="5" t="str">
        <f>IFERROR(__xludf.DUMMYFUNCTION("GOOGLETRANSLATE(C518,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18" s="5" t="str">
        <f>IFERROR(__xludf.DUMMYFUNCTION("GOOGLETRANSLATE(D518, ""en"", ""hi"")"),"A) जी. ई. हार्वे के लेखन")</f>
        <v>A) जी. ई. हार्वे के लेखन</v>
      </c>
    </row>
    <row r="519" ht="22.5" customHeight="1">
      <c r="A519" s="3">
        <v>518.0</v>
      </c>
      <c r="B519" s="4" t="s">
        <v>14080</v>
      </c>
      <c r="C519" s="4" t="s">
        <v>14049</v>
      </c>
      <c r="D519" s="4" t="s">
        <v>13882</v>
      </c>
      <c r="F519" s="5" t="str">
        <f>IFERROR(__xludf.DUMMYFUNCTION("GOOGLETRANSLATE(A519, ""en"", ""hi"")"),"518")</f>
        <v>518</v>
      </c>
      <c r="G519" s="5" t="str">
        <f>IFERROR(__xludf.DUMMYFUNCTION("GOOGLETRANSLATE(B519, ""en"", ""hi"")"),"औपनिवेशिक काल के दौरान ऐतिहासिक मणिपुरी समाज में मुकना कुश्ती की प्राथमिक भूमिका क्या थी?")</f>
        <v>औपनिवेशिक काल के दौरान ऐतिहासिक मणिपुरी समाज में मुकना कुश्ती की प्राथमिक भूमिका क्या थी?</v>
      </c>
      <c r="H519" s="5" t="str">
        <f>IFERROR(__xludf.DUMMYFUNCTION("GOOGLETRANSLATE(C519,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519" s="5" t="str">
        <f>IFERROR(__xludf.DUMMYFUNCTION("GOOGLETRANSLATE(D519, ""en"", ""hi"")"),"ए) युद्ध प्रशिक्षण")</f>
        <v>ए) युद्ध प्रशिक्षण</v>
      </c>
    </row>
    <row r="520" ht="22.5" customHeight="1">
      <c r="A520" s="3">
        <v>519.0</v>
      </c>
      <c r="B520" s="4" t="s">
        <v>14081</v>
      </c>
      <c r="C520" s="4" t="s">
        <v>13619</v>
      </c>
      <c r="D520" s="4" t="s">
        <v>13331</v>
      </c>
      <c r="F520" s="5" t="str">
        <f>IFERROR(__xludf.DUMMYFUNCTION("GOOGLETRANSLATE(A520, ""en"", ""hi"")"),"519")</f>
        <v>519</v>
      </c>
      <c r="G520" s="5" t="str">
        <f>IFERROR(__xludf.DUMMYFUNCTION("GOOGLETRANSLATE(B520, ""en"", ""hi"")"),"मुकना कुश्ती के आधुनिकीकरण और प्रचार से कौन सा राजा जुड़ा हुआ है?")</f>
        <v>मुकना कुश्ती के आधुनिकीकरण और प्रचार से कौन सा राजा जुड़ा हुआ है?</v>
      </c>
      <c r="H520" s="5" t="str">
        <f>IFERROR(__xludf.DUMMYFUNCTION("GOOGLETRANSLATE(C520,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20" s="5" t="str">
        <f>IFERROR(__xludf.DUMMYFUNCTION("GOOGLETRANSLATE(D520, ""en"", ""hi"")"),"A) महाराजा चूड़ाचंद सिंह")</f>
        <v>A) महाराजा चूड़ाचंद सिंह</v>
      </c>
    </row>
    <row r="521" ht="22.5" customHeight="1">
      <c r="A521" s="3">
        <v>520.0</v>
      </c>
      <c r="B521" s="4" t="s">
        <v>14082</v>
      </c>
      <c r="C521" s="4" t="s">
        <v>13801</v>
      </c>
      <c r="D521" s="4" t="s">
        <v>13750</v>
      </c>
      <c r="F521" s="5" t="str">
        <f>IFERROR(__xludf.DUMMYFUNCTION("GOOGLETRANSLATE(A521, ""en"", ""hi"")"),"520")</f>
        <v>520</v>
      </c>
      <c r="G521" s="5" t="str">
        <f>IFERROR(__xludf.DUMMYFUNCTION("GOOGLETRANSLATE(B521,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521" s="5" t="str">
        <f>IFERROR(__xludf.DUMMYFUNCTION("GOOGLETRANSLATE(C521, ""en"", ""hi"")"),"A) पुआल, B) जूट, C) कपास, D) बांस")</f>
        <v>A) पुआल, B) जूट, C) कपास, D) बांस</v>
      </c>
      <c r="I521" s="5" t="str">
        <f>IFERROR(__xludf.DUMMYFUNCTION("GOOGLETRANSLATE(D521, ""en"", ""hi"")"),"एक पुआल")</f>
        <v>एक पुआल</v>
      </c>
    </row>
    <row r="522" ht="22.5" customHeight="1">
      <c r="A522" s="3">
        <v>521.0</v>
      </c>
      <c r="B522" s="4" t="s">
        <v>14083</v>
      </c>
      <c r="C522" s="4" t="s">
        <v>13704</v>
      </c>
      <c r="D522" s="4" t="s">
        <v>13474</v>
      </c>
      <c r="F522" s="5" t="str">
        <f>IFERROR(__xludf.DUMMYFUNCTION("GOOGLETRANSLATE(A522, ""en"", ""hi"")"),"521")</f>
        <v>521</v>
      </c>
      <c r="G522" s="5" t="str">
        <f>IFERROR(__xludf.DUMMYFUNCTION("GOOGLETRANSLATE(B522, ""en"", ""hi"")"),"कौन सा ग्रंथ मुकना कुश्ती तकनीक और इतिहास पर आवश्यक विवरण प्रदान करता है?")</f>
        <v>कौन सा ग्रंथ मुकना कुश्ती तकनीक और इतिहास पर आवश्यक विवरण प्रदान करता है?</v>
      </c>
      <c r="H522" s="5" t="str">
        <f>IFERROR(__xludf.DUMMYFUNCTION("GOOGLETRANSLATE(C522, ""en"", ""hi"")"),"ए) बुरांजी, बी) राजमाला, सी) मणिपुरी वेद, डी) मनुस्मृति")</f>
        <v>ए) बुरांजी, बी) राजमाला, सी) मणिपुरी वेद, डी) मनुस्मृति</v>
      </c>
      <c r="I522" s="5" t="str">
        <f>IFERROR(__xludf.DUMMYFUNCTION("GOOGLETRANSLATE(D522, ""en"", ""hi"")"),"ए) बुरांजी")</f>
        <v>ए) बुरांजी</v>
      </c>
    </row>
    <row r="523" ht="22.5" customHeight="1">
      <c r="A523" s="3">
        <v>522.0</v>
      </c>
      <c r="B523" s="4" t="s">
        <v>14070</v>
      </c>
      <c r="C523" s="4" t="s">
        <v>13974</v>
      </c>
      <c r="D523" s="4" t="s">
        <v>13948</v>
      </c>
      <c r="F523" s="5" t="str">
        <f>IFERROR(__xludf.DUMMYFUNCTION("GOOGLETRANSLATE(A523, ""en"", ""hi"")"),"522")</f>
        <v>522</v>
      </c>
      <c r="G523" s="5" t="str">
        <f>IFERROR(__xludf.DUMMYFUNCTION("GOOGLETRANSLATE(B523, ""en"", ""hi"")"),"पारंपरिक समय में मुकना कुश्ती पोशाक की मुख्य विशेषता क्या थी?")</f>
        <v>पारंपरिक समय में मुकना कुश्ती पोशाक की मुख्य विशेषता क्या थी?</v>
      </c>
      <c r="H523" s="5" t="str">
        <f>IFERROR(__xludf.DUMMYFUNCTION("GOOGLETRANSLATE(C523, ""en"", ""hi"")"),"A) ढीले-ढाले वस्त्र, B) रेशमी वस्त्र, C) चमड़े का कवच, D) ऊनी पोशाक")</f>
        <v>A) ढीले-ढाले वस्त्र, B) रेशमी वस्त्र, C) चमड़े का कवच, D) ऊनी पोशाक</v>
      </c>
      <c r="I523" s="5" t="str">
        <f>IFERROR(__xludf.DUMMYFUNCTION("GOOGLETRANSLATE(D523, ""en"", ""hi"")"),"A) ढीले-ढाले वस्त्र")</f>
        <v>A) ढीले-ढाले वस्त्र</v>
      </c>
    </row>
    <row r="524" ht="22.5" customHeight="1">
      <c r="A524" s="3">
        <v>523.0</v>
      </c>
      <c r="B524" s="4" t="s">
        <v>14028</v>
      </c>
      <c r="C524" s="4" t="s">
        <v>13935</v>
      </c>
      <c r="D524" s="4" t="s">
        <v>13936</v>
      </c>
      <c r="F524" s="5" t="str">
        <f>IFERROR(__xludf.DUMMYFUNCTION("GOOGLETRANSLATE(A524, ""en"", ""hi"")"),"523")</f>
        <v>523</v>
      </c>
      <c r="G524" s="5" t="str">
        <f>IFERROR(__xludf.DUMMYFUNCTION("GOOGLETRANSLATE(B524, ""en"", ""hi"")"),"मुकना कुश्ती के पतन को समझने के लिए कौन से ब्रिटिशकालीन लेखन आवश्यक हैं?")</f>
        <v>मुकना कुश्ती के पतन को समझने के लिए कौन से ब्रिटिशकालीन लेखन आवश्यक हैं?</v>
      </c>
      <c r="H524" s="5" t="str">
        <f>IFERROR(__xludf.DUMMYFUNCTION("GOOGLETRANSLATE(C524,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24" s="5" t="str">
        <f>IFERROR(__xludf.DUMMYFUNCTION("GOOGLETRANSLATE(D524, ""en"", ""hi"")"),"A) जी. ई. हार्वे के लेखन")</f>
        <v>A) जी. ई. हार्वे के लेखन</v>
      </c>
    </row>
    <row r="525" ht="22.5" customHeight="1">
      <c r="A525" s="3">
        <v>524.0</v>
      </c>
      <c r="B525" s="4" t="s">
        <v>14084</v>
      </c>
      <c r="C525" s="4" t="s">
        <v>14049</v>
      </c>
      <c r="D525" s="4" t="s">
        <v>13882</v>
      </c>
      <c r="F525" s="5" t="str">
        <f>IFERROR(__xludf.DUMMYFUNCTION("GOOGLETRANSLATE(A525, ""en"", ""hi"")"),"524")</f>
        <v>524</v>
      </c>
      <c r="G525" s="5" t="str">
        <f>IFERROR(__xludf.DUMMYFUNCTION("GOOGLETRANSLATE(B525, ""en"", ""hi"")"),"औपनिवेशिक काल के दौरान पारंपरिक मणिपुरी समाज में मुकना कुश्ती का प्राथमिक उद्देश्य क्या था?")</f>
        <v>औपनिवेशिक काल के दौरान पारंपरिक मणिपुरी समाज में मुकना कुश्ती का प्राथमिक उद्देश्य क्या था?</v>
      </c>
      <c r="H525" s="5" t="str">
        <f>IFERROR(__xludf.DUMMYFUNCTION("GOOGLETRANSLATE(C525,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525" s="5" t="str">
        <f>IFERROR(__xludf.DUMMYFUNCTION("GOOGLETRANSLATE(D525, ""en"", ""hi"")"),"ए) युद्ध प्रशिक्षण")</f>
        <v>ए) युद्ध प्रशिक्षण</v>
      </c>
    </row>
    <row r="526" ht="22.5" customHeight="1">
      <c r="A526" s="3">
        <v>525.0</v>
      </c>
      <c r="B526" s="4" t="s">
        <v>14085</v>
      </c>
      <c r="C526" s="4" t="s">
        <v>13619</v>
      </c>
      <c r="D526" s="4" t="s">
        <v>13331</v>
      </c>
      <c r="F526" s="5" t="str">
        <f>IFERROR(__xludf.DUMMYFUNCTION("GOOGLETRANSLATE(A526, ""en"", ""hi"")"),"525")</f>
        <v>525</v>
      </c>
      <c r="G526" s="5" t="str">
        <f>IFERROR(__xludf.DUMMYFUNCTION("GOOGLETRANSLATE(B526, ""en"", ""hi"")"),"मुकना कुश्ती के पुनरुद्धार और आधुनिकीकरण में किस राजा ने महत्वपूर्ण भूमिका निभाई?")</f>
        <v>मुकना कुश्ती के पुनरुद्धार और आधुनिकीकरण में किस राजा ने महत्वपूर्ण भूमिका निभाई?</v>
      </c>
      <c r="H526" s="5" t="str">
        <f>IFERROR(__xludf.DUMMYFUNCTION("GOOGLETRANSLATE(C526,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26" s="5" t="str">
        <f>IFERROR(__xludf.DUMMYFUNCTION("GOOGLETRANSLATE(D526, ""en"", ""hi"")"),"A) महाराजा चूड़ाचंद सिंह")</f>
        <v>A) महाराजा चूड़ाचंद सिंह</v>
      </c>
    </row>
    <row r="527" ht="22.5" customHeight="1">
      <c r="A527" s="3">
        <v>526.0</v>
      </c>
      <c r="B527" s="4" t="s">
        <v>14086</v>
      </c>
      <c r="C527" s="4" t="s">
        <v>13801</v>
      </c>
      <c r="D527" s="4" t="s">
        <v>13750</v>
      </c>
      <c r="F527" s="5" t="str">
        <f>IFERROR(__xludf.DUMMYFUNCTION("GOOGLETRANSLATE(A527, ""en"", ""hi"")"),"526")</f>
        <v>526</v>
      </c>
      <c r="G527" s="5" t="str">
        <f>IFERROR(__xludf.DUMMYFUNCTION("GOOGLETRANSLATE(B527,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527" s="5" t="str">
        <f>IFERROR(__xludf.DUMMYFUNCTION("GOOGLETRANSLATE(C527, ""en"", ""hi"")"),"A) पुआल, B) जूट, C) कपास, D) बांस")</f>
        <v>A) पुआल, B) जूट, C) कपास, D) बांस</v>
      </c>
      <c r="I527" s="5" t="str">
        <f>IFERROR(__xludf.DUMMYFUNCTION("GOOGLETRANSLATE(D527, ""en"", ""hi"")"),"एक पुआल")</f>
        <v>एक पुआल</v>
      </c>
    </row>
    <row r="528" ht="22.5" customHeight="1">
      <c r="A528" s="3">
        <v>527.0</v>
      </c>
      <c r="B528" s="4" t="s">
        <v>14087</v>
      </c>
      <c r="C528" s="4" t="s">
        <v>13704</v>
      </c>
      <c r="D528" s="4" t="s">
        <v>13474</v>
      </c>
      <c r="F528" s="5" t="str">
        <f>IFERROR(__xludf.DUMMYFUNCTION("GOOGLETRANSLATE(A528, ""en"", ""hi"")"),"527")</f>
        <v>527</v>
      </c>
      <c r="G528" s="5" t="str">
        <f>IFERROR(__xludf.DUMMYFUNCTION("GOOGLETRANSLATE(B528, ""en"", ""hi"")"),"कौन सा ऐतिहासिक ग्रंथ मुकना कुश्ती तकनीकों और प्रथाओं का व्यापक विवरण प्रस्तुत करता है?")</f>
        <v>कौन सा ऐतिहासिक ग्रंथ मुकना कुश्ती तकनीकों और प्रथाओं का व्यापक विवरण प्रस्तुत करता है?</v>
      </c>
      <c r="H528" s="5" t="str">
        <f>IFERROR(__xludf.DUMMYFUNCTION("GOOGLETRANSLATE(C528, ""en"", ""hi"")"),"ए) बुरांजी, बी) राजमाला, सी) मणिपुरी वेद, डी) मनुस्मृति")</f>
        <v>ए) बुरांजी, बी) राजमाला, सी) मणिपुरी वेद, डी) मनुस्मृति</v>
      </c>
      <c r="I528" s="5" t="str">
        <f>IFERROR(__xludf.DUMMYFUNCTION("GOOGLETRANSLATE(D528, ""en"", ""hi"")"),"ए) बुरांजी")</f>
        <v>ए) बुरांजी</v>
      </c>
    </row>
    <row r="529" ht="22.5" customHeight="1">
      <c r="A529" s="3">
        <v>528.0</v>
      </c>
      <c r="B529" s="4" t="s">
        <v>14037</v>
      </c>
      <c r="C529" s="4" t="s">
        <v>13974</v>
      </c>
      <c r="D529" s="4" t="s">
        <v>13948</v>
      </c>
      <c r="F529" s="5" t="str">
        <f>IFERROR(__xludf.DUMMYFUNCTION("GOOGLETRANSLATE(A529, ""en"", ""hi"")"),"528")</f>
        <v>528</v>
      </c>
      <c r="G529" s="5" t="str">
        <f>IFERROR(__xludf.DUMMYFUNCTION("GOOGLETRANSLATE(B529, ""en"", ""hi"")"),"ऐतिहासिक मणिपुर में मुकना कुश्ती पोशाक का पारंपरिक पहलू क्या था?")</f>
        <v>ऐतिहासिक मणिपुर में मुकना कुश्ती पोशाक का पारंपरिक पहलू क्या था?</v>
      </c>
      <c r="H529" s="5" t="str">
        <f>IFERROR(__xludf.DUMMYFUNCTION("GOOGLETRANSLATE(C529, ""en"", ""hi"")"),"A) ढीले-ढाले वस्त्र, B) रेशमी वस्त्र, C) चमड़े का कवच, D) ऊनी पोशाक")</f>
        <v>A) ढीले-ढाले वस्त्र, B) रेशमी वस्त्र, C) चमड़े का कवच, D) ऊनी पोशाक</v>
      </c>
      <c r="I529" s="5" t="str">
        <f>IFERROR(__xludf.DUMMYFUNCTION("GOOGLETRANSLATE(D529, ""en"", ""hi"")"),"A) ढीले-ढाले वस्त्र")</f>
        <v>A) ढीले-ढाले वस्त्र</v>
      </c>
    </row>
    <row r="530" ht="22.5" customHeight="1">
      <c r="A530" s="3">
        <v>529.0</v>
      </c>
      <c r="B530" s="4" t="s">
        <v>14088</v>
      </c>
      <c r="C530" s="4" t="s">
        <v>13935</v>
      </c>
      <c r="D530" s="4" t="s">
        <v>13936</v>
      </c>
      <c r="F530" s="5" t="str">
        <f>IFERROR(__xludf.DUMMYFUNCTION("GOOGLETRANSLATE(A530, ""en"", ""hi"")"),"529")</f>
        <v>529</v>
      </c>
      <c r="G530" s="5" t="str">
        <f>IFERROR(__xludf.DUMMYFUNCTION("GOOGLETRANSLATE(B530, ""en"", ""hi"")"),"ब्रिटिश काल के कौन से लेख मुकना कुश्ती के पतन के बारे में विस्तृत जानकारी प्रदान करते हैं?")</f>
        <v>ब्रिटिश काल के कौन से लेख मुकना कुश्ती के पतन के बारे में विस्तृत जानकारी प्रदान करते हैं?</v>
      </c>
      <c r="H530" s="5" t="str">
        <f>IFERROR(__xludf.DUMMYFUNCTION("GOOGLETRANSLATE(C530,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30" s="5" t="str">
        <f>IFERROR(__xludf.DUMMYFUNCTION("GOOGLETRANSLATE(D530, ""en"", ""hi"")"),"A) जी. ई. हार्वे के लेखन")</f>
        <v>A) जी. ई. हार्वे के लेखन</v>
      </c>
    </row>
    <row r="531" ht="22.5" customHeight="1">
      <c r="A531" s="3">
        <v>530.0</v>
      </c>
      <c r="B531" s="4" t="s">
        <v>14080</v>
      </c>
      <c r="C531" s="4" t="s">
        <v>14049</v>
      </c>
      <c r="D531" s="4" t="s">
        <v>13882</v>
      </c>
      <c r="F531" s="5" t="str">
        <f>IFERROR(__xludf.DUMMYFUNCTION("GOOGLETRANSLATE(A531, ""en"", ""hi"")"),"530")</f>
        <v>530</v>
      </c>
      <c r="G531" s="5" t="str">
        <f>IFERROR(__xludf.DUMMYFUNCTION("GOOGLETRANSLATE(B531, ""en"", ""hi"")"),"औपनिवेशिक काल के दौरान ऐतिहासिक मणिपुरी समाज में मुकना कुश्ती की प्राथमिक भूमिका क्या थी?")</f>
        <v>औपनिवेशिक काल के दौरान ऐतिहासिक मणिपुरी समाज में मुकना कुश्ती की प्राथमिक भूमिका क्या थी?</v>
      </c>
      <c r="H531" s="5" t="str">
        <f>IFERROR(__xludf.DUMMYFUNCTION("GOOGLETRANSLATE(C531,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531" s="5" t="str">
        <f>IFERROR(__xludf.DUMMYFUNCTION("GOOGLETRANSLATE(D531, ""en"", ""hi"")"),"ए) युद्ध प्रशिक्षण")</f>
        <v>ए) युद्ध प्रशिक्षण</v>
      </c>
    </row>
    <row r="532" ht="22.5" customHeight="1">
      <c r="A532" s="3">
        <v>531.0</v>
      </c>
      <c r="B532" s="4" t="s">
        <v>14089</v>
      </c>
      <c r="C532" s="4" t="s">
        <v>13619</v>
      </c>
      <c r="D532" s="4" t="s">
        <v>13331</v>
      </c>
      <c r="F532" s="5" t="str">
        <f>IFERROR(__xludf.DUMMYFUNCTION("GOOGLETRANSLATE(A532, ""en"", ""hi"")"),"531")</f>
        <v>531</v>
      </c>
      <c r="G532" s="5" t="str">
        <f>IFERROR(__xludf.DUMMYFUNCTION("GOOGLETRANSLATE(B532, ""en"", ""hi"")"),"20वीं शताब्दी के प्रारम्भ में मुकना कुश्ती को लोकप्रिय बनाने का श्रेय अक्सर किस ऐतिहासिक व्यक्ति को दिया जाता है?")</f>
        <v>20वीं शताब्दी के प्रारम्भ में मुकना कुश्ती को लोकप्रिय बनाने का श्रेय अक्सर किस ऐतिहासिक व्यक्ति को दिया जाता है?</v>
      </c>
      <c r="H532" s="5" t="str">
        <f>IFERROR(__xludf.DUMMYFUNCTION("GOOGLETRANSLATE(C532,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32" s="5" t="str">
        <f>IFERROR(__xludf.DUMMYFUNCTION("GOOGLETRANSLATE(D532, ""en"", ""hi"")"),"A) महाराजा चूड़ाचंद सिंह")</f>
        <v>A) महाराजा चूड़ाचंद सिंह</v>
      </c>
    </row>
    <row r="533" ht="22.5" customHeight="1">
      <c r="A533" s="3">
        <v>532.0</v>
      </c>
      <c r="B533" s="4" t="s">
        <v>14090</v>
      </c>
      <c r="C533" s="4" t="s">
        <v>14091</v>
      </c>
      <c r="D533" s="4" t="s">
        <v>13456</v>
      </c>
      <c r="F533" s="5" t="str">
        <f>IFERROR(__xludf.DUMMYFUNCTION("GOOGLETRANSLATE(A533, ""en"", ""hi"")"),"532")</f>
        <v>532</v>
      </c>
      <c r="G533" s="5" t="str">
        <f>IFERROR(__xludf.DUMMYFUNCTION("GOOGLETRANSLATE(B533, ""en"", ""hi"")"),"मणिपुरी राजघराने में मुकना कुश्ती का पारंपरिक महत्व क्या था?")</f>
        <v>मणिपुरी राजघराने में मुकना कुश्ती का पारंपरिक महत्व क्या था?</v>
      </c>
      <c r="H533" s="5" t="str">
        <f>IFERROR(__xludf.DUMMYFUNCTION("GOOGLETRANSLATE(C533, ""en"", ""hi"")"),"A) शक्ति प्रदर्शन, B) अनुष्ठानिक अभ्यास, C) मनोरंजन, D) राजनीतिक शक्ति")</f>
        <v>A) शक्ति प्रदर्शन, B) अनुष्ठानिक अभ्यास, C) मनोरंजन, D) राजनीतिक शक्ति</v>
      </c>
      <c r="I533" s="5" t="str">
        <f>IFERROR(__xludf.DUMMYFUNCTION("GOOGLETRANSLATE(D533, ""en"", ""hi"")"),"बी) अनुष्ठानिक अभ्यास")</f>
        <v>बी) अनुष्ठानिक अभ्यास</v>
      </c>
    </row>
    <row r="534" ht="22.5" customHeight="1">
      <c r="A534" s="3">
        <v>533.0</v>
      </c>
      <c r="B534" s="4" t="s">
        <v>14092</v>
      </c>
      <c r="C534" s="4" t="s">
        <v>12389</v>
      </c>
      <c r="D534" s="4" t="s">
        <v>12086</v>
      </c>
      <c r="F534" s="5" t="str">
        <f>IFERROR(__xludf.DUMMYFUNCTION("GOOGLETRANSLATE(A534, ""en"", ""hi"")"),"533")</f>
        <v>533</v>
      </c>
      <c r="G534" s="5" t="str">
        <f>IFERROR(__xludf.DUMMYFUNCTION("GOOGLETRANSLATE(B534, ""en"", ""hi"")"),"कौन सा मणिपुरी त्यौहार मुकना कुश्ती से जुड़े होने के लिए जाना जाता है?")</f>
        <v>कौन सा मणिपुरी त्यौहार मुकना कुश्ती से जुड़े होने के लिए जाना जाता है?</v>
      </c>
      <c r="H534" s="5" t="str">
        <f>IFERROR(__xludf.DUMMYFUNCTION("GOOGLETRANSLATE(C534, ""en"", ""hi"")"),"ए) लाई हराओबा, बी) याओशांग, सी) निंगोल चाकोउबा, डी) चेइराओबा")</f>
        <v>ए) लाई हराओबा, बी) याओशांग, सी) निंगोल चाकोउबा, डी) चेइराओबा</v>
      </c>
      <c r="I534" s="5" t="str">
        <f>IFERROR(__xludf.DUMMYFUNCTION("GOOGLETRANSLATE(D534, ""en"", ""hi"")"),"A) लाई हरोबा")</f>
        <v>A) लाई हरोबा</v>
      </c>
    </row>
    <row r="535" ht="22.5" customHeight="1">
      <c r="A535" s="3">
        <v>534.0</v>
      </c>
      <c r="B535" s="4" t="s">
        <v>14093</v>
      </c>
      <c r="C535" s="4" t="s">
        <v>14094</v>
      </c>
      <c r="D535" s="4" t="s">
        <v>14095</v>
      </c>
      <c r="F535" s="5" t="str">
        <f>IFERROR(__xludf.DUMMYFUNCTION("GOOGLETRANSLATE(A535, ""en"", ""hi"")"),"534")</f>
        <v>534</v>
      </c>
      <c r="G535" s="5" t="str">
        <f>IFERROR(__xludf.DUMMYFUNCTION("GOOGLETRANSLATE(B535, ""en"", ""hi"")"),"ऐतिहासिक मणिपुर में मुकना कुश्ती का प्राथमिक उद्देश्य क्या था?")</f>
        <v>ऐतिहासिक मणिपुर में मुकना कुश्ती का प्राथमिक उद्देश्य क्या था?</v>
      </c>
      <c r="H535" s="5" t="str">
        <f>IFERROR(__xludf.DUMMYFUNCTION("GOOGLETRANSLATE(C535, ""en"", ""hi"")"),"A) युद्ध का प्रशिक्षण, B) सामाजिक बंधन, C) मनोरंजन, D) धार्मिक अनुष्ठान")</f>
        <v>A) युद्ध का प्रशिक्षण, B) सामाजिक बंधन, C) मनोरंजन, D) धार्मिक अनुष्ठान</v>
      </c>
      <c r="I535" s="5" t="str">
        <f>IFERROR(__xludf.DUMMYFUNCTION("GOOGLETRANSLATE(D535, ""en"", ""hi"")"),"A) युद्ध के लिए प्रशिक्षण")</f>
        <v>A) युद्ध के लिए प्रशिक्षण</v>
      </c>
    </row>
    <row r="536" ht="22.5" customHeight="1">
      <c r="A536" s="3">
        <v>535.0</v>
      </c>
      <c r="B536" s="4" t="s">
        <v>14096</v>
      </c>
      <c r="C536" s="4" t="s">
        <v>14097</v>
      </c>
      <c r="D536" s="4" t="s">
        <v>13827</v>
      </c>
      <c r="F536" s="5" t="str">
        <f>IFERROR(__xludf.DUMMYFUNCTION("GOOGLETRANSLATE(A536, ""en"", ""hi"")"),"535")</f>
        <v>535</v>
      </c>
      <c r="G536" s="5" t="str">
        <f>IFERROR(__xludf.DUMMYFUNCTION("GOOGLETRANSLATE(B536, ""en"", ""hi"")"),"मणिपुरी सैनिकों के सैन्य प्रशिक्षण में मुकना कुश्ती की क्या भूमिका थी?")</f>
        <v>मणिपुरी सैनिकों के सैन्य प्रशिक्षण में मुकना कुश्ती की क्या भूमिका थी?</v>
      </c>
      <c r="H536" s="5" t="str">
        <f>IFERROR(__xludf.DUMMYFUNCTION("GOOGLETRANSLATE(C536, ""en"", ""hi"")"),"A) युद्ध तत्परता, B) शारीरिक फिटनेस, C) मानसिक दृढ़ता, D) सामरिक रणनीतियाँ")</f>
        <v>A) युद्ध तत्परता, B) शारीरिक फिटनेस, C) मानसिक दृढ़ता, D) सामरिक रणनीतियाँ</v>
      </c>
      <c r="I536" s="5" t="str">
        <f>IFERROR(__xludf.DUMMYFUNCTION("GOOGLETRANSLATE(D536, ""en"", ""hi"")"),"ए) युद्ध तत्परता")</f>
        <v>ए) युद्ध तत्परता</v>
      </c>
    </row>
    <row r="537" ht="22.5" customHeight="1">
      <c r="A537" s="3">
        <v>536.0</v>
      </c>
      <c r="B537" s="4" t="s">
        <v>14098</v>
      </c>
      <c r="C537" s="4" t="s">
        <v>13935</v>
      </c>
      <c r="D537" s="4" t="s">
        <v>13936</v>
      </c>
      <c r="F537" s="5" t="str">
        <f>IFERROR(__xludf.DUMMYFUNCTION("GOOGLETRANSLATE(A537, ""en"", ""hi"")"),"536")</f>
        <v>536</v>
      </c>
      <c r="G537" s="5" t="str">
        <f>IFERROR(__xludf.DUMMYFUNCTION("GOOGLETRANSLATE(B537, ""en"", ""hi"")"),"कौन सा औपनिवेशिक युग का दस्तावेज़ मुकना कुश्ती की लोकप्रियता में गिरावट के बारे में जानकारी प्रदान करता है?")</f>
        <v>कौन सा औपनिवेशिक युग का दस्तावेज़ मुकना कुश्ती की लोकप्रियता में गिरावट के बारे में जानकारी प्रदान करता है?</v>
      </c>
      <c r="H537" s="5" t="str">
        <f>IFERROR(__xludf.DUMMYFUNCTION("GOOGLETRANSLATE(C537,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37" s="5" t="str">
        <f>IFERROR(__xludf.DUMMYFUNCTION("GOOGLETRANSLATE(D537, ""en"", ""hi"")"),"A) जी. ई. हार्वे के लेखन")</f>
        <v>A) जी. ई. हार्वे के लेखन</v>
      </c>
    </row>
    <row r="538" ht="22.5" customHeight="1">
      <c r="A538" s="3">
        <v>537.0</v>
      </c>
      <c r="B538" s="4" t="s">
        <v>14099</v>
      </c>
      <c r="C538" s="4" t="s">
        <v>13974</v>
      </c>
      <c r="D538" s="4" t="s">
        <v>13948</v>
      </c>
      <c r="F538" s="5" t="str">
        <f>IFERROR(__xludf.DUMMYFUNCTION("GOOGLETRANSLATE(A538, ""en"", ""hi"")"),"537")</f>
        <v>537</v>
      </c>
      <c r="G538" s="5" t="str">
        <f>IFERROR(__xludf.DUMMYFUNCTION("GOOGLETRANSLATE(B538, ""en"", ""hi"")"),"ऐतिहासिक समय में मुकना कुश्ती पोशाक की विशिष्ट विशेषता क्या थी?")</f>
        <v>ऐतिहासिक समय में मुकना कुश्ती पोशाक की विशिष्ट विशेषता क्या थी?</v>
      </c>
      <c r="H538" s="5" t="str">
        <f>IFERROR(__xludf.DUMMYFUNCTION("GOOGLETRANSLATE(C538, ""en"", ""hi"")"),"A) ढीले-ढाले वस्त्र, B) रेशमी वस्त्र, C) चमड़े का कवच, D) ऊनी पोशाक")</f>
        <v>A) ढीले-ढाले वस्त्र, B) रेशमी वस्त्र, C) चमड़े का कवच, D) ऊनी पोशाक</v>
      </c>
      <c r="I538" s="5" t="str">
        <f>IFERROR(__xludf.DUMMYFUNCTION("GOOGLETRANSLATE(D538, ""en"", ""hi"")"),"A) ढीले-ढाले वस्त्र")</f>
        <v>A) ढीले-ढाले वस्त्र</v>
      </c>
    </row>
    <row r="539" ht="22.5" customHeight="1">
      <c r="A539" s="3">
        <v>538.0</v>
      </c>
      <c r="B539" s="4" t="s">
        <v>14100</v>
      </c>
      <c r="C539" s="4" t="s">
        <v>13619</v>
      </c>
      <c r="D539" s="4" t="s">
        <v>13331</v>
      </c>
      <c r="F539" s="5" t="str">
        <f>IFERROR(__xludf.DUMMYFUNCTION("GOOGLETRANSLATE(A539, ""en"", ""hi"")"),"538")</f>
        <v>538</v>
      </c>
      <c r="G539" s="5" t="str">
        <f>IFERROR(__xludf.DUMMYFUNCTION("GOOGLETRANSLATE(B539, ""en"", ""hi"")"),"कौन सा मणिपुरी शासक पारंपरिक मुकना कुश्ती प्रथाओं को पुनर्जीवित करने के अपने प्रयासों के लिए जाना जाता है?")</f>
        <v>कौन सा मणिपुरी शासक पारंपरिक मुकना कुश्ती प्रथाओं को पुनर्जीवित करने के अपने प्रयासों के लिए जाना जाता है?</v>
      </c>
      <c r="H539" s="5" t="str">
        <f>IFERROR(__xludf.DUMMYFUNCTION("GOOGLETRANSLATE(C539,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39" s="5" t="str">
        <f>IFERROR(__xludf.DUMMYFUNCTION("GOOGLETRANSLATE(D539, ""en"", ""hi"")"),"A) महाराजा चूड़ाचंद सिंह")</f>
        <v>A) महाराजा चूड़ाचंद सिंह</v>
      </c>
    </row>
    <row r="540" ht="22.5" customHeight="1">
      <c r="A540" s="3">
        <v>539.0</v>
      </c>
      <c r="B540" s="4" t="s">
        <v>13943</v>
      </c>
      <c r="C540" s="4" t="s">
        <v>13801</v>
      </c>
      <c r="D540" s="4" t="s">
        <v>13750</v>
      </c>
      <c r="F540" s="5" t="str">
        <f>IFERROR(__xludf.DUMMYFUNCTION("GOOGLETRANSLATE(A540, ""en"", ""hi"")"),"539")</f>
        <v>539</v>
      </c>
      <c r="G540" s="5" t="str">
        <f>IFERROR(__xludf.DUMMYFUNCTION("GOOGLETRANSLATE(B540, ""en"", ""hi"")"),"मणिपुर में मुकना कुश्ती मैट के लिए ऐतिहासिक रूप से किस सामग्री का उपयोग किया जाता था?")</f>
        <v>मणिपुर में मुकना कुश्ती मैट के लिए ऐतिहासिक रूप से किस सामग्री का उपयोग किया जाता था?</v>
      </c>
      <c r="H540" s="5" t="str">
        <f>IFERROR(__xludf.DUMMYFUNCTION("GOOGLETRANSLATE(C540, ""en"", ""hi"")"),"A) पुआल, B) जूट, C) कपास, D) बांस")</f>
        <v>A) पुआल, B) जूट, C) कपास, D) बांस</v>
      </c>
      <c r="I540" s="5" t="str">
        <f>IFERROR(__xludf.DUMMYFUNCTION("GOOGLETRANSLATE(D540, ""en"", ""hi"")"),"एक पुआल")</f>
        <v>एक पुआल</v>
      </c>
    </row>
    <row r="541" ht="22.5" customHeight="1">
      <c r="A541" s="3">
        <v>540.0</v>
      </c>
      <c r="B541" s="4" t="s">
        <v>14101</v>
      </c>
      <c r="C541" s="4" t="s">
        <v>13704</v>
      </c>
      <c r="D541" s="4" t="s">
        <v>13474</v>
      </c>
      <c r="F541" s="5" t="str">
        <f>IFERROR(__xludf.DUMMYFUNCTION("GOOGLETRANSLATE(A541, ""en"", ""hi"")"),"540")</f>
        <v>540</v>
      </c>
      <c r="G541" s="5" t="str">
        <f>IFERROR(__xludf.DUMMYFUNCTION("GOOGLETRANSLATE(B541, ""en"", ""hi"")"),"मुकना कुश्ती के इतिहास को समझने के लिए कौन सा ग्रन्थ महत्वपूर्ण स्रोत माना जाता है?")</f>
        <v>मुकना कुश्ती के इतिहास को समझने के लिए कौन सा ग्रन्थ महत्वपूर्ण स्रोत माना जाता है?</v>
      </c>
      <c r="H541" s="5" t="str">
        <f>IFERROR(__xludf.DUMMYFUNCTION("GOOGLETRANSLATE(C541, ""en"", ""hi"")"),"ए) बुरांजी, बी) राजमाला, सी) मणिपुरी वेद, डी) मनुस्मृति")</f>
        <v>ए) बुरांजी, बी) राजमाला, सी) मणिपुरी वेद, डी) मनुस्मृति</v>
      </c>
      <c r="I541" s="5" t="str">
        <f>IFERROR(__xludf.DUMMYFUNCTION("GOOGLETRANSLATE(D541, ""en"", ""hi"")"),"ए) बुरांजी")</f>
        <v>ए) बुरांजी</v>
      </c>
    </row>
    <row r="542" ht="22.5" customHeight="1">
      <c r="A542" s="3">
        <v>541.0</v>
      </c>
      <c r="B542" s="4" t="s">
        <v>14102</v>
      </c>
      <c r="C542" s="4" t="s">
        <v>14103</v>
      </c>
      <c r="D542" s="4" t="s">
        <v>14104</v>
      </c>
      <c r="F542" s="5" t="str">
        <f>IFERROR(__xludf.DUMMYFUNCTION("GOOGLETRANSLATE(A542, ""en"", ""hi"")"),"541")</f>
        <v>541</v>
      </c>
      <c r="G542" s="5" t="str">
        <f>IFERROR(__xludf.DUMMYFUNCTION("GOOGLETRANSLATE(B542, ""en"", ""hi"")"),"ब्रिटिश औपनिवेशिक शासन ने मुकना कुश्ती के अभ्यास को कैसे प्रभावित किया?")</f>
        <v>ब्रिटिश औपनिवेशिक शासन ने मुकना कुश्ती के अभ्यास को कैसे प्रभावित किया?</v>
      </c>
      <c r="H542" s="5" t="str">
        <f>IFERROR(__xludf.DUMMYFUNCTION("GOOGLETRANSLATE(C542, ""en"", ""hi"")"),"A) बढ़ती लोकप्रियता, B) पारंपरिक प्रथा में गिरावट, C) संस्थागतकरण, D) सांस्कृतिक पुनरुत्थान")</f>
        <v>A) बढ़ती लोकप्रियता, B) पारंपरिक प्रथा में गिरावट, C) संस्थागतकरण, D) सांस्कृतिक पुनरुत्थान</v>
      </c>
      <c r="I542" s="5" t="str">
        <f>IFERROR(__xludf.DUMMYFUNCTION("GOOGLETRANSLATE(D542, ""en"", ""hi"")"),"बी) पारंपरिक प्रथा में गिरावट")</f>
        <v>बी) पारंपरिक प्रथा में गिरावट</v>
      </c>
    </row>
    <row r="543" ht="22.5" customHeight="1">
      <c r="A543" s="3">
        <v>542.0</v>
      </c>
      <c r="B543" s="4" t="s">
        <v>14105</v>
      </c>
      <c r="C543" s="4" t="s">
        <v>14106</v>
      </c>
      <c r="D543" s="4" t="s">
        <v>13726</v>
      </c>
      <c r="F543" s="5" t="str">
        <f>IFERROR(__xludf.DUMMYFUNCTION("GOOGLETRANSLATE(A543, ""en"", ""hi"")"),"542")</f>
        <v>542</v>
      </c>
      <c r="G543" s="5" t="str">
        <f>IFERROR(__xludf.DUMMYFUNCTION("GOOGLETRANSLATE(B543, ""en"", ""hi"")"),"20वीं सदी के प्रारम्भ में मुकना कुश्ती के पतन का मुख्य कारण क्या था?")</f>
        <v>20वीं सदी के प्रारम्भ में मुकना कुश्ती के पतन का मुख्य कारण क्या था?</v>
      </c>
      <c r="H543" s="5" t="str">
        <f>IFERROR(__xludf.DUMMYFUNCTION("GOOGLETRANSLATE(C543, ""en"", ""hi"")"),"A) औपनिवेशिक दमन, B) सांस्कृतिक प्रथाओं में बदलाव, C) आर्थिक मंदी, D) राजनीतिक अस्थिरता")</f>
        <v>A) औपनिवेशिक दमन, B) सांस्कृतिक प्रथाओं में बदलाव, C) आर्थिक मंदी, D) राजनीतिक अस्थिरता</v>
      </c>
      <c r="I543" s="5" t="str">
        <f>IFERROR(__xludf.DUMMYFUNCTION("GOOGLETRANSLATE(D543, ""en"", ""hi"")"),"A) औपनिवेशिक दमन")</f>
        <v>A) औपनिवेशिक दमन</v>
      </c>
    </row>
    <row r="544" ht="22.5" customHeight="1">
      <c r="A544" s="3">
        <v>543.0</v>
      </c>
      <c r="B544" s="4" t="s">
        <v>14107</v>
      </c>
      <c r="C544" s="4" t="s">
        <v>13619</v>
      </c>
      <c r="D544" s="4" t="s">
        <v>12153</v>
      </c>
      <c r="F544" s="5" t="str">
        <f>IFERROR(__xludf.DUMMYFUNCTION("GOOGLETRANSLATE(A544, ""en"", ""hi"")"),"543")</f>
        <v>543</v>
      </c>
      <c r="G544" s="5" t="str">
        <f>IFERROR(__xludf.DUMMYFUNCTION("GOOGLETRANSLATE(B544, ""en"", ""hi"")"),"19वीं शताब्दी में मुकना कुश्ती प्रथाओं का दस्तावेजीकरण करने का श्रेय किस मणिपुरी राजा को दिया जाता है?")</f>
        <v>19वीं शताब्दी में मुकना कुश्ती प्रथाओं का दस्तावेजीकरण करने का श्रेय किस मणिपुरी राजा को दिया जाता है?</v>
      </c>
      <c r="H544" s="5" t="str">
        <f>IFERROR(__xludf.DUMMYFUNCTION("GOOGLETRANSLATE(C544,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44" s="5" t="str">
        <f>IFERROR(__xludf.DUMMYFUNCTION("GOOGLETRANSLATE(D544, ""en"", ""hi"")"),"बी) महाराजा गंभीर सिंह")</f>
        <v>बी) महाराजा गंभीर सिंह</v>
      </c>
    </row>
    <row r="545" ht="22.5" customHeight="1">
      <c r="A545" s="3">
        <v>544.0</v>
      </c>
      <c r="B545" s="4" t="s">
        <v>14108</v>
      </c>
      <c r="C545" s="4" t="s">
        <v>14109</v>
      </c>
      <c r="D545" s="4" t="s">
        <v>14110</v>
      </c>
      <c r="F545" s="5" t="str">
        <f>IFERROR(__xludf.DUMMYFUNCTION("GOOGLETRANSLATE(A545, ""en"", ""hi"")"),"544")</f>
        <v>544</v>
      </c>
      <c r="G545" s="5" t="str">
        <f>IFERROR(__xludf.DUMMYFUNCTION("GOOGLETRANSLATE(B545, ""en"", ""hi"")"),"ऐतिहासिक मणिपुर में मुकना कुश्ती मुकाबलों की एक सामान्य विशेषता क्या थी?")</f>
        <v>ऐतिहासिक मणिपुर में मुकना कुश्ती मुकाबलों की एक सामान्य विशेषता क्या थी?</v>
      </c>
      <c r="H545" s="5" t="str">
        <f>IFERROR(__xludf.DUMMYFUNCTION("GOOGLETRANSLATE(C545, ""en"", ""hi"")"),"A) पारंपरिक संगीत, B) अनुष्ठानिक प्रसाद, C) दर्शकों की भागीदारी, D) सख्त नियम")</f>
        <v>A) पारंपरिक संगीत, B) अनुष्ठानिक प्रसाद, C) दर्शकों की भागीदारी, D) सख्त नियम</v>
      </c>
      <c r="I545" s="5" t="str">
        <f>IFERROR(__xludf.DUMMYFUNCTION("GOOGLETRANSLATE(D545, ""en"", ""hi"")"),"ए) पारंपरिक संगीत")</f>
        <v>ए) पारंपरिक संगीत</v>
      </c>
    </row>
    <row r="546" ht="22.5" customHeight="1">
      <c r="A546" s="3">
        <v>545.0</v>
      </c>
      <c r="B546" s="4" t="s">
        <v>14111</v>
      </c>
      <c r="C546" s="4" t="s">
        <v>14112</v>
      </c>
      <c r="D546" s="4" t="s">
        <v>9447</v>
      </c>
      <c r="F546" s="5" t="str">
        <f>IFERROR(__xludf.DUMMYFUNCTION("GOOGLETRANSLATE(A546, ""en"", ""hi"")"),"545")</f>
        <v>545</v>
      </c>
      <c r="G546" s="5" t="str">
        <f>IFERROR(__xludf.DUMMYFUNCTION("GOOGLETRANSLATE(B546, ""en"", ""hi"")"),"पारंपरिक मणिपुरी प्रशिक्षण में मुकना कुश्ती के किस पहलू पर जोर दिया गया था?")</f>
        <v>पारंपरिक मणिपुरी प्रशिक्षण में मुकना कुश्ती के किस पहलू पर जोर दिया गया था?</v>
      </c>
      <c r="H546" s="5" t="str">
        <f>IFERROR(__xludf.DUMMYFUNCTION("GOOGLETRANSLATE(C546, ""en"", ""hi"")"),"A) युद्ध तकनीक, B) शारीरिक सहनशक्ति, C) सामरिक कौशल, D) मानसिक अनुशासन")</f>
        <v>A) युद्ध तकनीक, B) शारीरिक सहनशक्ति, C) सामरिक कौशल, D) मानसिक अनुशासन</v>
      </c>
      <c r="I546" s="5" t="str">
        <f>IFERROR(__xludf.DUMMYFUNCTION("GOOGLETRANSLATE(D546, ""en"", ""hi"")"),"A) युद्ध तकनीकें")</f>
        <v>A) युद्ध तकनीकें</v>
      </c>
    </row>
    <row r="547" ht="22.5" customHeight="1">
      <c r="A547" s="3">
        <v>546.0</v>
      </c>
      <c r="B547" s="4" t="s">
        <v>14113</v>
      </c>
      <c r="C547" s="4" t="s">
        <v>12389</v>
      </c>
      <c r="D547" s="4" t="s">
        <v>12165</v>
      </c>
      <c r="F547" s="5" t="str">
        <f>IFERROR(__xludf.DUMMYFUNCTION("GOOGLETRANSLATE(A547, ""en"", ""hi"")"),"546")</f>
        <v>546</v>
      </c>
      <c r="G547" s="5" t="str">
        <f>IFERROR(__xludf.DUMMYFUNCTION("GOOGLETRANSLATE(B547, ""en"", ""hi"")"),"कौन सा मणिपुरी त्यौहार मुकना कुश्ती प्रतियोगिताओं से सबसे अधिक जुड़ा हुआ है?")</f>
        <v>कौन सा मणिपुरी त्यौहार मुकना कुश्ती प्रतियोगिताओं से सबसे अधिक जुड़ा हुआ है?</v>
      </c>
      <c r="H547" s="5" t="str">
        <f>IFERROR(__xludf.DUMMYFUNCTION("GOOGLETRANSLATE(C547, ""en"", ""hi"")"),"ए) लाई हराओबा, बी) याओशांग, सी) निंगोल चाकोउबा, डी) चेइराओबा")</f>
        <v>ए) लाई हराओबा, बी) याओशांग, सी) निंगोल चाकोउबा, डी) चेइराओबा</v>
      </c>
      <c r="I547" s="5" t="str">
        <f>IFERROR(__xludf.DUMMYFUNCTION("GOOGLETRANSLATE(D547, ""en"", ""hi"")"),"बी) योशांग")</f>
        <v>बी) योशांग</v>
      </c>
    </row>
    <row r="548" ht="22.5" customHeight="1">
      <c r="A548" s="3">
        <v>547.0</v>
      </c>
      <c r="B548" s="4" t="s">
        <v>14114</v>
      </c>
      <c r="C548" s="4" t="s">
        <v>14115</v>
      </c>
      <c r="D548" s="4" t="s">
        <v>14116</v>
      </c>
      <c r="F548" s="5" t="str">
        <f>IFERROR(__xludf.DUMMYFUNCTION("GOOGLETRANSLATE(A548, ""en"", ""hi"")"),"547")</f>
        <v>547</v>
      </c>
      <c r="G548" s="5" t="str">
        <f>IFERROR(__xludf.DUMMYFUNCTION("GOOGLETRANSLATE(B548, ""en"", ""hi"")"),"19वीं शताब्दी में मुकना कुश्ती ने मणिपुरी सामाजिक जीवन में किस प्रकार योगदान दिया?")</f>
        <v>19वीं शताब्दी में मुकना कुश्ती ने मणिपुरी सामाजिक जीवन में किस प्रकार योगदान दिया?</v>
      </c>
      <c r="H548" s="5" t="str">
        <f>IFERROR(__xludf.DUMMYFUNCTION("GOOGLETRANSLATE(C548, ""en"", ""hi"")"),"A) सामाजिक समारोह, B) सैन्य प्रशिक्षण, C) मनोरंजन, D) धार्मिक अनुष्ठान")</f>
        <v>A) सामाजिक समारोह, B) सैन्य प्रशिक्षण, C) मनोरंजन, D) धार्मिक अनुष्ठान</v>
      </c>
      <c r="I548" s="5" t="str">
        <f>IFERROR(__xludf.DUMMYFUNCTION("GOOGLETRANSLATE(D548, ""en"", ""hi"")"),"ए) सामाजिक समारोह")</f>
        <v>ए) सामाजिक समारोह</v>
      </c>
    </row>
    <row r="549" ht="22.5" customHeight="1">
      <c r="A549" s="3">
        <v>548.0</v>
      </c>
      <c r="B549" s="4" t="s">
        <v>14117</v>
      </c>
      <c r="C549" s="4" t="s">
        <v>14118</v>
      </c>
      <c r="D549" s="4" t="s">
        <v>14119</v>
      </c>
      <c r="F549" s="5" t="str">
        <f>IFERROR(__xludf.DUMMYFUNCTION("GOOGLETRANSLATE(A549, ""en"", ""hi"")"),"548")</f>
        <v>548</v>
      </c>
      <c r="G549" s="5" t="str">
        <f>IFERROR(__xludf.DUMMYFUNCTION("GOOGLETRANSLATE(B549, ""en"", ""hi"")"),"ऐतिहासिक मणिपुरी समाज में मुकना कुश्ती का मुख्य कार्य क्या था?")</f>
        <v>ऐतिहासिक मणिपुरी समाज में मुकना कुश्ती का मुख्य कार्य क्या था?</v>
      </c>
      <c r="H549" s="5" t="str">
        <f>IFERROR(__xludf.DUMMYFUNCTION("GOOGLETRANSLATE(C549, ""en"", ""hi"")"),"A) युद्ध अभ्यास, B) मनोरंजन, C) सामाजिक सामंजस्य, D) राजनीतिक प्रदर्शन")</f>
        <v>A) युद्ध अभ्यास, B) मनोरंजन, C) सामाजिक सामंजस्य, D) राजनीतिक प्रदर्शन</v>
      </c>
      <c r="I549" s="5" t="str">
        <f>IFERROR(__xludf.DUMMYFUNCTION("GOOGLETRANSLATE(D549, ""en"", ""hi"")"),"ए) युद्ध अभ्यास")</f>
        <v>ए) युद्ध अभ्यास</v>
      </c>
    </row>
    <row r="550" ht="22.5" customHeight="1">
      <c r="A550" s="3">
        <v>549.0</v>
      </c>
      <c r="B550" s="4" t="s">
        <v>14120</v>
      </c>
      <c r="C550" s="4" t="s">
        <v>13619</v>
      </c>
      <c r="D550" s="4" t="s">
        <v>13331</v>
      </c>
      <c r="F550" s="5" t="str">
        <f>IFERROR(__xludf.DUMMYFUNCTION("GOOGLETRANSLATE(A550, ""en"", ""hi"")"),"549")</f>
        <v>549</v>
      </c>
      <c r="G550" s="5" t="str">
        <f>IFERROR(__xludf.DUMMYFUNCTION("GOOGLETRANSLATE(B550, ""en"", ""hi"")"),"20वीं शताब्दी में किस राजा के शासनकाल में मुकना कुश्ती प्रथाओं में महत्वपूर्ण परिवर्तन हुए?")</f>
        <v>20वीं शताब्दी में किस राजा के शासनकाल में मुकना कुश्ती प्रथाओं में महत्वपूर्ण परिवर्तन हुए?</v>
      </c>
      <c r="H550" s="5" t="str">
        <f>IFERROR(__xludf.DUMMYFUNCTION("GOOGLETRANSLATE(C550,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50" s="5" t="str">
        <f>IFERROR(__xludf.DUMMYFUNCTION("GOOGLETRANSLATE(D550, ""en"", ""hi"")"),"A) महाराजा चूड़ाचंद सिंह")</f>
        <v>A) महाराजा चूड़ाचंद सिंह</v>
      </c>
    </row>
    <row r="551" ht="22.5" customHeight="1">
      <c r="A551" s="3">
        <v>550.0</v>
      </c>
      <c r="B551" s="4" t="s">
        <v>14121</v>
      </c>
      <c r="C551" s="4" t="s">
        <v>14122</v>
      </c>
      <c r="D551" s="4" t="s">
        <v>14123</v>
      </c>
      <c r="F551" s="5" t="str">
        <f>IFERROR(__xludf.DUMMYFUNCTION("GOOGLETRANSLATE(A551, ""en"", ""hi"")"),"550")</f>
        <v>550</v>
      </c>
      <c r="G551" s="5" t="str">
        <f>IFERROR(__xludf.DUMMYFUNCTION("GOOGLETRANSLATE(B551, ""en"", ""hi"")"),"त्यौहारों के दौरान मुकना कुश्ती से जुड़ी पारंपरिक प्रथा क्या थी?")</f>
        <v>त्यौहारों के दौरान मुकना कुश्ती से जुड़ी पारंपरिक प्रथा क्या थी?</v>
      </c>
      <c r="H551" s="5" t="str">
        <f>IFERROR(__xludf.DUMMYFUNCTION("GOOGLETRANSLATE(C551, ""en"", ""hi"")"),"A) अनुष्ठानिक नृत्य, B) सामुदायिक भोज, C) सार्वजनिक प्रदर्शन, D) मार्शल आर्ट प्रदर्शनियाँ")</f>
        <v>A) अनुष्ठानिक नृत्य, B) सामुदायिक भोज, C) सार्वजनिक प्रदर्शन, D) मार्शल आर्ट प्रदर्शनियाँ</v>
      </c>
      <c r="I551" s="5" t="str">
        <f>IFERROR(__xludf.DUMMYFUNCTION("GOOGLETRANSLATE(D551, ""en"", ""hi"")"),"सी) सार्वजनिक प्रदर्शन")</f>
        <v>सी) सार्वजनिक प्रदर्शन</v>
      </c>
    </row>
    <row r="552" ht="22.5" customHeight="1">
      <c r="A552" s="3">
        <v>551.0</v>
      </c>
      <c r="B552" s="4" t="s">
        <v>14124</v>
      </c>
      <c r="C552" s="4" t="s">
        <v>13704</v>
      </c>
      <c r="D552" s="4" t="s">
        <v>13474</v>
      </c>
      <c r="F552" s="5" t="str">
        <f>IFERROR(__xludf.DUMMYFUNCTION("GOOGLETRANSLATE(A552, ""en"", ""hi"")"),"551")</f>
        <v>551</v>
      </c>
      <c r="G552" s="5" t="str">
        <f>IFERROR(__xludf.DUMMYFUNCTION("GOOGLETRANSLATE(B552, ""en"", ""hi"")"),"कौन सा ग्रंथ मुकना कुश्ती की तकनीक और इतिहास के बारे में जानकारी प्रदान करता है?")</f>
        <v>कौन सा ग्रंथ मुकना कुश्ती की तकनीक और इतिहास के बारे में जानकारी प्रदान करता है?</v>
      </c>
      <c r="H552" s="5" t="str">
        <f>IFERROR(__xludf.DUMMYFUNCTION("GOOGLETRANSLATE(C552, ""en"", ""hi"")"),"ए) बुरांजी, बी) राजमाला, सी) मणिपुरी वेद, डी) मनुस्मृति")</f>
        <v>ए) बुरांजी, बी) राजमाला, सी) मणिपुरी वेद, डी) मनुस्मृति</v>
      </c>
      <c r="I552" s="5" t="str">
        <f>IFERROR(__xludf.DUMMYFUNCTION("GOOGLETRANSLATE(D552, ""en"", ""hi"")"),"ए) बुरांजी")</f>
        <v>ए) बुरांजी</v>
      </c>
    </row>
    <row r="553" ht="22.5" customHeight="1">
      <c r="A553" s="3">
        <v>552.0</v>
      </c>
      <c r="B553" s="4" t="s">
        <v>14125</v>
      </c>
      <c r="C553" s="4" t="s">
        <v>14126</v>
      </c>
      <c r="D553" s="4" t="s">
        <v>14064</v>
      </c>
      <c r="F553" s="5" t="str">
        <f>IFERROR(__xludf.DUMMYFUNCTION("GOOGLETRANSLATE(A553, ""en"", ""hi"")"),"552")</f>
        <v>552</v>
      </c>
      <c r="G553" s="5" t="str">
        <f>IFERROR(__xludf.DUMMYFUNCTION("GOOGLETRANSLATE(B553, ""en"", ""hi"")"),"पारंपरिक मणिपुर में मुकना कुश्ती प्रशिक्षण का प्राथमिक केंद्र क्या था?")</f>
        <v>पारंपरिक मणिपुर में मुकना कुश्ती प्रशिक्षण का प्राथमिक केंद्र क्या था?</v>
      </c>
      <c r="H553" s="5" t="str">
        <f>IFERROR(__xludf.DUMMYFUNCTION("GOOGLETRANSLATE(C553, ""en"", ""hi"")"),"A) युद्ध कौशल, B) शारीरिक शक्ति, C) अनुष्ठान प्रथाएँ, D) सामाजिक संपर्क")</f>
        <v>A) युद्ध कौशल, B) शारीरिक शक्ति, C) अनुष्ठान प्रथाएँ, D) सामाजिक संपर्क</v>
      </c>
      <c r="I553" s="5" t="str">
        <f>IFERROR(__xludf.DUMMYFUNCTION("GOOGLETRANSLATE(D553, ""en"", ""hi"")"),"ए) युद्ध कौशल")</f>
        <v>ए) युद्ध कौशल</v>
      </c>
    </row>
    <row r="554" ht="22.5" customHeight="1">
      <c r="A554" s="3">
        <v>553.0</v>
      </c>
      <c r="B554" s="4" t="s">
        <v>14127</v>
      </c>
      <c r="C554" s="4" t="s">
        <v>13801</v>
      </c>
      <c r="D554" s="4" t="s">
        <v>13750</v>
      </c>
      <c r="F554" s="5" t="str">
        <f>IFERROR(__xludf.DUMMYFUNCTION("GOOGLETRANSLATE(A554, ""en"", ""hi"")"),"553")</f>
        <v>553</v>
      </c>
      <c r="G554" s="5" t="str">
        <f>IFERROR(__xludf.DUMMYFUNCTION("GOOGLETRANSLATE(B554, ""en"", ""hi"")"),"पारंपरिक मणिपुर में मुकना कुश्ती मैट के लिए किस सामग्री का उपयोग किया जाता था?")</f>
        <v>पारंपरिक मणिपुर में मुकना कुश्ती मैट के लिए किस सामग्री का उपयोग किया जाता था?</v>
      </c>
      <c r="H554" s="5" t="str">
        <f>IFERROR(__xludf.DUMMYFUNCTION("GOOGLETRANSLATE(C554, ""en"", ""hi"")"),"A) पुआल, B) जूट, C) कपास, D) बांस")</f>
        <v>A) पुआल, B) जूट, C) कपास, D) बांस</v>
      </c>
      <c r="I554" s="5" t="str">
        <f>IFERROR(__xludf.DUMMYFUNCTION("GOOGLETRANSLATE(D554, ""en"", ""hi"")"),"एक पुआल")</f>
        <v>एक पुआल</v>
      </c>
    </row>
    <row r="555" ht="22.5" customHeight="1">
      <c r="A555" s="3">
        <v>554.0</v>
      </c>
      <c r="B555" s="4" t="s">
        <v>14128</v>
      </c>
      <c r="C555" s="4" t="s">
        <v>13935</v>
      </c>
      <c r="D555" s="4" t="s">
        <v>13936</v>
      </c>
      <c r="F555" s="5" t="str">
        <f>IFERROR(__xludf.DUMMYFUNCTION("GOOGLETRANSLATE(A555, ""en"", ""hi"")"),"554")</f>
        <v>554</v>
      </c>
      <c r="G555" s="5" t="str">
        <f>IFERROR(__xludf.DUMMYFUNCTION("GOOGLETRANSLATE(B555, ""en"", ""hi"")"),"ब्रिटिश काल के किस लेख में मुकना कुश्ती के सांस्कृतिक पहलुओं पर चर्चा की गई है?")</f>
        <v>ब्रिटिश काल के किस लेख में मुकना कुश्ती के सांस्कृतिक पहलुओं पर चर्चा की गई है?</v>
      </c>
      <c r="H555" s="5" t="str">
        <f>IFERROR(__xludf.DUMMYFUNCTION("GOOGLETRANSLATE(C555,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55" s="5" t="str">
        <f>IFERROR(__xludf.DUMMYFUNCTION("GOOGLETRANSLATE(D555, ""en"", ""hi"")"),"A) जी. ई. हार्वे के लेखन")</f>
        <v>A) जी. ई. हार्वे के लेखन</v>
      </c>
    </row>
    <row r="556" ht="22.5" customHeight="1">
      <c r="A556" s="3">
        <v>555.0</v>
      </c>
      <c r="B556" s="4" t="s">
        <v>14129</v>
      </c>
      <c r="C556" s="4" t="s">
        <v>12389</v>
      </c>
      <c r="D556" s="4" t="s">
        <v>12086</v>
      </c>
      <c r="F556" s="5" t="str">
        <f>IFERROR(__xludf.DUMMYFUNCTION("GOOGLETRANSLATE(A556, ""en"", ""hi"")"),"555")</f>
        <v>555</v>
      </c>
      <c r="G556" s="5" t="str">
        <f>IFERROR(__xludf.DUMMYFUNCTION("GOOGLETRANSLATE(B556, ""en"", ""hi"")"),"कौन सा मणिपुरी त्यौहार मुकना कुश्ती प्रतियोगिताओं के लिए ऐतिहासिक रूप से महत्वपूर्ण था?")</f>
        <v>कौन सा मणिपुरी त्यौहार मुकना कुश्ती प्रतियोगिताओं के लिए ऐतिहासिक रूप से महत्वपूर्ण था?</v>
      </c>
      <c r="H556" s="5" t="str">
        <f>IFERROR(__xludf.DUMMYFUNCTION("GOOGLETRANSLATE(C556, ""en"", ""hi"")"),"ए) लाई हराओबा, बी) याओशांग, सी) निंगोल चाकोउबा, डी) चेइराओबा")</f>
        <v>ए) लाई हराओबा, बी) याओशांग, सी) निंगोल चाकोउबा, डी) चेइराओबा</v>
      </c>
      <c r="I556" s="5" t="str">
        <f>IFERROR(__xludf.DUMMYFUNCTION("GOOGLETRANSLATE(D556, ""en"", ""hi"")"),"A) लाई हरोबा")</f>
        <v>A) लाई हरोबा</v>
      </c>
    </row>
    <row r="557" ht="22.5" customHeight="1">
      <c r="A557" s="3">
        <v>556.0</v>
      </c>
      <c r="B557" s="4" t="s">
        <v>14130</v>
      </c>
      <c r="C557" s="4" t="s">
        <v>14131</v>
      </c>
      <c r="D557" s="4" t="s">
        <v>14132</v>
      </c>
      <c r="F557" s="5" t="str">
        <f>IFERROR(__xludf.DUMMYFUNCTION("GOOGLETRANSLATE(A557, ""en"", ""hi"")"),"556")</f>
        <v>556</v>
      </c>
      <c r="G557" s="5" t="str">
        <f>IFERROR(__xludf.DUMMYFUNCTION("GOOGLETRANSLATE(B557, ""en"", ""hi"")"),"मुकना कुश्ती प्रथाओं पर औपनिवेशिक शासन का प्रमुख प्रभाव क्या था?")</f>
        <v>मुकना कुश्ती प्रथाओं पर औपनिवेशिक शासन का प्रमुख प्रभाव क्या था?</v>
      </c>
      <c r="H557" s="5" t="str">
        <f>IFERROR(__xludf.DUMMYFUNCTION("GOOGLETRANSLATE(C557, ""en"", ""hi"")"),"A) पारंपरिक प्रथा में गिरावट, B) मान्यता में वृद्धि, C) संरक्षण के प्रयास, D) संस्थागतकरण")</f>
        <v>A) पारंपरिक प्रथा में गिरावट, B) मान्यता में वृद्धि, C) संरक्षण के प्रयास, D) संस्थागतकरण</v>
      </c>
      <c r="I557" s="5" t="str">
        <f>IFERROR(__xludf.DUMMYFUNCTION("GOOGLETRANSLATE(D557, ""en"", ""hi"")"),"A) पारंपरिक प्रथा में गिरावट")</f>
        <v>A) पारंपरिक प्रथा में गिरावट</v>
      </c>
    </row>
    <row r="558" ht="22.5" customHeight="1">
      <c r="A558" s="3">
        <v>557.0</v>
      </c>
      <c r="B558" s="4" t="s">
        <v>14133</v>
      </c>
      <c r="C558" s="4" t="s">
        <v>13687</v>
      </c>
      <c r="D558" s="4" t="s">
        <v>12361</v>
      </c>
      <c r="F558" s="5" t="str">
        <f>IFERROR(__xludf.DUMMYFUNCTION("GOOGLETRANSLATE(A558, ""en"", ""hi"")"),"557")</f>
        <v>557</v>
      </c>
      <c r="G558" s="5" t="str">
        <f>IFERROR(__xludf.DUMMYFUNCTION("GOOGLETRANSLATE(B558, ""en"", ""hi"")"),"19वीं शताब्दी में मुकना कुश्ती का दस्तावेजीकरण करने में किस मणिपुरी शासक की महत्वपूर्ण भूमिका थी?")</f>
        <v>19वीं शताब्दी में मुकना कुश्ती का दस्तावेजीकरण करने में किस मणिपुरी शासक की महत्वपूर्ण भूमिका थी?</v>
      </c>
      <c r="H558" s="5" t="str">
        <f>IFERROR(__xludf.DUMMYFUNCTION("GOOGLETRANSLATE(C558,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558" s="5" t="str">
        <f>IFERROR(__xludf.DUMMYFUNCTION("GOOGLETRANSLATE(D558, ""en"", ""hi"")"),"A) महाराजा गंभीर सिंह")</f>
        <v>A) महाराजा गंभीर सिंह</v>
      </c>
    </row>
    <row r="559" ht="22.5" customHeight="1">
      <c r="A559" s="3">
        <v>558.0</v>
      </c>
      <c r="B559" s="4" t="s">
        <v>14134</v>
      </c>
      <c r="C559" s="4" t="s">
        <v>13974</v>
      </c>
      <c r="D559" s="4" t="s">
        <v>13948</v>
      </c>
      <c r="F559" s="5" t="str">
        <f>IFERROR(__xludf.DUMMYFUNCTION("GOOGLETRANSLATE(A559, ""en"", ""hi"")"),"558")</f>
        <v>558</v>
      </c>
      <c r="G559" s="5" t="str">
        <f>IFERROR(__xludf.DUMMYFUNCTION("GOOGLETRANSLATE(B559, ""en"", ""hi"")"),"ऐतिहासिक समय में मुकना पहलवानों की पारंपरिक पोशाक क्या थी?")</f>
        <v>ऐतिहासिक समय में मुकना पहलवानों की पारंपरिक पोशाक क्या थी?</v>
      </c>
      <c r="H559" s="5" t="str">
        <f>IFERROR(__xludf.DUMMYFUNCTION("GOOGLETRANSLATE(C559, ""en"", ""hi"")"),"A) ढीले-ढाले वस्त्र, B) रेशमी वस्त्र, C) चमड़े का कवच, D) ऊनी पोशाक")</f>
        <v>A) ढीले-ढाले वस्त्र, B) रेशमी वस्त्र, C) चमड़े का कवच, D) ऊनी पोशाक</v>
      </c>
      <c r="I559" s="5" t="str">
        <f>IFERROR(__xludf.DUMMYFUNCTION("GOOGLETRANSLATE(D559, ""en"", ""hi"")"),"A) ढीले-ढाले वस्त्र")</f>
        <v>A) ढीले-ढाले वस्त्र</v>
      </c>
    </row>
    <row r="560" ht="22.5" customHeight="1">
      <c r="A560" s="3">
        <v>559.0</v>
      </c>
      <c r="B560" s="4" t="s">
        <v>14135</v>
      </c>
      <c r="C560" s="4" t="s">
        <v>13704</v>
      </c>
      <c r="D560" s="4" t="s">
        <v>13474</v>
      </c>
      <c r="F560" s="5" t="str">
        <f>IFERROR(__xludf.DUMMYFUNCTION("GOOGLETRANSLATE(A560, ""en"", ""hi"")"),"559")</f>
        <v>559</v>
      </c>
      <c r="G560" s="5" t="str">
        <f>IFERROR(__xludf.DUMMYFUNCTION("GOOGLETRANSLATE(B560, ""en"", ""hi"")"),"मुकना कुश्ती के इतिहास का प्राथमिक स्रोत कौन सा ग्रन्थ है?")</f>
        <v>मुकना कुश्ती के इतिहास का प्राथमिक स्रोत कौन सा ग्रन्थ है?</v>
      </c>
      <c r="H560" s="5" t="str">
        <f>IFERROR(__xludf.DUMMYFUNCTION("GOOGLETRANSLATE(C560, ""en"", ""hi"")"),"ए) बुरांजी, बी) राजमाला, सी) मणिपुरी वेद, डी) मनुस्मृति")</f>
        <v>ए) बुरांजी, बी) राजमाला, सी) मणिपुरी वेद, डी) मनुस्मृति</v>
      </c>
      <c r="I560" s="5" t="str">
        <f>IFERROR(__xludf.DUMMYFUNCTION("GOOGLETRANSLATE(D560, ""en"", ""hi"")"),"ए) बुरांजी")</f>
        <v>ए) बुरांजी</v>
      </c>
    </row>
    <row r="561" ht="22.5" customHeight="1">
      <c r="A561" s="3">
        <v>560.0</v>
      </c>
      <c r="B561" s="4" t="s">
        <v>14108</v>
      </c>
      <c r="C561" s="4" t="s">
        <v>14109</v>
      </c>
      <c r="D561" s="4" t="s">
        <v>14110</v>
      </c>
      <c r="F561" s="5" t="str">
        <f>IFERROR(__xludf.DUMMYFUNCTION("GOOGLETRANSLATE(A561, ""en"", ""hi"")"),"560")</f>
        <v>560</v>
      </c>
      <c r="G561" s="5" t="str">
        <f>IFERROR(__xludf.DUMMYFUNCTION("GOOGLETRANSLATE(B561, ""en"", ""hi"")"),"ऐतिहासिक मणिपुर में मुकना कुश्ती मुकाबलों की एक सामान्य विशेषता क्या थी?")</f>
        <v>ऐतिहासिक मणिपुर में मुकना कुश्ती मुकाबलों की एक सामान्य विशेषता क्या थी?</v>
      </c>
      <c r="H561" s="5" t="str">
        <f>IFERROR(__xludf.DUMMYFUNCTION("GOOGLETRANSLATE(C561, ""en"", ""hi"")"),"A) पारंपरिक संगीत, B) अनुष्ठानिक प्रसाद, C) दर्शकों की भागीदारी, D) सख्त नियम")</f>
        <v>A) पारंपरिक संगीत, B) अनुष्ठानिक प्रसाद, C) दर्शकों की भागीदारी, D) सख्त नियम</v>
      </c>
      <c r="I561" s="5" t="str">
        <f>IFERROR(__xludf.DUMMYFUNCTION("GOOGLETRANSLATE(D561, ""en"", ""hi"")"),"ए) पारंपरिक संगीत")</f>
        <v>ए) पारंपरिक संगीत</v>
      </c>
    </row>
    <row r="562" ht="22.5" customHeight="1">
      <c r="A562" s="3">
        <v>561.0</v>
      </c>
      <c r="B562" s="4" t="s">
        <v>14136</v>
      </c>
      <c r="C562" s="4" t="s">
        <v>14137</v>
      </c>
      <c r="D562" s="4" t="s">
        <v>13882</v>
      </c>
      <c r="F562" s="5" t="str">
        <f>IFERROR(__xludf.DUMMYFUNCTION("GOOGLETRANSLATE(A562, ""en"", ""hi"")"),"561")</f>
        <v>561</v>
      </c>
      <c r="G562" s="5" t="str">
        <f>IFERROR(__xludf.DUMMYFUNCTION("GOOGLETRANSLATE(B562, ""en"", ""hi"")"),"19वीं सदी के मणिपुरी समाज में मुकना कुश्ती का प्राथमिक कार्य क्या था?")</f>
        <v>19वीं सदी के मणिपुरी समाज में मुकना कुश्ती का प्राथमिक कार्य क्या था?</v>
      </c>
      <c r="H562" s="5" t="str">
        <f>IFERROR(__xludf.DUMMYFUNCTION("GOOGLETRANSLATE(C562, ""en"", ""hi"")"),"A) युद्ध प्रशिक्षण, B) मनोरंजन, C) सामाजिक संबंध, D) अनुष्ठानिक अभ्यास")</f>
        <v>A) युद्ध प्रशिक्षण, B) मनोरंजन, C) सामाजिक संबंध, D) अनुष्ठानिक अभ्यास</v>
      </c>
      <c r="I562" s="5" t="str">
        <f>IFERROR(__xludf.DUMMYFUNCTION("GOOGLETRANSLATE(D562, ""en"", ""hi"")"),"ए) युद्ध प्रशिक्षण")</f>
        <v>ए) युद्ध प्रशिक्षण</v>
      </c>
    </row>
    <row r="563" ht="22.5" customHeight="1">
      <c r="A563" s="3">
        <v>562.0</v>
      </c>
      <c r="B563" s="4" t="s">
        <v>14138</v>
      </c>
      <c r="C563" s="4" t="s">
        <v>12793</v>
      </c>
      <c r="D563" s="4" t="s">
        <v>11987</v>
      </c>
      <c r="F563" s="5" t="str">
        <f>IFERROR(__xludf.DUMMYFUNCTION("GOOGLETRANSLATE(A563, ""en"", ""hi"")"),"562")</f>
        <v>562</v>
      </c>
      <c r="G563" s="5" t="str">
        <f>IFERROR(__xludf.DUMMYFUNCTION("GOOGLETRANSLATE(B563, ""en"", ""hi"")"),"कौन सा मणिपुरी त्यौहार मुकना कुश्ती प्रतियोगिताओं के लिए जाना जाता है?")</f>
        <v>कौन सा मणिपुरी त्यौहार मुकना कुश्ती प्रतियोगिताओं के लिए जाना जाता है?</v>
      </c>
      <c r="H563" s="5" t="str">
        <f>IFERROR(__xludf.DUMMYFUNCTION("GOOGLETRANSLATE(C563, ""en"", ""hi"")"),"ए) याओशांग, बी) लाई हराओबा, सी) निंगोल चाकोउबा, डी) चेइराओबा")</f>
        <v>ए) याओशांग, बी) लाई हराओबा, सी) निंगोल चाकोउबा, डी) चेइराओबा</v>
      </c>
      <c r="I563" s="5" t="str">
        <f>IFERROR(__xludf.DUMMYFUNCTION("GOOGLETRANSLATE(D563, ""en"", ""hi"")"),"ए) योशांग")</f>
        <v>ए) योशांग</v>
      </c>
    </row>
    <row r="564" ht="22.5" customHeight="1">
      <c r="A564" s="3">
        <v>563.0</v>
      </c>
      <c r="B564" s="4" t="s">
        <v>14139</v>
      </c>
      <c r="C564" s="4" t="s">
        <v>14140</v>
      </c>
      <c r="D564" s="4" t="s">
        <v>13827</v>
      </c>
      <c r="F564" s="5" t="str">
        <f>IFERROR(__xludf.DUMMYFUNCTION("GOOGLETRANSLATE(A564, ""en"", ""hi"")"),"563")</f>
        <v>563</v>
      </c>
      <c r="G564" s="5" t="str">
        <f>IFERROR(__xludf.DUMMYFUNCTION("GOOGLETRANSLATE(B564, ""en"", ""hi"")"),"ऐतिहासिक रूप से मणिपुरी सैन्य प्रशिक्षण में मुकना कुश्ती की क्या भूमिका थी?")</f>
        <v>ऐतिहासिक रूप से मणिपुरी सैन्य प्रशिक्षण में मुकना कुश्ती की क्या भूमिका थी?</v>
      </c>
      <c r="H564" s="5" t="str">
        <f>IFERROR(__xludf.DUMMYFUNCTION("GOOGLETRANSLATE(C564, ""en"", ""hi"")"),"A) युद्ध तत्परता, B) शारीरिक फिटनेस, C) मानसिक दृढ़ता, D) सामरिक कौशल")</f>
        <v>A) युद्ध तत्परता, B) शारीरिक फिटनेस, C) मानसिक दृढ़ता, D) सामरिक कौशल</v>
      </c>
      <c r="I564" s="5" t="str">
        <f>IFERROR(__xludf.DUMMYFUNCTION("GOOGLETRANSLATE(D564, ""en"", ""hi"")"),"ए) युद्ध तत्परता")</f>
        <v>ए) युद्ध तत्परता</v>
      </c>
    </row>
    <row r="565" ht="22.5" customHeight="1">
      <c r="A565" s="3">
        <v>564.0</v>
      </c>
      <c r="B565" s="4" t="s">
        <v>14141</v>
      </c>
      <c r="C565" s="4" t="s">
        <v>13619</v>
      </c>
      <c r="D565" s="4" t="s">
        <v>13331</v>
      </c>
      <c r="F565" s="5" t="str">
        <f>IFERROR(__xludf.DUMMYFUNCTION("GOOGLETRANSLATE(A565, ""en"", ""hi"")"),"564")</f>
        <v>564</v>
      </c>
      <c r="G565" s="5" t="str">
        <f>IFERROR(__xludf.DUMMYFUNCTION("GOOGLETRANSLATE(B565, ""en"", ""hi"")"),"किस मणिपुरी राजा ने 20वीं शताब्दी में मुकना कुश्ती प्रथाओं को पुनर्जीवित करने के लिए महत्वपूर्ण प्रयास किए?")</f>
        <v>किस मणिपुरी राजा ने 20वीं शताब्दी में मुकना कुश्ती प्रथाओं को पुनर्जीवित करने के लिए महत्वपूर्ण प्रयास किए?</v>
      </c>
      <c r="H565" s="5" t="str">
        <f>IFERROR(__xludf.DUMMYFUNCTION("GOOGLETRANSLATE(C565,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65" s="5" t="str">
        <f>IFERROR(__xludf.DUMMYFUNCTION("GOOGLETRANSLATE(D565, ""en"", ""hi"")"),"A) महाराजा चूड़ाचंद सिंह")</f>
        <v>A) महाराजा चूड़ाचंद सिंह</v>
      </c>
    </row>
    <row r="566" ht="22.5" customHeight="1">
      <c r="A566" s="3">
        <v>565.0</v>
      </c>
      <c r="B566" s="4" t="s">
        <v>14082</v>
      </c>
      <c r="C566" s="4" t="s">
        <v>13801</v>
      </c>
      <c r="D566" s="4" t="s">
        <v>13750</v>
      </c>
      <c r="F566" s="5" t="str">
        <f>IFERROR(__xludf.DUMMYFUNCTION("GOOGLETRANSLATE(A566, ""en"", ""hi"")"),"565")</f>
        <v>565</v>
      </c>
      <c r="G566" s="5" t="str">
        <f>IFERROR(__xludf.DUMMYFUNCTION("GOOGLETRANSLATE(B566,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566" s="5" t="str">
        <f>IFERROR(__xludf.DUMMYFUNCTION("GOOGLETRANSLATE(C566, ""en"", ""hi"")"),"A) पुआल, B) जूट, C) कपास, D) बांस")</f>
        <v>A) पुआल, B) जूट, C) कपास, D) बांस</v>
      </c>
      <c r="I566" s="5" t="str">
        <f>IFERROR(__xludf.DUMMYFUNCTION("GOOGLETRANSLATE(D566, ""en"", ""hi"")"),"एक पुआल")</f>
        <v>एक पुआल</v>
      </c>
    </row>
    <row r="567" ht="22.5" customHeight="1">
      <c r="A567" s="3">
        <v>566.0</v>
      </c>
      <c r="B567" s="4" t="s">
        <v>14142</v>
      </c>
      <c r="C567" s="4" t="s">
        <v>13704</v>
      </c>
      <c r="D567" s="4" t="s">
        <v>13474</v>
      </c>
      <c r="F567" s="5" t="str">
        <f>IFERROR(__xludf.DUMMYFUNCTION("GOOGLETRANSLATE(A567, ""en"", ""hi"")"),"566")</f>
        <v>566</v>
      </c>
      <c r="G567" s="5" t="str">
        <f>IFERROR(__xludf.DUMMYFUNCTION("GOOGLETRANSLATE(B567, ""en"", ""hi"")"),"कौन सा ऐतिहासिक ग्रंथ मुकना कुश्ती तकनीकों और प्रथाओं के बारे में जानकारी प्रदान करता है?")</f>
        <v>कौन सा ऐतिहासिक ग्रंथ मुकना कुश्ती तकनीकों और प्रथाओं के बारे में जानकारी प्रदान करता है?</v>
      </c>
      <c r="H567" s="5" t="str">
        <f>IFERROR(__xludf.DUMMYFUNCTION("GOOGLETRANSLATE(C567, ""en"", ""hi"")"),"ए) बुरांजी, बी) राजमाला, सी) मणिपुरी वेद, डी) मनुस्मृति")</f>
        <v>ए) बुरांजी, बी) राजमाला, सी) मणिपुरी वेद, डी) मनुस्मृति</v>
      </c>
      <c r="I567" s="5" t="str">
        <f>IFERROR(__xludf.DUMMYFUNCTION("GOOGLETRANSLATE(D567, ""en"", ""hi"")"),"ए) बुरांजी")</f>
        <v>ए) बुरांजी</v>
      </c>
    </row>
    <row r="568" ht="22.5" customHeight="1">
      <c r="A568" s="3">
        <v>567.0</v>
      </c>
      <c r="B568" s="4" t="s">
        <v>14143</v>
      </c>
      <c r="C568" s="4" t="s">
        <v>14144</v>
      </c>
      <c r="D568" s="4" t="s">
        <v>14145</v>
      </c>
      <c r="F568" s="5" t="str">
        <f>IFERROR(__xludf.DUMMYFUNCTION("GOOGLETRANSLATE(A568, ""en"", ""hi"")"),"567")</f>
        <v>567</v>
      </c>
      <c r="G568" s="5" t="str">
        <f>IFERROR(__xludf.DUMMYFUNCTION("GOOGLETRANSLATE(B568, ""en"", ""hi"")"),"ब्रिटिश औपनिवेशिक शासन ने मणिपुर में मुकना कुश्ती को कैसे प्रभावित किया?")</f>
        <v>ब्रिटिश औपनिवेशिक शासन ने मणिपुर में मुकना कुश्ती को कैसे प्रभावित किया?</v>
      </c>
      <c r="H568" s="5" t="str">
        <f>IFERROR(__xludf.DUMMYFUNCTION("GOOGLETRANSLATE(C568, ""en"", ""hi"")"),"A) व्यवहार में गिरावट, B) बढ़ती लोकप्रियता, C) संस्थागतकरण, D) सांस्कृतिक पुनरुत्थान")</f>
        <v>A) व्यवहार में गिरावट, B) बढ़ती लोकप्रियता, C) संस्थागतकरण, D) सांस्कृतिक पुनरुत्थान</v>
      </c>
      <c r="I568" s="5" t="str">
        <f>IFERROR(__xludf.DUMMYFUNCTION("GOOGLETRANSLATE(D568, ""en"", ""hi"")"),"A) व्यवहार में गिरावट")</f>
        <v>A) व्यवहार में गिरावट</v>
      </c>
    </row>
    <row r="569" ht="22.5" customHeight="1">
      <c r="A569" s="3">
        <v>568.0</v>
      </c>
      <c r="B569" s="4" t="s">
        <v>14146</v>
      </c>
      <c r="C569" s="4" t="s">
        <v>13687</v>
      </c>
      <c r="D569" s="4" t="s">
        <v>12361</v>
      </c>
      <c r="F569" s="5" t="str">
        <f>IFERROR(__xludf.DUMMYFUNCTION("GOOGLETRANSLATE(A569, ""en"", ""hi"")"),"568")</f>
        <v>568</v>
      </c>
      <c r="G569" s="5" t="str">
        <f>IFERROR(__xludf.DUMMYFUNCTION("GOOGLETRANSLATE(B569, ""en"", ""hi"")"),"19वीं शताब्दी में किस राजा के शासनकाल में मुकना कुश्ती प्रथाओं का दस्तावेजीकरण हुआ?")</f>
        <v>19वीं शताब्दी में किस राजा के शासनकाल में मुकना कुश्ती प्रथाओं का दस्तावेजीकरण हुआ?</v>
      </c>
      <c r="H569" s="5" t="str">
        <f>IFERROR(__xludf.DUMMYFUNCTION("GOOGLETRANSLATE(C569,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569" s="5" t="str">
        <f>IFERROR(__xludf.DUMMYFUNCTION("GOOGLETRANSLATE(D569, ""en"", ""hi"")"),"A) महाराजा गंभीर सिंह")</f>
        <v>A) महाराजा गंभीर सिंह</v>
      </c>
    </row>
    <row r="570" ht="22.5" customHeight="1">
      <c r="A570" s="3">
        <v>569.0</v>
      </c>
      <c r="B570" s="4" t="s">
        <v>14125</v>
      </c>
      <c r="C570" s="4" t="s">
        <v>14147</v>
      </c>
      <c r="D570" s="4" t="s">
        <v>9447</v>
      </c>
      <c r="F570" s="5" t="str">
        <f>IFERROR(__xludf.DUMMYFUNCTION("GOOGLETRANSLATE(A570, ""en"", ""hi"")"),"569")</f>
        <v>569</v>
      </c>
      <c r="G570" s="5" t="str">
        <f>IFERROR(__xludf.DUMMYFUNCTION("GOOGLETRANSLATE(B570, ""en"", ""hi"")"),"पारंपरिक मणिपुर में मुकना कुश्ती प्रशिक्षण का प्राथमिक केंद्र क्या था?")</f>
        <v>पारंपरिक मणिपुर में मुकना कुश्ती प्रशिक्षण का प्राथमिक केंद्र क्या था?</v>
      </c>
      <c r="H570" s="5" t="str">
        <f>IFERROR(__xludf.DUMMYFUNCTION("GOOGLETRANSLATE(C570, ""en"", ""hi"")"),"A) युद्ध तकनीक, B) शारीरिक सहनशक्ति, C) अनुष्ठान प्रथाएँ, D) सामाजिक संपर्क")</f>
        <v>A) युद्ध तकनीक, B) शारीरिक सहनशक्ति, C) अनुष्ठान प्रथाएँ, D) सामाजिक संपर्क</v>
      </c>
      <c r="I570" s="5" t="str">
        <f>IFERROR(__xludf.DUMMYFUNCTION("GOOGLETRANSLATE(D570, ""en"", ""hi"")"),"A) युद्ध तकनीकें")</f>
        <v>A) युद्ध तकनीकें</v>
      </c>
    </row>
    <row r="571" ht="22.5" customHeight="1">
      <c r="A571" s="3">
        <v>570.0</v>
      </c>
      <c r="B571" s="4" t="s">
        <v>14148</v>
      </c>
      <c r="C571" s="4" t="s">
        <v>13974</v>
      </c>
      <c r="D571" s="4" t="s">
        <v>13948</v>
      </c>
      <c r="F571" s="5" t="str">
        <f>IFERROR(__xludf.DUMMYFUNCTION("GOOGLETRANSLATE(A571, ""en"", ""hi"")"),"570")</f>
        <v>570</v>
      </c>
      <c r="G571" s="5" t="str">
        <f>IFERROR(__xludf.DUMMYFUNCTION("GOOGLETRANSLATE(B571, ""en"", ""hi"")"),"ऐतिहासिक समय में मुकना कुश्ती पोशाक की एक सामान्य विशेषता क्या थी?")</f>
        <v>ऐतिहासिक समय में मुकना कुश्ती पोशाक की एक सामान्य विशेषता क्या थी?</v>
      </c>
      <c r="H571" s="5" t="str">
        <f>IFERROR(__xludf.DUMMYFUNCTION("GOOGLETRANSLATE(C571, ""en"", ""hi"")"),"A) ढीले-ढाले वस्त्र, B) रेशमी वस्त्र, C) चमड़े का कवच, D) ऊनी पोशाक")</f>
        <v>A) ढीले-ढाले वस्त्र, B) रेशमी वस्त्र, C) चमड़े का कवच, D) ऊनी पोशाक</v>
      </c>
      <c r="I571" s="5" t="str">
        <f>IFERROR(__xludf.DUMMYFUNCTION("GOOGLETRANSLATE(D571, ""en"", ""hi"")"),"A) ढीले-ढाले वस्त्र")</f>
        <v>A) ढीले-ढाले वस्त्र</v>
      </c>
    </row>
    <row r="572" ht="22.5" customHeight="1">
      <c r="A572" s="3">
        <v>571.0</v>
      </c>
      <c r="B572" s="4" t="s">
        <v>14149</v>
      </c>
      <c r="C572" s="4" t="s">
        <v>12389</v>
      </c>
      <c r="D572" s="4" t="s">
        <v>12086</v>
      </c>
      <c r="F572" s="5" t="str">
        <f>IFERROR(__xludf.DUMMYFUNCTION("GOOGLETRANSLATE(A572, ""en"", ""hi"")"),"571")</f>
        <v>571</v>
      </c>
      <c r="G572" s="5" t="str">
        <f>IFERROR(__xludf.DUMMYFUNCTION("GOOGLETRANSLATE(B572, ""en"", ""hi"")"),"कौन सा मणिपुरी त्योहार ऐतिहासिक रूप से मुकना कुश्ती प्रतियोगिताओं से जुड़ा हुआ है?")</f>
        <v>कौन सा मणिपुरी त्योहार ऐतिहासिक रूप से मुकना कुश्ती प्रतियोगिताओं से जुड़ा हुआ है?</v>
      </c>
      <c r="H572" s="5" t="str">
        <f>IFERROR(__xludf.DUMMYFUNCTION("GOOGLETRANSLATE(C572, ""en"", ""hi"")"),"ए) लाई हराओबा, बी) याओशांग, सी) निंगोल चाकोउबा, डी) चेइराओबा")</f>
        <v>ए) लाई हराओबा, बी) याओशांग, सी) निंगोल चाकोउबा, डी) चेइराओबा</v>
      </c>
      <c r="I572" s="5" t="str">
        <f>IFERROR(__xludf.DUMMYFUNCTION("GOOGLETRANSLATE(D572, ""en"", ""hi"")"),"A) लाई हरोबा")</f>
        <v>A) लाई हरोबा</v>
      </c>
    </row>
    <row r="573" ht="22.5" customHeight="1">
      <c r="A573" s="3">
        <v>572.0</v>
      </c>
      <c r="B573" s="4" t="s">
        <v>14150</v>
      </c>
      <c r="C573" s="4" t="s">
        <v>14151</v>
      </c>
      <c r="D573" s="4" t="s">
        <v>14152</v>
      </c>
      <c r="F573" s="5" t="str">
        <f>IFERROR(__xludf.DUMMYFUNCTION("GOOGLETRANSLATE(A573, ""en"", ""hi"")"),"572")</f>
        <v>572</v>
      </c>
      <c r="G573" s="5" t="str">
        <f>IFERROR(__xludf.DUMMYFUNCTION("GOOGLETRANSLATE(B573, ""en"", ""hi"")"),"ब्रिटिश उपनिवेशवाद का मुकना कुश्ती के अभ्यास पर क्या प्रभाव पड़ा?")</f>
        <v>ब्रिटिश उपनिवेशवाद का मुकना कुश्ती के अभ्यास पर क्या प्रभाव पड़ा?</v>
      </c>
      <c r="H573" s="5" t="str">
        <f>IFERROR(__xludf.DUMMYFUNCTION("GOOGLETRANSLATE(C573, ""en"", ""hi"")"),"A) पारंपरिक प्रथाओं में गिरावट, B) लोकप्रियता में वृद्धि, C) संरक्षण, D) संस्थागतकरण")</f>
        <v>A) पारंपरिक प्रथाओं में गिरावट, B) लोकप्रियता में वृद्धि, C) संरक्षण, D) संस्थागतकरण</v>
      </c>
      <c r="I573" s="5" t="str">
        <f>IFERROR(__xludf.DUMMYFUNCTION("GOOGLETRANSLATE(D573, ""en"", ""hi"")"),"A) पारंपरिक प्रथाओं में गिरावट")</f>
        <v>A) पारंपरिक प्रथाओं में गिरावट</v>
      </c>
    </row>
    <row r="574" ht="22.5" customHeight="1">
      <c r="A574" s="3">
        <v>573.0</v>
      </c>
      <c r="B574" s="4" t="s">
        <v>14153</v>
      </c>
      <c r="C574" s="4" t="s">
        <v>13704</v>
      </c>
      <c r="D574" s="4" t="s">
        <v>13474</v>
      </c>
      <c r="F574" s="5" t="str">
        <f>IFERROR(__xludf.DUMMYFUNCTION("GOOGLETRANSLATE(A574, ""en"", ""hi"")"),"573")</f>
        <v>573</v>
      </c>
      <c r="G574" s="5" t="str">
        <f>IFERROR(__xludf.DUMMYFUNCTION("GOOGLETRANSLATE(B574, ""en"", ""hi"")"),"मुकना कुश्ती के इतिहास को समझने के लिए कौन सा ग्रन्थ आवश्यक स्रोत है?")</f>
        <v>मुकना कुश्ती के इतिहास को समझने के लिए कौन सा ग्रन्थ आवश्यक स्रोत है?</v>
      </c>
      <c r="H574" s="5" t="str">
        <f>IFERROR(__xludf.DUMMYFUNCTION("GOOGLETRANSLATE(C574, ""en"", ""hi"")"),"ए) बुरांजी, बी) राजमाला, सी) मणिपुरी वेद, डी) मनुस्मृति")</f>
        <v>ए) बुरांजी, बी) राजमाला, सी) मणिपुरी वेद, डी) मनुस्मृति</v>
      </c>
      <c r="I574" s="5" t="str">
        <f>IFERROR(__xludf.DUMMYFUNCTION("GOOGLETRANSLATE(D574, ""en"", ""hi"")"),"ए) बुरांजी")</f>
        <v>ए) बुरांजी</v>
      </c>
    </row>
    <row r="575" ht="22.5" customHeight="1">
      <c r="A575" s="3">
        <v>574.0</v>
      </c>
      <c r="B575" s="4" t="s">
        <v>14154</v>
      </c>
      <c r="C575" s="4" t="s">
        <v>14155</v>
      </c>
      <c r="D575" s="4" t="s">
        <v>13827</v>
      </c>
      <c r="F575" s="5" t="str">
        <f>IFERROR(__xludf.DUMMYFUNCTION("GOOGLETRANSLATE(A575, ""en"", ""hi"")"),"574")</f>
        <v>574</v>
      </c>
      <c r="G575" s="5" t="str">
        <f>IFERROR(__xludf.DUMMYFUNCTION("GOOGLETRANSLATE(B575, ""en"", ""hi"")"),"औपनिवेशिक काल के दौरान मणिपुरी समाज में मुकना कुश्ती की पारंपरिक भूमिका क्या थी?")</f>
        <v>औपनिवेशिक काल के दौरान मणिपुरी समाज में मुकना कुश्ती की पारंपरिक भूमिका क्या थी?</v>
      </c>
      <c r="H575" s="5" t="str">
        <f>IFERROR(__xludf.DUMMYFUNCTION("GOOGLETRANSLATE(C575, ""en"", ""hi"")"),"A) युद्ध की तैयारी, B) मनोरंजन, C) अनुष्ठान अभ्यास, D) सामाजिक बंधन")</f>
        <v>A) युद्ध की तैयारी, B) मनोरंजन, C) अनुष्ठान अभ्यास, D) सामाजिक बंधन</v>
      </c>
      <c r="I575" s="5" t="str">
        <f>IFERROR(__xludf.DUMMYFUNCTION("GOOGLETRANSLATE(D575, ""en"", ""hi"")"),"ए) युद्ध तत्परता")</f>
        <v>ए) युद्ध तत्परता</v>
      </c>
    </row>
    <row r="576" ht="22.5" customHeight="1">
      <c r="A576" s="3">
        <v>575.0</v>
      </c>
      <c r="B576" s="4" t="s">
        <v>14156</v>
      </c>
      <c r="C576" s="4" t="s">
        <v>13687</v>
      </c>
      <c r="D576" s="4" t="s">
        <v>12361</v>
      </c>
      <c r="F576" s="5" t="str">
        <f>IFERROR(__xludf.DUMMYFUNCTION("GOOGLETRANSLATE(A576, ""en"", ""hi"")"),"575")</f>
        <v>575</v>
      </c>
      <c r="G576" s="5" t="str">
        <f>IFERROR(__xludf.DUMMYFUNCTION("GOOGLETRANSLATE(B576, ""en"", ""hi"")"),"कौन सा मणिपुरी शासक मुकना कुश्ती प्रथाओं के दस्तावेजीकरण में अपने योगदान के लिए जाना जाता है?")</f>
        <v>कौन सा मणिपुरी शासक मुकना कुश्ती प्रथाओं के दस्तावेजीकरण में अपने योगदान के लिए जाना जाता है?</v>
      </c>
      <c r="H576" s="5" t="str">
        <f>IFERROR(__xludf.DUMMYFUNCTION("GOOGLETRANSLATE(C576,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576" s="5" t="str">
        <f>IFERROR(__xludf.DUMMYFUNCTION("GOOGLETRANSLATE(D576, ""en"", ""hi"")"),"A) महाराजा गंभीर सिंह")</f>
        <v>A) महाराजा गंभीर सिंह</v>
      </c>
    </row>
    <row r="577" ht="22.5" customHeight="1">
      <c r="A577" s="3">
        <v>576.0</v>
      </c>
      <c r="B577" s="4" t="s">
        <v>14082</v>
      </c>
      <c r="C577" s="4" t="s">
        <v>13801</v>
      </c>
      <c r="D577" s="4" t="s">
        <v>13750</v>
      </c>
      <c r="F577" s="5" t="str">
        <f>IFERROR(__xludf.DUMMYFUNCTION("GOOGLETRANSLATE(A577, ""en"", ""hi"")"),"576")</f>
        <v>576</v>
      </c>
      <c r="G577" s="5" t="str">
        <f>IFERROR(__xludf.DUMMYFUNCTION("GOOGLETRANSLATE(B577,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577" s="5" t="str">
        <f>IFERROR(__xludf.DUMMYFUNCTION("GOOGLETRANSLATE(C577, ""en"", ""hi"")"),"A) पुआल, B) जूट, C) कपास, D) बांस")</f>
        <v>A) पुआल, B) जूट, C) कपास, D) बांस</v>
      </c>
      <c r="I577" s="5" t="str">
        <f>IFERROR(__xludf.DUMMYFUNCTION("GOOGLETRANSLATE(D577, ""en"", ""hi"")"),"एक पुआल")</f>
        <v>एक पुआल</v>
      </c>
    </row>
    <row r="578" ht="22.5" customHeight="1">
      <c r="A578" s="3">
        <v>577.0</v>
      </c>
      <c r="B578" s="4" t="s">
        <v>14128</v>
      </c>
      <c r="C578" s="4" t="s">
        <v>13935</v>
      </c>
      <c r="D578" s="4" t="s">
        <v>13936</v>
      </c>
      <c r="F578" s="5" t="str">
        <f>IFERROR(__xludf.DUMMYFUNCTION("GOOGLETRANSLATE(A578, ""en"", ""hi"")"),"577")</f>
        <v>577</v>
      </c>
      <c r="G578" s="5" t="str">
        <f>IFERROR(__xludf.DUMMYFUNCTION("GOOGLETRANSLATE(B578, ""en"", ""hi"")"),"ब्रिटिश काल के किस लेख में मुकना कुश्ती के सांस्कृतिक पहलुओं पर चर्चा की गई है?")</f>
        <v>ब्रिटिश काल के किस लेख में मुकना कुश्ती के सांस्कृतिक पहलुओं पर चर्चा की गई है?</v>
      </c>
      <c r="H578" s="5" t="str">
        <f>IFERROR(__xludf.DUMMYFUNCTION("GOOGLETRANSLATE(C578,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78" s="5" t="str">
        <f>IFERROR(__xludf.DUMMYFUNCTION("GOOGLETRANSLATE(D578, ""en"", ""hi"")"),"A) जी. ई. हार्वे के लेखन")</f>
        <v>A) जी. ई. हार्वे के लेखन</v>
      </c>
    </row>
    <row r="579" ht="22.5" customHeight="1">
      <c r="A579" s="3">
        <v>578.0</v>
      </c>
      <c r="B579" s="4" t="s">
        <v>14157</v>
      </c>
      <c r="C579" s="4" t="s">
        <v>12793</v>
      </c>
      <c r="D579" s="4" t="s">
        <v>11987</v>
      </c>
      <c r="F579" s="5" t="str">
        <f>IFERROR(__xludf.DUMMYFUNCTION("GOOGLETRANSLATE(A579, ""en"", ""hi"")"),"578")</f>
        <v>578</v>
      </c>
      <c r="G579" s="5" t="str">
        <f>IFERROR(__xludf.DUMMYFUNCTION("GOOGLETRANSLATE(B579, ""en"", ""hi"")"),"कौन सा मणिपुरी त्यौहार मुकना कुश्ती के लिए महत्वपूर्ण है?")</f>
        <v>कौन सा मणिपुरी त्यौहार मुकना कुश्ती के लिए महत्वपूर्ण है?</v>
      </c>
      <c r="H579" s="5" t="str">
        <f>IFERROR(__xludf.DUMMYFUNCTION("GOOGLETRANSLATE(C579, ""en"", ""hi"")"),"ए) याओशांग, बी) लाई हराओबा, सी) निंगोल चाकोउबा, डी) चेइराओबा")</f>
        <v>ए) याओशांग, बी) लाई हराओबा, सी) निंगोल चाकोउबा, डी) चेइराओबा</v>
      </c>
      <c r="I579" s="5" t="str">
        <f>IFERROR(__xludf.DUMMYFUNCTION("GOOGLETRANSLATE(D579, ""en"", ""hi"")"),"ए) योशांग")</f>
        <v>ए) योशांग</v>
      </c>
    </row>
    <row r="580" ht="22.5" customHeight="1">
      <c r="A580" s="3">
        <v>579.0</v>
      </c>
      <c r="B580" s="4" t="s">
        <v>14158</v>
      </c>
      <c r="C580" s="4" t="s">
        <v>14159</v>
      </c>
      <c r="D580" s="4" t="s">
        <v>14145</v>
      </c>
      <c r="F580" s="5" t="str">
        <f>IFERROR(__xludf.DUMMYFUNCTION("GOOGLETRANSLATE(A580, ""en"", ""hi"")"),"579")</f>
        <v>579</v>
      </c>
      <c r="G580" s="5" t="str">
        <f>IFERROR(__xludf.DUMMYFUNCTION("GOOGLETRANSLATE(B580, ""en"", ""hi"")"),"मुकना कुश्ती प्रथाओं पर औपनिवेशिक शासन का क्या प्रभाव पड़ा?")</f>
        <v>मुकना कुश्ती प्रथाओं पर औपनिवेशिक शासन का क्या प्रभाव पड़ा?</v>
      </c>
      <c r="H580" s="5" t="str">
        <f>IFERROR(__xludf.DUMMYFUNCTION("GOOGLETRANSLATE(C580, ""en"", ""hi"")"),"A) व्यवहार में गिरावट, B) मान्यता में वृद्धि, C) संरक्षण के प्रयास, D) संस्थागतकरण")</f>
        <v>A) व्यवहार में गिरावट, B) मान्यता में वृद्धि, C) संरक्षण के प्रयास, D) संस्थागतकरण</v>
      </c>
      <c r="I580" s="5" t="str">
        <f>IFERROR(__xludf.DUMMYFUNCTION("GOOGLETRANSLATE(D580, ""en"", ""hi"")"),"A) व्यवहार में गिरावट")</f>
        <v>A) व्यवहार में गिरावट</v>
      </c>
    </row>
    <row r="581" ht="22.5" customHeight="1">
      <c r="A581" s="3">
        <v>580.0</v>
      </c>
      <c r="B581" s="4" t="s">
        <v>14160</v>
      </c>
      <c r="C581" s="4" t="s">
        <v>13619</v>
      </c>
      <c r="D581" s="4" t="s">
        <v>13331</v>
      </c>
      <c r="F581" s="5" t="str">
        <f>IFERROR(__xludf.DUMMYFUNCTION("GOOGLETRANSLATE(A581, ""en"", ""hi"")"),"580")</f>
        <v>580</v>
      </c>
      <c r="G581" s="5" t="str">
        <f>IFERROR(__xludf.DUMMYFUNCTION("GOOGLETRANSLATE(B581, ""en"", ""hi"")"),"20वीं शताब्दी में किस राजा के शासनकाल में मुकना कुश्ती में महत्वपूर्ण परिवर्तन हुए?")</f>
        <v>20वीं शताब्दी में किस राजा के शासनकाल में मुकना कुश्ती में महत्वपूर्ण परिवर्तन हुए?</v>
      </c>
      <c r="H581" s="5" t="str">
        <f>IFERROR(__xludf.DUMMYFUNCTION("GOOGLETRANSLATE(C581,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81" s="5" t="str">
        <f>IFERROR(__xludf.DUMMYFUNCTION("GOOGLETRANSLATE(D581, ""en"", ""hi"")"),"A) महाराजा चूड़ाचंद सिंह")</f>
        <v>A) महाराजा चूड़ाचंद सिंह</v>
      </c>
    </row>
    <row r="582" ht="22.5" customHeight="1">
      <c r="A582" s="3">
        <v>581.0</v>
      </c>
      <c r="B582" s="4" t="s">
        <v>14161</v>
      </c>
      <c r="C582" s="4" t="s">
        <v>14162</v>
      </c>
      <c r="D582" s="4" t="s">
        <v>14163</v>
      </c>
      <c r="F582" s="5" t="str">
        <f>IFERROR(__xludf.DUMMYFUNCTION("GOOGLETRANSLATE(A582, ""en"", ""hi"")"),"581")</f>
        <v>581</v>
      </c>
      <c r="G582" s="5" t="str">
        <f>IFERROR(__xludf.DUMMYFUNCTION("GOOGLETRANSLATE(B582, ""en"", ""hi"")"),"मणिपुरी त्योहारों के दौरान मुकना कुश्ती का प्रमुख आयोजन क्या था?")</f>
        <v>मणिपुरी त्योहारों के दौरान मुकना कुश्ती का प्रमुख आयोजन क्या था?</v>
      </c>
      <c r="H582" s="5" t="str">
        <f>IFERROR(__xludf.DUMMYFUNCTION("GOOGLETRANSLATE(C582, ""en"", ""hi"")"),"A) सार्वजनिक प्रदर्शन, B) अनुष्ठानिक प्रसाद, C) सामाजिक समारोह, D) मार्शल आर्ट प्रदर्शनियाँ")</f>
        <v>A) सार्वजनिक प्रदर्शन, B) अनुष्ठानिक प्रसाद, C) सामाजिक समारोह, D) मार्शल आर्ट प्रदर्शनियाँ</v>
      </c>
      <c r="I582" s="5" t="str">
        <f>IFERROR(__xludf.DUMMYFUNCTION("GOOGLETRANSLATE(D582, ""en"", ""hi"")"),"ए) सार्वजनिक प्रदर्शन")</f>
        <v>ए) सार्वजनिक प्रदर्शन</v>
      </c>
    </row>
    <row r="583" ht="22.5" customHeight="1">
      <c r="A583" s="3">
        <v>582.0</v>
      </c>
      <c r="B583" s="4" t="s">
        <v>14164</v>
      </c>
      <c r="C583" s="4" t="s">
        <v>13704</v>
      </c>
      <c r="D583" s="4" t="s">
        <v>13474</v>
      </c>
      <c r="F583" s="5" t="str">
        <f>IFERROR(__xludf.DUMMYFUNCTION("GOOGLETRANSLATE(A583, ""en"", ""hi"")"),"582")</f>
        <v>582</v>
      </c>
      <c r="G583" s="5" t="str">
        <f>IFERROR(__xludf.DUMMYFUNCTION("GOOGLETRANSLATE(B583, ""en"", ""hi"")"),"कौन सा ऐतिहासिक ग्रंथ मुकना कुश्ती तकनीक और इतिहास के बारे में जानकारी प्रदान करता है?")</f>
        <v>कौन सा ऐतिहासिक ग्रंथ मुकना कुश्ती तकनीक और इतिहास के बारे में जानकारी प्रदान करता है?</v>
      </c>
      <c r="H583" s="5" t="str">
        <f>IFERROR(__xludf.DUMMYFUNCTION("GOOGLETRANSLATE(C583, ""en"", ""hi"")"),"ए) बुरांजी, बी) राजमाला, सी) मणिपुरी वेद, डी) मनुस्मृति")</f>
        <v>ए) बुरांजी, बी) राजमाला, सी) मणिपुरी वेद, डी) मनुस्मृति</v>
      </c>
      <c r="I583" s="5" t="str">
        <f>IFERROR(__xludf.DUMMYFUNCTION("GOOGLETRANSLATE(D583, ""en"", ""hi"")"),"ए) बुरांजी")</f>
        <v>ए) बुरांजी</v>
      </c>
    </row>
    <row r="584" ht="22.5" customHeight="1">
      <c r="A584" s="3">
        <v>583.0</v>
      </c>
      <c r="B584" s="4" t="s">
        <v>14165</v>
      </c>
      <c r="C584" s="4" t="s">
        <v>14144</v>
      </c>
      <c r="D584" s="4" t="s">
        <v>14145</v>
      </c>
      <c r="F584" s="5" t="str">
        <f>IFERROR(__xludf.DUMMYFUNCTION("GOOGLETRANSLATE(A584, ""en"", ""hi"")"),"583")</f>
        <v>583</v>
      </c>
      <c r="G584" s="5" t="str">
        <f>IFERROR(__xludf.DUMMYFUNCTION("GOOGLETRANSLATE(B584, ""en"", ""hi"")"),"ब्रिटिश औपनिवेशिक शासन ने ऐतिहासिक मणिपुर में मुकना कुश्ती को कैसे प्रभावित किया?")</f>
        <v>ब्रिटिश औपनिवेशिक शासन ने ऐतिहासिक मणिपुर में मुकना कुश्ती को कैसे प्रभावित किया?</v>
      </c>
      <c r="H584" s="5" t="str">
        <f>IFERROR(__xludf.DUMMYFUNCTION("GOOGLETRANSLATE(C584, ""en"", ""hi"")"),"A) व्यवहार में गिरावट, B) बढ़ती लोकप्रियता, C) संस्थागतकरण, D) सांस्कृतिक पुनरुत्थान")</f>
        <v>A) व्यवहार में गिरावट, B) बढ़ती लोकप्रियता, C) संस्थागतकरण, D) सांस्कृतिक पुनरुत्थान</v>
      </c>
      <c r="I584" s="5" t="str">
        <f>IFERROR(__xludf.DUMMYFUNCTION("GOOGLETRANSLATE(D584, ""en"", ""hi"")"),"A) व्यवहार में गिरावट")</f>
        <v>A) व्यवहार में गिरावट</v>
      </c>
    </row>
    <row r="585" ht="22.5" customHeight="1">
      <c r="A585" s="3">
        <v>584.0</v>
      </c>
      <c r="B585" s="4" t="s">
        <v>14166</v>
      </c>
      <c r="C585" s="4" t="s">
        <v>13687</v>
      </c>
      <c r="D585" s="4" t="s">
        <v>12361</v>
      </c>
      <c r="F585" s="5" t="str">
        <f>IFERROR(__xludf.DUMMYFUNCTION("GOOGLETRANSLATE(A585, ""en"", ""hi"")"),"584")</f>
        <v>584</v>
      </c>
      <c r="G585" s="5" t="str">
        <f>IFERROR(__xludf.DUMMYFUNCTION("GOOGLETRANSLATE(B585, ""en"", ""hi"")"),"19वीं शताब्दी में किस मणिपुरी शासक ने मुकना कुश्ती प्रथाओं का दस्तावेजीकरण किया?")</f>
        <v>19वीं शताब्दी में किस मणिपुरी शासक ने मुकना कुश्ती प्रथाओं का दस्तावेजीकरण किया?</v>
      </c>
      <c r="H585" s="5" t="str">
        <f>IFERROR(__xludf.DUMMYFUNCTION("GOOGLETRANSLATE(C585,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585" s="5" t="str">
        <f>IFERROR(__xludf.DUMMYFUNCTION("GOOGLETRANSLATE(D585, ""en"", ""hi"")"),"A) महाराजा गंभीर सिंह")</f>
        <v>A) महाराजा गंभीर सिंह</v>
      </c>
    </row>
    <row r="586" ht="22.5" customHeight="1">
      <c r="A586" s="3">
        <v>585.0</v>
      </c>
      <c r="B586" s="4" t="s">
        <v>14148</v>
      </c>
      <c r="C586" s="4" t="s">
        <v>13974</v>
      </c>
      <c r="D586" s="4" t="s">
        <v>13948</v>
      </c>
      <c r="F586" s="5" t="str">
        <f>IFERROR(__xludf.DUMMYFUNCTION("GOOGLETRANSLATE(A586, ""en"", ""hi"")"),"585")</f>
        <v>585</v>
      </c>
      <c r="G586" s="5" t="str">
        <f>IFERROR(__xludf.DUMMYFUNCTION("GOOGLETRANSLATE(B586, ""en"", ""hi"")"),"ऐतिहासिक समय में मुकना कुश्ती पोशाक की एक सामान्य विशेषता क्या थी?")</f>
        <v>ऐतिहासिक समय में मुकना कुश्ती पोशाक की एक सामान्य विशेषता क्या थी?</v>
      </c>
      <c r="H586" s="5" t="str">
        <f>IFERROR(__xludf.DUMMYFUNCTION("GOOGLETRANSLATE(C586, ""en"", ""hi"")"),"A) ढीले-ढाले वस्त्र, B) रेशमी वस्त्र, C) चमड़े का कवच, D) ऊनी पोशाक")</f>
        <v>A) ढीले-ढाले वस्त्र, B) रेशमी वस्त्र, C) चमड़े का कवच, D) ऊनी पोशाक</v>
      </c>
      <c r="I586" s="5" t="str">
        <f>IFERROR(__xludf.DUMMYFUNCTION("GOOGLETRANSLATE(D586, ""en"", ""hi"")"),"A) ढीले-ढाले वस्त्र")</f>
        <v>A) ढीले-ढाले वस्त्र</v>
      </c>
    </row>
    <row r="587" ht="22.5" customHeight="1">
      <c r="A587" s="3">
        <v>586.0</v>
      </c>
      <c r="B587" s="4" t="s">
        <v>14167</v>
      </c>
      <c r="C587" s="4" t="s">
        <v>12389</v>
      </c>
      <c r="D587" s="4" t="s">
        <v>12086</v>
      </c>
      <c r="F587" s="5" t="str">
        <f>IFERROR(__xludf.DUMMYFUNCTION("GOOGLETRANSLATE(A587, ""en"", ""hi"")"),"586")</f>
        <v>586</v>
      </c>
      <c r="G587" s="5" t="str">
        <f>IFERROR(__xludf.DUMMYFUNCTION("GOOGLETRANSLATE(B587, ""en"", ""hi"")"),"कौन सा मणिपुरी त्यौहार मुकना कुश्ती प्रतियोगिताओं से जुड़ा हुआ है?")</f>
        <v>कौन सा मणिपुरी त्यौहार मुकना कुश्ती प्रतियोगिताओं से जुड़ा हुआ है?</v>
      </c>
      <c r="H587" s="5" t="str">
        <f>IFERROR(__xludf.DUMMYFUNCTION("GOOGLETRANSLATE(C587, ""en"", ""hi"")"),"ए) लाई हराओबा, बी) याओशांग, सी) निंगोल चाकोउबा, डी) चेइराओबा")</f>
        <v>ए) लाई हराओबा, बी) याओशांग, सी) निंगोल चाकोउबा, डी) चेइराओबा</v>
      </c>
      <c r="I587" s="5" t="str">
        <f>IFERROR(__xludf.DUMMYFUNCTION("GOOGLETRANSLATE(D587, ""en"", ""hi"")"),"A) लाई हरोबा")</f>
        <v>A) लाई हरोबा</v>
      </c>
    </row>
    <row r="588" ht="22.5" customHeight="1">
      <c r="A588" s="3">
        <v>587.0</v>
      </c>
      <c r="B588" s="4" t="s">
        <v>14168</v>
      </c>
      <c r="C588" s="4" t="s">
        <v>14147</v>
      </c>
      <c r="D588" s="4" t="s">
        <v>9447</v>
      </c>
      <c r="F588" s="5" t="str">
        <f>IFERROR(__xludf.DUMMYFUNCTION("GOOGLETRANSLATE(A588, ""en"", ""hi"")"),"587")</f>
        <v>587</v>
      </c>
      <c r="G588" s="5" t="str">
        <f>IFERROR(__xludf.DUMMYFUNCTION("GOOGLETRANSLATE(B588, ""en"", ""hi"")"),"ऐतिहासिक मणिपुर में मुकना कुश्ती प्रशिक्षण का प्राथमिक केंद्र क्या था?")</f>
        <v>ऐतिहासिक मणिपुर में मुकना कुश्ती प्रशिक्षण का प्राथमिक केंद्र क्या था?</v>
      </c>
      <c r="H588" s="5" t="str">
        <f>IFERROR(__xludf.DUMMYFUNCTION("GOOGLETRANSLATE(C588, ""en"", ""hi"")"),"A) युद्ध तकनीक, B) शारीरिक सहनशक्ति, C) अनुष्ठान प्रथाएँ, D) सामाजिक संपर्क")</f>
        <v>A) युद्ध तकनीक, B) शारीरिक सहनशक्ति, C) अनुष्ठान प्रथाएँ, D) सामाजिक संपर्क</v>
      </c>
      <c r="I588" s="5" t="str">
        <f>IFERROR(__xludf.DUMMYFUNCTION("GOOGLETRANSLATE(D588, ""en"", ""hi"")"),"A) युद्ध तकनीकें")</f>
        <v>A) युद्ध तकनीकें</v>
      </c>
    </row>
    <row r="589" ht="22.5" customHeight="1">
      <c r="A589" s="3">
        <v>588.0</v>
      </c>
      <c r="B589" s="4" t="s">
        <v>14169</v>
      </c>
      <c r="C589" s="4" t="s">
        <v>13801</v>
      </c>
      <c r="D589" s="4" t="s">
        <v>13750</v>
      </c>
      <c r="F589" s="5" t="str">
        <f>IFERROR(__xludf.DUMMYFUNCTION("GOOGLETRANSLATE(A589, ""en"", ""hi"")"),"588")</f>
        <v>588</v>
      </c>
      <c r="G589" s="5" t="str">
        <f>IFERROR(__xludf.DUMMYFUNCTION("GOOGLETRANSLATE(B589, ""en"", ""hi"")"),"मुकना कुश्ती मैट के लिए पारंपरिक रूप से किस सामग्री का उपयोग किया जाता था?")</f>
        <v>मुकना कुश्ती मैट के लिए पारंपरिक रूप से किस सामग्री का उपयोग किया जाता था?</v>
      </c>
      <c r="H589" s="5" t="str">
        <f>IFERROR(__xludf.DUMMYFUNCTION("GOOGLETRANSLATE(C589, ""en"", ""hi"")"),"A) पुआल, B) जूट, C) कपास, D) बांस")</f>
        <v>A) पुआल, B) जूट, C) कपास, D) बांस</v>
      </c>
      <c r="I589" s="5" t="str">
        <f>IFERROR(__xludf.DUMMYFUNCTION("GOOGLETRANSLATE(D589, ""en"", ""hi"")"),"एक पुआल")</f>
        <v>एक पुआल</v>
      </c>
    </row>
    <row r="590" ht="22.5" customHeight="1">
      <c r="A590" s="3">
        <v>589.0</v>
      </c>
      <c r="B590" s="4" t="s">
        <v>14170</v>
      </c>
      <c r="C590" s="4" t="s">
        <v>13935</v>
      </c>
      <c r="D590" s="4" t="s">
        <v>13936</v>
      </c>
      <c r="F590" s="5" t="str">
        <f>IFERROR(__xludf.DUMMYFUNCTION("GOOGLETRANSLATE(A590, ""en"", ""hi"")"),"589")</f>
        <v>589</v>
      </c>
      <c r="G590" s="5" t="str">
        <f>IFERROR(__xludf.DUMMYFUNCTION("GOOGLETRANSLATE(B590, ""en"", ""hi"")"),"मुकना कुश्ती के पतन को समझने के लिए ब्रिटिश काल के कौन से लेख महत्वपूर्ण हैं?")</f>
        <v>मुकना कुश्ती के पतन को समझने के लिए ब्रिटिश काल के कौन से लेख महत्वपूर्ण हैं?</v>
      </c>
      <c r="H590" s="5" t="str">
        <f>IFERROR(__xludf.DUMMYFUNCTION("GOOGLETRANSLATE(C590,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590" s="5" t="str">
        <f>IFERROR(__xludf.DUMMYFUNCTION("GOOGLETRANSLATE(D590, ""en"", ""hi"")"),"A) जी. ई. हार्वे के लेखन")</f>
        <v>A) जी. ई. हार्वे के लेखन</v>
      </c>
    </row>
    <row r="591" ht="22.5" customHeight="1">
      <c r="A591" s="3">
        <v>590.0</v>
      </c>
      <c r="B591" s="4" t="s">
        <v>14171</v>
      </c>
      <c r="C591" s="4" t="s">
        <v>14049</v>
      </c>
      <c r="D591" s="4" t="s">
        <v>13882</v>
      </c>
      <c r="F591" s="5" t="str">
        <f>IFERROR(__xludf.DUMMYFUNCTION("GOOGLETRANSLATE(A591, ""en"", ""hi"")"),"590")</f>
        <v>590</v>
      </c>
      <c r="G591" s="5" t="str">
        <f>IFERROR(__xludf.DUMMYFUNCTION("GOOGLETRANSLATE(B591, ""en"", ""hi"")"),"औपनिवेशिक काल के दौरान मणिपुरी समाज में मुकना कुश्ती की प्राथमिक भूमिका क्या थी?")</f>
        <v>औपनिवेशिक काल के दौरान मणिपुरी समाज में मुकना कुश्ती की प्राथमिक भूमिका क्या थी?</v>
      </c>
      <c r="H591" s="5" t="str">
        <f>IFERROR(__xludf.DUMMYFUNCTION("GOOGLETRANSLATE(C591,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591" s="5" t="str">
        <f>IFERROR(__xludf.DUMMYFUNCTION("GOOGLETRANSLATE(D591, ""en"", ""hi"")"),"ए) युद्ध प्रशिक्षण")</f>
        <v>ए) युद्ध प्रशिक्षण</v>
      </c>
    </row>
    <row r="592" ht="22.5" customHeight="1">
      <c r="A592" s="3">
        <v>591.0</v>
      </c>
      <c r="B592" s="4" t="s">
        <v>14172</v>
      </c>
      <c r="C592" s="4" t="s">
        <v>14173</v>
      </c>
      <c r="D592" s="4" t="s">
        <v>13474</v>
      </c>
      <c r="F592" s="5" t="str">
        <f>IFERROR(__xludf.DUMMYFUNCTION("GOOGLETRANSLATE(A592, ""en"", ""hi"")"),"591")</f>
        <v>591</v>
      </c>
      <c r="G592" s="5" t="str">
        <f>IFERROR(__xludf.DUMMYFUNCTION("GOOGLETRANSLATE(B592, ""en"", ""hi"")"),"कौन सा ऐतिहासिक दस्तावेज मुकना कुश्ती के पारंपरिक नियमों और तकनीकों का विवरण देता है?")</f>
        <v>कौन सा ऐतिहासिक दस्तावेज मुकना कुश्ती के पारंपरिक नियमों और तकनीकों का विवरण देता है?</v>
      </c>
      <c r="H592" s="5" t="str">
        <f>IFERROR(__xludf.DUMMYFUNCTION("GOOGLETRANSLATE(C592, ""en"", ""hi"")"),"ए) बुरांजी, बी) मणिपुरी वेद, सी) राजमाला, डी) महाभारत")</f>
        <v>ए) बुरांजी, बी) मणिपुरी वेद, सी) राजमाला, डी) महाभारत</v>
      </c>
      <c r="I592" s="5" t="str">
        <f>IFERROR(__xludf.DUMMYFUNCTION("GOOGLETRANSLATE(D592, ""en"", ""hi"")"),"ए) बुरांजी")</f>
        <v>ए) बुरांजी</v>
      </c>
    </row>
    <row r="593" ht="22.5" customHeight="1">
      <c r="A593" s="3">
        <v>592.0</v>
      </c>
      <c r="B593" s="4" t="s">
        <v>14174</v>
      </c>
      <c r="C593" s="4" t="s">
        <v>7910</v>
      </c>
      <c r="D593" s="4" t="s">
        <v>6644</v>
      </c>
      <c r="F593" s="5" t="str">
        <f>IFERROR(__xludf.DUMMYFUNCTION("GOOGLETRANSLATE(A593, ""en"", ""hi"")"),"592")</f>
        <v>592</v>
      </c>
      <c r="G593" s="5" t="str">
        <f>IFERROR(__xludf.DUMMYFUNCTION("GOOGLETRANSLATE(B593, ""en"", ""hi"")"),"मणिपुर में मुकना कुश्ती को किस शताब्दी में प्रसिद्धि मिलनी शुरू हुई?")</f>
        <v>मणिपुर में मुकना कुश्ती को किस शताब्दी में प्रसिद्धि मिलनी शुरू हुई?</v>
      </c>
      <c r="H593" s="5" t="str">
        <f>IFERROR(__xludf.DUMMYFUNCTION("GOOGLETRANSLATE(C593, ""en"", ""hi"")"),"A) 15वीं शताब्दी, B) 16वीं शताब्दी, C) 17वीं शताब्दी, D) 18वीं शताब्दी")</f>
        <v>A) 15वीं शताब्दी, B) 16वीं शताब्दी, C) 17वीं शताब्दी, D) 18वीं शताब्दी</v>
      </c>
      <c r="I593" s="5" t="str">
        <f>IFERROR(__xludf.DUMMYFUNCTION("GOOGLETRANSLATE(D593, ""en"", ""hi"")"),"सी) 17वीं शताब्दी")</f>
        <v>सी) 17वीं शताब्दी</v>
      </c>
    </row>
    <row r="594" ht="22.5" customHeight="1">
      <c r="A594" s="3">
        <v>593.0</v>
      </c>
      <c r="B594" s="4" t="s">
        <v>14175</v>
      </c>
      <c r="C594" s="4" t="s">
        <v>14176</v>
      </c>
      <c r="D594" s="4" t="s">
        <v>14119</v>
      </c>
      <c r="F594" s="5" t="str">
        <f>IFERROR(__xludf.DUMMYFUNCTION("GOOGLETRANSLATE(A594, ""en"", ""hi"")"),"593")</f>
        <v>593</v>
      </c>
      <c r="G594" s="5" t="str">
        <f>IFERROR(__xludf.DUMMYFUNCTION("GOOGLETRANSLATE(B594, ""en"", ""hi"")"),"मणिपुरी योद्धाओं के प्रशिक्षण में मुकना कुश्ती का प्राथमिक उपयोग क्या था?")</f>
        <v>मणिपुरी योद्धाओं के प्रशिक्षण में मुकना कुश्ती का प्राथमिक उपयोग क्या था?</v>
      </c>
      <c r="H594" s="5" t="str">
        <f>IFERROR(__xludf.DUMMYFUNCTION("GOOGLETRANSLATE(C594, ""en"", ""hi"")"),"A) युद्ध अभ्यास, B) शारीरिक सहनशक्ति, C) सामाजिक बंधन, D) अनुष्ठानिक तैयारी")</f>
        <v>A) युद्ध अभ्यास, B) शारीरिक सहनशक्ति, C) सामाजिक बंधन, D) अनुष्ठानिक तैयारी</v>
      </c>
      <c r="I594" s="5" t="str">
        <f>IFERROR(__xludf.DUMMYFUNCTION("GOOGLETRANSLATE(D594, ""en"", ""hi"")"),"ए) युद्ध अभ्यास")</f>
        <v>ए) युद्ध अभ्यास</v>
      </c>
    </row>
    <row r="595" ht="22.5" customHeight="1">
      <c r="A595" s="3">
        <v>594.0</v>
      </c>
      <c r="B595" s="4" t="s">
        <v>14177</v>
      </c>
      <c r="C595" s="4" t="s">
        <v>13619</v>
      </c>
      <c r="D595" s="4" t="s">
        <v>13331</v>
      </c>
      <c r="F595" s="5" t="str">
        <f>IFERROR(__xludf.DUMMYFUNCTION("GOOGLETRANSLATE(A595, ""en"", ""hi"")"),"594")</f>
        <v>594</v>
      </c>
      <c r="G595" s="5" t="str">
        <f>IFERROR(__xludf.DUMMYFUNCTION("GOOGLETRANSLATE(B595, ""en"", ""hi"")"),"कौन सा मणिपुरी राजा औपनिवेशिक काल के दौरान पारंपरिक मुकना कुश्ती प्रथाओं को संरक्षित करने के अपने प्रयासों के लिए जाना जाता है?")</f>
        <v>कौन सा मणिपुरी राजा औपनिवेशिक काल के दौरान पारंपरिक मुकना कुश्ती प्रथाओं को संरक्षित करने के अपने प्रयासों के लिए जाना जाता है?</v>
      </c>
      <c r="H595" s="5" t="str">
        <f>IFERROR(__xludf.DUMMYFUNCTION("GOOGLETRANSLATE(C595,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595" s="5" t="str">
        <f>IFERROR(__xludf.DUMMYFUNCTION("GOOGLETRANSLATE(D595, ""en"", ""hi"")"),"A) महाराजा चूड़ाचंद सिंह")</f>
        <v>A) महाराजा चूड़ाचंद सिंह</v>
      </c>
    </row>
    <row r="596" ht="22.5" customHeight="1">
      <c r="A596" s="3">
        <v>595.0</v>
      </c>
      <c r="B596" s="4" t="s">
        <v>14178</v>
      </c>
      <c r="C596" s="4" t="s">
        <v>12389</v>
      </c>
      <c r="D596" s="4" t="s">
        <v>12165</v>
      </c>
      <c r="F596" s="5" t="str">
        <f>IFERROR(__xludf.DUMMYFUNCTION("GOOGLETRANSLATE(A596, ""en"", ""hi"")"),"595")</f>
        <v>595</v>
      </c>
      <c r="G596" s="5" t="str">
        <f>IFERROR(__xludf.DUMMYFUNCTION("GOOGLETRANSLATE(B596, ""en"", ""hi"")"),"मणिपुर में किस त्यौहार को ऐतिहासिक रूप से मुकना कुश्ती के रूप में एक प्रमुख आयोजन के रूप में मनाया जाता है?")</f>
        <v>मणिपुर में किस त्यौहार को ऐतिहासिक रूप से मुकना कुश्ती के रूप में एक प्रमुख आयोजन के रूप में मनाया जाता है?</v>
      </c>
      <c r="H596" s="5" t="str">
        <f>IFERROR(__xludf.DUMMYFUNCTION("GOOGLETRANSLATE(C596, ""en"", ""hi"")"),"ए) लाई हराओबा, बी) याओशांग, सी) निंगोल चाकोउबा, डी) चेइराओबा")</f>
        <v>ए) लाई हराओबा, बी) याओशांग, सी) निंगोल चाकोउबा, डी) चेइराओबा</v>
      </c>
      <c r="I596" s="5" t="str">
        <f>IFERROR(__xludf.DUMMYFUNCTION("GOOGLETRANSLATE(D596, ""en"", ""hi"")"),"बी) योशांग")</f>
        <v>बी) योशांग</v>
      </c>
    </row>
    <row r="597" ht="22.5" customHeight="1">
      <c r="A597" s="3">
        <v>596.0</v>
      </c>
      <c r="B597" s="4" t="s">
        <v>14179</v>
      </c>
      <c r="C597" s="4" t="s">
        <v>14180</v>
      </c>
      <c r="D597" s="4" t="s">
        <v>14181</v>
      </c>
      <c r="F597" s="5" t="str">
        <f>IFERROR(__xludf.DUMMYFUNCTION("GOOGLETRANSLATE(A597, ""en"", ""hi"")"),"596")</f>
        <v>596</v>
      </c>
      <c r="G597" s="5" t="str">
        <f>IFERROR(__xludf.DUMMYFUNCTION("GOOGLETRANSLATE(B597, ""en"", ""hi"")"),"ब्रिटिश औपनिवेशिक अधिकारी मणिपुर में मुकना कुश्ती को किस प्रकार देखते थे?")</f>
        <v>ब्रिटिश औपनिवेशिक अधिकारी मणिपुर में मुकना कुश्ती को किस प्रकार देखते थे?</v>
      </c>
      <c r="H597" s="5" t="str">
        <f>IFERROR(__xludf.DUMMYFUNCTION("GOOGLETRANSLATE(C597, ""en"", ""hi"")"),"A) सांस्कृतिक संपत्ति के रूप में, B) खतरे के रूप में, C) मनोरंजक गतिविधि के रूप में, D) प्रतिरोध के प्रतीक के रूप में")</f>
        <v>A) सांस्कृतिक संपत्ति के रूप में, B) खतरे के रूप में, C) मनोरंजक गतिविधि के रूप में, D) प्रतिरोध के प्रतीक के रूप में</v>
      </c>
      <c r="I597" s="5" t="str">
        <f>IFERROR(__xludf.DUMMYFUNCTION("GOOGLETRANSLATE(D597, ""en"", ""hi"")"),"बी) एक धमकी के रूप में")</f>
        <v>बी) एक धमकी के रूप में</v>
      </c>
    </row>
    <row r="598" ht="22.5" customHeight="1">
      <c r="A598" s="3">
        <v>597.0</v>
      </c>
      <c r="B598" s="4" t="s">
        <v>14182</v>
      </c>
      <c r="C598" s="4" t="s">
        <v>13687</v>
      </c>
      <c r="D598" s="4" t="s">
        <v>12361</v>
      </c>
      <c r="F598" s="5" t="str">
        <f>IFERROR(__xludf.DUMMYFUNCTION("GOOGLETRANSLATE(A598, ""en"", ""hi"")"),"597")</f>
        <v>597</v>
      </c>
      <c r="G598" s="5" t="str">
        <f>IFERROR(__xludf.DUMMYFUNCTION("GOOGLETRANSLATE(B598, ""en"", ""hi"")"),"19वीं सदी के किस मणिपुरी शासक ने अपने लेखन में मुकना कुश्ती का उल्लेख किया?")</f>
        <v>19वीं सदी के किस मणिपुरी शासक ने अपने लेखन में मुकना कुश्ती का उल्लेख किया?</v>
      </c>
      <c r="H598" s="5" t="str">
        <f>IFERROR(__xludf.DUMMYFUNCTION("GOOGLETRANSLATE(C598,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598" s="5" t="str">
        <f>IFERROR(__xludf.DUMMYFUNCTION("GOOGLETRANSLATE(D598, ""en"", ""hi"")"),"A) महाराजा गंभीर सिंह")</f>
        <v>A) महाराजा गंभीर सिंह</v>
      </c>
    </row>
    <row r="599" ht="22.5" customHeight="1">
      <c r="A599" s="3">
        <v>598.0</v>
      </c>
      <c r="B599" s="4" t="s">
        <v>14183</v>
      </c>
      <c r="C599" s="4" t="s">
        <v>14184</v>
      </c>
      <c r="D599" s="4" t="s">
        <v>14185</v>
      </c>
      <c r="F599" s="5" t="str">
        <f>IFERROR(__xludf.DUMMYFUNCTION("GOOGLETRANSLATE(A599, ""en"", ""hi"")"),"598")</f>
        <v>598</v>
      </c>
      <c r="G599" s="5" t="str">
        <f>IFERROR(__xludf.DUMMYFUNCTION("GOOGLETRANSLATE(B599, ""en"", ""hi"")"),"ऐतिहासिक मणिपुर में मुकना पहलवानों के लिए सामान्य प्रशिक्षण पद्धति क्या थी?")</f>
        <v>ऐतिहासिक मणिपुर में मुकना पहलवानों के लिए सामान्य प्रशिक्षण पद्धति क्या थी?</v>
      </c>
      <c r="H599" s="5" t="str">
        <f>IFERROR(__xludf.DUMMYFUNCTION("GOOGLETRANSLATE(C599, ""en"", ""hi"")"),"A) शक्ति अभ्यास, B) ध्यान, C) हथियार प्रशिक्षण, D) सहनशक्ति परीक्षण")</f>
        <v>A) शक्ति अभ्यास, B) ध्यान, C) हथियार प्रशिक्षण, D) सहनशक्ति परीक्षण</v>
      </c>
      <c r="I599" s="5" t="str">
        <f>IFERROR(__xludf.DUMMYFUNCTION("GOOGLETRANSLATE(D599, ""en"", ""hi"")"),"ए) शक्ति अभ्यास")</f>
        <v>ए) शक्ति अभ्यास</v>
      </c>
    </row>
    <row r="600" ht="22.5" customHeight="1">
      <c r="A600" s="3">
        <v>599.0</v>
      </c>
      <c r="B600" s="4" t="s">
        <v>14186</v>
      </c>
      <c r="C600" s="4" t="s">
        <v>13704</v>
      </c>
      <c r="D600" s="4" t="s">
        <v>13474</v>
      </c>
      <c r="F600" s="5" t="str">
        <f>IFERROR(__xludf.DUMMYFUNCTION("GOOGLETRANSLATE(A600, ""en"", ""hi"")"),"599")</f>
        <v>599</v>
      </c>
      <c r="G600" s="5" t="str">
        <f>IFERROR(__xludf.DUMMYFUNCTION("GOOGLETRANSLATE(B600, ""en"", ""hi"")"),"मुकना कुश्ती के इतिहास को समझने के लिए कौन सा पारंपरिक मणिपुरी पाठ महत्वपूर्ण है?")</f>
        <v>मुकना कुश्ती के इतिहास को समझने के लिए कौन सा पारंपरिक मणिपुरी पाठ महत्वपूर्ण है?</v>
      </c>
      <c r="H600" s="5" t="str">
        <f>IFERROR(__xludf.DUMMYFUNCTION("GOOGLETRANSLATE(C600, ""en"", ""hi"")"),"ए) बुरांजी, बी) राजमाला, सी) मणिपुरी वेद, डी) मनुस्मृति")</f>
        <v>ए) बुरांजी, बी) राजमाला, सी) मणिपुरी वेद, डी) मनुस्मृति</v>
      </c>
      <c r="I600" s="5" t="str">
        <f>IFERROR(__xludf.DUMMYFUNCTION("GOOGLETRANSLATE(D600, ""en"", ""hi"")"),"ए) बुरांजी")</f>
        <v>ए) बुरांजी</v>
      </c>
    </row>
    <row r="601" ht="22.5" customHeight="1">
      <c r="A601" s="3">
        <v>600.0</v>
      </c>
      <c r="B601" s="4" t="s">
        <v>14187</v>
      </c>
      <c r="C601" s="4" t="s">
        <v>14188</v>
      </c>
      <c r="D601" s="4" t="s">
        <v>14189</v>
      </c>
      <c r="F601" s="5" t="str">
        <f>IFERROR(__xludf.DUMMYFUNCTION("GOOGLETRANSLATE(A601, ""en"", ""hi"")"),"600")</f>
        <v>600</v>
      </c>
      <c r="G601" s="5" t="str">
        <f>IFERROR(__xludf.DUMMYFUNCTION("GOOGLETRANSLATE(B601, ""en"", ""hi"")"),"किस ऐतिहासिक काल में बढ़ते पश्चिमी प्रभाव के कारण मुकना कुश्ती में गिरावट देखी गई?")</f>
        <v>किस ऐतिहासिक काल में बढ़ते पश्चिमी प्रभाव के कारण मुकना कुश्ती में गिरावट देखी गई?</v>
      </c>
      <c r="H601" s="5" t="str">
        <f>IFERROR(__xludf.DUMMYFUNCTION("GOOGLETRANSLATE(C601, ""en"", ""hi"")"),"A) 18वीं शताब्दी का उत्तरार्ध, B) 19वीं शताब्दी का प्रारम्भ, C) 19वीं शताब्दी का उत्तरार्ध, D) 20वीं शताब्दी का प्रारम्भ")</f>
        <v>A) 18वीं शताब्दी का उत्तरार्ध, B) 19वीं शताब्दी का प्रारम्भ, C) 19वीं शताब्दी का उत्तरार्ध, D) 20वीं शताब्दी का प्रारम्भ</v>
      </c>
      <c r="I601" s="5" t="str">
        <f>IFERROR(__xludf.DUMMYFUNCTION("GOOGLETRANSLATE(D601, ""en"", ""hi"")"),"D) 20वीं सदी की शुरुआत")</f>
        <v>D) 20वीं सदी की शुरुआत</v>
      </c>
    </row>
    <row r="602" ht="22.5" customHeight="1">
      <c r="A602" s="3">
        <v>601.0</v>
      </c>
      <c r="B602" s="4" t="s">
        <v>14168</v>
      </c>
      <c r="C602" s="4" t="s">
        <v>14190</v>
      </c>
      <c r="D602" s="4" t="s">
        <v>13827</v>
      </c>
      <c r="F602" s="5" t="str">
        <f>IFERROR(__xludf.DUMMYFUNCTION("GOOGLETRANSLATE(A602, ""en"", ""hi"")"),"601")</f>
        <v>601</v>
      </c>
      <c r="G602" s="5" t="str">
        <f>IFERROR(__xludf.DUMMYFUNCTION("GOOGLETRANSLATE(B602, ""en"", ""hi"")"),"ऐतिहासिक मणिपुर में मुकना कुश्ती प्रशिक्षण का प्राथमिक केंद्र क्या था?")</f>
        <v>ऐतिहासिक मणिपुर में मुकना कुश्ती प्रशिक्षण का प्राथमिक केंद्र क्या था?</v>
      </c>
      <c r="H602" s="5" t="str">
        <f>IFERROR(__xludf.DUMMYFUNCTION("GOOGLETRANSLATE(C602, ""en"", ""hi"")"),"A) युद्ध तत्परता, B) शारीरिक फिटनेस, C) सामाजिक मनोरंजन, D) धार्मिक अभ्यास")</f>
        <v>A) युद्ध तत्परता, B) शारीरिक फिटनेस, C) सामाजिक मनोरंजन, D) धार्मिक अभ्यास</v>
      </c>
      <c r="I602" s="5" t="str">
        <f>IFERROR(__xludf.DUMMYFUNCTION("GOOGLETRANSLATE(D602, ""en"", ""hi"")"),"ए) युद्ध तत्परता")</f>
        <v>ए) युद्ध तत्परता</v>
      </c>
    </row>
    <row r="603" ht="22.5" customHeight="1">
      <c r="A603" s="3">
        <v>602.0</v>
      </c>
      <c r="B603" s="4" t="s">
        <v>14191</v>
      </c>
      <c r="C603" s="4" t="s">
        <v>13619</v>
      </c>
      <c r="D603" s="4" t="s">
        <v>13331</v>
      </c>
      <c r="F603" s="5" t="str">
        <f>IFERROR(__xludf.DUMMYFUNCTION("GOOGLETRANSLATE(A603, ""en"", ""hi"")"),"602")</f>
        <v>602</v>
      </c>
      <c r="G603" s="5" t="str">
        <f>IFERROR(__xludf.DUMMYFUNCTION("GOOGLETRANSLATE(B603, ""en"", ""hi"")"),"20वीं शताब्दी में पारंपरिक मुकना कुश्ती प्रथाओं को पुनर्जीवित करने के प्रयासों का श्रेय किस मणिपुरी राजा को दिया जाता है?")</f>
        <v>20वीं शताब्दी में पारंपरिक मुकना कुश्ती प्रथाओं को पुनर्जीवित करने के प्रयासों का श्रेय किस मणिपुरी राजा को दिया जाता है?</v>
      </c>
      <c r="H603" s="5" t="str">
        <f>IFERROR(__xludf.DUMMYFUNCTION("GOOGLETRANSLATE(C603,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603" s="5" t="str">
        <f>IFERROR(__xludf.DUMMYFUNCTION("GOOGLETRANSLATE(D603, ""en"", ""hi"")"),"A) महाराजा चूड़ाचंद सिंह")</f>
        <v>A) महाराजा चूड़ाचंद सिंह</v>
      </c>
    </row>
    <row r="604" ht="22.5" customHeight="1">
      <c r="A604" s="3">
        <v>603.0</v>
      </c>
      <c r="B604" s="4" t="s">
        <v>14192</v>
      </c>
      <c r="C604" s="4" t="s">
        <v>14193</v>
      </c>
      <c r="D604" s="4" t="s">
        <v>13864</v>
      </c>
      <c r="F604" s="5" t="str">
        <f>IFERROR(__xludf.DUMMYFUNCTION("GOOGLETRANSLATE(A604, ""en"", ""hi"")"),"603")</f>
        <v>603</v>
      </c>
      <c r="G604" s="5" t="str">
        <f>IFERROR(__xludf.DUMMYFUNCTION("GOOGLETRANSLATE(B604, ""en"", ""hi"")"),"औपनिवेशिक काल के दौरान मुकना कुश्ती के पतन का एक महत्वपूर्ण कारक क्या था?")</f>
        <v>औपनिवेशिक काल के दौरान मुकना कुश्ती के पतन का एक महत्वपूर्ण कारक क्या था?</v>
      </c>
      <c r="H604" s="5" t="str">
        <f>IFERROR(__xludf.DUMMYFUNCTION("GOOGLETRANSLATE(C604, ""en"", ""hi"")"),"A) औपनिवेशिक नीतियाँ, B) आर्थिक मंदी, C) सांस्कृतिक बदलाव, D) तकनीकी प्रगति")</f>
        <v>A) औपनिवेशिक नीतियाँ, B) आर्थिक मंदी, C) सांस्कृतिक बदलाव, D) तकनीकी प्रगति</v>
      </c>
      <c r="I604" s="5" t="str">
        <f>IFERROR(__xludf.DUMMYFUNCTION("GOOGLETRANSLATE(D604, ""en"", ""hi"")"),"A) औपनिवेशिक नीतियां")</f>
        <v>A) औपनिवेशिक नीतियां</v>
      </c>
    </row>
    <row r="605" ht="22.5" customHeight="1">
      <c r="A605" s="3">
        <v>604.0</v>
      </c>
      <c r="B605" s="4" t="s">
        <v>14194</v>
      </c>
      <c r="C605" s="4" t="s">
        <v>12389</v>
      </c>
      <c r="D605" s="4" t="s">
        <v>12165</v>
      </c>
      <c r="F605" s="5" t="str">
        <f>IFERROR(__xludf.DUMMYFUNCTION("GOOGLETRANSLATE(A605, ""en"", ""hi"")"),"604")</f>
        <v>604</v>
      </c>
      <c r="G605" s="5" t="str">
        <f>IFERROR(__xludf.DUMMYFUNCTION("GOOGLETRANSLATE(B605, ""en"", ""hi"")"),"औपनिवेशिक युग से पहले किस मणिपुरी त्यौहार में मुकना कुश्ती को एक पारंपरिक आयोजन के रूप में देखा जाता था?")</f>
        <v>औपनिवेशिक युग से पहले किस मणिपुरी त्यौहार में मुकना कुश्ती को एक पारंपरिक आयोजन के रूप में देखा जाता था?</v>
      </c>
      <c r="H605" s="5" t="str">
        <f>IFERROR(__xludf.DUMMYFUNCTION("GOOGLETRANSLATE(C605, ""en"", ""hi"")"),"ए) लाई हराओबा, बी) याओशांग, सी) निंगोल चाकोउबा, डी) चेइराओबा")</f>
        <v>ए) लाई हराओबा, बी) याओशांग, सी) निंगोल चाकोउबा, डी) चेइराओबा</v>
      </c>
      <c r="I605" s="5" t="str">
        <f>IFERROR(__xludf.DUMMYFUNCTION("GOOGLETRANSLATE(D605, ""en"", ""hi"")"),"बी) योशांग")</f>
        <v>बी) योशांग</v>
      </c>
    </row>
    <row r="606" ht="22.5" customHeight="1">
      <c r="A606" s="3">
        <v>605.0</v>
      </c>
      <c r="B606" s="4" t="s">
        <v>14195</v>
      </c>
      <c r="C606" s="4" t="s">
        <v>13801</v>
      </c>
      <c r="D606" s="4" t="s">
        <v>13750</v>
      </c>
      <c r="F606" s="5" t="str">
        <f>IFERROR(__xludf.DUMMYFUNCTION("GOOGLETRANSLATE(A606, ""en"", ""hi"")"),"605")</f>
        <v>605</v>
      </c>
      <c r="G606" s="5" t="str">
        <f>IFERROR(__xludf.DUMMYFUNCTION("GOOGLETRANSLATE(B606, ""en"", ""hi"")"),"ऐतिहासिक मणिपुर में मुकना कुश्ती मैट के लिए प्रयुक्त पारंपरिक सामग्री क्या थी?")</f>
        <v>ऐतिहासिक मणिपुर में मुकना कुश्ती मैट के लिए प्रयुक्त पारंपरिक सामग्री क्या थी?</v>
      </c>
      <c r="H606" s="5" t="str">
        <f>IFERROR(__xludf.DUMMYFUNCTION("GOOGLETRANSLATE(C606, ""en"", ""hi"")"),"A) पुआल, B) जूट, C) कपास, D) बांस")</f>
        <v>A) पुआल, B) जूट, C) कपास, D) बांस</v>
      </c>
      <c r="I606" s="5" t="str">
        <f>IFERROR(__xludf.DUMMYFUNCTION("GOOGLETRANSLATE(D606, ""en"", ""hi"")"),"एक पुआल")</f>
        <v>एक पुआल</v>
      </c>
    </row>
    <row r="607" ht="22.5" customHeight="1">
      <c r="A607" s="3">
        <v>606.0</v>
      </c>
      <c r="B607" s="4" t="s">
        <v>14196</v>
      </c>
      <c r="C607" s="4" t="s">
        <v>13687</v>
      </c>
      <c r="D607" s="4" t="s">
        <v>12361</v>
      </c>
      <c r="F607" s="5" t="str">
        <f>IFERROR(__xludf.DUMMYFUNCTION("GOOGLETRANSLATE(A607, ""en"", ""hi"")"),"606")</f>
        <v>606</v>
      </c>
      <c r="G607" s="5" t="str">
        <f>IFERROR(__xludf.DUMMYFUNCTION("GOOGLETRANSLATE(B607, ""en"", ""hi"")"),"19वीं शताब्दी में मुकना कुश्ती प्रथाओं के दस्तावेजीकरण में किस ऐतिहासिक व्यक्ति ने भूमिका निभाई?")</f>
        <v>19वीं शताब्दी में मुकना कुश्ती प्रथाओं के दस्तावेजीकरण में किस ऐतिहासिक व्यक्ति ने भूमिका निभाई?</v>
      </c>
      <c r="H607" s="5" t="str">
        <f>IFERROR(__xludf.DUMMYFUNCTION("GOOGLETRANSLATE(C607,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607" s="5" t="str">
        <f>IFERROR(__xludf.DUMMYFUNCTION("GOOGLETRANSLATE(D607, ""en"", ""hi"")"),"A) महाराजा गंभीर सिंह")</f>
        <v>A) महाराजा गंभीर सिंह</v>
      </c>
    </row>
    <row r="608" ht="22.5" customHeight="1">
      <c r="A608" s="3">
        <v>607.0</v>
      </c>
      <c r="B608" s="4" t="s">
        <v>13880</v>
      </c>
      <c r="C608" s="4" t="s">
        <v>14137</v>
      </c>
      <c r="D608" s="4" t="s">
        <v>13882</v>
      </c>
      <c r="F608" s="5" t="str">
        <f>IFERROR(__xludf.DUMMYFUNCTION("GOOGLETRANSLATE(A608, ""en"", ""hi"")"),"607")</f>
        <v>607</v>
      </c>
      <c r="G608" s="5" t="str">
        <f>IFERROR(__xludf.DUMMYFUNCTION("GOOGLETRANSLATE(B608, ""en"", ""hi"")"),"ऐतिहासिक मणिपुरी समाज में मुकना कुश्ती का प्राथमिक उद्देश्य क्या था?")</f>
        <v>ऐतिहासिक मणिपुरी समाज में मुकना कुश्ती का प्राथमिक उद्देश्य क्या था?</v>
      </c>
      <c r="H608" s="5" t="str">
        <f>IFERROR(__xludf.DUMMYFUNCTION("GOOGLETRANSLATE(C608, ""en"", ""hi"")"),"A) युद्ध प्रशिक्षण, B) मनोरंजन, C) सामाजिक संबंध, D) अनुष्ठानिक अभ्यास")</f>
        <v>A) युद्ध प्रशिक्षण, B) मनोरंजन, C) सामाजिक संबंध, D) अनुष्ठानिक अभ्यास</v>
      </c>
      <c r="I608" s="5" t="str">
        <f>IFERROR(__xludf.DUMMYFUNCTION("GOOGLETRANSLATE(D608, ""en"", ""hi"")"),"ए) युद्ध प्रशिक्षण")</f>
        <v>ए) युद्ध प्रशिक्षण</v>
      </c>
    </row>
    <row r="609" ht="22.5" customHeight="1">
      <c r="A609" s="3">
        <v>608.0</v>
      </c>
      <c r="B609" s="4" t="s">
        <v>14197</v>
      </c>
      <c r="C609" s="4" t="s">
        <v>13704</v>
      </c>
      <c r="D609" s="4" t="s">
        <v>13474</v>
      </c>
      <c r="F609" s="5" t="str">
        <f>IFERROR(__xludf.DUMMYFUNCTION("GOOGLETRANSLATE(A609, ""en"", ""hi"")"),"608")</f>
        <v>608</v>
      </c>
      <c r="G609" s="5" t="str">
        <f>IFERROR(__xludf.DUMMYFUNCTION("GOOGLETRANSLATE(B609, ""en"", ""hi"")"),"कौन सा दस्तावेज़ मुकना कुश्ती तकनीक और नियमों के बारे में विस्तृत जानकारी प्रदान करता है?")</f>
        <v>कौन सा दस्तावेज़ मुकना कुश्ती तकनीक और नियमों के बारे में विस्तृत जानकारी प्रदान करता है?</v>
      </c>
      <c r="H609" s="5" t="str">
        <f>IFERROR(__xludf.DUMMYFUNCTION("GOOGLETRANSLATE(C609, ""en"", ""hi"")"),"ए) बुरांजी, बी) राजमाला, सी) मणिपुरी वेद, डी) मनुस्मृति")</f>
        <v>ए) बुरांजी, बी) राजमाला, सी) मणिपुरी वेद, डी) मनुस्मृति</v>
      </c>
      <c r="I609" s="5" t="str">
        <f>IFERROR(__xludf.DUMMYFUNCTION("GOOGLETRANSLATE(D609, ""en"", ""hi"")"),"ए) बुरांजी")</f>
        <v>ए) बुरांजी</v>
      </c>
    </row>
    <row r="610" ht="22.5" customHeight="1">
      <c r="A610" s="3">
        <v>609.0</v>
      </c>
      <c r="B610" s="4" t="s">
        <v>14198</v>
      </c>
      <c r="C610" s="4" t="s">
        <v>14199</v>
      </c>
      <c r="D610" s="4" t="s">
        <v>14145</v>
      </c>
      <c r="F610" s="5" t="str">
        <f>IFERROR(__xludf.DUMMYFUNCTION("GOOGLETRANSLATE(A610, ""en"", ""hi"")"),"609")</f>
        <v>609</v>
      </c>
      <c r="G610" s="5" t="str">
        <f>IFERROR(__xludf.DUMMYFUNCTION("GOOGLETRANSLATE(B610, ""en"", ""hi"")"),"ब्रिटिश औपनिवेशिक शासन ने मणिपुर में मुकना कुश्ती को कैसे प्रभावित किया?")</f>
        <v>ब्रिटिश औपनिवेशिक शासन ने मणिपुर में मुकना कुश्ती को कैसे प्रभावित किया?</v>
      </c>
      <c r="H610" s="5" t="str">
        <f>IFERROR(__xludf.DUMMYFUNCTION("GOOGLETRANSLATE(C610, ""en"", ""hi"")"),"A) व्यवहार में गिरावट, B) मान्यता में वृद्धि, C) संरक्षण, D) संस्थागतकरण")</f>
        <v>A) व्यवहार में गिरावट, B) मान्यता में वृद्धि, C) संरक्षण, D) संस्थागतकरण</v>
      </c>
      <c r="I610" s="5" t="str">
        <f>IFERROR(__xludf.DUMMYFUNCTION("GOOGLETRANSLATE(D610, ""en"", ""hi"")"),"A) व्यवहार में गिरावट")</f>
        <v>A) व्यवहार में गिरावट</v>
      </c>
    </row>
    <row r="611" ht="22.5" customHeight="1">
      <c r="A611" s="3">
        <v>610.0</v>
      </c>
      <c r="B611" s="4" t="s">
        <v>14200</v>
      </c>
      <c r="C611" s="4" t="s">
        <v>12389</v>
      </c>
      <c r="D611" s="4" t="s">
        <v>12165</v>
      </c>
      <c r="F611" s="5" t="str">
        <f>IFERROR(__xludf.DUMMYFUNCTION("GOOGLETRANSLATE(A611, ""en"", ""hi"")"),"610")</f>
        <v>610</v>
      </c>
      <c r="G611" s="5" t="str">
        <f>IFERROR(__xludf.DUMMYFUNCTION("GOOGLETRANSLATE(B611, ""en"", ""hi"")"),"मणिपुर में ऐतिहासिक रूप से मुकना कुश्ती प्रतियोगिता किस त्यौहार पर आयोजित की जाती थी?")</f>
        <v>मणिपुर में ऐतिहासिक रूप से मुकना कुश्ती प्रतियोगिता किस त्यौहार पर आयोजित की जाती थी?</v>
      </c>
      <c r="H611" s="5" t="str">
        <f>IFERROR(__xludf.DUMMYFUNCTION("GOOGLETRANSLATE(C611, ""en"", ""hi"")"),"ए) लाई हराओबा, बी) याओशांग, सी) निंगोल चाकोउबा, डी) चेइराओबा")</f>
        <v>ए) लाई हराओबा, बी) याओशांग, सी) निंगोल चाकोउबा, डी) चेइराओबा</v>
      </c>
      <c r="I611" s="5" t="str">
        <f>IFERROR(__xludf.DUMMYFUNCTION("GOOGLETRANSLATE(D611, ""en"", ""hi"")"),"बी) योशांग")</f>
        <v>बी) योशांग</v>
      </c>
    </row>
    <row r="612" ht="22.5" customHeight="1">
      <c r="A612" s="3">
        <v>611.0</v>
      </c>
      <c r="B612" s="4" t="s">
        <v>14201</v>
      </c>
      <c r="C612" s="4" t="s">
        <v>13687</v>
      </c>
      <c r="D612" s="4" t="s">
        <v>12361</v>
      </c>
      <c r="F612" s="5" t="str">
        <f>IFERROR(__xludf.DUMMYFUNCTION("GOOGLETRANSLATE(A612, ""en"", ""hi"")"),"611")</f>
        <v>611</v>
      </c>
      <c r="G612" s="5" t="str">
        <f>IFERROR(__xludf.DUMMYFUNCTION("GOOGLETRANSLATE(B612, ""en"", ""hi"")"),"19वीं सदी के किस मणिपुरी राजा को मुकना कुश्ती का दस्तावेजीकरण करने के लिए जाना जाता है?")</f>
        <v>19वीं सदी के किस मणिपुरी राजा को मुकना कुश्ती का दस्तावेजीकरण करने के लिए जाना जाता है?</v>
      </c>
      <c r="H612" s="5" t="str">
        <f>IFERROR(__xludf.DUMMYFUNCTION("GOOGLETRANSLATE(C612,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612" s="5" t="str">
        <f>IFERROR(__xludf.DUMMYFUNCTION("GOOGLETRANSLATE(D612, ""en"", ""hi"")"),"A) महाराजा गंभीर सिंह")</f>
        <v>A) महाराजा गंभीर सिंह</v>
      </c>
    </row>
    <row r="613" ht="22.5" customHeight="1">
      <c r="A613" s="3">
        <v>612.0</v>
      </c>
      <c r="B613" s="4" t="s">
        <v>14202</v>
      </c>
      <c r="C613" s="4" t="s">
        <v>13801</v>
      </c>
      <c r="D613" s="4" t="s">
        <v>13750</v>
      </c>
      <c r="F613" s="5" t="str">
        <f>IFERROR(__xludf.DUMMYFUNCTION("GOOGLETRANSLATE(A613, ""en"", ""hi"")"),"612")</f>
        <v>612</v>
      </c>
      <c r="G613" s="5" t="str">
        <f>IFERROR(__xludf.DUMMYFUNCTION("GOOGLETRANSLATE(B613, ""en"", ""hi"")"),"ऐतिहासिक मणिपुर में मुकना कुश्ती मैट के लिए प्रयुक्त पारंपरिक सामग्री क्या थी?")</f>
        <v>ऐतिहासिक मणिपुर में मुकना कुश्ती मैट के लिए प्रयुक्त पारंपरिक सामग्री क्या थी?</v>
      </c>
      <c r="H613" s="5" t="str">
        <f>IFERROR(__xludf.DUMMYFUNCTION("GOOGLETRANSLATE(C613, ""en"", ""hi"")"),"A) पुआल, B) जूट, C) कपास, D) बांस")</f>
        <v>A) पुआल, B) जूट, C) कपास, D) बांस</v>
      </c>
      <c r="I613" s="5" t="str">
        <f>IFERROR(__xludf.DUMMYFUNCTION("GOOGLETRANSLATE(D613, ""en"", ""hi"")"),"एक पुआल")</f>
        <v>एक पुआल</v>
      </c>
    </row>
    <row r="614" ht="22.5" customHeight="1">
      <c r="A614" s="3">
        <v>613.0</v>
      </c>
      <c r="B614" s="4" t="s">
        <v>14128</v>
      </c>
      <c r="C614" s="4" t="s">
        <v>13935</v>
      </c>
      <c r="D614" s="4" t="s">
        <v>13936</v>
      </c>
      <c r="F614" s="5" t="str">
        <f>IFERROR(__xludf.DUMMYFUNCTION("GOOGLETRANSLATE(A614, ""en"", ""hi"")"),"613")</f>
        <v>613</v>
      </c>
      <c r="G614" s="5" t="str">
        <f>IFERROR(__xludf.DUMMYFUNCTION("GOOGLETRANSLATE(B614, ""en"", ""hi"")"),"ब्रिटिश काल के किस लेख में मुकना कुश्ती के सांस्कृतिक पहलुओं पर चर्चा की गई है?")</f>
        <v>ब्रिटिश काल के किस लेख में मुकना कुश्ती के सांस्कृतिक पहलुओं पर चर्चा की गई है?</v>
      </c>
      <c r="H614" s="5" t="str">
        <f>IFERROR(__xludf.DUMMYFUNCTION("GOOGLETRANSLATE(C614,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614" s="5" t="str">
        <f>IFERROR(__xludf.DUMMYFUNCTION("GOOGLETRANSLATE(D614, ""en"", ""hi"")"),"A) जी. ई. हार्वे के लेखन")</f>
        <v>A) जी. ई. हार्वे के लेखन</v>
      </c>
    </row>
    <row r="615" ht="22.5" customHeight="1">
      <c r="A615" s="3">
        <v>614.0</v>
      </c>
      <c r="B615" s="4" t="s">
        <v>14125</v>
      </c>
      <c r="C615" s="4" t="s">
        <v>14147</v>
      </c>
      <c r="D615" s="4" t="s">
        <v>9447</v>
      </c>
      <c r="F615" s="5" t="str">
        <f>IFERROR(__xludf.DUMMYFUNCTION("GOOGLETRANSLATE(A615, ""en"", ""hi"")"),"614")</f>
        <v>614</v>
      </c>
      <c r="G615" s="5" t="str">
        <f>IFERROR(__xludf.DUMMYFUNCTION("GOOGLETRANSLATE(B615, ""en"", ""hi"")"),"पारंपरिक मणिपुर में मुकना कुश्ती प्रशिक्षण का प्राथमिक केंद्र क्या था?")</f>
        <v>पारंपरिक मणिपुर में मुकना कुश्ती प्रशिक्षण का प्राथमिक केंद्र क्या था?</v>
      </c>
      <c r="H615" s="5" t="str">
        <f>IFERROR(__xludf.DUMMYFUNCTION("GOOGLETRANSLATE(C615, ""en"", ""hi"")"),"A) युद्ध तकनीक, B) शारीरिक सहनशक्ति, C) अनुष्ठान प्रथाएँ, D) सामाजिक संपर्क")</f>
        <v>A) युद्ध तकनीक, B) शारीरिक सहनशक्ति, C) अनुष्ठान प्रथाएँ, D) सामाजिक संपर्क</v>
      </c>
      <c r="I615" s="5" t="str">
        <f>IFERROR(__xludf.DUMMYFUNCTION("GOOGLETRANSLATE(D615, ""en"", ""hi"")"),"A) युद्ध तकनीकें")</f>
        <v>A) युद्ध तकनीकें</v>
      </c>
    </row>
    <row r="616" ht="22.5" customHeight="1">
      <c r="A616" s="3">
        <v>615.0</v>
      </c>
      <c r="B616" s="4" t="s">
        <v>14148</v>
      </c>
      <c r="C616" s="4" t="s">
        <v>13974</v>
      </c>
      <c r="D616" s="4" t="s">
        <v>13948</v>
      </c>
      <c r="F616" s="5" t="str">
        <f>IFERROR(__xludf.DUMMYFUNCTION("GOOGLETRANSLATE(A616, ""en"", ""hi"")"),"615")</f>
        <v>615</v>
      </c>
      <c r="G616" s="5" t="str">
        <f>IFERROR(__xludf.DUMMYFUNCTION("GOOGLETRANSLATE(B616, ""en"", ""hi"")"),"ऐतिहासिक समय में मुकना कुश्ती पोशाक की एक सामान्य विशेषता क्या थी?")</f>
        <v>ऐतिहासिक समय में मुकना कुश्ती पोशाक की एक सामान्य विशेषता क्या थी?</v>
      </c>
      <c r="H616" s="5" t="str">
        <f>IFERROR(__xludf.DUMMYFUNCTION("GOOGLETRANSLATE(C616, ""en"", ""hi"")"),"A) ढीले-ढाले वस्त्र, B) रेशमी वस्त्र, C) चमड़े का कवच, D) ऊनी पोशाक")</f>
        <v>A) ढीले-ढाले वस्त्र, B) रेशमी वस्त्र, C) चमड़े का कवच, D) ऊनी पोशाक</v>
      </c>
      <c r="I616" s="5" t="str">
        <f>IFERROR(__xludf.DUMMYFUNCTION("GOOGLETRANSLATE(D616, ""en"", ""hi"")"),"A) ढीले-ढाले वस्त्र")</f>
        <v>A) ढीले-ढाले वस्त्र</v>
      </c>
    </row>
    <row r="617" ht="22.5" customHeight="1">
      <c r="A617" s="3">
        <v>616.0</v>
      </c>
      <c r="B617" s="4" t="s">
        <v>14113</v>
      </c>
      <c r="C617" s="4" t="s">
        <v>12389</v>
      </c>
      <c r="D617" s="4" t="s">
        <v>12165</v>
      </c>
      <c r="F617" s="5" t="str">
        <f>IFERROR(__xludf.DUMMYFUNCTION("GOOGLETRANSLATE(A617, ""en"", ""hi"")"),"616")</f>
        <v>616</v>
      </c>
      <c r="G617" s="5" t="str">
        <f>IFERROR(__xludf.DUMMYFUNCTION("GOOGLETRANSLATE(B617, ""en"", ""hi"")"),"कौन सा मणिपुरी त्यौहार मुकना कुश्ती प्रतियोगिताओं से सबसे अधिक जुड़ा हुआ है?")</f>
        <v>कौन सा मणिपुरी त्यौहार मुकना कुश्ती प्रतियोगिताओं से सबसे अधिक जुड़ा हुआ है?</v>
      </c>
      <c r="H617" s="5" t="str">
        <f>IFERROR(__xludf.DUMMYFUNCTION("GOOGLETRANSLATE(C617, ""en"", ""hi"")"),"ए) लाई हराओबा, बी) याओशांग, सी) निंगोल चाकोउबा, डी) चेइराओबा")</f>
        <v>ए) लाई हराओबा, बी) याओशांग, सी) निंगोल चाकोउबा, डी) चेइराओबा</v>
      </c>
      <c r="I617" s="5" t="str">
        <f>IFERROR(__xludf.DUMMYFUNCTION("GOOGLETRANSLATE(D617, ""en"", ""hi"")"),"बी) योशांग")</f>
        <v>बी) योशांग</v>
      </c>
    </row>
    <row r="618" ht="22.5" customHeight="1">
      <c r="A618" s="3">
        <v>617.0</v>
      </c>
      <c r="B618" s="4" t="s">
        <v>14130</v>
      </c>
      <c r="C618" s="4" t="s">
        <v>14131</v>
      </c>
      <c r="D618" s="4" t="s">
        <v>14132</v>
      </c>
      <c r="F618" s="5" t="str">
        <f>IFERROR(__xludf.DUMMYFUNCTION("GOOGLETRANSLATE(A618, ""en"", ""hi"")"),"617")</f>
        <v>617</v>
      </c>
      <c r="G618" s="5" t="str">
        <f>IFERROR(__xludf.DUMMYFUNCTION("GOOGLETRANSLATE(B618, ""en"", ""hi"")"),"मुकना कुश्ती प्रथाओं पर औपनिवेशिक शासन का प्रमुख प्रभाव क्या था?")</f>
        <v>मुकना कुश्ती प्रथाओं पर औपनिवेशिक शासन का प्रमुख प्रभाव क्या था?</v>
      </c>
      <c r="H618" s="5" t="str">
        <f>IFERROR(__xludf.DUMMYFUNCTION("GOOGLETRANSLATE(C618, ""en"", ""hi"")"),"A) पारंपरिक प्रथा में गिरावट, B) मान्यता में वृद्धि, C) संरक्षण के प्रयास, D) संस्थागतकरण")</f>
        <v>A) पारंपरिक प्रथा में गिरावट, B) मान्यता में वृद्धि, C) संरक्षण के प्रयास, D) संस्थागतकरण</v>
      </c>
      <c r="I618" s="5" t="str">
        <f>IFERROR(__xludf.DUMMYFUNCTION("GOOGLETRANSLATE(D618, ""en"", ""hi"")"),"A) पारंपरिक प्रथा में गिरावट")</f>
        <v>A) पारंपरिक प्रथा में गिरावट</v>
      </c>
    </row>
    <row r="619" ht="22.5" customHeight="1">
      <c r="A619" s="3">
        <v>618.0</v>
      </c>
      <c r="B619" s="4" t="s">
        <v>14120</v>
      </c>
      <c r="C619" s="4" t="s">
        <v>13619</v>
      </c>
      <c r="D619" s="4" t="s">
        <v>13331</v>
      </c>
      <c r="F619" s="5" t="str">
        <f>IFERROR(__xludf.DUMMYFUNCTION("GOOGLETRANSLATE(A619, ""en"", ""hi"")"),"618")</f>
        <v>618</v>
      </c>
      <c r="G619" s="5" t="str">
        <f>IFERROR(__xludf.DUMMYFUNCTION("GOOGLETRANSLATE(B619, ""en"", ""hi"")"),"20वीं शताब्दी में किस राजा के शासनकाल में मुकना कुश्ती प्रथाओं में महत्वपूर्ण परिवर्तन हुए?")</f>
        <v>20वीं शताब्दी में किस राजा के शासनकाल में मुकना कुश्ती प्रथाओं में महत्वपूर्ण परिवर्तन हुए?</v>
      </c>
      <c r="H619" s="5" t="str">
        <f>IFERROR(__xludf.DUMMYFUNCTION("GOOGLETRANSLATE(C619,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619" s="5" t="str">
        <f>IFERROR(__xludf.DUMMYFUNCTION("GOOGLETRANSLATE(D619, ""en"", ""hi"")"),"A) महाराजा चूड़ाचंद सिंह")</f>
        <v>A) महाराजा चूड़ाचंद सिंह</v>
      </c>
    </row>
    <row r="620" ht="22.5" customHeight="1">
      <c r="A620" s="3">
        <v>619.0</v>
      </c>
      <c r="B620" s="4" t="s">
        <v>14203</v>
      </c>
      <c r="C620" s="4" t="s">
        <v>14204</v>
      </c>
      <c r="D620" s="4" t="s">
        <v>14163</v>
      </c>
      <c r="F620" s="5" t="str">
        <f>IFERROR(__xludf.DUMMYFUNCTION("GOOGLETRANSLATE(A620, ""en"", ""hi"")"),"619")</f>
        <v>619</v>
      </c>
      <c r="G620" s="5" t="str">
        <f>IFERROR(__xludf.DUMMYFUNCTION("GOOGLETRANSLATE(B620, ""en"", ""hi"")"),"औपनिवेशिक प्रभाव से पहले मणिपुरी त्योहारों में मुकना कुश्ती की प्राथमिक भूमिका क्या थी?")</f>
        <v>औपनिवेशिक प्रभाव से पहले मणिपुरी त्योहारों में मुकना कुश्ती की प्राथमिक भूमिका क्या थी?</v>
      </c>
      <c r="H620" s="5" t="str">
        <f>IFERROR(__xludf.DUMMYFUNCTION("GOOGLETRANSLATE(C620, ""en"", ""hi"")"),"A) सार्वजनिक प्रदर्शन, B) अनुष्ठानिक प्रसाद, C) सामुदायिक भोज, D) मार्शल आर्ट प्रदर्शनियाँ")</f>
        <v>A) सार्वजनिक प्रदर्शन, B) अनुष्ठानिक प्रसाद, C) सामुदायिक भोज, D) मार्शल आर्ट प्रदर्शनियाँ</v>
      </c>
      <c r="I620" s="5" t="str">
        <f>IFERROR(__xludf.DUMMYFUNCTION("GOOGLETRANSLATE(D620, ""en"", ""hi"")"),"ए) सार्वजनिक प्रदर्शन")</f>
        <v>ए) सार्वजनिक प्रदर्शन</v>
      </c>
    </row>
    <row r="621" ht="22.5" customHeight="1">
      <c r="A621" s="3">
        <v>620.0</v>
      </c>
      <c r="B621" s="4" t="s">
        <v>14205</v>
      </c>
      <c r="C621" s="4" t="s">
        <v>13704</v>
      </c>
      <c r="D621" s="4" t="s">
        <v>13474</v>
      </c>
      <c r="F621" s="5" t="str">
        <f>IFERROR(__xludf.DUMMYFUNCTION("GOOGLETRANSLATE(A621, ""en"", ""hi"")"),"620")</f>
        <v>620</v>
      </c>
      <c r="G621" s="5" t="str">
        <f>IFERROR(__xludf.DUMMYFUNCTION("GOOGLETRANSLATE(B621, ""en"", ""hi"")"),"कौन सा ऐतिहासिक ग्रंथ मुकना कुश्ती तकनीकों और प्रथाओं के बारे में जानकारी प्रदान करता है?")</f>
        <v>कौन सा ऐतिहासिक ग्रंथ मुकना कुश्ती तकनीकों और प्रथाओं के बारे में जानकारी प्रदान करता है?</v>
      </c>
      <c r="H621" s="5" t="str">
        <f>IFERROR(__xludf.DUMMYFUNCTION("GOOGLETRANSLATE(C621, ""en"", ""hi"")"),"ए) बुरांजी, बी) राजमाला, सी) मणिपुरी वेद, डी) मनुस्मृति")</f>
        <v>ए) बुरांजी, बी) राजमाला, सी) मणिपुरी वेद, डी) मनुस्मृति</v>
      </c>
      <c r="I621" s="5" t="str">
        <f>IFERROR(__xludf.DUMMYFUNCTION("GOOGLETRANSLATE(D621, ""en"", ""hi"")"),"ए) बुरांजी")</f>
        <v>ए) बुरांजी</v>
      </c>
    </row>
    <row r="622" ht="22.5" customHeight="1">
      <c r="A622" s="3">
        <v>621.0</v>
      </c>
      <c r="B622" s="4" t="s">
        <v>14139</v>
      </c>
      <c r="C622" s="4" t="s">
        <v>14140</v>
      </c>
      <c r="D622" s="4" t="s">
        <v>13827</v>
      </c>
      <c r="F622" s="5" t="str">
        <f>IFERROR(__xludf.DUMMYFUNCTION("GOOGLETRANSLATE(A622, ""en"", ""hi"")"),"621")</f>
        <v>621</v>
      </c>
      <c r="G622" s="5" t="str">
        <f>IFERROR(__xludf.DUMMYFUNCTION("GOOGLETRANSLATE(B622, ""en"", ""hi"")"),"ऐतिहासिक रूप से मणिपुरी सैन्य प्रशिक्षण में मुकना कुश्ती की क्या भूमिका थी?")</f>
        <v>ऐतिहासिक रूप से मणिपुरी सैन्य प्रशिक्षण में मुकना कुश्ती की क्या भूमिका थी?</v>
      </c>
      <c r="H622" s="5" t="str">
        <f>IFERROR(__xludf.DUMMYFUNCTION("GOOGLETRANSLATE(C622, ""en"", ""hi"")"),"A) युद्ध तत्परता, B) शारीरिक फिटनेस, C) मानसिक दृढ़ता, D) सामरिक कौशल")</f>
        <v>A) युद्ध तत्परता, B) शारीरिक फिटनेस, C) मानसिक दृढ़ता, D) सामरिक कौशल</v>
      </c>
      <c r="I622" s="5" t="str">
        <f>IFERROR(__xludf.DUMMYFUNCTION("GOOGLETRANSLATE(D622, ""en"", ""hi"")"),"ए) युद्ध तत्परता")</f>
        <v>ए) युद्ध तत्परता</v>
      </c>
    </row>
    <row r="623" ht="22.5" customHeight="1">
      <c r="A623" s="3">
        <v>622.0</v>
      </c>
      <c r="B623" s="4" t="s">
        <v>14141</v>
      </c>
      <c r="C623" s="4" t="s">
        <v>13619</v>
      </c>
      <c r="D623" s="4" t="s">
        <v>13331</v>
      </c>
      <c r="F623" s="5" t="str">
        <f>IFERROR(__xludf.DUMMYFUNCTION("GOOGLETRANSLATE(A623, ""en"", ""hi"")"),"622")</f>
        <v>622</v>
      </c>
      <c r="G623" s="5" t="str">
        <f>IFERROR(__xludf.DUMMYFUNCTION("GOOGLETRANSLATE(B623, ""en"", ""hi"")"),"किस मणिपुरी राजा ने 20वीं शताब्दी में मुकना कुश्ती प्रथाओं को पुनर्जीवित करने के लिए महत्वपूर्ण प्रयास किए?")</f>
        <v>किस मणिपुरी राजा ने 20वीं शताब्दी में मुकना कुश्ती प्रथाओं को पुनर्जीवित करने के लिए महत्वपूर्ण प्रयास किए?</v>
      </c>
      <c r="H623" s="5" t="str">
        <f>IFERROR(__xludf.DUMMYFUNCTION("GOOGLETRANSLATE(C623,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623" s="5" t="str">
        <f>IFERROR(__xludf.DUMMYFUNCTION("GOOGLETRANSLATE(D623, ""en"", ""hi"")"),"A) महाराजा चूड़ाचंद सिंह")</f>
        <v>A) महाराजा चूड़ाचंद सिंह</v>
      </c>
    </row>
    <row r="624" ht="22.5" customHeight="1">
      <c r="A624" s="3">
        <v>623.0</v>
      </c>
      <c r="B624" s="4" t="s">
        <v>14082</v>
      </c>
      <c r="C624" s="4" t="s">
        <v>13801</v>
      </c>
      <c r="D624" s="4" t="s">
        <v>13750</v>
      </c>
      <c r="F624" s="5" t="str">
        <f>IFERROR(__xludf.DUMMYFUNCTION("GOOGLETRANSLATE(A624, ""en"", ""hi"")"),"623")</f>
        <v>623</v>
      </c>
      <c r="G624" s="5" t="str">
        <f>IFERROR(__xludf.DUMMYFUNCTION("GOOGLETRANSLATE(B624,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624" s="5" t="str">
        <f>IFERROR(__xludf.DUMMYFUNCTION("GOOGLETRANSLATE(C624, ""en"", ""hi"")"),"A) पुआल, B) जूट, C) कपास, D) बांस")</f>
        <v>A) पुआल, B) जूट, C) कपास, D) बांस</v>
      </c>
      <c r="I624" s="5" t="str">
        <f>IFERROR(__xludf.DUMMYFUNCTION("GOOGLETRANSLATE(D624, ""en"", ""hi"")"),"एक पुआल")</f>
        <v>एक पुआल</v>
      </c>
    </row>
    <row r="625" ht="22.5" customHeight="1">
      <c r="A625" s="3">
        <v>624.0</v>
      </c>
      <c r="B625" s="4" t="s">
        <v>14142</v>
      </c>
      <c r="C625" s="4" t="s">
        <v>13704</v>
      </c>
      <c r="D625" s="4" t="s">
        <v>13474</v>
      </c>
      <c r="F625" s="5" t="str">
        <f>IFERROR(__xludf.DUMMYFUNCTION("GOOGLETRANSLATE(A625, ""en"", ""hi"")"),"624")</f>
        <v>624</v>
      </c>
      <c r="G625" s="5" t="str">
        <f>IFERROR(__xludf.DUMMYFUNCTION("GOOGLETRANSLATE(B625, ""en"", ""hi"")"),"कौन सा ऐतिहासिक ग्रंथ मुकना कुश्ती तकनीकों और प्रथाओं के बारे में जानकारी प्रदान करता है?")</f>
        <v>कौन सा ऐतिहासिक ग्रंथ मुकना कुश्ती तकनीकों और प्रथाओं के बारे में जानकारी प्रदान करता है?</v>
      </c>
      <c r="H625" s="5" t="str">
        <f>IFERROR(__xludf.DUMMYFUNCTION("GOOGLETRANSLATE(C625, ""en"", ""hi"")"),"ए) बुरांजी, बी) राजमाला, सी) मणिपुरी वेद, डी) मनुस्मृति")</f>
        <v>ए) बुरांजी, बी) राजमाला, सी) मणिपुरी वेद, डी) मनुस्मृति</v>
      </c>
      <c r="I625" s="5" t="str">
        <f>IFERROR(__xludf.DUMMYFUNCTION("GOOGLETRANSLATE(D625, ""en"", ""hi"")"),"ए) बुरांजी")</f>
        <v>ए) बुरांजी</v>
      </c>
    </row>
    <row r="626" ht="22.5" customHeight="1">
      <c r="A626" s="3">
        <v>625.0</v>
      </c>
      <c r="B626" s="4" t="s">
        <v>14143</v>
      </c>
      <c r="C626" s="4" t="s">
        <v>14144</v>
      </c>
      <c r="D626" s="4" t="s">
        <v>14145</v>
      </c>
      <c r="F626" s="5" t="str">
        <f>IFERROR(__xludf.DUMMYFUNCTION("GOOGLETRANSLATE(A626, ""en"", ""hi"")"),"625")</f>
        <v>625</v>
      </c>
      <c r="G626" s="5" t="str">
        <f>IFERROR(__xludf.DUMMYFUNCTION("GOOGLETRANSLATE(B626, ""en"", ""hi"")"),"ब्रिटिश औपनिवेशिक शासन ने मणिपुर में मुकना कुश्ती को कैसे प्रभावित किया?")</f>
        <v>ब्रिटिश औपनिवेशिक शासन ने मणिपुर में मुकना कुश्ती को कैसे प्रभावित किया?</v>
      </c>
      <c r="H626" s="5" t="str">
        <f>IFERROR(__xludf.DUMMYFUNCTION("GOOGLETRANSLATE(C626, ""en"", ""hi"")"),"A) व्यवहार में गिरावट, B) बढ़ती लोकप्रियता, C) संस्थागतकरण, D) सांस्कृतिक पुनरुत्थान")</f>
        <v>A) व्यवहार में गिरावट, B) बढ़ती लोकप्रियता, C) संस्थागतकरण, D) सांस्कृतिक पुनरुत्थान</v>
      </c>
      <c r="I626" s="5" t="str">
        <f>IFERROR(__xludf.DUMMYFUNCTION("GOOGLETRANSLATE(D626, ""en"", ""hi"")"),"A) व्यवहार में गिरावट")</f>
        <v>A) व्यवहार में गिरावट</v>
      </c>
    </row>
    <row r="627" ht="22.5" customHeight="1">
      <c r="A627" s="3">
        <v>626.0</v>
      </c>
      <c r="B627" s="4" t="s">
        <v>14146</v>
      </c>
      <c r="C627" s="4" t="s">
        <v>13687</v>
      </c>
      <c r="D627" s="4" t="s">
        <v>12361</v>
      </c>
      <c r="F627" s="5" t="str">
        <f>IFERROR(__xludf.DUMMYFUNCTION("GOOGLETRANSLATE(A627, ""en"", ""hi"")"),"626")</f>
        <v>626</v>
      </c>
      <c r="G627" s="5" t="str">
        <f>IFERROR(__xludf.DUMMYFUNCTION("GOOGLETRANSLATE(B627, ""en"", ""hi"")"),"19वीं शताब्दी में किस राजा के शासनकाल में मुकना कुश्ती प्रथाओं का दस्तावेजीकरण हुआ?")</f>
        <v>19वीं शताब्दी में किस राजा के शासनकाल में मुकना कुश्ती प्रथाओं का दस्तावेजीकरण हुआ?</v>
      </c>
      <c r="H627" s="5" t="str">
        <f>IFERROR(__xludf.DUMMYFUNCTION("GOOGLETRANSLATE(C627,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627" s="5" t="str">
        <f>IFERROR(__xludf.DUMMYFUNCTION("GOOGLETRANSLATE(D627, ""en"", ""hi"")"),"A) महाराजा गंभीर सिंह")</f>
        <v>A) महाराजा गंभीर सिंह</v>
      </c>
    </row>
    <row r="628" ht="22.5" customHeight="1">
      <c r="A628" s="3">
        <v>627.0</v>
      </c>
      <c r="B628" s="4" t="s">
        <v>14125</v>
      </c>
      <c r="C628" s="4" t="s">
        <v>14147</v>
      </c>
      <c r="D628" s="4" t="s">
        <v>9447</v>
      </c>
      <c r="F628" s="5" t="str">
        <f>IFERROR(__xludf.DUMMYFUNCTION("GOOGLETRANSLATE(A628, ""en"", ""hi"")"),"627")</f>
        <v>627</v>
      </c>
      <c r="G628" s="5" t="str">
        <f>IFERROR(__xludf.DUMMYFUNCTION("GOOGLETRANSLATE(B628, ""en"", ""hi"")"),"पारंपरिक मणिपुर में मुकना कुश्ती प्रशिक्षण का प्राथमिक केंद्र क्या था?")</f>
        <v>पारंपरिक मणिपुर में मुकना कुश्ती प्रशिक्षण का प्राथमिक केंद्र क्या था?</v>
      </c>
      <c r="H628" s="5" t="str">
        <f>IFERROR(__xludf.DUMMYFUNCTION("GOOGLETRANSLATE(C628, ""en"", ""hi"")"),"A) युद्ध तकनीक, B) शारीरिक सहनशक्ति, C) अनुष्ठान प्रथाएँ, D) सामाजिक संपर्क")</f>
        <v>A) युद्ध तकनीक, B) शारीरिक सहनशक्ति, C) अनुष्ठान प्रथाएँ, D) सामाजिक संपर्क</v>
      </c>
      <c r="I628" s="5" t="str">
        <f>IFERROR(__xludf.DUMMYFUNCTION("GOOGLETRANSLATE(D628, ""en"", ""hi"")"),"A) युद्ध तकनीकें")</f>
        <v>A) युद्ध तकनीकें</v>
      </c>
    </row>
    <row r="629" ht="22.5" customHeight="1">
      <c r="A629" s="3">
        <v>628.0</v>
      </c>
      <c r="B629" s="4" t="s">
        <v>14148</v>
      </c>
      <c r="C629" s="4" t="s">
        <v>13974</v>
      </c>
      <c r="D629" s="4" t="s">
        <v>13948</v>
      </c>
      <c r="F629" s="5" t="str">
        <f>IFERROR(__xludf.DUMMYFUNCTION("GOOGLETRANSLATE(A629, ""en"", ""hi"")"),"628")</f>
        <v>628</v>
      </c>
      <c r="G629" s="5" t="str">
        <f>IFERROR(__xludf.DUMMYFUNCTION("GOOGLETRANSLATE(B629, ""en"", ""hi"")"),"ऐतिहासिक समय में मुकना कुश्ती पोशाक की एक सामान्य विशेषता क्या थी?")</f>
        <v>ऐतिहासिक समय में मुकना कुश्ती पोशाक की एक सामान्य विशेषता क्या थी?</v>
      </c>
      <c r="H629" s="5" t="str">
        <f>IFERROR(__xludf.DUMMYFUNCTION("GOOGLETRANSLATE(C629, ""en"", ""hi"")"),"A) ढीले-ढाले वस्त्र, B) रेशमी वस्त्र, C) चमड़े का कवच, D) ऊनी पोशाक")</f>
        <v>A) ढीले-ढाले वस्त्र, B) रेशमी वस्त्र, C) चमड़े का कवच, D) ऊनी पोशाक</v>
      </c>
      <c r="I629" s="5" t="str">
        <f>IFERROR(__xludf.DUMMYFUNCTION("GOOGLETRANSLATE(D629, ""en"", ""hi"")"),"A) ढीले-ढाले वस्त्र")</f>
        <v>A) ढीले-ढाले वस्त्र</v>
      </c>
    </row>
    <row r="630" ht="22.5" customHeight="1">
      <c r="A630" s="3">
        <v>629.0</v>
      </c>
      <c r="B630" s="4" t="s">
        <v>14149</v>
      </c>
      <c r="C630" s="4" t="s">
        <v>12389</v>
      </c>
      <c r="D630" s="4" t="s">
        <v>12086</v>
      </c>
      <c r="F630" s="5" t="str">
        <f>IFERROR(__xludf.DUMMYFUNCTION("GOOGLETRANSLATE(A630, ""en"", ""hi"")"),"629")</f>
        <v>629</v>
      </c>
      <c r="G630" s="5" t="str">
        <f>IFERROR(__xludf.DUMMYFUNCTION("GOOGLETRANSLATE(B630, ""en"", ""hi"")"),"कौन सा मणिपुरी त्योहार ऐतिहासिक रूप से मुकना कुश्ती प्रतियोगिताओं से जुड़ा हुआ है?")</f>
        <v>कौन सा मणिपुरी त्योहार ऐतिहासिक रूप से मुकना कुश्ती प्रतियोगिताओं से जुड़ा हुआ है?</v>
      </c>
      <c r="H630" s="5" t="str">
        <f>IFERROR(__xludf.DUMMYFUNCTION("GOOGLETRANSLATE(C630, ""en"", ""hi"")"),"ए) लाई हराओबा, बी) याओशांग, सी) निंगोल चाकोउबा, डी) चेइराओबा")</f>
        <v>ए) लाई हराओबा, बी) याओशांग, सी) निंगोल चाकोउबा, डी) चेइराओबा</v>
      </c>
      <c r="I630" s="5" t="str">
        <f>IFERROR(__xludf.DUMMYFUNCTION("GOOGLETRANSLATE(D630, ""en"", ""hi"")"),"A) लाई हरोबा")</f>
        <v>A) लाई हरोबा</v>
      </c>
    </row>
    <row r="631" ht="22.5" customHeight="1">
      <c r="A631" s="3">
        <v>630.0</v>
      </c>
      <c r="B631" s="4" t="s">
        <v>14150</v>
      </c>
      <c r="C631" s="4" t="s">
        <v>14206</v>
      </c>
      <c r="D631" s="4" t="s">
        <v>14152</v>
      </c>
      <c r="F631" s="5" t="str">
        <f>IFERROR(__xludf.DUMMYFUNCTION("GOOGLETRANSLATE(A631, ""en"", ""hi"")"),"630")</f>
        <v>630</v>
      </c>
      <c r="G631" s="5" t="str">
        <f>IFERROR(__xludf.DUMMYFUNCTION("GOOGLETRANSLATE(B631, ""en"", ""hi"")"),"ब्रिटिश उपनिवेशवाद का मुकना कुश्ती के अभ्यास पर क्या प्रभाव पड़ा?")</f>
        <v>ब्रिटिश उपनिवेशवाद का मुकना कुश्ती के अभ्यास पर क्या प्रभाव पड़ा?</v>
      </c>
      <c r="H631" s="5" t="str">
        <f>IFERROR(__xludf.DUMMYFUNCTION("GOOGLETRANSLATE(C631, ""en"", ""hi"")"),"A) पारंपरिक प्रथाओं में गिरावट, B) लोकप्रियता में वृद्धि, C) संरक्षण के प्रयास, D) संस्थागतकरण")</f>
        <v>A) पारंपरिक प्रथाओं में गिरावट, B) लोकप्रियता में वृद्धि, C) संरक्षण के प्रयास, D) संस्थागतकरण</v>
      </c>
      <c r="I631" s="5" t="str">
        <f>IFERROR(__xludf.DUMMYFUNCTION("GOOGLETRANSLATE(D631, ""en"", ""hi"")"),"A) पारंपरिक प्रथाओं में गिरावट")</f>
        <v>A) पारंपरिक प्रथाओं में गिरावट</v>
      </c>
    </row>
    <row r="632" ht="22.5" customHeight="1">
      <c r="A632" s="3">
        <v>631.0</v>
      </c>
      <c r="B632" s="4" t="s">
        <v>14153</v>
      </c>
      <c r="C632" s="4" t="s">
        <v>13704</v>
      </c>
      <c r="D632" s="4" t="s">
        <v>13474</v>
      </c>
      <c r="F632" s="5" t="str">
        <f>IFERROR(__xludf.DUMMYFUNCTION("GOOGLETRANSLATE(A632, ""en"", ""hi"")"),"631")</f>
        <v>631</v>
      </c>
      <c r="G632" s="5" t="str">
        <f>IFERROR(__xludf.DUMMYFUNCTION("GOOGLETRANSLATE(B632, ""en"", ""hi"")"),"मुकना कुश्ती के इतिहास को समझने के लिए कौन सा ग्रन्थ आवश्यक स्रोत है?")</f>
        <v>मुकना कुश्ती के इतिहास को समझने के लिए कौन सा ग्रन्थ आवश्यक स्रोत है?</v>
      </c>
      <c r="H632" s="5" t="str">
        <f>IFERROR(__xludf.DUMMYFUNCTION("GOOGLETRANSLATE(C632, ""en"", ""hi"")"),"ए) बुरांजी, बी) राजमाला, सी) मणिपुरी वेद, डी) मनुस्मृति")</f>
        <v>ए) बुरांजी, बी) राजमाला, सी) मणिपुरी वेद, डी) मनुस्मृति</v>
      </c>
      <c r="I632" s="5" t="str">
        <f>IFERROR(__xludf.DUMMYFUNCTION("GOOGLETRANSLATE(D632, ""en"", ""hi"")"),"ए) बुरांजी")</f>
        <v>ए) बुरांजी</v>
      </c>
    </row>
    <row r="633" ht="22.5" customHeight="1">
      <c r="A633" s="3">
        <v>632.0</v>
      </c>
      <c r="B633" s="4" t="s">
        <v>14154</v>
      </c>
      <c r="C633" s="4" t="s">
        <v>14155</v>
      </c>
      <c r="D633" s="4" t="s">
        <v>13827</v>
      </c>
      <c r="F633" s="5" t="str">
        <f>IFERROR(__xludf.DUMMYFUNCTION("GOOGLETRANSLATE(A633, ""en"", ""hi"")"),"632")</f>
        <v>632</v>
      </c>
      <c r="G633" s="5" t="str">
        <f>IFERROR(__xludf.DUMMYFUNCTION("GOOGLETRANSLATE(B633, ""en"", ""hi"")"),"औपनिवेशिक काल के दौरान मणिपुरी समाज में मुकना कुश्ती की पारंपरिक भूमिका क्या थी?")</f>
        <v>औपनिवेशिक काल के दौरान मणिपुरी समाज में मुकना कुश्ती की पारंपरिक भूमिका क्या थी?</v>
      </c>
      <c r="H633" s="5" t="str">
        <f>IFERROR(__xludf.DUMMYFUNCTION("GOOGLETRANSLATE(C633, ""en"", ""hi"")"),"A) युद्ध की तैयारी, B) मनोरंजन, C) अनुष्ठान अभ्यास, D) सामाजिक बंधन")</f>
        <v>A) युद्ध की तैयारी, B) मनोरंजन, C) अनुष्ठान अभ्यास, D) सामाजिक बंधन</v>
      </c>
      <c r="I633" s="5" t="str">
        <f>IFERROR(__xludf.DUMMYFUNCTION("GOOGLETRANSLATE(D633, ""en"", ""hi"")"),"ए) युद्ध तत्परता")</f>
        <v>ए) युद्ध तत्परता</v>
      </c>
    </row>
    <row r="634" ht="22.5" customHeight="1">
      <c r="A634" s="3">
        <v>633.0</v>
      </c>
      <c r="B634" s="4" t="s">
        <v>14156</v>
      </c>
      <c r="C634" s="4" t="s">
        <v>13687</v>
      </c>
      <c r="D634" s="4" t="s">
        <v>12361</v>
      </c>
      <c r="F634" s="5" t="str">
        <f>IFERROR(__xludf.DUMMYFUNCTION("GOOGLETRANSLATE(A634, ""en"", ""hi"")"),"633")</f>
        <v>633</v>
      </c>
      <c r="G634" s="5" t="str">
        <f>IFERROR(__xludf.DUMMYFUNCTION("GOOGLETRANSLATE(B634, ""en"", ""hi"")"),"कौन सा मणिपुरी शासक मुकना कुश्ती प्रथाओं के दस्तावेजीकरण में अपने योगदान के लिए जाना जाता है?")</f>
        <v>कौन सा मणिपुरी शासक मुकना कुश्ती प्रथाओं के दस्तावेजीकरण में अपने योगदान के लिए जाना जाता है?</v>
      </c>
      <c r="H634" s="5" t="str">
        <f>IFERROR(__xludf.DUMMYFUNCTION("GOOGLETRANSLATE(C634,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634" s="5" t="str">
        <f>IFERROR(__xludf.DUMMYFUNCTION("GOOGLETRANSLATE(D634, ""en"", ""hi"")"),"A) महाराजा गंभीर सिंह")</f>
        <v>A) महाराजा गंभीर सिंह</v>
      </c>
    </row>
    <row r="635" ht="22.5" customHeight="1">
      <c r="A635" s="3">
        <v>634.0</v>
      </c>
      <c r="B635" s="4" t="s">
        <v>14082</v>
      </c>
      <c r="C635" s="4" t="s">
        <v>13801</v>
      </c>
      <c r="D635" s="4" t="s">
        <v>13750</v>
      </c>
      <c r="F635" s="5" t="str">
        <f>IFERROR(__xludf.DUMMYFUNCTION("GOOGLETRANSLATE(A635, ""en"", ""hi"")"),"634")</f>
        <v>634</v>
      </c>
      <c r="G635" s="5" t="str">
        <f>IFERROR(__xludf.DUMMYFUNCTION("GOOGLETRANSLATE(B635, ""en"", ""hi"")"),"ऐतिहासिक मणिपुर में मुकना कुश्ती मैट के लिए पारंपरिक रूप से किस सामग्री का उपयोग किया जाता था?")</f>
        <v>ऐतिहासिक मणिपुर में मुकना कुश्ती मैट के लिए पारंपरिक रूप से किस सामग्री का उपयोग किया जाता था?</v>
      </c>
      <c r="H635" s="5" t="str">
        <f>IFERROR(__xludf.DUMMYFUNCTION("GOOGLETRANSLATE(C635, ""en"", ""hi"")"),"A) पुआल, B) जूट, C) कपास, D) बांस")</f>
        <v>A) पुआल, B) जूट, C) कपास, D) बांस</v>
      </c>
      <c r="I635" s="5" t="str">
        <f>IFERROR(__xludf.DUMMYFUNCTION("GOOGLETRANSLATE(D635, ""en"", ""hi"")"),"एक पुआल")</f>
        <v>एक पुआल</v>
      </c>
    </row>
    <row r="636" ht="22.5" customHeight="1">
      <c r="A636" s="3">
        <v>635.0</v>
      </c>
      <c r="B636" s="4" t="s">
        <v>14128</v>
      </c>
      <c r="C636" s="4" t="s">
        <v>13935</v>
      </c>
      <c r="D636" s="4" t="s">
        <v>13936</v>
      </c>
      <c r="F636" s="5" t="str">
        <f>IFERROR(__xludf.DUMMYFUNCTION("GOOGLETRANSLATE(A636, ""en"", ""hi"")"),"635")</f>
        <v>635</v>
      </c>
      <c r="G636" s="5" t="str">
        <f>IFERROR(__xludf.DUMMYFUNCTION("GOOGLETRANSLATE(B636, ""en"", ""hi"")"),"ब्रिटिश काल के किस लेख में मुकना कुश्ती के सांस्कृतिक पहलुओं पर चर्चा की गई है?")</f>
        <v>ब्रिटिश काल के किस लेख में मुकना कुश्ती के सांस्कृतिक पहलुओं पर चर्चा की गई है?</v>
      </c>
      <c r="H636" s="5" t="str">
        <f>IFERROR(__xludf.DUMMYFUNCTION("GOOGLETRANSLATE(C636,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636" s="5" t="str">
        <f>IFERROR(__xludf.DUMMYFUNCTION("GOOGLETRANSLATE(D636, ""en"", ""hi"")"),"A) जी. ई. हार्वे के लेखन")</f>
        <v>A) जी. ई. हार्वे के लेखन</v>
      </c>
    </row>
    <row r="637" ht="22.5" customHeight="1">
      <c r="A637" s="3">
        <v>636.0</v>
      </c>
      <c r="B637" s="4" t="s">
        <v>14157</v>
      </c>
      <c r="C637" s="4" t="s">
        <v>12793</v>
      </c>
      <c r="D637" s="4" t="s">
        <v>11987</v>
      </c>
      <c r="F637" s="5" t="str">
        <f>IFERROR(__xludf.DUMMYFUNCTION("GOOGLETRANSLATE(A637, ""en"", ""hi"")"),"636")</f>
        <v>636</v>
      </c>
      <c r="G637" s="5" t="str">
        <f>IFERROR(__xludf.DUMMYFUNCTION("GOOGLETRANSLATE(B637, ""en"", ""hi"")"),"कौन सा मणिपुरी त्यौहार मुकना कुश्ती के लिए महत्वपूर्ण है?")</f>
        <v>कौन सा मणिपुरी त्यौहार मुकना कुश्ती के लिए महत्वपूर्ण है?</v>
      </c>
      <c r="H637" s="5" t="str">
        <f>IFERROR(__xludf.DUMMYFUNCTION("GOOGLETRANSLATE(C637, ""en"", ""hi"")"),"ए) याओशांग, बी) लाई हराओबा, सी) निंगोल चाकोउबा, डी) चेइराओबा")</f>
        <v>ए) याओशांग, बी) लाई हराओबा, सी) निंगोल चाकोउबा, डी) चेइराओबा</v>
      </c>
      <c r="I637" s="5" t="str">
        <f>IFERROR(__xludf.DUMMYFUNCTION("GOOGLETRANSLATE(D637, ""en"", ""hi"")"),"ए) योशांग")</f>
        <v>ए) योशांग</v>
      </c>
    </row>
    <row r="638" ht="22.5" customHeight="1">
      <c r="A638" s="3">
        <v>637.0</v>
      </c>
      <c r="B638" s="4" t="s">
        <v>14158</v>
      </c>
      <c r="C638" s="4" t="s">
        <v>14159</v>
      </c>
      <c r="D638" s="4" t="s">
        <v>14145</v>
      </c>
      <c r="F638" s="5" t="str">
        <f>IFERROR(__xludf.DUMMYFUNCTION("GOOGLETRANSLATE(A638, ""en"", ""hi"")"),"637")</f>
        <v>637</v>
      </c>
      <c r="G638" s="5" t="str">
        <f>IFERROR(__xludf.DUMMYFUNCTION("GOOGLETRANSLATE(B638, ""en"", ""hi"")"),"मुकना कुश्ती प्रथाओं पर औपनिवेशिक शासन का क्या प्रभाव पड़ा?")</f>
        <v>मुकना कुश्ती प्रथाओं पर औपनिवेशिक शासन का क्या प्रभाव पड़ा?</v>
      </c>
      <c r="H638" s="5" t="str">
        <f>IFERROR(__xludf.DUMMYFUNCTION("GOOGLETRANSLATE(C638, ""en"", ""hi"")"),"A) व्यवहार में गिरावट, B) मान्यता में वृद्धि, C) संरक्षण के प्रयास, D) संस्थागतकरण")</f>
        <v>A) व्यवहार में गिरावट, B) मान्यता में वृद्धि, C) संरक्षण के प्रयास, D) संस्थागतकरण</v>
      </c>
      <c r="I638" s="5" t="str">
        <f>IFERROR(__xludf.DUMMYFUNCTION("GOOGLETRANSLATE(D638, ""en"", ""hi"")"),"A) व्यवहार में गिरावट")</f>
        <v>A) व्यवहार में गिरावट</v>
      </c>
    </row>
    <row r="639" ht="22.5" customHeight="1">
      <c r="A639" s="3">
        <v>638.0</v>
      </c>
      <c r="B639" s="4" t="s">
        <v>14160</v>
      </c>
      <c r="C639" s="4" t="s">
        <v>13619</v>
      </c>
      <c r="D639" s="4" t="s">
        <v>13331</v>
      </c>
      <c r="F639" s="5" t="str">
        <f>IFERROR(__xludf.DUMMYFUNCTION("GOOGLETRANSLATE(A639, ""en"", ""hi"")"),"638")</f>
        <v>638</v>
      </c>
      <c r="G639" s="5" t="str">
        <f>IFERROR(__xludf.DUMMYFUNCTION("GOOGLETRANSLATE(B639, ""en"", ""hi"")"),"20वीं शताब्दी में किस राजा के शासनकाल में मुकना कुश्ती में महत्वपूर्ण परिवर्तन हुए?")</f>
        <v>20वीं शताब्दी में किस राजा के शासनकाल में मुकना कुश्ती में महत्वपूर्ण परिवर्तन हुए?</v>
      </c>
      <c r="H639" s="5" t="str">
        <f>IFERROR(__xludf.DUMMYFUNCTION("GOOGLETRANSLATE(C639, ""en"", ""hi"")"),"ए) महाराजा चूड़ाचंद सिंह, बी) महाराजा गंभीर सिंह, सी) महाराजा भाग्यचंद्र सिंह, डी) महाराजा बोधचंद्र सिंह")</f>
        <v>ए) महाराजा चूड़ाचंद सिंह, बी) महाराजा गंभीर सिंह, सी) महाराजा भाग्यचंद्र सिंह, डी) महाराजा बोधचंद्र सिंह</v>
      </c>
      <c r="I639" s="5" t="str">
        <f>IFERROR(__xludf.DUMMYFUNCTION("GOOGLETRANSLATE(D639, ""en"", ""hi"")"),"A) महाराजा चूड़ाचंद सिंह")</f>
        <v>A) महाराजा चूड़ाचंद सिंह</v>
      </c>
    </row>
    <row r="640" ht="22.5" customHeight="1">
      <c r="A640" s="3">
        <v>639.0</v>
      </c>
      <c r="B640" s="4" t="s">
        <v>14161</v>
      </c>
      <c r="C640" s="4" t="s">
        <v>14162</v>
      </c>
      <c r="D640" s="4" t="s">
        <v>14163</v>
      </c>
      <c r="F640" s="5" t="str">
        <f>IFERROR(__xludf.DUMMYFUNCTION("GOOGLETRANSLATE(A640, ""en"", ""hi"")"),"639")</f>
        <v>639</v>
      </c>
      <c r="G640" s="5" t="str">
        <f>IFERROR(__xludf.DUMMYFUNCTION("GOOGLETRANSLATE(B640, ""en"", ""hi"")"),"मणिपुरी त्योहारों के दौरान मुकना कुश्ती का प्रमुख आयोजन क्या था?")</f>
        <v>मणिपुरी त्योहारों के दौरान मुकना कुश्ती का प्रमुख आयोजन क्या था?</v>
      </c>
      <c r="H640" s="5" t="str">
        <f>IFERROR(__xludf.DUMMYFUNCTION("GOOGLETRANSLATE(C640, ""en"", ""hi"")"),"A) सार्वजनिक प्रदर्शन, B) अनुष्ठानिक प्रसाद, C) सामाजिक समारोह, D) मार्शल आर्ट प्रदर्शनियाँ")</f>
        <v>A) सार्वजनिक प्रदर्शन, B) अनुष्ठानिक प्रसाद, C) सामाजिक समारोह, D) मार्शल आर्ट प्रदर्शनियाँ</v>
      </c>
      <c r="I640" s="5" t="str">
        <f>IFERROR(__xludf.DUMMYFUNCTION("GOOGLETRANSLATE(D640, ""en"", ""hi"")"),"ए) सार्वजनिक प्रदर्शन")</f>
        <v>ए) सार्वजनिक प्रदर्शन</v>
      </c>
    </row>
    <row r="641" ht="22.5" customHeight="1">
      <c r="A641" s="3">
        <v>640.0</v>
      </c>
      <c r="B641" s="4" t="s">
        <v>14164</v>
      </c>
      <c r="C641" s="4" t="s">
        <v>13704</v>
      </c>
      <c r="D641" s="4" t="s">
        <v>13474</v>
      </c>
      <c r="F641" s="5" t="str">
        <f>IFERROR(__xludf.DUMMYFUNCTION("GOOGLETRANSLATE(A641, ""en"", ""hi"")"),"640")</f>
        <v>640</v>
      </c>
      <c r="G641" s="5" t="str">
        <f>IFERROR(__xludf.DUMMYFUNCTION("GOOGLETRANSLATE(B641, ""en"", ""hi"")"),"कौन सा ऐतिहासिक ग्रंथ मुकना कुश्ती तकनीक और इतिहास के बारे में जानकारी प्रदान करता है?")</f>
        <v>कौन सा ऐतिहासिक ग्रंथ मुकना कुश्ती तकनीक और इतिहास के बारे में जानकारी प्रदान करता है?</v>
      </c>
      <c r="H641" s="5" t="str">
        <f>IFERROR(__xludf.DUMMYFUNCTION("GOOGLETRANSLATE(C641, ""en"", ""hi"")"),"ए) बुरांजी, बी) राजमाला, सी) मणिपुरी वेद, डी) मनुस्मृति")</f>
        <v>ए) बुरांजी, बी) राजमाला, सी) मणिपुरी वेद, डी) मनुस्मृति</v>
      </c>
      <c r="I641" s="5" t="str">
        <f>IFERROR(__xludf.DUMMYFUNCTION("GOOGLETRANSLATE(D641, ""en"", ""hi"")"),"ए) बुरांजी")</f>
        <v>ए) बुरांजी</v>
      </c>
    </row>
    <row r="642" ht="22.5" customHeight="1">
      <c r="A642" s="3">
        <v>641.0</v>
      </c>
      <c r="B642" s="4" t="s">
        <v>14198</v>
      </c>
      <c r="C642" s="4" t="s">
        <v>14144</v>
      </c>
      <c r="D642" s="4" t="s">
        <v>14145</v>
      </c>
      <c r="F642" s="5" t="str">
        <f>IFERROR(__xludf.DUMMYFUNCTION("GOOGLETRANSLATE(A642, ""en"", ""hi"")"),"641")</f>
        <v>641</v>
      </c>
      <c r="G642" s="5" t="str">
        <f>IFERROR(__xludf.DUMMYFUNCTION("GOOGLETRANSLATE(B642, ""en"", ""hi"")"),"ब्रिटिश औपनिवेशिक शासन ने मणिपुर में मुकना कुश्ती को कैसे प्रभावित किया?")</f>
        <v>ब्रिटिश औपनिवेशिक शासन ने मणिपुर में मुकना कुश्ती को कैसे प्रभावित किया?</v>
      </c>
      <c r="H642" s="5" t="str">
        <f>IFERROR(__xludf.DUMMYFUNCTION("GOOGLETRANSLATE(C642, ""en"", ""hi"")"),"A) व्यवहार में गिरावट, B) बढ़ती लोकप्रियता, C) संस्थागतकरण, D) सांस्कृतिक पुनरुत्थान")</f>
        <v>A) व्यवहार में गिरावट, B) बढ़ती लोकप्रियता, C) संस्थागतकरण, D) सांस्कृतिक पुनरुत्थान</v>
      </c>
      <c r="I642" s="5" t="str">
        <f>IFERROR(__xludf.DUMMYFUNCTION("GOOGLETRANSLATE(D642, ""en"", ""hi"")"),"A) व्यवहार में गिरावट")</f>
        <v>A) व्यवहार में गिरावट</v>
      </c>
    </row>
    <row r="643" ht="22.5" customHeight="1">
      <c r="A643" s="3">
        <v>642.0</v>
      </c>
      <c r="B643" s="4" t="s">
        <v>14166</v>
      </c>
      <c r="C643" s="4" t="s">
        <v>13687</v>
      </c>
      <c r="D643" s="4" t="s">
        <v>12361</v>
      </c>
      <c r="F643" s="5" t="str">
        <f>IFERROR(__xludf.DUMMYFUNCTION("GOOGLETRANSLATE(A643, ""en"", ""hi"")"),"642")</f>
        <v>642</v>
      </c>
      <c r="G643" s="5" t="str">
        <f>IFERROR(__xludf.DUMMYFUNCTION("GOOGLETRANSLATE(B643, ""en"", ""hi"")"),"19वीं शताब्दी में किस मणिपुरी शासक ने मुकना कुश्ती प्रथाओं का दस्तावेजीकरण किया?")</f>
        <v>19वीं शताब्दी में किस मणिपुरी शासक ने मुकना कुश्ती प्रथाओं का दस्तावेजीकरण किया?</v>
      </c>
      <c r="H643" s="5" t="str">
        <f>IFERROR(__xludf.DUMMYFUNCTION("GOOGLETRANSLATE(C643, ""en"", ""hi"")"),"ए) महाराजा गंभीर सिंह, बी) महाराजा चुराचंद सिंह, सी) महाराजा भाग्यचंद्र सिंह, डी) महाराजा बोधचंद्र सिंह")</f>
        <v>ए) महाराजा गंभीर सिंह, बी) महाराजा चुराचंद सिंह, सी) महाराजा भाग्यचंद्र सिंह, डी) महाराजा बोधचंद्र सिंह</v>
      </c>
      <c r="I643" s="5" t="str">
        <f>IFERROR(__xludf.DUMMYFUNCTION("GOOGLETRANSLATE(D643, ""en"", ""hi"")"),"A) महाराजा गंभीर सिंह")</f>
        <v>A) महाराजा गंभीर सिंह</v>
      </c>
    </row>
    <row r="644" ht="22.5" customHeight="1">
      <c r="A644" s="3">
        <v>643.0</v>
      </c>
      <c r="B644" s="4" t="s">
        <v>14148</v>
      </c>
      <c r="C644" s="4" t="s">
        <v>13974</v>
      </c>
      <c r="D644" s="4" t="s">
        <v>13948</v>
      </c>
      <c r="F644" s="5" t="str">
        <f>IFERROR(__xludf.DUMMYFUNCTION("GOOGLETRANSLATE(A644, ""en"", ""hi"")"),"643")</f>
        <v>643</v>
      </c>
      <c r="G644" s="5" t="str">
        <f>IFERROR(__xludf.DUMMYFUNCTION("GOOGLETRANSLATE(B644, ""en"", ""hi"")"),"ऐतिहासिक समय में मुकना कुश्ती पोशाक की एक सामान्य विशेषता क्या थी?")</f>
        <v>ऐतिहासिक समय में मुकना कुश्ती पोशाक की एक सामान्य विशेषता क्या थी?</v>
      </c>
      <c r="H644" s="5" t="str">
        <f>IFERROR(__xludf.DUMMYFUNCTION("GOOGLETRANSLATE(C644, ""en"", ""hi"")"),"A) ढीले-ढाले वस्त्र, B) रेशमी वस्त्र, C) चमड़े का कवच, D) ऊनी पोशाक")</f>
        <v>A) ढीले-ढाले वस्त्र, B) रेशमी वस्त्र, C) चमड़े का कवच, D) ऊनी पोशाक</v>
      </c>
      <c r="I644" s="5" t="str">
        <f>IFERROR(__xludf.DUMMYFUNCTION("GOOGLETRANSLATE(D644, ""en"", ""hi"")"),"A) ढीले-ढाले वस्त्र")</f>
        <v>A) ढीले-ढाले वस्त्र</v>
      </c>
    </row>
    <row r="645" ht="22.5" customHeight="1">
      <c r="A645" s="3">
        <v>644.0</v>
      </c>
      <c r="B645" s="4" t="s">
        <v>14167</v>
      </c>
      <c r="C645" s="4" t="s">
        <v>12389</v>
      </c>
      <c r="D645" s="4" t="s">
        <v>12165</v>
      </c>
      <c r="F645" s="5" t="str">
        <f>IFERROR(__xludf.DUMMYFUNCTION("GOOGLETRANSLATE(A645, ""en"", ""hi"")"),"644")</f>
        <v>644</v>
      </c>
      <c r="G645" s="5" t="str">
        <f>IFERROR(__xludf.DUMMYFUNCTION("GOOGLETRANSLATE(B645, ""en"", ""hi"")"),"कौन सा मणिपुरी त्यौहार मुकना कुश्ती प्रतियोगिताओं से जुड़ा हुआ है?")</f>
        <v>कौन सा मणिपुरी त्यौहार मुकना कुश्ती प्रतियोगिताओं से जुड़ा हुआ है?</v>
      </c>
      <c r="H645" s="5" t="str">
        <f>IFERROR(__xludf.DUMMYFUNCTION("GOOGLETRANSLATE(C645, ""en"", ""hi"")"),"ए) लाई हराओबा, बी) याओशांग, सी) निंगोल चाकोउबा, डी) चेइराओबा")</f>
        <v>ए) लाई हराओबा, बी) याओशांग, सी) निंगोल चाकोउबा, डी) चेइराओबा</v>
      </c>
      <c r="I645" s="5" t="str">
        <f>IFERROR(__xludf.DUMMYFUNCTION("GOOGLETRANSLATE(D645, ""en"", ""hi"")"),"बी) योशांग")</f>
        <v>बी) योशांग</v>
      </c>
    </row>
    <row r="646" ht="22.5" customHeight="1">
      <c r="A646" s="3">
        <v>645.0</v>
      </c>
      <c r="B646" s="4" t="s">
        <v>14125</v>
      </c>
      <c r="C646" s="4" t="s">
        <v>14147</v>
      </c>
      <c r="D646" s="4" t="s">
        <v>9447</v>
      </c>
      <c r="F646" s="5" t="str">
        <f>IFERROR(__xludf.DUMMYFUNCTION("GOOGLETRANSLATE(A646, ""en"", ""hi"")"),"645")</f>
        <v>645</v>
      </c>
      <c r="G646" s="5" t="str">
        <f>IFERROR(__xludf.DUMMYFUNCTION("GOOGLETRANSLATE(B646, ""en"", ""hi"")"),"पारंपरिक मणिपुर में मुकना कुश्ती प्रशिक्षण का प्राथमिक केंद्र क्या था?")</f>
        <v>पारंपरिक मणिपुर में मुकना कुश्ती प्रशिक्षण का प्राथमिक केंद्र क्या था?</v>
      </c>
      <c r="H646" s="5" t="str">
        <f>IFERROR(__xludf.DUMMYFUNCTION("GOOGLETRANSLATE(C646, ""en"", ""hi"")"),"A) युद्ध तकनीक, B) शारीरिक सहनशक्ति, C) अनुष्ठान प्रथाएँ, D) सामाजिक संपर्क")</f>
        <v>A) युद्ध तकनीक, B) शारीरिक सहनशक्ति, C) अनुष्ठान प्रथाएँ, D) सामाजिक संपर्क</v>
      </c>
      <c r="I646" s="5" t="str">
        <f>IFERROR(__xludf.DUMMYFUNCTION("GOOGLETRANSLATE(D646, ""en"", ""hi"")"),"A) युद्ध तकनीकें")</f>
        <v>A) युद्ध तकनीकें</v>
      </c>
    </row>
    <row r="647" ht="22.5" customHeight="1">
      <c r="A647" s="3">
        <v>646.0</v>
      </c>
      <c r="B647" s="4" t="s">
        <v>14169</v>
      </c>
      <c r="C647" s="4" t="s">
        <v>13801</v>
      </c>
      <c r="D647" s="4" t="s">
        <v>13750</v>
      </c>
      <c r="F647" s="5" t="str">
        <f>IFERROR(__xludf.DUMMYFUNCTION("GOOGLETRANSLATE(A647, ""en"", ""hi"")"),"646")</f>
        <v>646</v>
      </c>
      <c r="G647" s="5" t="str">
        <f>IFERROR(__xludf.DUMMYFUNCTION("GOOGLETRANSLATE(B647, ""en"", ""hi"")"),"मुकना कुश्ती मैट के लिए पारंपरिक रूप से किस सामग्री का उपयोग किया जाता था?")</f>
        <v>मुकना कुश्ती मैट के लिए पारंपरिक रूप से किस सामग्री का उपयोग किया जाता था?</v>
      </c>
      <c r="H647" s="5" t="str">
        <f>IFERROR(__xludf.DUMMYFUNCTION("GOOGLETRANSLATE(C647, ""en"", ""hi"")"),"A) पुआल, B) जूट, C) कपास, D) बांस")</f>
        <v>A) पुआल, B) जूट, C) कपास, D) बांस</v>
      </c>
      <c r="I647" s="5" t="str">
        <f>IFERROR(__xludf.DUMMYFUNCTION("GOOGLETRANSLATE(D647, ""en"", ""hi"")"),"एक पुआल")</f>
        <v>एक पुआल</v>
      </c>
    </row>
    <row r="648" ht="22.5" customHeight="1">
      <c r="A648" s="3">
        <v>647.0</v>
      </c>
      <c r="B648" s="4" t="s">
        <v>14170</v>
      </c>
      <c r="C648" s="4" t="s">
        <v>13935</v>
      </c>
      <c r="D648" s="4" t="s">
        <v>13936</v>
      </c>
      <c r="F648" s="5" t="str">
        <f>IFERROR(__xludf.DUMMYFUNCTION("GOOGLETRANSLATE(A648, ""en"", ""hi"")"),"647")</f>
        <v>647</v>
      </c>
      <c r="G648" s="5" t="str">
        <f>IFERROR(__xludf.DUMMYFUNCTION("GOOGLETRANSLATE(B648, ""en"", ""hi"")"),"मुकना कुश्ती के पतन को समझने के लिए ब्रिटिश काल के कौन से लेख महत्वपूर्ण हैं?")</f>
        <v>मुकना कुश्ती के पतन को समझने के लिए ब्रिटिश काल के कौन से लेख महत्वपूर्ण हैं?</v>
      </c>
      <c r="H648" s="5" t="str">
        <f>IFERROR(__xludf.DUMMYFUNCTION("GOOGLETRANSLATE(C648, ""en"", ""hi"")"),"A) जी. ई. हार्वे के लेख, B) आर. एन. शर्मा की रिपोर्ट, C) रॉबर्ट गॉर्डन के अध्ययन, D) ए. बी. जॉर्ज के अभिलेख")</f>
        <v>A) जी. ई. हार्वे के लेख, B) आर. एन. शर्मा की रिपोर्ट, C) रॉबर्ट गॉर्डन के अध्ययन, D) ए. बी. जॉर्ज के अभिलेख</v>
      </c>
      <c r="I648" s="5" t="str">
        <f>IFERROR(__xludf.DUMMYFUNCTION("GOOGLETRANSLATE(D648, ""en"", ""hi"")"),"A) जी. ई. हार्वे के लेखन")</f>
        <v>A) जी. ई. हार्वे के लेखन</v>
      </c>
    </row>
    <row r="649" ht="22.5" customHeight="1">
      <c r="A649" s="3">
        <v>648.0</v>
      </c>
      <c r="B649" s="4" t="s">
        <v>14171</v>
      </c>
      <c r="C649" s="4" t="s">
        <v>14049</v>
      </c>
      <c r="D649" s="4" t="s">
        <v>13882</v>
      </c>
      <c r="F649" s="5" t="str">
        <f>IFERROR(__xludf.DUMMYFUNCTION("GOOGLETRANSLATE(A649, ""en"", ""hi"")"),"648")</f>
        <v>648</v>
      </c>
      <c r="G649" s="5" t="str">
        <f>IFERROR(__xludf.DUMMYFUNCTION("GOOGLETRANSLATE(B649, ""en"", ""hi"")"),"औपनिवेशिक काल के दौरान मणिपुरी समाज में मुकना कुश्ती की प्राथमिक भूमिका क्या थी?")</f>
        <v>औपनिवेशिक काल के दौरान मणिपुरी समाज में मुकना कुश्ती की प्राथमिक भूमिका क्या थी?</v>
      </c>
      <c r="H649" s="5" t="str">
        <f>IFERROR(__xludf.DUMMYFUNCTION("GOOGLETRANSLATE(C649, ""en"", ""hi"")"),"A) युद्ध प्रशिक्षण, B) सामाजिक मनोरंजन, C) अनुष्ठानिक प्रथाएँ, D) राजनीतिक प्रदर्शन")</f>
        <v>A) युद्ध प्रशिक्षण, B) सामाजिक मनोरंजन, C) अनुष्ठानिक प्रथाएँ, D) राजनीतिक प्रदर्शन</v>
      </c>
      <c r="I649" s="5" t="str">
        <f>IFERROR(__xludf.DUMMYFUNCTION("GOOGLETRANSLATE(D649, ""en"", ""hi"")"),"ए) युद्ध प्रशिक्षण")</f>
        <v>ए) युद्ध प्रशिक्षण</v>
      </c>
    </row>
  </sheetData>
  <drawing r:id="rId1"/>
  <tableParts count="2">
    <tablePart r:id="rId4"/>
    <tablePart r:id="rId5"/>
  </tableParts>
</worksheet>
</file>